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drawings/drawing5.xml" ContentType="application/vnd.openxmlformats-officedocument.drawing+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86E20D1E-55B4-436D-B826-F7E4B4C7BBCB}" xr6:coauthVersionLast="47" xr6:coauthVersionMax="47" xr10:uidLastSave="{00000000-0000-0000-0000-000000000000}"/>
  <bookViews>
    <workbookView xWindow="-108" yWindow="-108" windowWidth="30936" windowHeight="16776" tabRatio="735" firstSheet="1" activeTab="1" xr2:uid="{37986EDA-7457-446D-B5E4-4E02795267A5}"/>
  </bookViews>
  <sheets>
    <sheet name="Construction" sheetId="29" r:id="rId1"/>
    <sheet name="Furnace" sheetId="1" r:id="rId2"/>
    <sheet name="Chief Gear &amp; Charms" sheetId="31" r:id="rId3"/>
    <sheet name="New Chief Gear Data" sheetId="45" r:id="rId4"/>
    <sheet name="Charms Data" sheetId="44" r:id="rId5"/>
    <sheet name="Heroes" sheetId="34" r:id="rId6"/>
    <sheet name="Chief &amp; Hero Data" sheetId="25" r:id="rId7"/>
    <sheet name="Hero Gear" sheetId="40" r:id="rId8"/>
    <sheet name="Hero Gear Data" sheetId="41" r:id="rId9"/>
    <sheet name="Pets" sheetId="32" r:id="rId10"/>
    <sheet name="Pet Data" sheetId="27" r:id="rId11"/>
    <sheet name="Troop Calculator" sheetId="33" r:id="rId12"/>
    <sheet name="Troop Data" sheetId="20" r:id="rId13"/>
    <sheet name="Barricade" sheetId="17" r:id="rId14"/>
    <sheet name="Command Center" sheetId="2" r:id="rId15"/>
    <sheet name="Coal Mine" sheetId="3" r:id="rId16"/>
    <sheet name="Embassy" sheetId="4" r:id="rId17"/>
    <sheet name="Infirmary" sheetId="8" r:id="rId18"/>
    <sheet name="Hunter's Hut" sheetId="6" r:id="rId19"/>
    <sheet name="Infantry Camp" sheetId="7" r:id="rId20"/>
    <sheet name="Iron Mine" sheetId="9" r:id="rId21"/>
    <sheet name="Lancer Camp" sheetId="10" r:id="rId22"/>
    <sheet name="Marksman Camp" sheetId="11" r:id="rId23"/>
    <sheet name="Research Center" sheetId="12" r:id="rId24"/>
    <sheet name="Sawmill" sheetId="13" r:id="rId25"/>
    <sheet name="Shelter" sheetId="14" r:id="rId26"/>
    <sheet name="War Academy" sheetId="24" r:id="rId27"/>
    <sheet name="Dawn Academy" sheetId="46" r:id="rId28"/>
    <sheet name="Cyrille" sheetId="48" r:id="rId29"/>
    <sheet name="Agnes" sheetId="49" r:id="rId30"/>
    <sheet name="Holger" sheetId="50" r:id="rId31"/>
    <sheet name="Romulus" sheetId="51" r:id="rId32"/>
    <sheet name="Fabian" sheetId="53" r:id="rId33"/>
    <sheet name="Baldur" sheetId="52" r:id="rId34"/>
    <sheet name="Fire Crystal Refinement" sheetId="28" r:id="rId35"/>
    <sheet name="SVS Prep Week" sheetId="19" r:id="rId36"/>
    <sheet name="Hero Rally Setup" sheetId="43" r:id="rId37"/>
    <sheet name="Dawn Academy Alternate Layout" sheetId="47" r:id="rId38"/>
    <sheet name="Lists" sheetId="16" r:id="rId39"/>
  </sheets>
  <definedNames>
    <definedName name="AgnesLevelCurrent" localSheetId="37">'Dawn Academy Alternate Layout'!$B$71</definedName>
    <definedName name="AgnesLevelCurrent">'Dawn Academy'!$B$43</definedName>
    <definedName name="AgnesLevelDesired" localSheetId="37">'Dawn Academy Alternate Layout'!$B$73</definedName>
    <definedName name="AgnesLevelDesired">'Dawn Academy'!$B$45</definedName>
    <definedName name="AllSpeedupSecs">Lists!$A$100</definedName>
    <definedName name="ApeCurrent">Pets!$D$14</definedName>
    <definedName name="ApeDesired">Pets!$E$14</definedName>
    <definedName name="ApeFood">'Pet Data'!$CG$27</definedName>
    <definedName name="ApeManuals">'Pet Data'!$CI$27</definedName>
    <definedName name="ApePoints">'Pet Data'!$CO$27</definedName>
    <definedName name="ApePotions">'Pet Data'!$CK$27</definedName>
    <definedName name="ApeSerum">'Pet Data'!$CM$27</definedName>
    <definedName name="ArenaEliteCurrent" localSheetId="37">'Dawn Academy Alternate Layout'!$O$70</definedName>
    <definedName name="ArenaEliteCurrent">'Dawn Academy'!$S$46</definedName>
    <definedName name="ArenaEliteDesired" localSheetId="37">'Dawn Academy Alternate Layout'!$O$72</definedName>
    <definedName name="ArenaEliteDesired">'Dawn Academy'!$S$48</definedName>
    <definedName name="ArenaStarCurrent" localSheetId="37">'Dawn Academy Alternate Layout'!$S$70</definedName>
    <definedName name="ArenaStarCurrent">'Dawn Academy'!$AA$46</definedName>
    <definedName name="ArenaStarDesired" localSheetId="37">'Dawn Academy Alternate Layout'!$S$72</definedName>
    <definedName name="ArenaStarDesired">'Dawn Academy'!$AA$48</definedName>
    <definedName name="BaldurLevelCurrent">'Dawn Academy'!$B$71</definedName>
    <definedName name="BaldurLevelDesired">'Dawn Academy'!$B$73</definedName>
    <definedName name="BarricadeCurrent">Construction!$D$38</definedName>
    <definedName name="BarricadeDays">Barricade!$Q$19</definedName>
    <definedName name="BarricadeDesired">Construction!$D$40</definedName>
    <definedName name="BarricadeHours">Barricade!$Q$20</definedName>
    <definedName name="BarricadeMinutes">Barricade!$Q$21</definedName>
    <definedName name="BarricadeSeconds">Barricade!$Q$22</definedName>
    <definedName name="BarricadeSecs">Barricade!$Q$17</definedName>
    <definedName name="BaseTier">'Troop Calculator'!$E$14</definedName>
    <definedName name="BattleBulwarkCurrent">'Dawn Academy'!$AE$68</definedName>
    <definedName name="BattleBulwarkDesired">'Dawn Academy'!$AE$70</definedName>
    <definedName name="BlazingSunriseCurrent">'Dawn Academy'!$S$79</definedName>
    <definedName name="BlazingSunriseDesired">'Dawn Academy'!$S$81</definedName>
    <definedName name="BountyHunterCurrent">'Dawn Academy'!$AA$79</definedName>
    <definedName name="BountyHunterDesired">'Dawn Academy'!$AA$81</definedName>
    <definedName name="BuildersAide">Construction!$F$9</definedName>
    <definedName name="CallOfWarCurrent" localSheetId="37">'Dawn Academy Alternate Layout'!$O$81</definedName>
    <definedName name="CallOfWarCurrent">'Dawn Academy'!$S$57</definedName>
    <definedName name="CallOfWarDesired" localSheetId="37">'Dawn Academy Alternate Layout'!$O$83</definedName>
    <definedName name="CallOfWarDesired">'Dawn Academy'!$S$59</definedName>
    <definedName name="ChameleonCurrent">Pets!$D$19</definedName>
    <definedName name="ChameleonDesired">Pets!$E$19</definedName>
    <definedName name="ChameleonFood">'Pet Data'!$EE$27</definedName>
    <definedName name="ChameleonManuals">'Pet Data'!$EG$27</definedName>
    <definedName name="ChameleonPoints">'Pet Data'!$EM$27</definedName>
    <definedName name="ChameleonPotions">'Pet Data'!$EI$27</definedName>
    <definedName name="ChameleonSerum">'Pet Data'!$EK$27</definedName>
    <definedName name="CoalCurrent">Construction!$F$38</definedName>
    <definedName name="CoalDays">'Coal Mine'!$Q$39</definedName>
    <definedName name="CoalDesired">Construction!$F$40</definedName>
    <definedName name="CoalHours">'Coal Mine'!$Q$40</definedName>
    <definedName name="CoalMineSecs">'Coal Mine'!$Q$37</definedName>
    <definedName name="CoalMinutes">'Coal Mine'!$Q$41</definedName>
    <definedName name="CoalSeconds">'Coal Mine'!$Q$42</definedName>
    <definedName name="CoatCurrentLevel">'Chief Gear &amp; Charms'!$B$22</definedName>
    <definedName name="CoatDesiredLevel">'Chief Gear &amp; Charms'!$D$22</definedName>
    <definedName name="CoatLeftCurrentLevel">'Chief Gear &amp; Charms'!$C$26</definedName>
    <definedName name="CoatLeftDesiredLevel">'Chief Gear &amp; Charms'!$C$28</definedName>
    <definedName name="CoatRightCurrentLevel">'Chief Gear &amp; Charms'!$E$26</definedName>
    <definedName name="CoatRightDesiredLevel">'Chief Gear &amp; Charms'!$E$28</definedName>
    <definedName name="CoatTopCurrentLevel">'Chief Gear &amp; Charms'!$D$26</definedName>
    <definedName name="CoatTopDesiredLevel">'Chief Gear &amp; Charms'!$D$28</definedName>
    <definedName name="CommandCenterSecs">'Command Center'!$V$87</definedName>
    <definedName name="CommCtrCurrent">Construction!$E$21</definedName>
    <definedName name="CommCtrDays">'Command Center'!$V$89</definedName>
    <definedName name="CommCtrDesired">Construction!$E$23</definedName>
    <definedName name="CommCtrHours">'Command Center'!$V$90</definedName>
    <definedName name="CommCtrMinutes">'Command Center'!$V$91</definedName>
    <definedName name="CommCtrSeconds">'Command Center'!$V$92</definedName>
    <definedName name="CommonExpertSigils" localSheetId="37">'Dawn Academy Alternate Layout'!$B$7</definedName>
    <definedName name="CommonExpertSigils">'Dawn Academy'!#REF!</definedName>
    <definedName name="ConstAndGenSpeedupSecs">Lists!$A$65</definedName>
    <definedName name="ConstructionSpeed">Construction!$F$5</definedName>
    <definedName name="ConstSpeedups">Construction!$R$10</definedName>
    <definedName name="ConstSpeedupSecs">Lists!$A$51</definedName>
    <definedName name="CovertKnowledgeCurrent" localSheetId="37">'Dawn Academy Alternate Layout'!$U$59</definedName>
    <definedName name="CovertKnowledgeCurrent">'Dawn Academy'!$AE$35</definedName>
    <definedName name="CovertKnowledgeDesired" localSheetId="37">'Dawn Academy Alternate Layout'!$U$61</definedName>
    <definedName name="CovertKnowledgeDesired">'Dawn Academy'!$AE$37</definedName>
    <definedName name="CrisisRescueCurrent">'Dawn Academy'!$W$68</definedName>
    <definedName name="CrisisRescueDesired">'Dawn Academy'!$W$70</definedName>
    <definedName name="CrowdPleaserCurrent" localSheetId="37">'Dawn Academy Alternate Layout'!$Q$70</definedName>
    <definedName name="CrowdPleaserCurrent">'Dawn Academy'!$W$46</definedName>
    <definedName name="CrowdPleaserDesired" localSheetId="37">'Dawn Academy Alternate Layout'!$Q$72</definedName>
    <definedName name="CrowdPleaserDesired">'Dawn Academy'!$W$48</definedName>
    <definedName name="CudgelCurrentLevel">'Chief Gear &amp; Charms'!$O$32</definedName>
    <definedName name="CudgelDesiredLevel">'Chief Gear &amp; Charms'!$Q$32</definedName>
    <definedName name="CudgelLeftCurrentLevel">'Chief Gear &amp; Charms'!$O$36</definedName>
    <definedName name="CudgelLeftDesiredLevel">'Chief Gear &amp; Charms'!$O$38</definedName>
    <definedName name="CudgelRightCurrentLevel">'Chief Gear &amp; Charms'!$Q$36</definedName>
    <definedName name="CudgelRightDesiredLevel">'Chief Gear &amp; Charms'!$Q$38</definedName>
    <definedName name="CudgelTopCurrentLevel">'Chief Gear &amp; Charms'!$P$36</definedName>
    <definedName name="CudgelTopDesiredLevel">'Chief Gear &amp; Charms'!$P$38</definedName>
    <definedName name="CyrilleLevelCurrent" localSheetId="37">'Dawn Academy Alternate Layout'!$B$17</definedName>
    <definedName name="CyrilleLevelCurrent">'Dawn Academy'!$B$36</definedName>
    <definedName name="CyrilleLevelDesired" localSheetId="37">'Dawn Academy Alternate Layout'!$B$19</definedName>
    <definedName name="CyrilleLevelDesired">'Dawn Academy'!$B$38</definedName>
    <definedName name="DawnHymnCurrent">'Dawn Academy'!$AE$79</definedName>
    <definedName name="DawnHymnDesired">'Dawn Academy'!$AE$81</definedName>
    <definedName name="DoubleTime">Lists!$A$17</definedName>
    <definedName name="DTBADays">Lists!$A$44</definedName>
    <definedName name="DTBAHours">Lists!$A$45</definedName>
    <definedName name="DTBAMinutes">Lists!$A$46</definedName>
    <definedName name="DTBASeconds">Lists!$A$47</definedName>
    <definedName name="DTBASecs">Lists!$A$43</definedName>
    <definedName name="EfficientReconCurrent" localSheetId="37">'Dawn Academy Alternate Layout'!$O$59</definedName>
    <definedName name="EfficientReconCurrent">'Dawn Academy'!$S$35</definedName>
    <definedName name="EfficientReconDesired" localSheetId="37">'Dawn Academy Alternate Layout'!$O$61</definedName>
    <definedName name="EfficientReconDesired">'Dawn Academy'!$S$37</definedName>
    <definedName name="ElkCurrent">Pets!$D$11</definedName>
    <definedName name="ElkDesired">Pets!$E$11</definedName>
    <definedName name="ElkFood">'Pet Data'!$BC$27</definedName>
    <definedName name="ElkManuals">'Pet Data'!$BE$27</definedName>
    <definedName name="ElkPoints">'Pet Data'!$BK$27</definedName>
    <definedName name="ElkPotions">'Pet Data'!$BG$27</definedName>
    <definedName name="ElkSerums">'Pet Data'!$BI$27</definedName>
    <definedName name="EmbassyCurrent">Construction!$G$21</definedName>
    <definedName name="EmbassyDays">Embassy!$V$89</definedName>
    <definedName name="EmbassyDesired">Construction!$G$23</definedName>
    <definedName name="EmbassyHours">Embassy!$V$90</definedName>
    <definedName name="EmbassyMinutes">Embassy!$V$91</definedName>
    <definedName name="EmbassySeconds">Embassy!$V$92</definedName>
    <definedName name="EmbassySecs">Embassy!$V$87</definedName>
    <definedName name="EntrapmentCurrent" localSheetId="37">'Dawn Academy Alternate Layout'!$F$17</definedName>
    <definedName name="EntrapmentCurrent">'Dawn Academy'!$S$24</definedName>
    <definedName name="EntrapmentDesired" localSheetId="37">'Dawn Academy Alternate Layout'!$F$19</definedName>
    <definedName name="EntrapmentDesired">'Dawn Academy'!$S$26</definedName>
    <definedName name="FabianLevelCurrent">'Dawn Academy'!$B$64</definedName>
    <definedName name="FabianLevelDesired">'Dawn Academy'!$B$66</definedName>
    <definedName name="FurnaceCurrent">Construction!$C$21</definedName>
    <definedName name="FurnaceDays">Furnace!$V$89</definedName>
    <definedName name="FurnaceDesired">Construction!$C$23</definedName>
    <definedName name="FurnaceHours">Furnace!$V$90</definedName>
    <definedName name="FurnaceMinutes">Furnace!$V$91</definedName>
    <definedName name="FurnaceSeconds">Furnace!$V$92</definedName>
    <definedName name="FurnaceSecs">Furnace!$V$87</definedName>
    <definedName name="GenAfterConstruction">Lists!$A$79</definedName>
    <definedName name="GenAndTroopSecs">Lists!$A$86</definedName>
    <definedName name="GenSpeedups">Construction!$P$10</definedName>
    <definedName name="GenSpeedupSecs">Lists!$A$58</definedName>
    <definedName name="GorillaCurrent">Pets!$D$18</definedName>
    <definedName name="GorillaDesired">Pets!$E$18</definedName>
    <definedName name="GorillaFood">'Pet Data'!$DU$27</definedName>
    <definedName name="GorillaManuals">'Pet Data'!$DW$27</definedName>
    <definedName name="GorillaPoints">'Pet Data'!$EC$27</definedName>
    <definedName name="GorillaPotions">'Pet Data'!$DY$27</definedName>
    <definedName name="GorillaSerum">'Pet Data'!$EA$27</definedName>
    <definedName name="HatCurrentLevel">'Chief Gear &amp; Charms'!$B$12</definedName>
    <definedName name="HatDesiredLevel">'Chief Gear &amp; Charms'!$D$12</definedName>
    <definedName name="HatLeftCurrentLevel">'Chief Gear &amp; Charms'!$C$16</definedName>
    <definedName name="HatLeftDesiredLevel">'Chief Gear &amp; Charms'!$C$18</definedName>
    <definedName name="HatRightCurrentLevel">'Chief Gear &amp; Charms'!$E$16</definedName>
    <definedName name="HatRightDesiredLevel">'Chief Gear &amp; Charms'!$E$18</definedName>
    <definedName name="HatTopCurrentLevel">'Chief Gear &amp; Charms'!$D$16</definedName>
    <definedName name="HatTopDesiredLevel">'Chief Gear &amp; Charms'!$D$18</definedName>
    <definedName name="HeightenedFirepowerCurrent">'Dawn Academy'!$AA$68</definedName>
    <definedName name="HeightenedFirepowerDesired">'Dawn Academy'!$AA$70</definedName>
    <definedName name="HolgerLevelCurrent" localSheetId="37">'Dawn Academy Alternate Layout'!$B$78</definedName>
    <definedName name="HolgerLevelCurrent">'Dawn Academy'!$B$50</definedName>
    <definedName name="HolgerLevelDesired" localSheetId="37">'Dawn Academy Alternate Layout'!$B$80</definedName>
    <definedName name="HolgerLevelDesired">'Dawn Academy'!$B$52</definedName>
    <definedName name="HonoredConquestCurrent">'Dawn Academy'!$W$79</definedName>
    <definedName name="HonoredConquestDesired">'Dawn Academy'!$W$81</definedName>
    <definedName name="HunterCurrent">Construction!$H$38</definedName>
    <definedName name="HunterDesired">Construction!$H$40</definedName>
    <definedName name="HuntersHutDays">'Hunter''s Hut'!$Q$39</definedName>
    <definedName name="HuntersHutHours">'Hunter''s Hut'!$Q$40</definedName>
    <definedName name="HuntersHutMinutes">'Hunter''s Hut'!$Q$41</definedName>
    <definedName name="HuntersHutSeconds">'Hunter''s Hut'!$Q$42</definedName>
    <definedName name="HuntersHutSecs">'Hunter''s Hut'!$Q$37</definedName>
    <definedName name="HyenaCurrent">Pets!$D$6</definedName>
    <definedName name="HyenaDesired">Pets!$E$6</definedName>
    <definedName name="HyenaFood">'Pet Data'!$E$27</definedName>
    <definedName name="HyenaManuals">'Pet Data'!$G$27</definedName>
    <definedName name="HyenaPoints">'Pet Data'!$M$27</definedName>
    <definedName name="HyenaPotions">'Pet Data'!$I$27</definedName>
    <definedName name="HyenaSerums">'Pet Data'!$K$27</definedName>
    <definedName name="InfantryCampSecs">'Infantry Camp'!$V$87</definedName>
    <definedName name="InfantryCurrent">Construction!$K$21</definedName>
    <definedName name="InfantryDays">'Infantry Camp'!$V$89</definedName>
    <definedName name="InfantryDesired">Construction!$K$23</definedName>
    <definedName name="InfantryHours">'Infantry Camp'!$V$90</definedName>
    <definedName name="InfantryMinutes">'Infantry Camp'!$V$91</definedName>
    <definedName name="InfantrySeconds">'Infantry Camp'!$V$92</definedName>
    <definedName name="InfBel1LevelCurrent">'Hero Gear'!$D$9</definedName>
    <definedName name="InfBel1LevelDesired">'Hero Gear'!$E$9</definedName>
    <definedName name="InfBel1MasteryCurrent">'Hero Gear'!$I$9</definedName>
    <definedName name="InfBel1MasteryDesired">'Hero Gear'!$J$9</definedName>
    <definedName name="InfBel2LevelCurrent">'Hero Gear'!$P$9</definedName>
    <definedName name="InfBel2LevelDesired">'Hero Gear'!$Q$9</definedName>
    <definedName name="InfBel2MasteryCurrent">'Hero Gear'!$U$9</definedName>
    <definedName name="InfBel2MasteryDesired">'Hero Gear'!$V$9</definedName>
    <definedName name="InfBel3LevelCurrent">'Hero Gear'!$AB$9</definedName>
    <definedName name="InfBel3LevelDesired">'Hero Gear'!$AC$9</definedName>
    <definedName name="InfBel3MasteryCurrent">'Hero Gear'!$AG$9</definedName>
    <definedName name="InfBel3MasteryDesired">'Hero Gear'!$AH$9</definedName>
    <definedName name="InfBoo1LevelCurrent">'Hero Gear'!$D$10</definedName>
    <definedName name="InfBoo1LevelDesired">'Hero Gear'!$E$10</definedName>
    <definedName name="InfBoo1MasteryCurrent">'Hero Gear'!$I$10</definedName>
    <definedName name="InfBoo1MasteryDesired">'Hero Gear'!$J$10</definedName>
    <definedName name="InfBoo2LevelCurrent">'Hero Gear'!$P$10</definedName>
    <definedName name="InfBoo2LevelDesired">'Hero Gear'!$Q$10</definedName>
    <definedName name="InfBoo2MasteryCurrent">'Hero Gear'!$U$10</definedName>
    <definedName name="InfBoo2MasteryDesired">'Hero Gear'!$V$10</definedName>
    <definedName name="InfBoo3LevelCurrent">'Hero Gear'!$AB$10</definedName>
    <definedName name="InfBoo3LevelDesired">'Hero Gear'!$AC$10</definedName>
    <definedName name="InfBoo3MasteryCurrent">'Hero Gear'!$AG$10</definedName>
    <definedName name="InfBoo3MasteryDesired">'Hero Gear'!$AH$10</definedName>
    <definedName name="InfGlo1LevelCurrent">'Hero Gear'!$D$8</definedName>
    <definedName name="InfGlo1LevelDesired">'Hero Gear'!$E$8</definedName>
    <definedName name="InfGlo1MasteryCurrent">'Hero Gear'!$I$8</definedName>
    <definedName name="InfGlo1MasteryDesired">'Hero Gear'!$J$8</definedName>
    <definedName name="InfGlo2LevelCurrent">'Hero Gear'!$P$8</definedName>
    <definedName name="InfGlo2LevelDesired">'Hero Gear'!$Q$8</definedName>
    <definedName name="InfGlo2MasteryCurrent">'Hero Gear'!$U$8</definedName>
    <definedName name="InfGlo2MasteryDesired">'Hero Gear'!$V$8</definedName>
    <definedName name="InfGlo3LevelCurrent">'Hero Gear'!$AB$8</definedName>
    <definedName name="InfGlo3LevelDesired">'Hero Gear'!$AC$8</definedName>
    <definedName name="InfGlo3MasteryCurrent">'Hero Gear'!$AG$8</definedName>
    <definedName name="InfGlo3MasteryDesired">'Hero Gear'!$AH$8</definedName>
    <definedName name="InfGog1LevelCurrent">'Hero Gear'!$D$7</definedName>
    <definedName name="InfGog1LevelDesired">'Hero Gear'!$E$7</definedName>
    <definedName name="InfGog1MasteryCurrent">'Hero Gear'!$I$7</definedName>
    <definedName name="InfGog1MasteryDesired">'Hero Gear'!$J$7</definedName>
    <definedName name="InfGog2LevelCurrent">'Hero Gear'!$P$7</definedName>
    <definedName name="InfGog2LevelDesired">'Hero Gear'!$Q$7</definedName>
    <definedName name="InfGog2MasteryCurrent">'Hero Gear'!$U$7</definedName>
    <definedName name="InfGog2MasteryDesired">'Hero Gear'!$V$7</definedName>
    <definedName name="InfGog3LevelCurrent">'Hero Gear'!$AB$7</definedName>
    <definedName name="InfGog3LevelDesired">'Hero Gear'!$AC$7</definedName>
    <definedName name="InfGog3MasteryCurrent">'Hero Gear'!$AG$7</definedName>
    <definedName name="InfGog3MasteryDesired">'Hero Gear'!$AH$7</definedName>
    <definedName name="InfirmaryCurrent">Construction!$I$21</definedName>
    <definedName name="InfirmaryDays">Infirmary!$V$89</definedName>
    <definedName name="InfirmaryDesired">Construction!$I$23</definedName>
    <definedName name="InfirmaryHours">Infirmary!$V$90</definedName>
    <definedName name="InfirmaryMinutes">Infirmary!$V$91</definedName>
    <definedName name="InfirmarySeconds">Infirmary!$V$92</definedName>
    <definedName name="InfirmarySecs">Infirmary!$V$87</definedName>
    <definedName name="IronCurrent">Construction!$J$38</definedName>
    <definedName name="IronDays">'Iron Mine'!$Q$39</definedName>
    <definedName name="IronDesired">Construction!$J$40</definedName>
    <definedName name="IronHours">'Iron Mine'!$Q$40</definedName>
    <definedName name="IronMineSecs">'Iron Mine'!$Q$37</definedName>
    <definedName name="IronMinutes">'Iron Mine'!$Q$41</definedName>
    <definedName name="IronSeconds">'Iron Mine'!$Q$42</definedName>
    <definedName name="LanBel1LevelCurrent">'Hero Gear'!$D$18</definedName>
    <definedName name="LanBel1LevelDesired">'Hero Gear'!$E$18</definedName>
    <definedName name="LanBel1MasteryCurrent">'Hero Gear'!$I$18</definedName>
    <definedName name="LanBel1MasteryDesired">'Hero Gear'!$J$18</definedName>
    <definedName name="LanBel2LevelCurrent">'Hero Gear'!$P$18</definedName>
    <definedName name="LanBel2LevelDesired">'Hero Gear'!$Q$18</definedName>
    <definedName name="LanBel2MasteryCurrent">'Hero Gear'!$U$18</definedName>
    <definedName name="LanBel2MasteryDesired">'Hero Gear'!$V$18</definedName>
    <definedName name="LanBel3LevelCurrent">'Hero Gear'!$AB$18</definedName>
    <definedName name="LanBel3LevelDesired">'Hero Gear'!$AC$18</definedName>
    <definedName name="LanBel3MasteryCurrent">'Hero Gear'!$AG$18</definedName>
    <definedName name="LanBel3MasteryDesired">'Hero Gear'!$AH$18</definedName>
    <definedName name="LanBoo1LevelCurrent">'Hero Gear'!$D$19</definedName>
    <definedName name="LanBoo1LevelDesired">'Hero Gear'!$E$19</definedName>
    <definedName name="LanBoo1MasteryCurrent">'Hero Gear'!$I$19</definedName>
    <definedName name="LanBoo1MasteryDesired">'Hero Gear'!$J$19</definedName>
    <definedName name="LanBoo2LevelCurrent">'Hero Gear'!$P$19</definedName>
    <definedName name="LanBoo2LevelDesired">'Hero Gear'!$Q$19</definedName>
    <definedName name="LanBoo2MasteryCurrent">'Hero Gear'!$U$19</definedName>
    <definedName name="LanBoo2MasteryDesired">'Hero Gear'!$V$19</definedName>
    <definedName name="LanBoo3LevelCurrent">'Hero Gear'!$AB$19</definedName>
    <definedName name="LanBoo3LevelDesired">'Hero Gear'!$AC$19</definedName>
    <definedName name="LanBoo3MasteryCurrent">'Hero Gear'!$AG$19</definedName>
    <definedName name="LanBoo3MasteryDesired">'Hero Gear'!$AH$19</definedName>
    <definedName name="LancerCampSecs">'Lancer Camp'!$V$87</definedName>
    <definedName name="LancerCurrent">Construction!$M$21</definedName>
    <definedName name="LancerDays">'Lancer Camp'!$V$89</definedName>
    <definedName name="LancerDesired">Construction!$M$23</definedName>
    <definedName name="LancerHours">'Lancer Camp'!$V$90</definedName>
    <definedName name="LancerMinutes">'Lancer Camp'!$V$91</definedName>
    <definedName name="LancerSeconds">'Lancer Camp'!$V$92</definedName>
    <definedName name="LanGlo1LevelCurrent">'Hero Gear'!$D$17</definedName>
    <definedName name="LanGlo1LevelDesired">'Hero Gear'!$E$17</definedName>
    <definedName name="LanGlo1MasteryCurrent">'Hero Gear'!$I$17</definedName>
    <definedName name="LanGlo1MasteryDesired">'Hero Gear'!$J$17</definedName>
    <definedName name="LanGlo2LevelCurrent">'Hero Gear'!$P$17</definedName>
    <definedName name="LanGlo2LevelDesired">'Hero Gear'!$Q$17</definedName>
    <definedName name="LanGlo2MasteryCurrent">'Hero Gear'!$U$17</definedName>
    <definedName name="LanGlo2MasteryDesired">'Hero Gear'!$V$17</definedName>
    <definedName name="LanGlo3LevelCurrent">'Hero Gear'!$AB$17</definedName>
    <definedName name="LanGlo3LevelDesired">'Hero Gear'!$AC$17</definedName>
    <definedName name="LanGlo3MasteryCurrent">'Hero Gear'!$AG$17</definedName>
    <definedName name="LanGlo3MasteryDesired">'Hero Gear'!$AH$17</definedName>
    <definedName name="LanGog1LevelCurrent">'Hero Gear'!$D$16</definedName>
    <definedName name="LanGog1LevelDesired">'Hero Gear'!$E$16</definedName>
    <definedName name="LanGog1MasteryCurrent">'Hero Gear'!$I$16</definedName>
    <definedName name="LanGog1MasteryDesired">'Hero Gear'!$J$16</definedName>
    <definedName name="LanGog2LevelCurrent">'Hero Gear'!$P$16</definedName>
    <definedName name="LanGog2LevelDesired">'Hero Gear'!$Q$16</definedName>
    <definedName name="LanGog2MasteryCurrent">'Hero Gear'!$U$16</definedName>
    <definedName name="LanGog2MasteryDesired">'Hero Gear'!$V$16</definedName>
    <definedName name="LanGog3LevelCurrent">'Hero Gear'!$AB$16</definedName>
    <definedName name="LanGog3LevelDesired">'Hero Gear'!$AC$16</definedName>
    <definedName name="LanGog3MasteryCurrent">'Hero Gear'!$AG$16</definedName>
    <definedName name="LanGog3MasteryDesired">'Hero Gear'!$AH$16</definedName>
    <definedName name="LastLineCurrent" localSheetId="37">'Dawn Academy Alternate Layout'!$Q$81</definedName>
    <definedName name="LastLineCurrent">'Dawn Academy'!$W$57</definedName>
    <definedName name="LastLineDesired" localSheetId="37">'Dawn Academy Alternate Layout'!$Q$83</definedName>
    <definedName name="LastLineDesired">'Dawn Academy'!$W$59</definedName>
    <definedName name="LegacyCurrent" localSheetId="37">'Dawn Academy Alternate Layout'!$U$70</definedName>
    <definedName name="LegacyCurrent">'Dawn Academy'!$AE$46</definedName>
    <definedName name="LegacyDesired" localSheetId="37">'Dawn Academy Alternate Layout'!$U$72</definedName>
    <definedName name="LegacyDesired">'Dawn Academy'!$AE$48</definedName>
    <definedName name="LeopardCurrent">Pets!$D$12</definedName>
    <definedName name="LeopardDesired">Pets!$E$12</definedName>
    <definedName name="LeopardFood">'Pet Data'!$BM$27</definedName>
    <definedName name="LeopardManuals">'Pet Data'!$BO$27</definedName>
    <definedName name="LeopardPoints">'Pet Data'!$BU$27</definedName>
    <definedName name="LeopardPotions">'Pet Data'!$BQ$27</definedName>
    <definedName name="LeopardSerums">'Pet Data'!$BS$27</definedName>
    <definedName name="LionCurrent">Pets!$D$13</definedName>
    <definedName name="LionDesired">Pets!$E$13</definedName>
    <definedName name="LionFood">'Pet Data'!$BW$27</definedName>
    <definedName name="LionManuals">'Pet Data'!$BY$27</definedName>
    <definedName name="LionPoints">'Pet Data'!$CE$27</definedName>
    <definedName name="LionPotions">'Pet Data'!$CA$27</definedName>
    <definedName name="LionSerums">'Pet Data'!$CC$27</definedName>
    <definedName name="MammothCurrent">Pets!$D$17</definedName>
    <definedName name="MammothDesired">Pets!$E$17</definedName>
    <definedName name="MammothFood">'Pet Data'!$DK$27</definedName>
    <definedName name="MammothManuals">'Pet Data'!$DM$27</definedName>
    <definedName name="MammothPoints">'Pet Data'!$DS$27</definedName>
    <definedName name="MammothPotions">'Pet Data'!$DO$27</definedName>
    <definedName name="MammothSerum">'Pet Data'!$DQ$27</definedName>
    <definedName name="MarBel1LevelCurrent">'Hero Gear'!$D$27</definedName>
    <definedName name="MarBel1LevelDesired">'Hero Gear'!$E$27</definedName>
    <definedName name="MarBel1MasteryCurrent">'Hero Gear'!$I$27</definedName>
    <definedName name="MarBel1MasteryDesired">'Hero Gear'!$J$27</definedName>
    <definedName name="MarBel2LevelCurrent">'Hero Gear'!$P$27</definedName>
    <definedName name="MarBel2LevelDesired">'Hero Gear'!$Q$27</definedName>
    <definedName name="MarBel2MasteryCurrent">'Hero Gear'!$U$27</definedName>
    <definedName name="MarBel2MasteryDesired">'Hero Gear'!$V$27</definedName>
    <definedName name="MarBel3LevelCurrent">'Hero Gear'!$AB$27</definedName>
    <definedName name="MarBel3LevelDesired">'Hero Gear'!$AC$27</definedName>
    <definedName name="MarBel3MasteryCurrent">'Hero Gear'!$AG$27</definedName>
    <definedName name="MarBel3MasteryDesired">'Hero Gear'!$AH$27</definedName>
    <definedName name="MarBoo1LevelCurrent">'Hero Gear'!$D$28</definedName>
    <definedName name="MarBoo1LevelDesired">'Hero Gear'!$E$28</definedName>
    <definedName name="MarBoo1MasteryCurrent">'Hero Gear'!$I$28</definedName>
    <definedName name="MarBoo1MasteryDesired">'Hero Gear'!$J$28</definedName>
    <definedName name="MarBoo2LevelCurrent">'Hero Gear'!$P$28</definedName>
    <definedName name="MarBoo2LevelDesired">'Hero Gear'!$Q$28</definedName>
    <definedName name="MarBoo2MasteryCurrent">'Hero Gear'!$U$28</definedName>
    <definedName name="MarBoo2MasteryDesired">'Hero Gear'!$V$28</definedName>
    <definedName name="MarBoo3LevelCurrent">'Hero Gear'!$AB$28</definedName>
    <definedName name="MarBoo3LevelDesired">'Hero Gear'!$AC$28</definedName>
    <definedName name="MarBoo3MasteryCurrent">'Hero Gear'!$AG$28</definedName>
    <definedName name="MarBoo3MasteryDesired">'Hero Gear'!$AH$28</definedName>
    <definedName name="MarGlo1LevelCurrent">'Hero Gear'!$D$26</definedName>
    <definedName name="MarGlo1LevelDesired">'Hero Gear'!$E$26</definedName>
    <definedName name="MarGlo1MasteryCurrent">'Hero Gear'!$I$26</definedName>
    <definedName name="MarGlo1MasteryDesired">'Hero Gear'!$J$26</definedName>
    <definedName name="MarGlo2LevelCurrent">'Hero Gear'!$P$26</definedName>
    <definedName name="MarGlo2LevelDesired">'Hero Gear'!$Q$26</definedName>
    <definedName name="MarGlo2MasteryCurrent">'Hero Gear'!$U$26</definedName>
    <definedName name="MarGlo2MasteryDesired">'Hero Gear'!$V$26</definedName>
    <definedName name="MarGlo3LevelCurrent">'Hero Gear'!$AB$26</definedName>
    <definedName name="MarGlo3LevelDesired">'Hero Gear'!$AC$26</definedName>
    <definedName name="MarGlo3MasteryCurrent">'Hero Gear'!$AG$26</definedName>
    <definedName name="MarGlo3MasteryDesired">'Hero Gear'!$AH$26</definedName>
    <definedName name="MarGog1LevelCurrent">'Hero Gear'!$D$25</definedName>
    <definedName name="MarGog1LevelDesired">'Hero Gear'!$E$25</definedName>
    <definedName name="MarGog1MasteryCurrent">'Hero Gear'!$I$25</definedName>
    <definedName name="MarGog1MasteryDesired">'Hero Gear'!$J$25</definedName>
    <definedName name="MarGog2LevelCurrent">'Hero Gear'!$P$25</definedName>
    <definedName name="MarGog2LevelDesired">'Hero Gear'!$Q$25</definedName>
    <definedName name="MarGog2MasteryCurrent">'Hero Gear'!$U$25</definedName>
    <definedName name="MarGog2MasteryDesired">'Hero Gear'!$V$25</definedName>
    <definedName name="MarGog3LevelCurrent">'Hero Gear'!$AB$25</definedName>
    <definedName name="MarGog3LevelDesired">'Hero Gear'!$AC$25</definedName>
    <definedName name="MarGog3MasteryCurrent">'Hero Gear'!$AG$25</definedName>
    <definedName name="MarGog3MasteryDesired">'Hero Gear'!$AH$25</definedName>
    <definedName name="MarksmanCampSecs">'Marksman Camp'!$V$87</definedName>
    <definedName name="MarksmanCurrent">Construction!$O$21</definedName>
    <definedName name="MarksmanDays">'Marksman Camp'!$V$89</definedName>
    <definedName name="MarksmanDesired">Construction!$O$23</definedName>
    <definedName name="MarksmanHours">'Marksman Camp'!$V$90</definedName>
    <definedName name="MarksmanMinutes">'Marksman Camp'!$V$91</definedName>
    <definedName name="MarksmanSeconds">'Marksman Camp'!$V$92</definedName>
    <definedName name="Mercantilism">Construction!$F$7</definedName>
    <definedName name="MinisterEducation">'Troop Calculator'!$E$8</definedName>
    <definedName name="NeededCharmDesigns">'Charms Data'!$I$41</definedName>
    <definedName name="NeededCharmGuides">'Charms Data'!$H$41</definedName>
    <definedName name="NeededCharmSecrets">'Charms Data'!$J$41</definedName>
    <definedName name="NeededDesignPlans">'New Chief Gear Data'!$H$125</definedName>
    <definedName name="NeededHardenedAlloy">'New Chief Gear Data'!$F$125</definedName>
    <definedName name="NeededLunarAmber">'New Chief Gear Data'!$I$125</definedName>
    <definedName name="NeededPolishingSolution">'New Chief Gear Data'!$G$125</definedName>
    <definedName name="NeededSpeedupSecs">Lists!$A$72</definedName>
    <definedName name="OneHeartCurrent" localSheetId="37">'Dawn Academy Alternate Layout'!$U$81</definedName>
    <definedName name="OneHeartCurrent">'Dawn Academy'!$AE$57</definedName>
    <definedName name="OneHeartDesired" localSheetId="37">'Dawn Academy Alternate Layout'!$U$83</definedName>
    <definedName name="OneHeartDesired">'Dawn Academy'!$AE$59</definedName>
    <definedName name="OptimizationCurrent" localSheetId="37">'Dawn Academy Alternate Layout'!$Q$59</definedName>
    <definedName name="OptimizationCurrent">'Dawn Academy'!$W$35</definedName>
    <definedName name="OptimizationDesired" localSheetId="37">'Dawn Academy Alternate Layout'!$Q$61</definedName>
    <definedName name="OptimizationDesired">'Dawn Academy'!$W$37</definedName>
    <definedName name="OxCurrent">Pets!$D$8</definedName>
    <definedName name="OxDesired">Pets!$E$8</definedName>
    <definedName name="OxFood">'Pet Data'!$Y$27</definedName>
    <definedName name="OxManuals">'Pet Data'!$AA$27</definedName>
    <definedName name="OxPoints">'Pet Data'!$AG$27</definedName>
    <definedName name="OxPotions">'Pet Data'!$AC$27</definedName>
    <definedName name="OxSerums">'Pet Data'!$AE$27</definedName>
    <definedName name="PantsCurrentLevel">'Chief Gear &amp; Charms'!$O$22</definedName>
    <definedName name="PantsDesiredLevel">'Chief Gear &amp; Charms'!$Q$22</definedName>
    <definedName name="PantsLeftCurrentLevel">'Chief Gear &amp; Charms'!$O$26</definedName>
    <definedName name="PantsLeftDesiredLevel">'Chief Gear &amp; Charms'!$O$28</definedName>
    <definedName name="PantsRightCurrentLevel">'Chief Gear &amp; Charms'!$Q$26</definedName>
    <definedName name="PantsRightDesiredLevel">'Chief Gear &amp; Charms'!$Q$28</definedName>
    <definedName name="PantsTopCurrentLevel">'Chief Gear &amp; Charms'!$P$26</definedName>
    <definedName name="PantsTopDesiredLevel">'Chief Gear &amp; Charms'!$P$28</definedName>
    <definedName name="PetFood">'Pet Data'!#REF!</definedName>
    <definedName name="PetManuals">'Pet Data'!#REF!</definedName>
    <definedName name="PetPotions">'Pet Data'!#REF!</definedName>
    <definedName name="PetSerums">'Pet Data'!#REF!</definedName>
    <definedName name="ProjectMgmtCurrent" localSheetId="37">'Dawn Academy Alternate Layout'!$S$59</definedName>
    <definedName name="ProjectMgmtCurrent">'Dawn Academy'!$AA$35</definedName>
    <definedName name="ProjectMgmtDesired" localSheetId="37">'Dawn Academy Alternate Layout'!$S$61</definedName>
    <definedName name="ProjectMgmtDesired">'Dawn Academy'!$AA$37</definedName>
    <definedName name="ReducedDays">Lists!$A$37</definedName>
    <definedName name="ReducedHours">Lists!$A$38</definedName>
    <definedName name="ReducedMinutes">Lists!$A$39</definedName>
    <definedName name="ReducedSeconds">Lists!$A$40</definedName>
    <definedName name="ReducedSecs">Lists!$A$36</definedName>
    <definedName name="ResearchCenterSecs">'Research Center'!$S$37</definedName>
    <definedName name="ResearchCurrent">Construction!$L$38</definedName>
    <definedName name="ResearchDays">'Research Center'!$S$39</definedName>
    <definedName name="ResearchDesired">Construction!$L$40</definedName>
    <definedName name="ResearchHours">'Research Center'!$S$40</definedName>
    <definedName name="ResearchMinutes">'Research Center'!$S$41</definedName>
    <definedName name="ResearchSeconds">'Research Center'!$S$42</definedName>
    <definedName name="RhinoCurrent">Pets!$D$15</definedName>
    <definedName name="RhinoDesired">Pets!$E$15</definedName>
    <definedName name="RhinoFood">'Pet Data'!$CQ$27</definedName>
    <definedName name="RhinoManuals">'Pet Data'!$CS$27</definedName>
    <definedName name="RhinoPoints">'Pet Data'!$CY$27</definedName>
    <definedName name="RhinoPotions">'Pet Data'!$CU$27</definedName>
    <definedName name="RhinoSerum">'Pet Data'!$CW$27</definedName>
    <definedName name="RingCurrentLevel">'Chief Gear &amp; Charms'!$B$32</definedName>
    <definedName name="RingDesiredLevel">'Chief Gear &amp; Charms'!$D$32</definedName>
    <definedName name="RingLeftCurrentLevel">'Chief Gear &amp; Charms'!$C$36</definedName>
    <definedName name="RingLeftDesiredLevel">'Chief Gear &amp; Charms'!$C$38</definedName>
    <definedName name="RingRightCurrentLevel">'Chief Gear &amp; Charms'!$E$36</definedName>
    <definedName name="RingRightDesiredLevel">'Chief Gear &amp; Charms'!$E$38</definedName>
    <definedName name="RingTopCurrentLevel">'Chief Gear &amp; Charms'!$D$36</definedName>
    <definedName name="RingTopDesiredLevel">'Chief Gear &amp; Charms'!$D$38</definedName>
    <definedName name="RocCurrent">Pets!$D$10</definedName>
    <definedName name="RocDesired">Pets!$E$10</definedName>
    <definedName name="RocFood">'Pet Data'!$AS$27</definedName>
    <definedName name="RocManuals">'Pet Data'!$AU$27</definedName>
    <definedName name="RocPoints">'Pet Data'!$BA$27</definedName>
    <definedName name="RocPotions">'Pet Data'!$AW$27</definedName>
    <definedName name="RocSerums">'Pet Data'!$AY$27</definedName>
    <definedName name="RomulusLevelCurrent" localSheetId="37">'Dawn Academy Alternate Layout'!$B$85</definedName>
    <definedName name="RomulusLevelCurrent">'Dawn Academy'!$B$57</definedName>
    <definedName name="RomulusLevelDesired" localSheetId="37">'Dawn Academy Alternate Layout'!$B$87</definedName>
    <definedName name="RomulusLevelDesired">'Dawn Academy'!$B$59</definedName>
    <definedName name="SalvagerCurrent">'Dawn Academy'!$S$68</definedName>
    <definedName name="SalvagerDesired">'Dawn Academy'!$S$70</definedName>
    <definedName name="SawmillCurrent">Construction!$N$38</definedName>
    <definedName name="SawmillDays">Sawmill!$Q$39</definedName>
    <definedName name="SawmillDesired">Construction!$N$40</definedName>
    <definedName name="SawmillHours">Sawmill!$Q$40</definedName>
    <definedName name="SawmillMinutes">Sawmill!$Q$41</definedName>
    <definedName name="SawmillSeconds">Sawmill!$Q$42</definedName>
    <definedName name="SawmillSecs">Sawmill!$Q$37</definedName>
    <definedName name="ScavengingCurrent" localSheetId="37">'Dawn Academy Alternate Layout'!$J$17</definedName>
    <definedName name="ScavengingCurrent">'Dawn Academy'!$W$24</definedName>
    <definedName name="ScavengingDesired" localSheetId="37">'Dawn Academy Alternate Layout'!$J$19</definedName>
    <definedName name="ScavengingDesired">'Dawn Academy'!$W$26</definedName>
    <definedName name="ShelldragonCurrent">Pets!$D$20</definedName>
    <definedName name="ShelldragonDesired">Pets!$E$20</definedName>
    <definedName name="ShelldragonFood">'Pet Data'!$EO$27</definedName>
    <definedName name="ShelldragonManuals">'Pet Data'!$EQ$27</definedName>
    <definedName name="ShelldragonPoints">'Pet Data'!$EW$27</definedName>
    <definedName name="ShelldragonPotions">'Pet Data'!$ES$27</definedName>
    <definedName name="ShelldragonSerum">'Pet Data'!$EU$27</definedName>
    <definedName name="ShelterCurrent">Construction!$P$38</definedName>
    <definedName name="ShelterDays">Shelter!$Q$19</definedName>
    <definedName name="ShelterDesired">Construction!$P$40</definedName>
    <definedName name="ShelterHours">Shelter!$Q$20</definedName>
    <definedName name="ShelterMinutes">Shelter!$Q$21</definedName>
    <definedName name="ShelterSeconds">Shelter!$Q$22</definedName>
    <definedName name="ShelterSecs">Shelter!$Q$17</definedName>
    <definedName name="SpeedupsAfterTroops">Lists!$A$93</definedName>
    <definedName name="SpiritOfAeetesCurrent" localSheetId="37">'Dawn Academy Alternate Layout'!$S$81</definedName>
    <definedName name="SpiritOfAeetesCurrent">'Dawn Academy'!$AA$57</definedName>
    <definedName name="SpiritOfAeetesDesired" localSheetId="37">'Dawn Academy Alternate Layout'!$S$83</definedName>
    <definedName name="SpiritOfAeetesDesired">'Dawn Academy'!$AA$59</definedName>
    <definedName name="SupremePresident">Construction!$F$6</definedName>
    <definedName name="SVSDTBASecs">Lists!#REF!</definedName>
    <definedName name="SVSReducedSecs">Lists!#REF!</definedName>
    <definedName name="TapirCurrent">Pets!$D$9</definedName>
    <definedName name="TapirDesired">Pets!$E$9</definedName>
    <definedName name="TapirFood">'Pet Data'!$AI$27</definedName>
    <definedName name="TapirManuals">'Pet Data'!$AK$27</definedName>
    <definedName name="TapirPoints">'Pet Data'!$AQ$27</definedName>
    <definedName name="TapirPotions">'Pet Data'!$AM$27</definedName>
    <definedName name="TapirSerums">'Pet Data'!$AO$27</definedName>
    <definedName name="TigerCurrent">Pets!$D$16</definedName>
    <definedName name="TigerDesired">Pets!$E$16</definedName>
    <definedName name="TigerFood">'Pet Data'!$DA$27</definedName>
    <definedName name="TigerManuals">'Pet Data'!$DC$27</definedName>
    <definedName name="TigerPoints">'Pet Data'!$DI$27</definedName>
    <definedName name="TigerPotions">'Pet Data'!$DE$27</definedName>
    <definedName name="TigerSerum">'Pet Data'!$DG$27</definedName>
    <definedName name="TotalDays">Lists!$A$30</definedName>
    <definedName name="TotalHours">Lists!$A$31</definedName>
    <definedName name="TotalMinutes">Lists!$A$32</definedName>
    <definedName name="TotalSeconds">Lists!$A$33</definedName>
    <definedName name="TotalSecs">Lists!$A$29</definedName>
    <definedName name="TrainingCapacity">Lists!$A$117</definedName>
    <definedName name="TrainingCapacityBuff">'Troop Calculator'!$E$6</definedName>
    <definedName name="TrainingSpeed">Lists!$A$114</definedName>
    <definedName name="TrainQuantity">'Troop Calculator'!$D$23</definedName>
    <definedName name="TroopSpeedups">'Troop Calculator'!$B$29</definedName>
    <definedName name="TroopSpeedupSecs">Lists!$A$107</definedName>
    <definedName name="UpgradeTier">'Troop Calculator'!$E$10</definedName>
    <definedName name="UrsasBaneCurrent" localSheetId="37">'Dawn Academy Alternate Layout'!$R$17</definedName>
    <definedName name="UrsasBaneCurrent">'Dawn Academy'!$AE$24</definedName>
    <definedName name="UrsasBaneDesired" localSheetId="37">'Dawn Academy Alternate Layout'!$R$19</definedName>
    <definedName name="UrsasBaneDesired">'Dawn Academy'!$AE$26</definedName>
    <definedName name="VicePresident">Construction!$F$8</definedName>
    <definedName name="VicePresidentTroops">'Troop Calculator'!$E$9</definedName>
    <definedName name="VP">Construction!$F$8</definedName>
    <definedName name="WarAcademyCurrent">Construction!$Q$21</definedName>
    <definedName name="WarAcademyDays">'War Academy'!$V$55</definedName>
    <definedName name="WarAcademyDesired">Construction!$Q$23</definedName>
    <definedName name="WarAcademyHours">'War Academy'!$V$56</definedName>
    <definedName name="WarAcademyMinutes">'War Academy'!$V$57</definedName>
    <definedName name="WarAcademySeconds">'War Academy'!$V$58</definedName>
    <definedName name="WarAcademySecs">'War Academy'!$V$53</definedName>
    <definedName name="WatchCurrentLevel">'Chief Gear &amp; Charms'!$O$12</definedName>
    <definedName name="WatchDesiredLevel">'Chief Gear &amp; Charms'!$Q$12</definedName>
    <definedName name="WatchLeftCurrentLevel">'Chief Gear &amp; Charms'!$O$16</definedName>
    <definedName name="WatchLeftDesiredLevel">'Chief Gear &amp; Charms'!$O$18</definedName>
    <definedName name="WatchRightCurrentLevel">'Chief Gear &amp; Charms'!$Q$16</definedName>
    <definedName name="WatchRightDesiredLevel">'Chief Gear &amp; Charms'!$Q$18</definedName>
    <definedName name="WatchTopCurrentLevel">'Chief Gear &amp; Charms'!$P$16</definedName>
    <definedName name="WatchTopDesiredLevel">'Chief Gear &amp; Charms'!$P$18</definedName>
    <definedName name="WeaponMasterCurrent" localSheetId="37">'Dawn Academy Alternate Layout'!$N$17</definedName>
    <definedName name="WeaponMasterCurrent">'Dawn Academy'!$AA$24</definedName>
    <definedName name="WeaponMasterDesired" localSheetId="37">'Dawn Academy Alternate Layout'!$N$19</definedName>
    <definedName name="WeaponMasterDesired">'Dawn Academy'!$AA$26</definedName>
    <definedName name="WolfCurrent">Pets!$D$7</definedName>
    <definedName name="WolfDesired">Pets!$E$7</definedName>
    <definedName name="WolfFood">'Pet Data'!$O$27</definedName>
    <definedName name="WolfManuals">'Pet Data'!$Q$27</definedName>
    <definedName name="WolfPoints">'Pet Data'!$W$27</definedName>
    <definedName name="WolfPotions">'Pet Data'!$S$27</definedName>
    <definedName name="WolfSerums">'Pet Data'!$U$27</definedName>
    <definedName name="Zinman">Construction!$F$10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1" i="46" l="1"/>
  <c r="P64" i="46"/>
  <c r="M54" i="34"/>
  <c r="F115" i="45"/>
  <c r="F116" i="45" s="1"/>
  <c r="G115" i="45"/>
  <c r="G116" i="45" s="1"/>
  <c r="H115" i="45"/>
  <c r="H116" i="45" s="1"/>
  <c r="I115" i="45"/>
  <c r="I116" i="45" s="1"/>
  <c r="L124" i="45" a="1"/>
  <c r="G119" i="45" a="1"/>
  <c r="L119" i="45" a="1"/>
  <c r="F119" i="45" a="1"/>
  <c r="J119" i="45" a="1"/>
  <c r="K119" i="45" a="1"/>
  <c r="H119" i="45" a="1"/>
  <c r="I119" i="45" a="1"/>
  <c r="H119" i="45" l="1"/>
  <c r="I119" i="45"/>
  <c r="J119" i="45"/>
  <c r="L119" i="45"/>
  <c r="G119" i="45"/>
  <c r="K119" i="45"/>
  <c r="F119" i="45"/>
  <c r="L124" i="45"/>
  <c r="J91" i="45"/>
  <c r="J92" i="45" s="1"/>
  <c r="J93" i="45" s="1"/>
  <c r="J87" i="45"/>
  <c r="J88" i="45" s="1"/>
  <c r="J89" i="45" s="1"/>
  <c r="J83" i="45"/>
  <c r="J84" i="45" s="1"/>
  <c r="J85" i="45" s="1"/>
  <c r="J79" i="45"/>
  <c r="J80" i="45" s="1"/>
  <c r="J81" i="45" s="1"/>
  <c r="J75" i="45"/>
  <c r="J76" i="45" s="1"/>
  <c r="J77" i="45" s="1"/>
  <c r="J71" i="45"/>
  <c r="J72" i="45" s="1"/>
  <c r="J73" i="45" s="1"/>
  <c r="J67" i="45"/>
  <c r="J68" i="45" s="1"/>
  <c r="J69" i="45" s="1"/>
  <c r="J63" i="45"/>
  <c r="J64" i="45" s="1"/>
  <c r="J65" i="45" s="1"/>
  <c r="J59" i="45"/>
  <c r="J60" i="45" s="1"/>
  <c r="J61" i="45" s="1"/>
  <c r="J55" i="45"/>
  <c r="J56" i="45" s="1"/>
  <c r="J57" i="45" s="1"/>
  <c r="J51" i="45"/>
  <c r="J52" i="45" s="1"/>
  <c r="J53" i="45" s="1"/>
  <c r="J47" i="45"/>
  <c r="J48" i="45" s="1"/>
  <c r="J49" i="45" s="1"/>
  <c r="J43" i="45"/>
  <c r="J44" i="45" s="1"/>
  <c r="J45" i="45" s="1"/>
  <c r="J39" i="45"/>
  <c r="J40" i="45" s="1"/>
  <c r="J41" i="45" s="1"/>
  <c r="J35" i="45"/>
  <c r="J36" i="45" s="1"/>
  <c r="J37" i="45" s="1"/>
  <c r="J32" i="45"/>
  <c r="J33" i="45" s="1"/>
  <c r="D118" i="53"/>
  <c r="D118" i="52"/>
  <c r="L70" i="46"/>
  <c r="L71" i="46" s="1"/>
  <c r="I20" i="32"/>
  <c r="I19" i="32"/>
  <c r="I18" i="32"/>
  <c r="I17" i="32"/>
  <c r="I16" i="32"/>
  <c r="I15" i="32"/>
  <c r="I14" i="32"/>
  <c r="I9" i="32"/>
  <c r="I8" i="32"/>
  <c r="I7" i="32"/>
  <c r="I6" i="32"/>
  <c r="AG83" i="46" a="1"/>
  <c r="AG83" i="46" s="1"/>
  <c r="AC83" i="46" a="1"/>
  <c r="AC83" i="46" s="1"/>
  <c r="Y83" i="46" a="1"/>
  <c r="Y83" i="46" s="1"/>
  <c r="U83" i="46" a="1"/>
  <c r="U83" i="46" s="1"/>
  <c r="AE85" i="46"/>
  <c r="AA85" i="46"/>
  <c r="W85" i="46"/>
  <c r="S85" i="46"/>
  <c r="AG81" i="46" a="1"/>
  <c r="AG81" i="46" s="1"/>
  <c r="AG79" i="46" a="1"/>
  <c r="AG79" i="46" s="1"/>
  <c r="AC81" i="46" a="1"/>
  <c r="AC81" i="46" s="1"/>
  <c r="AC79" i="46" a="1"/>
  <c r="AC79" i="46" s="1"/>
  <c r="Y81" i="46" a="1"/>
  <c r="Y81" i="46" s="1"/>
  <c r="Y79" i="46" a="1"/>
  <c r="Y79" i="46" s="1"/>
  <c r="U81" i="46" a="1"/>
  <c r="U81" i="46" s="1"/>
  <c r="U79" i="46" a="1"/>
  <c r="U79" i="46" s="1"/>
  <c r="AE74" i="46"/>
  <c r="AA74" i="46"/>
  <c r="W74" i="46"/>
  <c r="AG72" i="46" a="1"/>
  <c r="AG72" i="46" s="1"/>
  <c r="AC72" i="46" a="1"/>
  <c r="AC72" i="46" s="1"/>
  <c r="Y72" i="46" a="1"/>
  <c r="Y72" i="46" s="1"/>
  <c r="AG70" i="46" a="1"/>
  <c r="AG70" i="46" s="1"/>
  <c r="AC70" i="46" a="1"/>
  <c r="AC70" i="46" s="1"/>
  <c r="Y70" i="46" a="1"/>
  <c r="Y70" i="46" s="1"/>
  <c r="AG68" i="46" a="1"/>
  <c r="AG68" i="46" s="1"/>
  <c r="AC68" i="46" a="1"/>
  <c r="AC68" i="46" s="1"/>
  <c r="Y68" i="46" a="1"/>
  <c r="Y68" i="46" s="1"/>
  <c r="S74" i="46"/>
  <c r="U72" i="46" a="1"/>
  <c r="U72" i="46" s="1"/>
  <c r="U70" i="46" a="1"/>
  <c r="U70" i="46" s="1"/>
  <c r="U68" i="46" a="1"/>
  <c r="U68" i="46" s="1"/>
  <c r="P70" i="46"/>
  <c r="O70" i="46"/>
  <c r="P63" i="46"/>
  <c r="O63" i="46"/>
  <c r="P56" i="46"/>
  <c r="O56" i="46"/>
  <c r="P49" i="46"/>
  <c r="O49" i="46"/>
  <c r="P42" i="46"/>
  <c r="O42" i="46"/>
  <c r="P35" i="46"/>
  <c r="O35" i="46"/>
  <c r="AE63" i="46"/>
  <c r="AA63" i="46"/>
  <c r="W63" i="46"/>
  <c r="S63" i="46"/>
  <c r="AG61" i="46" a="1"/>
  <c r="AG61" i="46" s="1"/>
  <c r="AG59" i="46" a="1"/>
  <c r="AG59" i="46" s="1"/>
  <c r="AG57" i="46" a="1"/>
  <c r="AG57" i="46" s="1"/>
  <c r="AC61" i="46" a="1"/>
  <c r="AC61" i="46" s="1"/>
  <c r="AC59" i="46" a="1"/>
  <c r="AC59" i="46" s="1"/>
  <c r="AC57" i="46" a="1"/>
  <c r="AC57" i="46" s="1"/>
  <c r="Y61" i="46" a="1"/>
  <c r="Y61" i="46" s="1"/>
  <c r="Y59" i="46" a="1"/>
  <c r="Y59" i="46" s="1"/>
  <c r="Y57" i="46" a="1"/>
  <c r="Y57" i="46" s="1"/>
  <c r="U61" i="46" a="1"/>
  <c r="U61" i="46" s="1"/>
  <c r="U59" i="46" a="1"/>
  <c r="U59" i="46" s="1"/>
  <c r="U57" i="46" a="1"/>
  <c r="U57" i="46" s="1"/>
  <c r="AE52" i="46"/>
  <c r="AA52" i="46"/>
  <c r="W52" i="46"/>
  <c r="S52" i="46"/>
  <c r="AG50" i="46" a="1"/>
  <c r="AG50" i="46" s="1"/>
  <c r="AG48" i="46" a="1"/>
  <c r="AG48" i="46" s="1"/>
  <c r="AG46" i="46" a="1"/>
  <c r="AG46" i="46" s="1"/>
  <c r="AC50" i="46" a="1"/>
  <c r="AC50" i="46" s="1"/>
  <c r="AC48" i="46" a="1"/>
  <c r="AC48" i="46" s="1"/>
  <c r="AC46" i="46" a="1"/>
  <c r="AC46" i="46" s="1"/>
  <c r="Y50" i="46" a="1"/>
  <c r="Y50" i="46" s="1"/>
  <c r="Y48" i="46" a="1"/>
  <c r="Y48" i="46" s="1"/>
  <c r="Y46" i="46" a="1"/>
  <c r="Y46" i="46" s="1"/>
  <c r="U50" i="46" a="1"/>
  <c r="U50" i="46" s="1"/>
  <c r="U48" i="46" a="1"/>
  <c r="U48" i="46" s="1"/>
  <c r="U46" i="46" a="1"/>
  <c r="U46" i="46" s="1"/>
  <c r="AE41" i="46"/>
  <c r="AA41" i="46"/>
  <c r="W41" i="46"/>
  <c r="S41" i="46"/>
  <c r="AG39" i="46" a="1"/>
  <c r="AG39" i="46" s="1"/>
  <c r="AG37" i="46" a="1"/>
  <c r="AG37" i="46" s="1"/>
  <c r="AG35" i="46" a="1"/>
  <c r="AG35" i="46" s="1"/>
  <c r="AC39" i="46" a="1"/>
  <c r="AC39" i="46" s="1"/>
  <c r="AC37" i="46" a="1"/>
  <c r="AC37" i="46" s="1"/>
  <c r="AC35" i="46" a="1"/>
  <c r="AC35" i="46" s="1"/>
  <c r="Y39" i="46" a="1"/>
  <c r="Y39" i="46" s="1"/>
  <c r="Y37" i="46" a="1"/>
  <c r="Y37" i="46" s="1"/>
  <c r="Y35" i="46" a="1"/>
  <c r="Y35" i="46" s="1"/>
  <c r="U39" i="46" a="1"/>
  <c r="U39" i="46" s="1"/>
  <c r="U37" i="46" a="1"/>
  <c r="U37" i="46" s="1"/>
  <c r="U35" i="46" a="1"/>
  <c r="U35" i="46" s="1"/>
  <c r="AE30" i="46"/>
  <c r="AA30" i="46"/>
  <c r="W30" i="46"/>
  <c r="S30" i="46"/>
  <c r="Y28" i="46" a="1"/>
  <c r="Y28" i="46" s="1"/>
  <c r="AG28" i="46" a="1"/>
  <c r="AG28" i="46" s="1"/>
  <c r="AG26" i="46" a="1"/>
  <c r="AG26" i="46" s="1"/>
  <c r="AG24" i="46" a="1"/>
  <c r="AG24" i="46" s="1"/>
  <c r="AC28" i="46" a="1"/>
  <c r="AC28" i="46" s="1"/>
  <c r="AC26" i="46" a="1"/>
  <c r="AC26" i="46" s="1"/>
  <c r="AC24" i="46" a="1"/>
  <c r="AC24" i="46" s="1"/>
  <c r="Y26" i="46" a="1"/>
  <c r="Y26" i="46" s="1"/>
  <c r="Y24" i="46" a="1"/>
  <c r="Y24" i="46" s="1"/>
  <c r="U28" i="46" a="1"/>
  <c r="U28" i="46" s="1"/>
  <c r="U26" i="46" a="1"/>
  <c r="U26" i="46" s="1"/>
  <c r="U24" i="46" a="1"/>
  <c r="U24" i="46" s="1"/>
  <c r="M64" i="46"/>
  <c r="M71" i="46"/>
  <c r="F64" i="46" a="1"/>
  <c r="F64" i="46" s="1"/>
  <c r="H64" i="46" a="1"/>
  <c r="H64" i="46" s="1"/>
  <c r="H66" i="46" a="1"/>
  <c r="H66" i="46" s="1"/>
  <c r="F66" i="46" a="1"/>
  <c r="F66" i="46" s="1"/>
  <c r="D66" i="46"/>
  <c r="D73" i="46"/>
  <c r="H73" i="46" a="1"/>
  <c r="H73" i="46" s="1"/>
  <c r="H71" i="46" a="1"/>
  <c r="H71" i="46" s="1"/>
  <c r="F73" i="46" a="1"/>
  <c r="F73" i="46" s="1"/>
  <c r="F71" i="46" a="1"/>
  <c r="F71" i="46" s="1"/>
  <c r="M70" i="46"/>
  <c r="H59" i="46" a="1"/>
  <c r="H59" i="46" s="1"/>
  <c r="F59" i="46" a="1"/>
  <c r="F59" i="46" s="1"/>
  <c r="D59" i="46"/>
  <c r="H57" i="46" a="1"/>
  <c r="H57" i="46" s="1"/>
  <c r="F57" i="46" a="1"/>
  <c r="F57" i="46" s="1"/>
  <c r="M56" i="46"/>
  <c r="L56" i="46"/>
  <c r="L57" i="46" s="1"/>
  <c r="M63" i="46"/>
  <c r="L63" i="46"/>
  <c r="L64" i="46" s="1"/>
  <c r="H50" i="46" a="1"/>
  <c r="H50" i="46" s="1"/>
  <c r="H43" i="46" a="1"/>
  <c r="H43" i="46" s="1"/>
  <c r="H36" i="46" a="1"/>
  <c r="H36" i="46" s="1"/>
  <c r="M49" i="46"/>
  <c r="L49" i="46"/>
  <c r="L50" i="46" s="1"/>
  <c r="M42" i="46"/>
  <c r="L42" i="46"/>
  <c r="L43" i="46" s="1"/>
  <c r="M35" i="46"/>
  <c r="D118" i="48"/>
  <c r="L35" i="46"/>
  <c r="L36" i="46" s="1"/>
  <c r="H52" i="46" a="1"/>
  <c r="H52" i="46" s="1"/>
  <c r="F52" i="46" a="1"/>
  <c r="F52" i="46" s="1"/>
  <c r="F50" i="46" a="1"/>
  <c r="F50" i="46" s="1"/>
  <c r="D52" i="46"/>
  <c r="D45" i="46"/>
  <c r="H45" i="46" a="1"/>
  <c r="H45" i="46" s="1"/>
  <c r="F45" i="46" a="1"/>
  <c r="F45" i="46" s="1"/>
  <c r="F43" i="46" a="1"/>
  <c r="F43" i="46" s="1"/>
  <c r="D38" i="46"/>
  <c r="H38" i="46" a="1"/>
  <c r="H38" i="46" s="1"/>
  <c r="F38" i="46" a="1"/>
  <c r="F38" i="46" s="1"/>
  <c r="F36" i="46" a="1"/>
  <c r="F36" i="46" s="1"/>
  <c r="I18" i="52"/>
  <c r="Y27" i="53"/>
  <c r="X27" i="53"/>
  <c r="U27" i="53"/>
  <c r="T27" i="53"/>
  <c r="Q27" i="53"/>
  <c r="P27" i="53"/>
  <c r="M27" i="53"/>
  <c r="L27" i="53"/>
  <c r="AB17" i="52"/>
  <c r="AA17" i="52"/>
  <c r="W17" i="52"/>
  <c r="V17" i="52"/>
  <c r="R17" i="52"/>
  <c r="Q17" i="52"/>
  <c r="M17" i="52"/>
  <c r="L17" i="52"/>
  <c r="Z17" i="50"/>
  <c r="Y17" i="50"/>
  <c r="U17" i="50"/>
  <c r="T17" i="50"/>
  <c r="Q17" i="50"/>
  <c r="P17" i="50"/>
  <c r="M17" i="50"/>
  <c r="L17" i="50"/>
  <c r="AB8" i="50"/>
  <c r="AB9" i="50" s="1"/>
  <c r="AB10" i="50" s="1"/>
  <c r="AB11" i="50" s="1"/>
  <c r="AB12" i="50" s="1"/>
  <c r="AB13" i="50" s="1"/>
  <c r="AB14" i="50" s="1"/>
  <c r="AB15" i="50" s="1"/>
  <c r="AB16" i="50" s="1"/>
  <c r="X8" i="50"/>
  <c r="X9" i="50" s="1"/>
  <c r="X10" i="50" s="1"/>
  <c r="X11" i="50" s="1"/>
  <c r="X12" i="50" s="1"/>
  <c r="X13" i="50" s="1"/>
  <c r="X14" i="50" s="1"/>
  <c r="X15" i="50" s="1"/>
  <c r="X16" i="50" s="1"/>
  <c r="S8" i="50"/>
  <c r="S9" i="50" s="1"/>
  <c r="S10" i="50" s="1"/>
  <c r="S11" i="50" s="1"/>
  <c r="S12" i="50" s="1"/>
  <c r="S13" i="50" s="1"/>
  <c r="S14" i="50" s="1"/>
  <c r="S15" i="50" s="1"/>
  <c r="S16" i="50" s="1"/>
  <c r="O8" i="50"/>
  <c r="O9" i="50" s="1"/>
  <c r="O10" i="50" s="1"/>
  <c r="O11" i="50" s="1"/>
  <c r="O12" i="50" s="1"/>
  <c r="O13" i="50" s="1"/>
  <c r="O14" i="50" s="1"/>
  <c r="O15" i="50" s="1"/>
  <c r="O16" i="50" s="1"/>
  <c r="Y27" i="51"/>
  <c r="X27" i="51"/>
  <c r="U27" i="51"/>
  <c r="T27" i="51"/>
  <c r="Q27" i="51"/>
  <c r="P27" i="51"/>
  <c r="L27" i="51"/>
  <c r="K27" i="51"/>
  <c r="AA8" i="51"/>
  <c r="AA9" i="51" s="1"/>
  <c r="AA10" i="51" s="1"/>
  <c r="AA11" i="51" s="1"/>
  <c r="AA12" i="51" s="1"/>
  <c r="AA13" i="51" s="1"/>
  <c r="AA14" i="51" s="1"/>
  <c r="AA15" i="51" s="1"/>
  <c r="AA16" i="51" s="1"/>
  <c r="AA17" i="51" s="1"/>
  <c r="AA18" i="51" s="1"/>
  <c r="AA19" i="51" s="1"/>
  <c r="AA20" i="51" s="1"/>
  <c r="AA21" i="51" s="1"/>
  <c r="AA22" i="51" s="1"/>
  <c r="AA23" i="51" s="1"/>
  <c r="AA24" i="51" s="1"/>
  <c r="AA25" i="51" s="1"/>
  <c r="AA26" i="51" s="1"/>
  <c r="W8" i="51"/>
  <c r="W9" i="51" s="1"/>
  <c r="W10" i="51" s="1"/>
  <c r="W11" i="51" s="1"/>
  <c r="W12" i="51" s="1"/>
  <c r="W13" i="51" s="1"/>
  <c r="W14" i="51" s="1"/>
  <c r="W15" i="51" s="1"/>
  <c r="W16" i="51" s="1"/>
  <c r="W17" i="51" s="1"/>
  <c r="W18" i="51" s="1"/>
  <c r="W19" i="51" s="1"/>
  <c r="W20" i="51" s="1"/>
  <c r="W21" i="51" s="1"/>
  <c r="W22" i="51" s="1"/>
  <c r="W23" i="51" s="1"/>
  <c r="W24" i="51" s="1"/>
  <c r="W25" i="51" s="1"/>
  <c r="W26" i="51" s="1"/>
  <c r="S8" i="51"/>
  <c r="S9" i="51" s="1"/>
  <c r="S10" i="51" s="1"/>
  <c r="S11" i="51" s="1"/>
  <c r="S12" i="51" s="1"/>
  <c r="S13" i="51" s="1"/>
  <c r="S14" i="51" s="1"/>
  <c r="S15" i="51" s="1"/>
  <c r="S16" i="51" s="1"/>
  <c r="S17" i="51" s="1"/>
  <c r="S18" i="51" s="1"/>
  <c r="S19" i="51" s="1"/>
  <c r="S20" i="51" s="1"/>
  <c r="S21" i="51" s="1"/>
  <c r="S22" i="51" s="1"/>
  <c r="S23" i="51" s="1"/>
  <c r="S24" i="51" s="1"/>
  <c r="S25" i="51" s="1"/>
  <c r="S26" i="51" s="1"/>
  <c r="O8" i="51"/>
  <c r="O9" i="51" s="1"/>
  <c r="O10" i="51" s="1"/>
  <c r="O11" i="51" s="1"/>
  <c r="O12" i="51" s="1"/>
  <c r="O13" i="51" s="1"/>
  <c r="O14" i="51" s="1"/>
  <c r="O15" i="51" s="1"/>
  <c r="O16" i="51" s="1"/>
  <c r="Y17" i="49"/>
  <c r="X17" i="49"/>
  <c r="U17" i="49"/>
  <c r="T17" i="49"/>
  <c r="Q17" i="49"/>
  <c r="P17" i="49"/>
  <c r="M17" i="49"/>
  <c r="L17" i="49"/>
  <c r="AB8" i="49"/>
  <c r="AB9" i="49" s="1"/>
  <c r="AB10" i="49" s="1"/>
  <c r="AB11" i="49" s="1"/>
  <c r="AB12" i="49" s="1"/>
  <c r="AB13" i="49" s="1"/>
  <c r="AB14" i="49" s="1"/>
  <c r="AB15" i="49" s="1"/>
  <c r="AB16" i="49" s="1"/>
  <c r="W8" i="49"/>
  <c r="W9" i="49" s="1"/>
  <c r="W10" i="49" s="1"/>
  <c r="W11" i="49" s="1"/>
  <c r="S8" i="49"/>
  <c r="S9" i="49" s="1"/>
  <c r="S10" i="49" s="1"/>
  <c r="S11" i="49" s="1"/>
  <c r="O8" i="49"/>
  <c r="O9" i="49" s="1"/>
  <c r="O10" i="49" s="1"/>
  <c r="O11" i="49" s="1"/>
  <c r="X17" i="48"/>
  <c r="W17" i="48"/>
  <c r="T17" i="48"/>
  <c r="S17" i="48"/>
  <c r="P17" i="48"/>
  <c r="O17" i="48"/>
  <c r="L17" i="48"/>
  <c r="K17" i="48"/>
  <c r="Z8" i="48"/>
  <c r="Z9" i="48" s="1"/>
  <c r="Z10" i="48" s="1"/>
  <c r="Z11" i="48" s="1"/>
  <c r="Z12" i="48" s="1"/>
  <c r="Z13" i="48" s="1"/>
  <c r="Z14" i="48" s="1"/>
  <c r="Z15" i="48" s="1"/>
  <c r="Z16" i="48" s="1"/>
  <c r="V8" i="48"/>
  <c r="V9" i="48" s="1"/>
  <c r="V10" i="48" s="1"/>
  <c r="V11" i="48" s="1"/>
  <c r="R8" i="48"/>
  <c r="R9" i="48" s="1"/>
  <c r="R10" i="48" s="1"/>
  <c r="R11" i="48" s="1"/>
  <c r="N8" i="48"/>
  <c r="N9" i="48" s="1"/>
  <c r="N10" i="48" s="1"/>
  <c r="N11" i="48" s="1"/>
  <c r="N12" i="48" s="1"/>
  <c r="N13" i="48" s="1"/>
  <c r="N14" i="48" s="1"/>
  <c r="N15" i="48" s="1"/>
  <c r="N16" i="48" s="1"/>
  <c r="L120" i="45" a="1"/>
  <c r="L121" i="45" a="1"/>
  <c r="L122" i="45" a="1"/>
  <c r="L123" i="45" a="1"/>
  <c r="L123" i="45" l="1"/>
  <c r="L120" i="45"/>
  <c r="L122" i="45"/>
  <c r="L121" i="45"/>
  <c r="K25" i="46"/>
  <c r="P72" i="46"/>
  <c r="M72" i="46"/>
  <c r="M65" i="46"/>
  <c r="P65" i="46"/>
  <c r="L125" i="45" l="1"/>
  <c r="P57" i="46"/>
  <c r="P50" i="46"/>
  <c r="P43" i="46"/>
  <c r="P36" i="46"/>
  <c r="B15" i="47"/>
  <c r="D19" i="47"/>
  <c r="L18" i="46"/>
  <c r="K13" i="46"/>
  <c r="K26" i="46" s="1"/>
  <c r="AH132" i="47"/>
  <c r="AG132" i="47"/>
  <c r="AF132" i="47"/>
  <c r="AE132" i="47"/>
  <c r="AD132" i="47"/>
  <c r="AC132" i="47"/>
  <c r="AB132" i="47"/>
  <c r="AA132" i="47"/>
  <c r="Y122" i="47"/>
  <c r="X122" i="47"/>
  <c r="W122" i="47"/>
  <c r="V122" i="47"/>
  <c r="U122" i="47"/>
  <c r="T122" i="47"/>
  <c r="S122" i="47"/>
  <c r="R122" i="47"/>
  <c r="AH105" i="47"/>
  <c r="AG105" i="47"/>
  <c r="AF105" i="47"/>
  <c r="AE105" i="47"/>
  <c r="AD105" i="47"/>
  <c r="AC105" i="47"/>
  <c r="AB105" i="47"/>
  <c r="AA105" i="47"/>
  <c r="Y105" i="47"/>
  <c r="X105" i="47"/>
  <c r="W105" i="47"/>
  <c r="V105" i="47"/>
  <c r="U105" i="47"/>
  <c r="T105" i="47"/>
  <c r="S105" i="47"/>
  <c r="R105" i="47"/>
  <c r="AE87" i="47"/>
  <c r="U87" i="47"/>
  <c r="S87" i="47"/>
  <c r="Q87" i="47"/>
  <c r="O87" i="47"/>
  <c r="D87" i="47"/>
  <c r="AE86" i="47"/>
  <c r="AD86" i="47"/>
  <c r="AC86" i="47"/>
  <c r="AB86" i="47"/>
  <c r="AA86" i="47"/>
  <c r="AE85" i="47"/>
  <c r="AD85" i="47"/>
  <c r="AC85" i="47"/>
  <c r="AB85" i="47"/>
  <c r="AA85" i="47"/>
  <c r="L85" i="47"/>
  <c r="I85" i="47"/>
  <c r="L84" i="47"/>
  <c r="K84" i="47"/>
  <c r="I84" i="47"/>
  <c r="I86" i="47" s="1"/>
  <c r="H84" i="47"/>
  <c r="H85" i="47" s="1"/>
  <c r="AE82" i="47"/>
  <c r="AD82" i="47"/>
  <c r="AC82" i="47"/>
  <c r="AB82" i="47"/>
  <c r="AA82" i="47"/>
  <c r="AE81" i="47"/>
  <c r="AD81" i="47"/>
  <c r="AC81" i="47"/>
  <c r="AB81" i="47"/>
  <c r="AA81" i="47"/>
  <c r="D80" i="47"/>
  <c r="U79" i="47"/>
  <c r="S79" i="47"/>
  <c r="Q79" i="47"/>
  <c r="O79" i="47"/>
  <c r="AE78" i="47"/>
  <c r="AD78" i="47"/>
  <c r="AC78" i="47"/>
  <c r="AB78" i="47"/>
  <c r="AA78" i="47"/>
  <c r="L78" i="47"/>
  <c r="I78" i="47"/>
  <c r="AE77" i="47"/>
  <c r="W9" i="47" s="1"/>
  <c r="AD77" i="47"/>
  <c r="AC77" i="47"/>
  <c r="AB77" i="47"/>
  <c r="AA77" i="47"/>
  <c r="L77" i="47"/>
  <c r="K77" i="47"/>
  <c r="I77" i="47"/>
  <c r="H77" i="47"/>
  <c r="H78" i="47" s="1"/>
  <c r="U76" i="47"/>
  <c r="S76" i="47"/>
  <c r="Q76" i="47"/>
  <c r="O76" i="47"/>
  <c r="B74" i="47"/>
  <c r="D73" i="47"/>
  <c r="Z72" i="47"/>
  <c r="L71" i="47"/>
  <c r="I71" i="47"/>
  <c r="Z70" i="47"/>
  <c r="L70" i="47"/>
  <c r="L72" i="47" s="1"/>
  <c r="K70" i="47"/>
  <c r="I70" i="47"/>
  <c r="I72" i="47" s="1"/>
  <c r="H70" i="47"/>
  <c r="H71" i="47" s="1"/>
  <c r="Z68" i="47"/>
  <c r="U68" i="47"/>
  <c r="S68" i="47"/>
  <c r="Q68" i="47"/>
  <c r="O68" i="47"/>
  <c r="D66" i="47"/>
  <c r="U65" i="47"/>
  <c r="S65" i="47"/>
  <c r="Q65" i="47"/>
  <c r="O65" i="47"/>
  <c r="L64" i="47"/>
  <c r="I64" i="47"/>
  <c r="L63" i="47"/>
  <c r="L65" i="47" s="1"/>
  <c r="K63" i="47"/>
  <c r="I63" i="47"/>
  <c r="I65" i="47" s="1"/>
  <c r="H63" i="47"/>
  <c r="H64" i="47" s="1"/>
  <c r="Z61" i="47"/>
  <c r="Z59" i="47"/>
  <c r="Z57" i="47"/>
  <c r="U57" i="47"/>
  <c r="S57" i="47"/>
  <c r="Q57" i="47"/>
  <c r="O57" i="47"/>
  <c r="AB9" i="47"/>
  <c r="AC9" i="47" s="1"/>
  <c r="X9" i="47"/>
  <c r="AA8" i="47"/>
  <c r="X8" i="47"/>
  <c r="U54" i="47"/>
  <c r="S54" i="47"/>
  <c r="Q54" i="47"/>
  <c r="O54" i="47"/>
  <c r="U46" i="47"/>
  <c r="S46" i="47"/>
  <c r="Q46" i="47"/>
  <c r="O46" i="47"/>
  <c r="D43" i="47"/>
  <c r="AA41" i="47"/>
  <c r="X41" i="47"/>
  <c r="AA40" i="47"/>
  <c r="Z40" i="47"/>
  <c r="X40" i="47"/>
  <c r="W40" i="47"/>
  <c r="W41" i="47" s="1"/>
  <c r="B39" i="47"/>
  <c r="D35" i="47"/>
  <c r="AA33" i="47"/>
  <c r="X33" i="47"/>
  <c r="AA32" i="47"/>
  <c r="Z32" i="47"/>
  <c r="X32" i="47"/>
  <c r="W32" i="47"/>
  <c r="W33" i="47" s="1"/>
  <c r="B31" i="47"/>
  <c r="D27" i="47"/>
  <c r="AA25" i="47"/>
  <c r="X25" i="47"/>
  <c r="AA24" i="47"/>
  <c r="AA26" i="47" s="1"/>
  <c r="Z24" i="47"/>
  <c r="X24" i="47"/>
  <c r="W24" i="47"/>
  <c r="W25" i="47" s="1"/>
  <c r="B23" i="47"/>
  <c r="T19" i="47"/>
  <c r="P19" i="47"/>
  <c r="L19" i="47"/>
  <c r="H19" i="47"/>
  <c r="AA17" i="47"/>
  <c r="X17" i="47"/>
  <c r="AA16" i="47"/>
  <c r="Z16" i="47"/>
  <c r="X16" i="47"/>
  <c r="W16" i="47"/>
  <c r="W17" i="47" s="1"/>
  <c r="S8" i="47"/>
  <c r="K8" i="47"/>
  <c r="V7" i="24"/>
  <c r="V8" i="24"/>
  <c r="V9" i="24"/>
  <c r="V10" i="24"/>
  <c r="V11" i="24"/>
  <c r="V12" i="24"/>
  <c r="V13" i="24"/>
  <c r="V14" i="24"/>
  <c r="V15" i="24"/>
  <c r="V16" i="24"/>
  <c r="V17" i="24"/>
  <c r="V18" i="24"/>
  <c r="V19" i="24"/>
  <c r="V20" i="24"/>
  <c r="V21" i="24"/>
  <c r="V22" i="24"/>
  <c r="V23" i="24"/>
  <c r="V24" i="24"/>
  <c r="V25" i="24"/>
  <c r="V26" i="24"/>
  <c r="V27" i="24"/>
  <c r="V28" i="24"/>
  <c r="V29" i="24"/>
  <c r="V30" i="24"/>
  <c r="V31" i="24"/>
  <c r="V32" i="24"/>
  <c r="V33" i="24"/>
  <c r="V34" i="24"/>
  <c r="V35" i="24"/>
  <c r="V36" i="24"/>
  <c r="V37" i="24"/>
  <c r="V38" i="24"/>
  <c r="V39" i="24"/>
  <c r="V40" i="24"/>
  <c r="V41" i="24"/>
  <c r="V42" i="24"/>
  <c r="V43" i="24"/>
  <c r="V44" i="24"/>
  <c r="V45" i="24"/>
  <c r="V46" i="24"/>
  <c r="V47" i="24"/>
  <c r="V48" i="24"/>
  <c r="V49" i="24"/>
  <c r="V50" i="24"/>
  <c r="V51" i="24"/>
  <c r="V6" i="24"/>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6" i="24"/>
  <c r="M7" i="24"/>
  <c r="M8" i="24"/>
  <c r="M9" i="24"/>
  <c r="M10" i="24"/>
  <c r="M11" i="24"/>
  <c r="M12" i="24"/>
  <c r="M13" i="24"/>
  <c r="M14" i="24"/>
  <c r="M15" i="24"/>
  <c r="M16" i="24"/>
  <c r="M17" i="24"/>
  <c r="M18" i="24"/>
  <c r="M19" i="24"/>
  <c r="M20" i="24"/>
  <c r="M21" i="24"/>
  <c r="M22" i="24"/>
  <c r="M23" i="24"/>
  <c r="M24" i="24"/>
  <c r="M25" i="24"/>
  <c r="M26" i="24"/>
  <c r="M27" i="24"/>
  <c r="M28" i="24"/>
  <c r="M29" i="24"/>
  <c r="M30" i="24"/>
  <c r="M31" i="24"/>
  <c r="M32" i="24"/>
  <c r="M33" i="24"/>
  <c r="M34" i="24"/>
  <c r="M35" i="24"/>
  <c r="M36" i="24"/>
  <c r="M37" i="24"/>
  <c r="M38" i="24"/>
  <c r="M39" i="24"/>
  <c r="M40" i="24"/>
  <c r="M41" i="24"/>
  <c r="M42" i="24"/>
  <c r="M43" i="24"/>
  <c r="M44" i="24"/>
  <c r="M45" i="24"/>
  <c r="M46" i="24"/>
  <c r="M47" i="24"/>
  <c r="M48" i="24"/>
  <c r="M49" i="24"/>
  <c r="M50" i="24"/>
  <c r="M51" i="24"/>
  <c r="M6" i="24"/>
  <c r="K7" i="24"/>
  <c r="K8" i="24"/>
  <c r="K9" i="24"/>
  <c r="K10" i="24"/>
  <c r="K11" i="24"/>
  <c r="K12" i="24"/>
  <c r="K13" i="24"/>
  <c r="K14" i="24"/>
  <c r="K15" i="24"/>
  <c r="K16" i="24"/>
  <c r="K17" i="24"/>
  <c r="K18" i="24"/>
  <c r="K19" i="24"/>
  <c r="K20" i="24"/>
  <c r="K21" i="24"/>
  <c r="K22" i="24"/>
  <c r="K23" i="24"/>
  <c r="K24" i="24"/>
  <c r="K25" i="24"/>
  <c r="K26" i="24"/>
  <c r="K27" i="24"/>
  <c r="K28" i="24"/>
  <c r="K29" i="24"/>
  <c r="K30" i="24"/>
  <c r="K31" i="24"/>
  <c r="K32" i="24"/>
  <c r="K33" i="24"/>
  <c r="K34" i="24"/>
  <c r="K35" i="24"/>
  <c r="K36" i="24"/>
  <c r="K37" i="24"/>
  <c r="K38" i="24"/>
  <c r="K39" i="24"/>
  <c r="K40" i="24"/>
  <c r="K41" i="24"/>
  <c r="K42" i="24"/>
  <c r="K43" i="24"/>
  <c r="K44" i="24"/>
  <c r="K45" i="24"/>
  <c r="K46" i="24"/>
  <c r="K47" i="24"/>
  <c r="K48" i="24"/>
  <c r="K49" i="24"/>
  <c r="K50" i="24"/>
  <c r="K51" i="24"/>
  <c r="K6" i="24"/>
  <c r="I7" i="24"/>
  <c r="I8" i="24"/>
  <c r="I9" i="24"/>
  <c r="I10" i="24"/>
  <c r="I11" i="24"/>
  <c r="I12" i="24"/>
  <c r="I13" i="24"/>
  <c r="I14" i="24"/>
  <c r="I15" i="24"/>
  <c r="I16" i="24"/>
  <c r="I17" i="24"/>
  <c r="I18" i="24"/>
  <c r="I19" i="24"/>
  <c r="I20" i="24"/>
  <c r="I21" i="24"/>
  <c r="I22" i="24"/>
  <c r="I23" i="24"/>
  <c r="I24" i="24"/>
  <c r="I25" i="24"/>
  <c r="I26" i="24"/>
  <c r="I27" i="24"/>
  <c r="I28" i="24"/>
  <c r="I29" i="24"/>
  <c r="I30" i="24"/>
  <c r="I31" i="24"/>
  <c r="I32" i="24"/>
  <c r="I33" i="24"/>
  <c r="I34" i="24"/>
  <c r="I35" i="24"/>
  <c r="I36" i="24"/>
  <c r="I37" i="24"/>
  <c r="I38" i="24"/>
  <c r="I39" i="24"/>
  <c r="I40" i="24"/>
  <c r="I41" i="24"/>
  <c r="I42" i="24"/>
  <c r="I43" i="24"/>
  <c r="I44" i="24"/>
  <c r="I45" i="24"/>
  <c r="I46" i="24"/>
  <c r="I47" i="24"/>
  <c r="I48" i="24"/>
  <c r="I49" i="24"/>
  <c r="I50" i="24"/>
  <c r="I51" i="24"/>
  <c r="I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6" i="24"/>
  <c r="E7" i="24"/>
  <c r="E8" i="24"/>
  <c r="E9" i="24"/>
  <c r="E10" i="24"/>
  <c r="E11" i="24"/>
  <c r="E12" i="24"/>
  <c r="E13" i="24"/>
  <c r="E14" i="24"/>
  <c r="E15" i="24"/>
  <c r="E16" i="24"/>
  <c r="E17" i="24"/>
  <c r="E18" i="24"/>
  <c r="E19" i="24"/>
  <c r="E20" i="24"/>
  <c r="E21" i="24"/>
  <c r="E22" i="24"/>
  <c r="E23" i="24"/>
  <c r="E24" i="24"/>
  <c r="E25" i="24"/>
  <c r="E26" i="24"/>
  <c r="E27" i="24"/>
  <c r="E28" i="24"/>
  <c r="E29" i="24"/>
  <c r="E30" i="24"/>
  <c r="E31" i="24"/>
  <c r="E32" i="24"/>
  <c r="E33" i="24"/>
  <c r="E34" i="24"/>
  <c r="E35" i="24"/>
  <c r="E36" i="24"/>
  <c r="E37" i="24"/>
  <c r="E38" i="24"/>
  <c r="E39" i="24"/>
  <c r="E40" i="24"/>
  <c r="E41" i="24"/>
  <c r="E42" i="24"/>
  <c r="E43" i="24"/>
  <c r="E44" i="24"/>
  <c r="E45" i="24"/>
  <c r="E46" i="24"/>
  <c r="E47" i="24"/>
  <c r="E48" i="24"/>
  <c r="E49" i="24"/>
  <c r="E50" i="24"/>
  <c r="E51" i="24"/>
  <c r="E6" i="24"/>
  <c r="AC87" i="47" a="1"/>
  <c r="AD87" i="47" a="1"/>
  <c r="P26" i="46" l="1"/>
  <c r="X18" i="47"/>
  <c r="AA9" i="47"/>
  <c r="L86" i="47"/>
  <c r="X34" i="47"/>
  <c r="AA34" i="47"/>
  <c r="X42" i="47"/>
  <c r="X26" i="47"/>
  <c r="AB8" i="47"/>
  <c r="AC8" i="47" s="1"/>
  <c r="AA7" i="47"/>
  <c r="L79" i="47"/>
  <c r="AA42" i="47"/>
  <c r="AA18" i="47"/>
  <c r="I79" i="47"/>
  <c r="X7" i="47" s="1"/>
  <c r="AD87" i="47"/>
  <c r="AC87" i="47"/>
  <c r="AA11" i="47"/>
  <c r="W8" i="47"/>
  <c r="Z62" i="47"/>
  <c r="W7" i="47"/>
  <c r="Y7" i="47"/>
  <c r="Y11" i="47" s="1"/>
  <c r="AB7" i="47"/>
  <c r="E45" i="31"/>
  <c r="L37" i="43"/>
  <c r="M37" i="43"/>
  <c r="L38" i="43"/>
  <c r="M38" i="43"/>
  <c r="L39" i="43"/>
  <c r="M39" i="43"/>
  <c r="L40" i="43"/>
  <c r="M40" i="43"/>
  <c r="L41" i="43"/>
  <c r="M41" i="43"/>
  <c r="L42" i="43"/>
  <c r="M42" i="43"/>
  <c r="L43" i="43"/>
  <c r="M43" i="43"/>
  <c r="L44" i="43"/>
  <c r="M44" i="43"/>
  <c r="L45" i="43"/>
  <c r="M45" i="43"/>
  <c r="I37" i="43"/>
  <c r="J37" i="43"/>
  <c r="I38" i="43"/>
  <c r="J38" i="43"/>
  <c r="I39" i="43"/>
  <c r="J39" i="43"/>
  <c r="I40" i="43"/>
  <c r="J40" i="43"/>
  <c r="I41" i="43"/>
  <c r="J41" i="43"/>
  <c r="I42" i="43"/>
  <c r="J42" i="43"/>
  <c r="I43" i="43"/>
  <c r="J43" i="43"/>
  <c r="I44" i="43"/>
  <c r="J44" i="43"/>
  <c r="I45" i="43"/>
  <c r="J45" i="43"/>
  <c r="F37" i="43"/>
  <c r="G37" i="43"/>
  <c r="F38" i="43"/>
  <c r="G38" i="43"/>
  <c r="F39" i="43"/>
  <c r="G39" i="43"/>
  <c r="F40" i="43"/>
  <c r="G40" i="43"/>
  <c r="F41" i="43"/>
  <c r="G41" i="43"/>
  <c r="F42" i="43"/>
  <c r="G42" i="43"/>
  <c r="F43" i="43"/>
  <c r="G43" i="43"/>
  <c r="F44" i="43"/>
  <c r="G44" i="43"/>
  <c r="F45" i="43"/>
  <c r="G45" i="43"/>
  <c r="B37" i="43"/>
  <c r="C37" i="43"/>
  <c r="D37" i="43"/>
  <c r="B38" i="43"/>
  <c r="C38" i="43"/>
  <c r="D38" i="43"/>
  <c r="B39" i="43"/>
  <c r="C39" i="43"/>
  <c r="D39" i="43"/>
  <c r="B40" i="43"/>
  <c r="C40" i="43"/>
  <c r="D40" i="43"/>
  <c r="B41" i="43"/>
  <c r="C41" i="43"/>
  <c r="D41" i="43"/>
  <c r="B42" i="43"/>
  <c r="C42" i="43"/>
  <c r="D42" i="43"/>
  <c r="B43" i="43"/>
  <c r="C43" i="43"/>
  <c r="D43" i="43"/>
  <c r="B44" i="43"/>
  <c r="C44" i="43"/>
  <c r="D44" i="43"/>
  <c r="B45" i="43"/>
  <c r="C45" i="43"/>
  <c r="D45" i="43"/>
  <c r="Y42" i="34"/>
  <c r="Y41" i="34"/>
  <c r="Y40" i="34"/>
  <c r="Y47" i="34" s="1"/>
  <c r="Y49" i="34" s="1"/>
  <c r="Z45" i="34"/>
  <c r="Z44" i="34"/>
  <c r="Z43" i="34"/>
  <c r="X39" i="34"/>
  <c r="X47" i="34" s="1"/>
  <c r="X49" i="34" s="1"/>
  <c r="X38" i="34"/>
  <c r="X37" i="34"/>
  <c r="I37" i="34"/>
  <c r="I38" i="34"/>
  <c r="J38" i="34"/>
  <c r="I39" i="34"/>
  <c r="J39" i="34"/>
  <c r="I40" i="34"/>
  <c r="J40" i="34"/>
  <c r="I41" i="34"/>
  <c r="J41" i="34"/>
  <c r="I42" i="34"/>
  <c r="J42" i="34"/>
  <c r="I43" i="34"/>
  <c r="J43" i="34"/>
  <c r="I44" i="34"/>
  <c r="J44" i="34"/>
  <c r="I45" i="34"/>
  <c r="J45" i="34"/>
  <c r="F37" i="34"/>
  <c r="J37" i="34" s="1"/>
  <c r="F38" i="34"/>
  <c r="F39" i="34"/>
  <c r="F40" i="34"/>
  <c r="F41" i="34"/>
  <c r="F42" i="34"/>
  <c r="F43" i="34"/>
  <c r="F44" i="34"/>
  <c r="F45" i="34"/>
  <c r="A114" i="16"/>
  <c r="F8" i="33"/>
  <c r="A8" i="29"/>
  <c r="EW8" i="27"/>
  <c r="EW9" i="27"/>
  <c r="EW10" i="27"/>
  <c r="EW11" i="27"/>
  <c r="EW12" i="27"/>
  <c r="EW13" i="27"/>
  <c r="EW14" i="27"/>
  <c r="EW15" i="27"/>
  <c r="EW16" i="27"/>
  <c r="EW17" i="27"/>
  <c r="EW18" i="27"/>
  <c r="EW19" i="27"/>
  <c r="EW20" i="27"/>
  <c r="EW21" i="27"/>
  <c r="EW22" i="27"/>
  <c r="EW23" i="27"/>
  <c r="EW24" i="27"/>
  <c r="EW25" i="27"/>
  <c r="EW26" i="27"/>
  <c r="EU8" i="27"/>
  <c r="EU9" i="27"/>
  <c r="EU10" i="27"/>
  <c r="EU11" i="27"/>
  <c r="EU12" i="27"/>
  <c r="EU13" i="27"/>
  <c r="EU14" i="27"/>
  <c r="EU15" i="27"/>
  <c r="EU16" i="27"/>
  <c r="EU17" i="27"/>
  <c r="EU18" i="27"/>
  <c r="EU19" i="27"/>
  <c r="EU20" i="27"/>
  <c r="EU21" i="27"/>
  <c r="EU22" i="27"/>
  <c r="EU23" i="27"/>
  <c r="EU24" i="27"/>
  <c r="EU25" i="27"/>
  <c r="EU26" i="27"/>
  <c r="ES8" i="27"/>
  <c r="ES9" i="27"/>
  <c r="ES10" i="27"/>
  <c r="ES11" i="27"/>
  <c r="ES12" i="27"/>
  <c r="ES13" i="27"/>
  <c r="ES14" i="27"/>
  <c r="ES15" i="27"/>
  <c r="ES16" i="27"/>
  <c r="ES17" i="27"/>
  <c r="ES18" i="27"/>
  <c r="ES19" i="27"/>
  <c r="ES20" i="27"/>
  <c r="ES21" i="27"/>
  <c r="ES22" i="27"/>
  <c r="ES23" i="27"/>
  <c r="ES24" i="27"/>
  <c r="ES25" i="27"/>
  <c r="ES26" i="27"/>
  <c r="EQ8" i="27"/>
  <c r="EQ9" i="27"/>
  <c r="EQ10" i="27"/>
  <c r="EQ11" i="27"/>
  <c r="EQ12" i="27"/>
  <c r="EQ13" i="27"/>
  <c r="EQ14" i="27"/>
  <c r="EQ15" i="27"/>
  <c r="EQ16" i="27"/>
  <c r="EQ17" i="27"/>
  <c r="EQ18" i="27"/>
  <c r="EQ19" i="27"/>
  <c r="EQ20" i="27"/>
  <c r="EQ21" i="27"/>
  <c r="EQ22" i="27"/>
  <c r="EQ23" i="27"/>
  <c r="EQ24" i="27"/>
  <c r="EQ25" i="27"/>
  <c r="EQ26" i="27"/>
  <c r="EO8" i="27"/>
  <c r="EO9" i="27"/>
  <c r="EO10" i="27"/>
  <c r="EO11" i="27"/>
  <c r="EO12" i="27"/>
  <c r="EO13" i="27"/>
  <c r="EO14" i="27"/>
  <c r="EO15" i="27"/>
  <c r="EO16" i="27"/>
  <c r="EO17" i="27"/>
  <c r="EO18" i="27"/>
  <c r="EO19" i="27"/>
  <c r="EO20" i="27"/>
  <c r="EO21" i="27"/>
  <c r="EO22" i="27"/>
  <c r="EO23" i="27"/>
  <c r="EO24" i="27"/>
  <c r="EO25" i="27"/>
  <c r="EO26" i="27"/>
  <c r="EW7" i="27"/>
  <c r="EU7" i="27"/>
  <c r="ES7" i="27"/>
  <c r="EQ7" i="27"/>
  <c r="EO7" i="27"/>
  <c r="I23" i="32"/>
  <c r="Z87" i="47" a="1"/>
  <c r="P25" i="46" l="1"/>
  <c r="O25" i="46"/>
  <c r="AA10" i="47"/>
  <c r="Z87" i="47"/>
  <c r="AC7" i="47"/>
  <c r="AB10" i="47"/>
  <c r="W10" i="47"/>
  <c r="X11" i="47"/>
  <c r="X10" i="47"/>
  <c r="Z47" i="34"/>
  <c r="Z49" i="34" s="1"/>
  <c r="ES27" i="27"/>
  <c r="H20" i="32" s="1"/>
  <c r="EW27" i="27"/>
  <c r="EU27" i="27"/>
  <c r="EQ27" i="27"/>
  <c r="G20" i="32" s="1"/>
  <c r="EO27" i="27"/>
  <c r="F20" i="32" s="1"/>
  <c r="Q26" i="46"/>
  <c r="O26" i="46"/>
  <c r="P51" i="46"/>
  <c r="P44" i="46"/>
  <c r="P58" i="46"/>
  <c r="L26" i="46"/>
  <c r="M50" i="46"/>
  <c r="M57" i="46"/>
  <c r="M43" i="46"/>
  <c r="M36" i="46"/>
  <c r="U18" i="46"/>
  <c r="T18" i="46"/>
  <c r="S18" i="46"/>
  <c r="R18" i="46"/>
  <c r="U17" i="46"/>
  <c r="T17" i="46"/>
  <c r="S17" i="46"/>
  <c r="R17" i="46"/>
  <c r="U14" i="46"/>
  <c r="T14" i="46"/>
  <c r="S14" i="46"/>
  <c r="R14" i="46"/>
  <c r="U13" i="46"/>
  <c r="T13" i="46"/>
  <c r="S13" i="46"/>
  <c r="R13" i="46"/>
  <c r="U10" i="46"/>
  <c r="T10" i="46"/>
  <c r="S10" i="46"/>
  <c r="R10" i="46"/>
  <c r="V10" i="46" s="1"/>
  <c r="U9" i="46"/>
  <c r="T9" i="46"/>
  <c r="S9" i="46"/>
  <c r="R9" i="46"/>
  <c r="V9" i="46" s="1"/>
  <c r="P37" i="46"/>
  <c r="AB87" i="47" a="1"/>
  <c r="AB87" i="47" l="1"/>
  <c r="AB11" i="47"/>
  <c r="AC10" i="47"/>
  <c r="V18" i="46"/>
  <c r="P27" i="46" s="1"/>
  <c r="V14" i="46"/>
  <c r="V13" i="46"/>
  <c r="L27" i="46" s="1"/>
  <c r="M25" i="46"/>
  <c r="M29" i="46" s="1"/>
  <c r="M44" i="46"/>
  <c r="M58" i="46"/>
  <c r="M51" i="46"/>
  <c r="M37" i="46"/>
  <c r="K27" i="46"/>
  <c r="K28" i="46" s="1"/>
  <c r="V17" i="46"/>
  <c r="R19" i="46" a="1"/>
  <c r="AA87" i="47" a="1"/>
  <c r="T19" i="46" a="1"/>
  <c r="L25" i="46" l="1"/>
  <c r="L28" i="46" s="1"/>
  <c r="Q27" i="46"/>
  <c r="AA87" i="47"/>
  <c r="X12" i="47"/>
  <c r="V19" i="46"/>
  <c r="P28" i="46"/>
  <c r="P29" i="46" s="1"/>
  <c r="O27" i="46"/>
  <c r="O28" i="46" s="1"/>
  <c r="T19" i="46"/>
  <c r="Q25" i="46"/>
  <c r="R19" i="46"/>
  <c r="O29" i="46"/>
  <c r="J35" i="19" s="1"/>
  <c r="J17" i="19" l="1"/>
  <c r="Q28" i="46"/>
  <c r="L29" i="46"/>
  <c r="J36" i="19" l="1"/>
  <c r="L30" i="46"/>
  <c r="I77" i="31"/>
  <c r="I78" i="31"/>
  <c r="I76" i="31"/>
  <c r="E77" i="31"/>
  <c r="F77" i="31"/>
  <c r="G77" i="31"/>
  <c r="H77" i="31"/>
  <c r="E78" i="31"/>
  <c r="F78" i="31"/>
  <c r="G78" i="31"/>
  <c r="H78" i="31"/>
  <c r="K121" i="45" a="1"/>
  <c r="K123" i="45" a="1"/>
  <c r="K122" i="45" a="1"/>
  <c r="K124" i="45" a="1"/>
  <c r="K120" i="45" a="1"/>
  <c r="J124" i="45" a="1"/>
  <c r="K122" i="45" l="1"/>
  <c r="K123" i="45"/>
  <c r="K121" i="45"/>
  <c r="K124" i="45"/>
  <c r="K120" i="45"/>
  <c r="J124" i="45"/>
  <c r="J122" i="45" a="1"/>
  <c r="J123" i="45" a="1"/>
  <c r="G124" i="45" a="1"/>
  <c r="F123" i="45" a="1"/>
  <c r="J121" i="45" a="1"/>
  <c r="F120" i="45" a="1"/>
  <c r="F124" i="45" a="1"/>
  <c r="J120" i="45" a="1"/>
  <c r="F121" i="45" a="1"/>
  <c r="I122" i="45" a="1"/>
  <c r="I124" i="45" a="1"/>
  <c r="F122" i="45" a="1"/>
  <c r="I121" i="45" a="1"/>
  <c r="I123" i="45" a="1"/>
  <c r="G120" i="45" a="1"/>
  <c r="H121" i="45" a="1"/>
  <c r="H120" i="45" a="1"/>
  <c r="G123" i="45" a="1"/>
  <c r="G122" i="45" a="1"/>
  <c r="I120" i="45" a="1"/>
  <c r="H122" i="45" a="1"/>
  <c r="G121" i="45" a="1"/>
  <c r="H124" i="45" a="1"/>
  <c r="H123" i="45" a="1"/>
  <c r="J120" i="45" l="1"/>
  <c r="J122" i="45"/>
  <c r="J121" i="45"/>
  <c r="J123" i="45"/>
  <c r="I123" i="45"/>
  <c r="I122" i="45"/>
  <c r="I121" i="45"/>
  <c r="I124" i="45"/>
  <c r="I120" i="45"/>
  <c r="H124" i="45"/>
  <c r="H122" i="45"/>
  <c r="H123" i="45"/>
  <c r="H121" i="45"/>
  <c r="H120" i="45"/>
  <c r="G122" i="45"/>
  <c r="G121" i="45"/>
  <c r="G124" i="45"/>
  <c r="G123" i="45"/>
  <c r="G120" i="45"/>
  <c r="F124" i="45"/>
  <c r="F122" i="45"/>
  <c r="F121" i="45"/>
  <c r="F123" i="45"/>
  <c r="F120" i="45"/>
  <c r="U19" i="46" a="1"/>
  <c r="Q19" i="46" a="1"/>
  <c r="S19" i="46" a="1"/>
  <c r="U19" i="46" l="1"/>
  <c r="S19" i="46"/>
  <c r="Q19" i="46"/>
  <c r="I48" i="34" l="1"/>
  <c r="I6" i="34"/>
  <c r="F48" i="34" l="1"/>
  <c r="BD47" i="20" l="1"/>
  <c r="BC47" i="20"/>
  <c r="BB47" i="20"/>
  <c r="BA47" i="20"/>
  <c r="EM8" i="27" l="1"/>
  <c r="EM9" i="27"/>
  <c r="EM10" i="27"/>
  <c r="EM11" i="27"/>
  <c r="EM12" i="27"/>
  <c r="EM13" i="27"/>
  <c r="EM14" i="27"/>
  <c r="EM15" i="27"/>
  <c r="EM16" i="27"/>
  <c r="EM17" i="27"/>
  <c r="EM18" i="27"/>
  <c r="EM19" i="27"/>
  <c r="EM20" i="27"/>
  <c r="EM21" i="27"/>
  <c r="EM22" i="27"/>
  <c r="EM23" i="27"/>
  <c r="EM24" i="27"/>
  <c r="EM25" i="27"/>
  <c r="EM26" i="27"/>
  <c r="EM7" i="27"/>
  <c r="EK8" i="27"/>
  <c r="EK9" i="27"/>
  <c r="EK10" i="27"/>
  <c r="EK11" i="27"/>
  <c r="EK12" i="27"/>
  <c r="EK13" i="27"/>
  <c r="EK14" i="27"/>
  <c r="EK15" i="27"/>
  <c r="EK16" i="27"/>
  <c r="EK17" i="27"/>
  <c r="EK18" i="27"/>
  <c r="EK19" i="27"/>
  <c r="EK20" i="27"/>
  <c r="EK21" i="27"/>
  <c r="EK22" i="27"/>
  <c r="EK23" i="27"/>
  <c r="EK24" i="27"/>
  <c r="EK25" i="27"/>
  <c r="EK26" i="27"/>
  <c r="EI8" i="27"/>
  <c r="EI9" i="27"/>
  <c r="EI10" i="27"/>
  <c r="EI11" i="27"/>
  <c r="EI12" i="27"/>
  <c r="EI13" i="27"/>
  <c r="EI14" i="27"/>
  <c r="EI15" i="27"/>
  <c r="EI16" i="27"/>
  <c r="EI17" i="27"/>
  <c r="EI18" i="27"/>
  <c r="EI19" i="27"/>
  <c r="EI20" i="27"/>
  <c r="EI21" i="27"/>
  <c r="EI22" i="27"/>
  <c r="EI23" i="27"/>
  <c r="EI24" i="27"/>
  <c r="EI25" i="27"/>
  <c r="EI26" i="27"/>
  <c r="EG8" i="27"/>
  <c r="EG9" i="27"/>
  <c r="EG10" i="27"/>
  <c r="EG11" i="27"/>
  <c r="EG12" i="27"/>
  <c r="EG13" i="27"/>
  <c r="EG14" i="27"/>
  <c r="EG15" i="27"/>
  <c r="EG16" i="27"/>
  <c r="EG17" i="27"/>
  <c r="EG18" i="27"/>
  <c r="EG19" i="27"/>
  <c r="EG20" i="27"/>
  <c r="EG21" i="27"/>
  <c r="EG22" i="27"/>
  <c r="EG23" i="27"/>
  <c r="EG24" i="27"/>
  <c r="EG25" i="27"/>
  <c r="EG26" i="27"/>
  <c r="EK7" i="27"/>
  <c r="EI7" i="27"/>
  <c r="EG7" i="27"/>
  <c r="EE8" i="27"/>
  <c r="EE9" i="27"/>
  <c r="EE10" i="27"/>
  <c r="EE11" i="27"/>
  <c r="EE12" i="27"/>
  <c r="EE13" i="27"/>
  <c r="EE14" i="27"/>
  <c r="EE15" i="27"/>
  <c r="EE16" i="27"/>
  <c r="EE17" i="27"/>
  <c r="EE18" i="27"/>
  <c r="EE19" i="27"/>
  <c r="EE20" i="27"/>
  <c r="EE21" i="27"/>
  <c r="EE22" i="27"/>
  <c r="EE23" i="27"/>
  <c r="EE24" i="27"/>
  <c r="EE25" i="27"/>
  <c r="EE26" i="27"/>
  <c r="EE7" i="27"/>
  <c r="EC8" i="27"/>
  <c r="EC9" i="27"/>
  <c r="EC10" i="27"/>
  <c r="EC11" i="27"/>
  <c r="EC12" i="27"/>
  <c r="EC13" i="27"/>
  <c r="EC14" i="27"/>
  <c r="EC15" i="27"/>
  <c r="EC16" i="27"/>
  <c r="EC17" i="27"/>
  <c r="EC18" i="27"/>
  <c r="EC19" i="27"/>
  <c r="EC20" i="27"/>
  <c r="EC21" i="27"/>
  <c r="EC22" i="27"/>
  <c r="EC23" i="27"/>
  <c r="EC24" i="27"/>
  <c r="EC25" i="27"/>
  <c r="EC26" i="27"/>
  <c r="EC7" i="27"/>
  <c r="EA8" i="27"/>
  <c r="EA9" i="27"/>
  <c r="EA10" i="27"/>
  <c r="EA11" i="27"/>
  <c r="EA12" i="27"/>
  <c r="EA13" i="27"/>
  <c r="EA14" i="27"/>
  <c r="EA15" i="27"/>
  <c r="EA16" i="27"/>
  <c r="EA17" i="27"/>
  <c r="EA18" i="27"/>
  <c r="EA19" i="27"/>
  <c r="EA20" i="27"/>
  <c r="EA21" i="27"/>
  <c r="EA22" i="27"/>
  <c r="EA23" i="27"/>
  <c r="EA24" i="27"/>
  <c r="EA25" i="27"/>
  <c r="EA26" i="27"/>
  <c r="EA7" i="27"/>
  <c r="DY8" i="27"/>
  <c r="DY9" i="27"/>
  <c r="DY10" i="27"/>
  <c r="DY11" i="27"/>
  <c r="DY12" i="27"/>
  <c r="DY13" i="27"/>
  <c r="DY14" i="27"/>
  <c r="DY15" i="27"/>
  <c r="DY16" i="27"/>
  <c r="DY17" i="27"/>
  <c r="DY18" i="27"/>
  <c r="DY19" i="27"/>
  <c r="DY20" i="27"/>
  <c r="DY21" i="27"/>
  <c r="DY22" i="27"/>
  <c r="DY23" i="27"/>
  <c r="DY24" i="27"/>
  <c r="DY25" i="27"/>
  <c r="DY26" i="27"/>
  <c r="DY7" i="27"/>
  <c r="DW8" i="27"/>
  <c r="DW9" i="27"/>
  <c r="DW10" i="27"/>
  <c r="DW11" i="27"/>
  <c r="DW12" i="27"/>
  <c r="DW13" i="27"/>
  <c r="DW14" i="27"/>
  <c r="DW15" i="27"/>
  <c r="DW16" i="27"/>
  <c r="DW17" i="27"/>
  <c r="DW18" i="27"/>
  <c r="DW19" i="27"/>
  <c r="DW20" i="27"/>
  <c r="DW21" i="27"/>
  <c r="DW22" i="27"/>
  <c r="DW23" i="27"/>
  <c r="DW24" i="27"/>
  <c r="DW25" i="27"/>
  <c r="DW26" i="27"/>
  <c r="DW7" i="27"/>
  <c r="DU8" i="27"/>
  <c r="DU9" i="27"/>
  <c r="DU10" i="27"/>
  <c r="DU11" i="27"/>
  <c r="DU12" i="27"/>
  <c r="DU13" i="27"/>
  <c r="DU14" i="27"/>
  <c r="DU15" i="27"/>
  <c r="DU16" i="27"/>
  <c r="DU17" i="27"/>
  <c r="DU18" i="27"/>
  <c r="DU19" i="27"/>
  <c r="DU20" i="27"/>
  <c r="DU21" i="27"/>
  <c r="DU22" i="27"/>
  <c r="DU23" i="27"/>
  <c r="DU24" i="27"/>
  <c r="DU25" i="27"/>
  <c r="DU26" i="27"/>
  <c r="DU7" i="27"/>
  <c r="DW27" i="27" l="1"/>
  <c r="G18" i="32" s="1"/>
  <c r="EA27" i="27"/>
  <c r="EK27" i="27"/>
  <c r="EI27" i="27"/>
  <c r="DU27" i="27"/>
  <c r="F18" i="32" s="1"/>
  <c r="EC27" i="27"/>
  <c r="EM27" i="27"/>
  <c r="EG27" i="27"/>
  <c r="EE27" i="27"/>
  <c r="DY27" i="27"/>
  <c r="H18" i="32" s="1"/>
  <c r="G19" i="32" l="1"/>
  <c r="H19" i="32"/>
  <c r="F19" i="32"/>
  <c r="M80" i="31"/>
  <c r="N80" i="31"/>
  <c r="O80" i="31"/>
  <c r="P80" i="31"/>
  <c r="L80" i="31"/>
  <c r="P79" i="31"/>
  <c r="O79" i="31"/>
  <c r="N79" i="31"/>
  <c r="M79" i="31"/>
  <c r="N77" i="31"/>
  <c r="O77" i="31"/>
  <c r="P77" i="31"/>
  <c r="N75" i="31"/>
  <c r="O75" i="31"/>
  <c r="P75" i="31"/>
  <c r="M75" i="31"/>
  <c r="M77" i="31"/>
  <c r="Q79" i="31" l="1"/>
  <c r="Q75" i="31"/>
  <c r="Q77" i="31"/>
  <c r="W60" i="31" l="1"/>
  <c r="W59" i="31"/>
  <c r="J29" i="44" a="1"/>
  <c r="L34" i="44" a="1"/>
  <c r="K39" i="44" a="1"/>
  <c r="K28" i="44" a="1"/>
  <c r="M39" i="44" a="1"/>
  <c r="M34" i="44" a="1"/>
  <c r="H35" i="44" a="1"/>
  <c r="K27" i="44" a="1"/>
  <c r="H27" i="44" a="1"/>
  <c r="H29" i="44" a="1"/>
  <c r="J35" i="44" a="1"/>
  <c r="I39" i="44" a="1"/>
  <c r="M36" i="44" a="1"/>
  <c r="L36" i="44" a="1"/>
  <c r="M31" i="44" a="1"/>
  <c r="H32" i="44" a="1"/>
  <c r="L25" i="44" a="1"/>
  <c r="I30" i="44" a="1"/>
  <c r="K40" i="44" a="1"/>
  <c r="M30" i="44" a="1"/>
  <c r="I26" i="44" a="1"/>
  <c r="I27" i="44" a="1"/>
  <c r="L29" i="44" a="1"/>
  <c r="J33" i="44" a="1"/>
  <c r="I31" i="44" a="1"/>
  <c r="I23" i="44" a="1"/>
  <c r="L38" i="44" a="1"/>
  <c r="I32" i="44" a="1"/>
  <c r="M28" i="44" a="1"/>
  <c r="H39" i="44" a="1"/>
  <c r="H38" i="44" a="1"/>
  <c r="L35" i="44" a="1"/>
  <c r="J31" i="44" a="1"/>
  <c r="J34" i="44" a="1"/>
  <c r="J27" i="44" a="1"/>
  <c r="H34" i="44" a="1"/>
  <c r="I24" i="44" a="1"/>
  <c r="H23" i="44" a="1"/>
  <c r="J30" i="44" a="1"/>
  <c r="L28" i="44" a="1"/>
  <c r="I29" i="44" a="1"/>
  <c r="M24" i="44" a="1"/>
  <c r="L33" i="44" a="1"/>
  <c r="H24" i="44" a="1"/>
  <c r="K36" i="44" a="1"/>
  <c r="K25" i="44" a="1"/>
  <c r="J36" i="44" a="1"/>
  <c r="I36" i="44" a="1"/>
  <c r="J39" i="44" a="1"/>
  <c r="M33" i="44" a="1"/>
  <c r="J25" i="44" a="1"/>
  <c r="I33" i="44" a="1"/>
  <c r="K31" i="44" a="1"/>
  <c r="K35" i="44" a="1"/>
  <c r="M32" i="44" a="1"/>
  <c r="H26" i="44" a="1"/>
  <c r="J24" i="44" a="1"/>
  <c r="L40" i="44" a="1"/>
  <c r="K23" i="44" a="1"/>
  <c r="I25" i="44" a="1"/>
  <c r="H25" i="44" a="1"/>
  <c r="M23" i="44" a="1"/>
  <c r="L37" i="44" a="1"/>
  <c r="I35" i="44" a="1"/>
  <c r="J38" i="44" a="1"/>
  <c r="K29" i="44" a="1"/>
  <c r="I40" i="44" a="1"/>
  <c r="H37" i="44" a="1"/>
  <c r="H36" i="44" a="1"/>
  <c r="J26" i="44" a="1"/>
  <c r="K24" i="44" a="1"/>
  <c r="L24" i="44" a="1"/>
  <c r="L27" i="44" a="1"/>
  <c r="H33" i="44" a="1"/>
  <c r="K30" i="44" a="1"/>
  <c r="H30" i="44" a="1"/>
  <c r="L31" i="44" a="1"/>
  <c r="K26" i="44" a="1"/>
  <c r="J37" i="44" a="1"/>
  <c r="J23" i="44" a="1"/>
  <c r="K34" i="44" a="1"/>
  <c r="L23" i="44" a="1"/>
  <c r="I34" i="44" a="1"/>
  <c r="L32" i="44" a="1"/>
  <c r="H28" i="44" a="1"/>
  <c r="M35" i="44" a="1"/>
  <c r="M25" i="44" a="1"/>
  <c r="J28" i="44" a="1"/>
  <c r="M37" i="44" a="1"/>
  <c r="I37" i="44" a="1"/>
  <c r="I38" i="44" a="1"/>
  <c r="M27" i="44" a="1"/>
  <c r="M38" i="44" a="1"/>
  <c r="J32" i="44" a="1"/>
  <c r="K33" i="44" a="1"/>
  <c r="M40" i="44" a="1"/>
  <c r="L39" i="44" a="1"/>
  <c r="K37" i="44" a="1"/>
  <c r="H40" i="44" a="1"/>
  <c r="M29" i="44" a="1"/>
  <c r="K32" i="44" a="1"/>
  <c r="I28" i="44" a="1"/>
  <c r="J40" i="44" a="1"/>
  <c r="L26" i="44" a="1"/>
  <c r="M26" i="44" a="1"/>
  <c r="K38" i="44" a="1"/>
  <c r="L30" i="44" a="1"/>
  <c r="H31" i="44" a="1"/>
  <c r="I25" i="44" l="1"/>
  <c r="K40" i="44"/>
  <c r="L38" i="44"/>
  <c r="K30" i="44"/>
  <c r="H27" i="44"/>
  <c r="M31" i="44"/>
  <c r="H30" i="44"/>
  <c r="K26" i="44"/>
  <c r="M28" i="44"/>
  <c r="H32" i="44"/>
  <c r="I35" i="44"/>
  <c r="J28" i="44"/>
  <c r="K31" i="44"/>
  <c r="I28" i="44"/>
  <c r="M24" i="44"/>
  <c r="I37" i="44"/>
  <c r="J30" i="44"/>
  <c r="K28" i="44"/>
  <c r="L36" i="44"/>
  <c r="H38" i="44"/>
  <c r="L24" i="44"/>
  <c r="M33" i="44"/>
  <c r="J35" i="44"/>
  <c r="I40" i="44"/>
  <c r="H25" i="44"/>
  <c r="M34" i="44"/>
  <c r="H28" i="44"/>
  <c r="M38" i="44"/>
  <c r="J38" i="44"/>
  <c r="H35" i="44"/>
  <c r="I38" i="44"/>
  <c r="M29" i="44"/>
  <c r="J36" i="44"/>
  <c r="J26" i="44"/>
  <c r="K39" i="44"/>
  <c r="M37" i="44"/>
  <c r="I36" i="44"/>
  <c r="K34" i="44"/>
  <c r="M32" i="44"/>
  <c r="I31" i="44"/>
  <c r="K29" i="44"/>
  <c r="M27" i="44"/>
  <c r="I26" i="44"/>
  <c r="K24" i="44"/>
  <c r="K25" i="44"/>
  <c r="L28" i="44"/>
  <c r="M26" i="44"/>
  <c r="H40" i="44"/>
  <c r="J33" i="44"/>
  <c r="M39" i="44"/>
  <c r="K36" i="44"/>
  <c r="L29" i="44"/>
  <c r="K35" i="44"/>
  <c r="L33" i="44"/>
  <c r="K33" i="44"/>
  <c r="L26" i="44"/>
  <c r="I33" i="44"/>
  <c r="L39" i="44"/>
  <c r="L34" i="44"/>
  <c r="J31" i="44"/>
  <c r="J39" i="44"/>
  <c r="L37" i="44"/>
  <c r="H36" i="44"/>
  <c r="J34" i="44"/>
  <c r="L32" i="44"/>
  <c r="H31" i="44"/>
  <c r="J29" i="44"/>
  <c r="L27" i="44"/>
  <c r="H26" i="44"/>
  <c r="J24" i="44"/>
  <c r="I27" i="44"/>
  <c r="J25" i="44"/>
  <c r="I30" i="44"/>
  <c r="L31" i="44"/>
  <c r="H33" i="44"/>
  <c r="J40" i="44"/>
  <c r="M36" i="44"/>
  <c r="M40" i="44"/>
  <c r="M35" i="44"/>
  <c r="M30" i="44"/>
  <c r="I24" i="44"/>
  <c r="I32" i="44"/>
  <c r="H37" i="44"/>
  <c r="K38" i="44"/>
  <c r="I39" i="44"/>
  <c r="K37" i="44"/>
  <c r="I34" i="44"/>
  <c r="K32" i="44"/>
  <c r="I29" i="44"/>
  <c r="K27" i="44"/>
  <c r="M25" i="44"/>
  <c r="L40" i="44"/>
  <c r="H39" i="44"/>
  <c r="J37" i="44"/>
  <c r="L35" i="44"/>
  <c r="H34" i="44"/>
  <c r="J32" i="44"/>
  <c r="L30" i="44"/>
  <c r="H29" i="44"/>
  <c r="J27" i="44"/>
  <c r="L25" i="44"/>
  <c r="H24" i="44"/>
  <c r="M23" i="44"/>
  <c r="J23" i="44"/>
  <c r="I23" i="44"/>
  <c r="H23" i="44"/>
  <c r="L23" i="44"/>
  <c r="K23" i="44"/>
  <c r="V37" i="31" l="1"/>
  <c r="T39" i="31"/>
  <c r="H125" i="45"/>
  <c r="E44" i="31" s="1"/>
  <c r="I125" i="45"/>
  <c r="F44" i="31" s="1"/>
  <c r="K125" i="45" a="1"/>
  <c r="K125" i="45" s="1"/>
  <c r="T37" i="31" s="1"/>
  <c r="J125" i="45"/>
  <c r="T36" i="31" s="1"/>
  <c r="G125" i="45"/>
  <c r="D44" i="31" s="1"/>
  <c r="F125" i="45"/>
  <c r="C44" i="31" s="1"/>
  <c r="L41" i="44" l="1" a="1"/>
  <c r="L41" i="44" s="1"/>
  <c r="F19" i="44" l="1"/>
  <c r="N69" i="31"/>
  <c r="O69" i="31"/>
  <c r="P69" i="31"/>
  <c r="N67" i="31"/>
  <c r="O67" i="31"/>
  <c r="P67" i="31"/>
  <c r="M69" i="31"/>
  <c r="M67" i="31"/>
  <c r="Y54" i="31" l="1"/>
  <c r="Z54" i="31" s="1"/>
  <c r="AA54" i="31" s="1"/>
  <c r="X54" i="31"/>
  <c r="W54" i="31"/>
  <c r="V54" i="31"/>
  <c r="V52" i="31"/>
  <c r="Y53" i="31"/>
  <c r="Z53" i="31" s="1"/>
  <c r="AA53" i="31" s="1"/>
  <c r="X53" i="31"/>
  <c r="W53" i="31"/>
  <c r="V53" i="31"/>
  <c r="Y52" i="31"/>
  <c r="Z52" i="31" s="1"/>
  <c r="AA52" i="31" s="1"/>
  <c r="X52" i="31"/>
  <c r="W52" i="31"/>
  <c r="AA47" i="31"/>
  <c r="AA46" i="31"/>
  <c r="Y45" i="31"/>
  <c r="Z44" i="31"/>
  <c r="AB54" i="31" l="1"/>
  <c r="AC54" i="31"/>
  <c r="AB52" i="31"/>
  <c r="AC52" i="31"/>
  <c r="I46" i="31" s="1"/>
  <c r="AB53" i="31"/>
  <c r="AC53" i="31"/>
  <c r="K41" i="44"/>
  <c r="V36" i="31" s="1"/>
  <c r="I41" i="44"/>
  <c r="J41" i="44"/>
  <c r="M41" i="44"/>
  <c r="V39" i="31" s="1"/>
  <c r="H41" i="44"/>
  <c r="F25" i="43" l="1"/>
  <c r="F26" i="43"/>
  <c r="F27" i="43"/>
  <c r="F28" i="43"/>
  <c r="F29" i="43"/>
  <c r="F30" i="43"/>
  <c r="F31" i="43"/>
  <c r="F32" i="43"/>
  <c r="F33" i="43"/>
  <c r="F34" i="43"/>
  <c r="F35" i="43"/>
  <c r="F36" i="43"/>
  <c r="U72" i="43" a="1"/>
  <c r="U72" i="43" s="1"/>
  <c r="U71" i="43" a="1"/>
  <c r="U71" i="43" s="1"/>
  <c r="U70" i="43" a="1"/>
  <c r="U70" i="43" s="1"/>
  <c r="P72" i="43" a="1"/>
  <c r="P72" i="43" s="1"/>
  <c r="P71" i="43" a="1"/>
  <c r="P71" i="43" s="1"/>
  <c r="P70" i="43" a="1"/>
  <c r="P70" i="43" s="1"/>
  <c r="K72" i="43" a="1"/>
  <c r="K72" i="43" s="1"/>
  <c r="K71" i="43" a="1"/>
  <c r="K71" i="43" s="1"/>
  <c r="K70" i="43" a="1"/>
  <c r="K70" i="43" s="1"/>
  <c r="F72" i="43" a="1"/>
  <c r="F72" i="43" s="1"/>
  <c r="F71" i="43" a="1"/>
  <c r="F71" i="43" s="1"/>
  <c r="F70" i="43" a="1"/>
  <c r="F70" i="43" s="1"/>
  <c r="U67" i="43" a="1"/>
  <c r="U67" i="43" s="1"/>
  <c r="U66" i="43" a="1"/>
  <c r="U66" i="43" s="1"/>
  <c r="U65" i="43" a="1"/>
  <c r="U65" i="43" s="1"/>
  <c r="P67" i="43" a="1"/>
  <c r="P67" i="43" s="1"/>
  <c r="P66" i="43" a="1"/>
  <c r="P66" i="43" s="1"/>
  <c r="P65" i="43" a="1"/>
  <c r="P65" i="43" s="1"/>
  <c r="K67" i="43" a="1"/>
  <c r="K67" i="43" s="1"/>
  <c r="K66" i="43" a="1"/>
  <c r="K66" i="43" s="1"/>
  <c r="K65" i="43" a="1"/>
  <c r="K65" i="43" s="1"/>
  <c r="F67" i="43" a="1"/>
  <c r="F67" i="43" s="1"/>
  <c r="F66" i="43" a="1"/>
  <c r="F66" i="43" s="1"/>
  <c r="F65" i="43" a="1"/>
  <c r="F65" i="43" s="1"/>
  <c r="C6" i="43"/>
  <c r="D6" i="43"/>
  <c r="C7" i="43"/>
  <c r="D7" i="43"/>
  <c r="C8" i="43"/>
  <c r="D8" i="43"/>
  <c r="C9" i="43"/>
  <c r="D9" i="43"/>
  <c r="C10" i="43"/>
  <c r="D10" i="43"/>
  <c r="C11" i="43"/>
  <c r="D11" i="43"/>
  <c r="C12" i="43"/>
  <c r="D12" i="43"/>
  <c r="C13" i="43"/>
  <c r="D13" i="43"/>
  <c r="C14" i="43"/>
  <c r="D14" i="43"/>
  <c r="C15" i="43"/>
  <c r="D15" i="43"/>
  <c r="C16" i="43"/>
  <c r="D16" i="43"/>
  <c r="C17" i="43"/>
  <c r="D17" i="43"/>
  <c r="C18" i="43"/>
  <c r="D18" i="43"/>
  <c r="C19" i="43"/>
  <c r="D19" i="43"/>
  <c r="C20" i="43"/>
  <c r="D20" i="43"/>
  <c r="C21" i="43"/>
  <c r="D21" i="43"/>
  <c r="C22" i="43"/>
  <c r="D22" i="43"/>
  <c r="C23" i="43"/>
  <c r="D23" i="43"/>
  <c r="C24" i="43"/>
  <c r="D24" i="43"/>
  <c r="C25" i="43"/>
  <c r="D25" i="43"/>
  <c r="C26" i="43"/>
  <c r="D26" i="43"/>
  <c r="C27" i="43"/>
  <c r="D27" i="43"/>
  <c r="C28" i="43"/>
  <c r="D28" i="43"/>
  <c r="C29" i="43"/>
  <c r="D29" i="43"/>
  <c r="C30" i="43"/>
  <c r="D30" i="43"/>
  <c r="C31" i="43"/>
  <c r="D31" i="43"/>
  <c r="C32" i="43"/>
  <c r="D32" i="43"/>
  <c r="C33" i="43"/>
  <c r="D33" i="43"/>
  <c r="C34" i="43"/>
  <c r="D34" i="43"/>
  <c r="C35" i="43"/>
  <c r="D35" i="43"/>
  <c r="C36" i="43"/>
  <c r="D36" i="43"/>
  <c r="C46" i="43"/>
  <c r="D46" i="43"/>
  <c r="C47" i="43"/>
  <c r="D47" i="43"/>
  <c r="C48" i="43"/>
  <c r="D48" i="43"/>
  <c r="C49" i="43"/>
  <c r="D49" i="43"/>
  <c r="C50" i="43"/>
  <c r="D50" i="43"/>
  <c r="C51" i="43"/>
  <c r="D51" i="43"/>
  <c r="C52" i="43"/>
  <c r="D52" i="43"/>
  <c r="C53" i="43"/>
  <c r="D53" i="43"/>
  <c r="C54" i="43"/>
  <c r="D54" i="43"/>
  <c r="C55" i="43"/>
  <c r="D55" i="43"/>
  <c r="C56" i="43"/>
  <c r="D56" i="43"/>
  <c r="C57" i="43"/>
  <c r="D57" i="43"/>
  <c r="C58" i="43"/>
  <c r="D58" i="43"/>
  <c r="B7" i="43"/>
  <c r="B8" i="43"/>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46" i="43"/>
  <c r="B47" i="43"/>
  <c r="B48" i="43"/>
  <c r="B49" i="43"/>
  <c r="B50" i="43"/>
  <c r="B51" i="43"/>
  <c r="B52" i="43"/>
  <c r="B53" i="43"/>
  <c r="B54" i="43"/>
  <c r="B55" i="43"/>
  <c r="B56" i="43"/>
  <c r="B57" i="43"/>
  <c r="B58" i="43"/>
  <c r="B6" i="43"/>
  <c r="M36" i="43"/>
  <c r="M35" i="43"/>
  <c r="M34" i="43"/>
  <c r="M33" i="43"/>
  <c r="M32" i="43"/>
  <c r="M31" i="43"/>
  <c r="M30" i="43"/>
  <c r="M29" i="43"/>
  <c r="M28" i="43"/>
  <c r="M27" i="43"/>
  <c r="M26" i="43"/>
  <c r="M25" i="43"/>
  <c r="M24" i="43"/>
  <c r="M23" i="43"/>
  <c r="M22" i="43"/>
  <c r="M21" i="43"/>
  <c r="M20" i="43"/>
  <c r="M19" i="43"/>
  <c r="M18" i="43"/>
  <c r="M17" i="43"/>
  <c r="M16" i="43"/>
  <c r="M15" i="43"/>
  <c r="M14" i="43"/>
  <c r="M13" i="43"/>
  <c r="M12" i="43"/>
  <c r="M11" i="43"/>
  <c r="M10" i="43"/>
  <c r="M9" i="43"/>
  <c r="M8" i="43"/>
  <c r="M7" i="43"/>
  <c r="M6" i="43"/>
  <c r="L6" i="43"/>
  <c r="L7" i="43"/>
  <c r="L8" i="43"/>
  <c r="L9" i="43"/>
  <c r="L10" i="43"/>
  <c r="L11" i="43"/>
  <c r="L12" i="43"/>
  <c r="L13" i="43"/>
  <c r="L14" i="43"/>
  <c r="L15" i="43"/>
  <c r="L16" i="43"/>
  <c r="L17" i="43"/>
  <c r="L18" i="43"/>
  <c r="L19" i="43"/>
  <c r="L20" i="43"/>
  <c r="L21" i="43"/>
  <c r="L22" i="43"/>
  <c r="L23" i="43"/>
  <c r="L24" i="43"/>
  <c r="L25" i="43"/>
  <c r="L26" i="43"/>
  <c r="L27" i="43"/>
  <c r="L28" i="43"/>
  <c r="L29" i="43"/>
  <c r="L30" i="43"/>
  <c r="L31" i="43"/>
  <c r="L32" i="43"/>
  <c r="L33" i="43"/>
  <c r="L34" i="43"/>
  <c r="L35" i="43"/>
  <c r="L36" i="43"/>
  <c r="J6" i="43"/>
  <c r="J7" i="43"/>
  <c r="J8" i="43"/>
  <c r="J9" i="43"/>
  <c r="J10" i="43"/>
  <c r="J11" i="43"/>
  <c r="J12" i="43"/>
  <c r="J13" i="43"/>
  <c r="J14" i="43"/>
  <c r="J15" i="43"/>
  <c r="J16" i="43"/>
  <c r="J17" i="43"/>
  <c r="J18" i="43"/>
  <c r="J19" i="43"/>
  <c r="J20" i="43"/>
  <c r="J21" i="43"/>
  <c r="J22" i="43"/>
  <c r="J23" i="43"/>
  <c r="J24" i="43"/>
  <c r="J25" i="43"/>
  <c r="J26" i="43"/>
  <c r="J27" i="43"/>
  <c r="J28" i="43"/>
  <c r="J29" i="43"/>
  <c r="J30" i="43"/>
  <c r="J31" i="43"/>
  <c r="J32" i="43"/>
  <c r="J33" i="43"/>
  <c r="J34" i="43"/>
  <c r="J35" i="43"/>
  <c r="J36" i="43"/>
  <c r="G6" i="43"/>
  <c r="G7" i="43"/>
  <c r="G8" i="43"/>
  <c r="G9" i="43"/>
  <c r="G10" i="43"/>
  <c r="G11" i="43"/>
  <c r="G12" i="43"/>
  <c r="G13" i="43"/>
  <c r="G14" i="43"/>
  <c r="G15" i="43"/>
  <c r="G16" i="43"/>
  <c r="G17" i="43"/>
  <c r="G18" i="43"/>
  <c r="G19" i="43"/>
  <c r="G20" i="43"/>
  <c r="G21" i="43"/>
  <c r="G22" i="43"/>
  <c r="G23" i="43"/>
  <c r="G24" i="43"/>
  <c r="G25" i="43"/>
  <c r="G26" i="43"/>
  <c r="G27" i="43"/>
  <c r="G28" i="43"/>
  <c r="G29" i="43"/>
  <c r="G30" i="43"/>
  <c r="G31" i="43"/>
  <c r="G32" i="43"/>
  <c r="G33" i="43"/>
  <c r="G34" i="43"/>
  <c r="G35" i="43"/>
  <c r="G36" i="43"/>
  <c r="I6" i="43"/>
  <c r="I7" i="43"/>
  <c r="I8" i="43"/>
  <c r="I9" i="43"/>
  <c r="I10" i="43"/>
  <c r="I11" i="43"/>
  <c r="I12" i="43"/>
  <c r="I13" i="43"/>
  <c r="I14" i="43"/>
  <c r="I15" i="43"/>
  <c r="I16" i="43"/>
  <c r="I17" i="43"/>
  <c r="I18" i="43"/>
  <c r="I19" i="43"/>
  <c r="I20" i="43"/>
  <c r="I21" i="43"/>
  <c r="I22" i="43"/>
  <c r="I23" i="43"/>
  <c r="I24" i="43"/>
  <c r="I25" i="43"/>
  <c r="I26" i="43"/>
  <c r="I27" i="43"/>
  <c r="I28" i="43"/>
  <c r="I29" i="43"/>
  <c r="I30" i="43"/>
  <c r="I31" i="43"/>
  <c r="I32" i="43"/>
  <c r="I33" i="43"/>
  <c r="I34" i="43"/>
  <c r="I35" i="43"/>
  <c r="I36" i="43"/>
  <c r="F6" i="43"/>
  <c r="F7" i="43"/>
  <c r="F8" i="43"/>
  <c r="F9" i="43"/>
  <c r="F10" i="43"/>
  <c r="F11" i="43"/>
  <c r="F12" i="43"/>
  <c r="F13" i="43"/>
  <c r="F14" i="43"/>
  <c r="F15" i="43"/>
  <c r="F16" i="43"/>
  <c r="F17" i="43"/>
  <c r="F18" i="43"/>
  <c r="F19" i="43"/>
  <c r="F20" i="43"/>
  <c r="F21" i="43"/>
  <c r="F22" i="43"/>
  <c r="F23" i="43"/>
  <c r="F24" i="43"/>
  <c r="U58" i="43" l="1" a="1"/>
  <c r="U58" i="43" s="1"/>
  <c r="K51" i="43" a="1"/>
  <c r="K51" i="43" s="1"/>
  <c r="U57" i="43" a="1"/>
  <c r="U57" i="43" s="1"/>
  <c r="U56" i="43" a="1"/>
  <c r="U56" i="43" s="1"/>
  <c r="P57" i="43" a="1"/>
  <c r="P57" i="43" s="1"/>
  <c r="P58" i="43" a="1"/>
  <c r="P58" i="43" s="1"/>
  <c r="P56" i="43" a="1"/>
  <c r="P56" i="43" s="1"/>
  <c r="K57" i="43" a="1"/>
  <c r="K57" i="43" s="1"/>
  <c r="F58" i="43" a="1"/>
  <c r="F58" i="43" s="1"/>
  <c r="K56" i="43" a="1"/>
  <c r="K56" i="43" s="1"/>
  <c r="P52" i="43" a="1"/>
  <c r="P52" i="43" s="1"/>
  <c r="F57" i="43" a="1"/>
  <c r="F57" i="43" s="1"/>
  <c r="F56" i="43" a="1"/>
  <c r="F56" i="43" s="1"/>
  <c r="K53" i="43" a="1"/>
  <c r="K53" i="43" s="1"/>
  <c r="U53" i="43" a="1"/>
  <c r="U53" i="43" s="1"/>
  <c r="U52" i="43" a="1"/>
  <c r="U52" i="43" s="1"/>
  <c r="P53" i="43" a="1"/>
  <c r="P53" i="43" s="1"/>
  <c r="U51" i="43" a="1"/>
  <c r="U51" i="43" s="1"/>
  <c r="K58" i="43" a="1"/>
  <c r="K58" i="43" s="1"/>
  <c r="P51" i="43" a="1"/>
  <c r="P51" i="43" s="1"/>
  <c r="K52" i="43" a="1"/>
  <c r="K52" i="43" s="1"/>
  <c r="F51" i="43" a="1"/>
  <c r="F51" i="43" s="1"/>
  <c r="P30" i="43" a="1"/>
  <c r="P30" i="43" s="1"/>
  <c r="P31" i="43" a="1"/>
  <c r="P31" i="43" s="1"/>
  <c r="P29" i="43" a="1"/>
  <c r="P29" i="43" s="1"/>
  <c r="P33" i="43" a="1"/>
  <c r="P33" i="43" s="1"/>
  <c r="P32" i="43" a="1"/>
  <c r="P32" i="43" s="1"/>
  <c r="F52" i="43" a="1"/>
  <c r="F52" i="43" s="1"/>
  <c r="F53" i="43" a="1"/>
  <c r="F53" i="43" s="1"/>
  <c r="AA51" i="33"/>
  <c r="Z43" i="33"/>
  <c r="AA43" i="33" s="1"/>
  <c r="Z44" i="33"/>
  <c r="AA44" i="33" s="1"/>
  <c r="Z45" i="33"/>
  <c r="AA45" i="33" s="1"/>
  <c r="Z46" i="33"/>
  <c r="AA46" i="33" s="1"/>
  <c r="Z47" i="33"/>
  <c r="AA47" i="33" s="1"/>
  <c r="Z48" i="33"/>
  <c r="AA48" i="33" s="1"/>
  <c r="Z49" i="33"/>
  <c r="AA49" i="33" s="1"/>
  <c r="Z50" i="33"/>
  <c r="AA50" i="33" s="1"/>
  <c r="Z42" i="33"/>
  <c r="AA42" i="33" s="1"/>
  <c r="I33" i="34"/>
  <c r="J33" i="34"/>
  <c r="I34" i="34"/>
  <c r="I35" i="34"/>
  <c r="F33" i="34"/>
  <c r="F34" i="34"/>
  <c r="J34" i="34" s="1"/>
  <c r="F35" i="34"/>
  <c r="J35" i="34" s="1"/>
  <c r="I36" i="34"/>
  <c r="F36" i="34"/>
  <c r="J36" i="34" s="1"/>
  <c r="W34" i="34"/>
  <c r="W35" i="34"/>
  <c r="W36" i="34"/>
  <c r="W47" i="34" l="1"/>
  <c r="W49" i="34" s="1"/>
  <c r="H59" i="34"/>
  <c r="F59" i="34"/>
  <c r="BG38" i="20"/>
  <c r="BG39" i="20"/>
  <c r="BG40" i="20"/>
  <c r="BG41" i="20"/>
  <c r="BG42" i="20"/>
  <c r="BG43" i="20"/>
  <c r="BG44" i="20"/>
  <c r="BG45" i="20"/>
  <c r="BG46" i="20"/>
  <c r="BG47" i="20"/>
  <c r="BG37" i="20"/>
  <c r="BG22" i="20"/>
  <c r="BG23" i="20"/>
  <c r="BG24" i="20"/>
  <c r="BG25" i="20"/>
  <c r="BG26" i="20"/>
  <c r="BG27" i="20"/>
  <c r="BG28" i="20"/>
  <c r="BG29" i="20"/>
  <c r="BG30" i="20"/>
  <c r="BG31" i="20"/>
  <c r="BG21" i="20"/>
  <c r="BG6" i="20"/>
  <c r="BG7" i="20"/>
  <c r="BG8" i="20"/>
  <c r="BG9" i="20"/>
  <c r="BG10" i="20"/>
  <c r="BG11" i="20"/>
  <c r="BG12" i="20"/>
  <c r="BG13" i="20"/>
  <c r="BG14" i="20"/>
  <c r="BG15" i="20"/>
  <c r="BM24" i="20" l="1"/>
  <c r="BN24" i="20"/>
  <c r="BO24" i="20"/>
  <c r="BP24" i="20"/>
  <c r="BN23" i="20"/>
  <c r="BM23" i="20"/>
  <c r="BP23" i="20"/>
  <c r="BO23" i="20"/>
  <c r="BM22" i="20"/>
  <c r="BN22" i="20"/>
  <c r="BO22" i="20"/>
  <c r="BP22" i="20"/>
  <c r="BO37" i="20"/>
  <c r="BN37" i="20"/>
  <c r="BM37" i="20"/>
  <c r="BP37" i="20"/>
  <c r="BP47" i="20"/>
  <c r="BO47" i="20"/>
  <c r="BN47" i="20"/>
  <c r="BM47" i="20"/>
  <c r="BP46" i="20"/>
  <c r="BO46" i="20"/>
  <c r="BN46" i="20"/>
  <c r="BM46" i="20"/>
  <c r="BP45" i="20"/>
  <c r="BO45" i="20"/>
  <c r="BN45" i="20"/>
  <c r="BM45" i="20"/>
  <c r="BP44" i="20"/>
  <c r="BO44" i="20"/>
  <c r="BN44" i="20"/>
  <c r="BM44" i="20"/>
  <c r="BP43" i="20"/>
  <c r="BO43" i="20"/>
  <c r="BN43" i="20"/>
  <c r="BM43" i="20"/>
  <c r="BO42" i="20"/>
  <c r="BN42" i="20"/>
  <c r="BM42" i="20"/>
  <c r="BP42" i="20"/>
  <c r="BM28" i="20"/>
  <c r="BP28" i="20"/>
  <c r="BN28" i="20"/>
  <c r="BO28" i="20"/>
  <c r="BP41" i="20"/>
  <c r="BO41" i="20"/>
  <c r="BN41" i="20"/>
  <c r="BM41" i="20"/>
  <c r="BM25" i="20"/>
  <c r="BN25" i="20"/>
  <c r="BO25" i="20"/>
  <c r="BP25" i="20"/>
  <c r="BP40" i="20"/>
  <c r="BO40" i="20"/>
  <c r="BM40" i="20"/>
  <c r="BN40" i="20"/>
  <c r="BN26" i="20"/>
  <c r="BO26" i="20"/>
  <c r="BP26" i="20"/>
  <c r="BM26" i="20"/>
  <c r="BP39" i="20"/>
  <c r="BO39" i="20"/>
  <c r="BN39" i="20"/>
  <c r="BM39" i="20"/>
  <c r="BM27" i="20"/>
  <c r="BO27" i="20"/>
  <c r="BP27" i="20"/>
  <c r="BN27" i="20"/>
  <c r="BP38" i="20"/>
  <c r="BO38" i="20"/>
  <c r="BM38" i="20"/>
  <c r="BN38" i="20"/>
  <c r="BM29" i="20"/>
  <c r="BN29" i="20"/>
  <c r="BO29" i="20"/>
  <c r="BP29" i="20"/>
  <c r="BM21" i="20"/>
  <c r="BP21" i="20"/>
  <c r="BN21" i="20"/>
  <c r="BO21" i="20"/>
  <c r="BN31" i="20"/>
  <c r="BO31" i="20"/>
  <c r="BP31" i="20"/>
  <c r="BM31" i="20"/>
  <c r="BM30" i="20"/>
  <c r="BN30" i="20"/>
  <c r="BO30" i="20"/>
  <c r="BP30" i="20"/>
  <c r="M38" i="19"/>
  <c r="C53" i="33" l="1"/>
  <c r="C7" i="40" l="1"/>
  <c r="J58" i="34"/>
  <c r="I58" i="34"/>
  <c r="F58" i="34"/>
  <c r="J57" i="34"/>
  <c r="I57" i="34"/>
  <c r="F57" i="34"/>
  <c r="J56" i="34"/>
  <c r="I56" i="34"/>
  <c r="F56" i="34"/>
  <c r="J55" i="34"/>
  <c r="I55" i="34"/>
  <c r="F55" i="34"/>
  <c r="I54" i="34"/>
  <c r="F54" i="34"/>
  <c r="J54" i="34" s="1"/>
  <c r="I53" i="34"/>
  <c r="F53" i="34"/>
  <c r="J53" i="34" s="1"/>
  <c r="J52" i="34"/>
  <c r="I52" i="34"/>
  <c r="F52" i="34"/>
  <c r="J51" i="34"/>
  <c r="I51" i="34"/>
  <c r="F51" i="34"/>
  <c r="J50" i="34"/>
  <c r="I50" i="34"/>
  <c r="F50" i="34"/>
  <c r="I49" i="34"/>
  <c r="F49" i="34"/>
  <c r="J49" i="34" s="1"/>
  <c r="J48" i="34"/>
  <c r="J47" i="34"/>
  <c r="I47" i="34"/>
  <c r="F47" i="34"/>
  <c r="J46" i="34"/>
  <c r="I46" i="34"/>
  <c r="F46" i="34"/>
  <c r="V33" i="34"/>
  <c r="V32" i="34"/>
  <c r="J32" i="34"/>
  <c r="I32" i="34"/>
  <c r="F32" i="34"/>
  <c r="V31" i="34"/>
  <c r="J31" i="34"/>
  <c r="I31" i="34"/>
  <c r="F31" i="34"/>
  <c r="U30" i="34"/>
  <c r="J30" i="34"/>
  <c r="I30" i="34"/>
  <c r="F30" i="34"/>
  <c r="U29" i="34"/>
  <c r="J29" i="34"/>
  <c r="I29" i="34"/>
  <c r="F29" i="34"/>
  <c r="U28" i="34"/>
  <c r="J28" i="34"/>
  <c r="I28" i="34"/>
  <c r="F28" i="34"/>
  <c r="T27" i="34"/>
  <c r="I27" i="34"/>
  <c r="F27" i="34"/>
  <c r="J27" i="34" s="1"/>
  <c r="T26" i="34"/>
  <c r="I26" i="34"/>
  <c r="F26" i="34"/>
  <c r="J26" i="34" s="1"/>
  <c r="T25" i="34"/>
  <c r="I25" i="34"/>
  <c r="F25" i="34"/>
  <c r="J25" i="34" s="1"/>
  <c r="S24" i="34"/>
  <c r="J24" i="34"/>
  <c r="I24" i="34"/>
  <c r="F24" i="34"/>
  <c r="S23" i="34"/>
  <c r="J23" i="34"/>
  <c r="I23" i="34"/>
  <c r="F23" i="34"/>
  <c r="S22" i="34"/>
  <c r="S47" i="34" s="1"/>
  <c r="J22" i="34"/>
  <c r="I22" i="34"/>
  <c r="F22" i="34"/>
  <c r="R21" i="34"/>
  <c r="J21" i="34"/>
  <c r="I21" i="34"/>
  <c r="F21" i="34"/>
  <c r="R20" i="34"/>
  <c r="J20" i="34"/>
  <c r="I20" i="34"/>
  <c r="F20" i="34"/>
  <c r="R19" i="34"/>
  <c r="J19" i="34"/>
  <c r="I19" i="34"/>
  <c r="F19" i="34"/>
  <c r="Q18" i="34"/>
  <c r="J18" i="34"/>
  <c r="I18" i="34"/>
  <c r="F18" i="34"/>
  <c r="Q17" i="34"/>
  <c r="J17" i="34"/>
  <c r="I17" i="34"/>
  <c r="F17" i="34"/>
  <c r="Q16" i="34"/>
  <c r="J16" i="34"/>
  <c r="I16" i="34"/>
  <c r="F16" i="34"/>
  <c r="P15" i="34"/>
  <c r="J15" i="34"/>
  <c r="I15" i="34"/>
  <c r="F15" i="34"/>
  <c r="P14" i="34"/>
  <c r="J14" i="34"/>
  <c r="I14" i="34"/>
  <c r="F14" i="34"/>
  <c r="P13" i="34"/>
  <c r="J13" i="34"/>
  <c r="I13" i="34"/>
  <c r="F13" i="34"/>
  <c r="O12" i="34"/>
  <c r="J12" i="34"/>
  <c r="I12" i="34"/>
  <c r="F12" i="34"/>
  <c r="O11" i="34"/>
  <c r="I11" i="34"/>
  <c r="F11" i="34"/>
  <c r="J11" i="34" s="1"/>
  <c r="O10" i="34"/>
  <c r="J10" i="34"/>
  <c r="I10" i="34"/>
  <c r="F10" i="34"/>
  <c r="N9" i="34"/>
  <c r="I9" i="34"/>
  <c r="F9" i="34"/>
  <c r="J9" i="34" s="1"/>
  <c r="N8" i="34"/>
  <c r="J8" i="34"/>
  <c r="I8" i="34"/>
  <c r="F8" i="34"/>
  <c r="N7" i="34"/>
  <c r="J7" i="34"/>
  <c r="I7" i="34"/>
  <c r="F7" i="34"/>
  <c r="N6" i="34"/>
  <c r="F6" i="34"/>
  <c r="AA28" i="40"/>
  <c r="O28" i="40"/>
  <c r="C28" i="40"/>
  <c r="AA27" i="40"/>
  <c r="O27" i="40"/>
  <c r="C27" i="40"/>
  <c r="AA26" i="40"/>
  <c r="O26" i="40"/>
  <c r="C26" i="40"/>
  <c r="AA25" i="40"/>
  <c r="O25" i="40"/>
  <c r="C25" i="40"/>
  <c r="AA19" i="40"/>
  <c r="O19" i="40"/>
  <c r="C19" i="40"/>
  <c r="AA18" i="40"/>
  <c r="O18" i="40"/>
  <c r="C18" i="40"/>
  <c r="AA17" i="40"/>
  <c r="O17" i="40"/>
  <c r="C17" i="40"/>
  <c r="AA16" i="40"/>
  <c r="O16" i="40"/>
  <c r="C16" i="40"/>
  <c r="AA10" i="40"/>
  <c r="O10" i="40"/>
  <c r="C10" i="40"/>
  <c r="AA9" i="40"/>
  <c r="O9" i="40"/>
  <c r="C9" i="40"/>
  <c r="AA8" i="40"/>
  <c r="O8" i="40"/>
  <c r="C8" i="40"/>
  <c r="AA7" i="40"/>
  <c r="O7" i="40"/>
  <c r="L38" i="33"/>
  <c r="L30" i="33"/>
  <c r="L12" i="33"/>
  <c r="J43" i="33"/>
  <c r="J44" i="33"/>
  <c r="J45" i="33"/>
  <c r="J46" i="33"/>
  <c r="J47" i="33"/>
  <c r="J48" i="33"/>
  <c r="J49" i="33"/>
  <c r="J50" i="33"/>
  <c r="J51" i="33"/>
  <c r="J52" i="33"/>
  <c r="J42" i="33"/>
  <c r="BG5" i="20"/>
  <c r="D238" i="41"/>
  <c r="D239" i="41" s="1"/>
  <c r="D240" i="41" s="1"/>
  <c r="D241" i="41" s="1"/>
  <c r="D242" i="41" s="1"/>
  <c r="D243" i="41" s="1"/>
  <c r="D244" i="41" s="1"/>
  <c r="D245" i="41" s="1"/>
  <c r="D246" i="41" s="1"/>
  <c r="D247" i="41" s="1"/>
  <c r="D248" i="41" s="1"/>
  <c r="D249" i="41" s="1"/>
  <c r="D250" i="41" s="1"/>
  <c r="D251" i="41" s="1"/>
  <c r="D252" i="41" s="1"/>
  <c r="D253" i="41" s="1"/>
  <c r="D254" i="41" s="1"/>
  <c r="D255" i="41" s="1"/>
  <c r="D256" i="41" s="1"/>
  <c r="D257" i="41" s="1"/>
  <c r="D258" i="41" s="1"/>
  <c r="D259" i="41" s="1"/>
  <c r="D260" i="41" s="1"/>
  <c r="D261" i="41" s="1"/>
  <c r="D262" i="41" s="1"/>
  <c r="D263" i="41" s="1"/>
  <c r="D264" i="41" s="1"/>
  <c r="D265" i="41" s="1"/>
  <c r="D266" i="41" s="1"/>
  <c r="D267" i="41" s="1"/>
  <c r="D268" i="41" s="1"/>
  <c r="D269" i="41" s="1"/>
  <c r="D270" i="41" s="1"/>
  <c r="D271" i="41" s="1"/>
  <c r="D272" i="41" s="1"/>
  <c r="D273" i="41" s="1"/>
  <c r="D274" i="41" s="1"/>
  <c r="D275" i="41" s="1"/>
  <c r="D276" i="41" s="1"/>
  <c r="D277" i="41" s="1"/>
  <c r="D278" i="41" s="1"/>
  <c r="D279" i="41" s="1"/>
  <c r="D280" i="41" s="1"/>
  <c r="D281" i="41" s="1"/>
  <c r="D282" i="41" s="1"/>
  <c r="D283" i="41" s="1"/>
  <c r="D284" i="41" s="1"/>
  <c r="D285" i="41" s="1"/>
  <c r="D286" i="41" s="1"/>
  <c r="D287" i="41" s="1"/>
  <c r="D288" i="41" s="1"/>
  <c r="D289" i="41" s="1"/>
  <c r="D290" i="41" s="1"/>
  <c r="D291" i="41" s="1"/>
  <c r="D292" i="41" s="1"/>
  <c r="D293" i="41" s="1"/>
  <c r="D294" i="41" s="1"/>
  <c r="D295" i="41" s="1"/>
  <c r="D296" i="41" s="1"/>
  <c r="D297" i="41" s="1"/>
  <c r="D298" i="41" s="1"/>
  <c r="D299" i="41" s="1"/>
  <c r="D300" i="41" s="1"/>
  <c r="D301" i="41" s="1"/>
  <c r="D302" i="41" s="1"/>
  <c r="D303" i="41" s="1"/>
  <c r="D304" i="41" s="1"/>
  <c r="D305" i="41" s="1"/>
  <c r="D306" i="41" s="1"/>
  <c r="D307" i="41" s="1"/>
  <c r="D308" i="41" s="1"/>
  <c r="D309" i="41" s="1"/>
  <c r="D310" i="41" s="1"/>
  <c r="D311" i="41" s="1"/>
  <c r="D312" i="41" s="1"/>
  <c r="D313" i="41" s="1"/>
  <c r="D314" i="41" s="1"/>
  <c r="D315" i="41" s="1"/>
  <c r="D316" i="41" s="1"/>
  <c r="D317" i="41" s="1"/>
  <c r="D318" i="41" s="1"/>
  <c r="D319" i="41" s="1"/>
  <c r="D320" i="41" s="1"/>
  <c r="D321" i="41" s="1"/>
  <c r="D322" i="41" s="1"/>
  <c r="D323" i="41" s="1"/>
  <c r="D324" i="41" s="1"/>
  <c r="D325" i="41" s="1"/>
  <c r="D326" i="41" s="1"/>
  <c r="D327" i="41" s="1"/>
  <c r="D328" i="41" s="1"/>
  <c r="D329" i="41" s="1"/>
  <c r="D330" i="41" s="1"/>
  <c r="D331" i="41" s="1"/>
  <c r="D332" i="41" s="1"/>
  <c r="D333" i="41" s="1"/>
  <c r="D334" i="41" s="1"/>
  <c r="D335" i="41" s="1"/>
  <c r="D336" i="41" s="1"/>
  <c r="D237" i="41"/>
  <c r="D232" i="41"/>
  <c r="C232" i="41"/>
  <c r="DH231" i="41"/>
  <c r="DG231" i="41"/>
  <c r="DE231" i="41"/>
  <c r="DD231" i="41"/>
  <c r="DB231" i="41"/>
  <c r="DA231" i="41"/>
  <c r="CY231" i="41"/>
  <c r="CX231" i="41"/>
  <c r="CV231" i="41"/>
  <c r="CU231" i="41"/>
  <c r="CS231" i="41"/>
  <c r="CR231" i="41"/>
  <c r="CP231" i="41"/>
  <c r="CO231" i="41"/>
  <c r="CM231" i="41"/>
  <c r="CL231" i="41"/>
  <c r="CJ231" i="41"/>
  <c r="CI231" i="41"/>
  <c r="CG231" i="41"/>
  <c r="CF231" i="41"/>
  <c r="CD231" i="41"/>
  <c r="CC231" i="41"/>
  <c r="CA231" i="41"/>
  <c r="BZ231" i="41"/>
  <c r="BX231" i="41"/>
  <c r="BW231" i="41"/>
  <c r="BU231" i="41"/>
  <c r="BT231" i="41"/>
  <c r="BR231" i="41"/>
  <c r="BQ231" i="41"/>
  <c r="BO231" i="41"/>
  <c r="BN231" i="41"/>
  <c r="BL231" i="41"/>
  <c r="BK231" i="41"/>
  <c r="BI231" i="41"/>
  <c r="BH231" i="41"/>
  <c r="BF231" i="41"/>
  <c r="BE231" i="41"/>
  <c r="BC231" i="41"/>
  <c r="BB231" i="41"/>
  <c r="AZ231" i="41"/>
  <c r="AY231" i="41"/>
  <c r="AW231" i="41"/>
  <c r="AV231" i="41"/>
  <c r="AT231" i="41"/>
  <c r="AS231" i="41"/>
  <c r="AQ231" i="41"/>
  <c r="AP231" i="41"/>
  <c r="AN231" i="41"/>
  <c r="AM231" i="41"/>
  <c r="AK231" i="41"/>
  <c r="AJ231" i="41"/>
  <c r="AH231" i="41"/>
  <c r="AG231" i="41"/>
  <c r="AE231" i="41"/>
  <c r="AD231" i="41"/>
  <c r="AB231" i="41"/>
  <c r="AA231" i="41"/>
  <c r="Y231" i="41"/>
  <c r="X231" i="41"/>
  <c r="V231" i="41"/>
  <c r="U231" i="41"/>
  <c r="S231" i="41"/>
  <c r="R231" i="41"/>
  <c r="P231" i="41"/>
  <c r="O231" i="41"/>
  <c r="M231" i="41"/>
  <c r="L231" i="41"/>
  <c r="J231" i="41"/>
  <c r="I231" i="41"/>
  <c r="G231" i="41"/>
  <c r="F231" i="41"/>
  <c r="DH230" i="41"/>
  <c r="DG230" i="41"/>
  <c r="DE230" i="41"/>
  <c r="DD230" i="41"/>
  <c r="DB230" i="41"/>
  <c r="DA230" i="41"/>
  <c r="CY230" i="41"/>
  <c r="CX230" i="41"/>
  <c r="CV230" i="41"/>
  <c r="CU230" i="41"/>
  <c r="CS230" i="41"/>
  <c r="CR230" i="41"/>
  <c r="CP230" i="41"/>
  <c r="CO230" i="41"/>
  <c r="CM230" i="41"/>
  <c r="CL230" i="41"/>
  <c r="CJ230" i="41"/>
  <c r="CI230" i="41"/>
  <c r="CG230" i="41"/>
  <c r="CF230" i="41"/>
  <c r="CD230" i="41"/>
  <c r="CC230" i="41"/>
  <c r="CA230" i="41"/>
  <c r="BZ230" i="41"/>
  <c r="BX230" i="41"/>
  <c r="BW230" i="41"/>
  <c r="BU230" i="41"/>
  <c r="BT230" i="41"/>
  <c r="BR230" i="41"/>
  <c r="BQ230" i="41"/>
  <c r="BO230" i="41"/>
  <c r="BN230" i="41"/>
  <c r="BL230" i="41"/>
  <c r="BK230" i="41"/>
  <c r="BI230" i="41"/>
  <c r="BH230" i="41"/>
  <c r="BF230" i="41"/>
  <c r="BE230" i="41"/>
  <c r="BC230" i="41"/>
  <c r="BB230" i="41"/>
  <c r="AZ230" i="41"/>
  <c r="AY230" i="41"/>
  <c r="AW230" i="41"/>
  <c r="AV230" i="41"/>
  <c r="AT230" i="41"/>
  <c r="AS230" i="41"/>
  <c r="AQ230" i="41"/>
  <c r="AP230" i="41"/>
  <c r="AN230" i="41"/>
  <c r="AM230" i="41"/>
  <c r="AK230" i="41"/>
  <c r="AJ230" i="41"/>
  <c r="AH230" i="41"/>
  <c r="AG230" i="41"/>
  <c r="AE230" i="41"/>
  <c r="AD230" i="41"/>
  <c r="AB230" i="41"/>
  <c r="AA230" i="41"/>
  <c r="Y230" i="41"/>
  <c r="X230" i="41"/>
  <c r="V230" i="41"/>
  <c r="U230" i="41"/>
  <c r="S230" i="41"/>
  <c r="R230" i="41"/>
  <c r="P230" i="41"/>
  <c r="O230" i="41"/>
  <c r="M230" i="41"/>
  <c r="L230" i="41"/>
  <c r="J230" i="41"/>
  <c r="I230" i="41"/>
  <c r="G230" i="41"/>
  <c r="F230" i="41"/>
  <c r="DH229" i="41"/>
  <c r="DG229" i="41"/>
  <c r="DE229" i="41"/>
  <c r="DD229" i="41"/>
  <c r="DB229" i="41"/>
  <c r="DA229" i="41"/>
  <c r="CY229" i="41"/>
  <c r="CX229" i="41"/>
  <c r="CV229" i="41"/>
  <c r="CU229" i="41"/>
  <c r="CS229" i="41"/>
  <c r="CR229" i="41"/>
  <c r="CP229" i="41"/>
  <c r="CO229" i="41"/>
  <c r="CM229" i="41"/>
  <c r="CL229" i="41"/>
  <c r="CJ229" i="41"/>
  <c r="CI229" i="41"/>
  <c r="CG229" i="41"/>
  <c r="CF229" i="41"/>
  <c r="CD229" i="41"/>
  <c r="CC229" i="41"/>
  <c r="CA229" i="41"/>
  <c r="BZ229" i="41"/>
  <c r="BX229" i="41"/>
  <c r="BW229" i="41"/>
  <c r="BU229" i="41"/>
  <c r="BT229" i="41"/>
  <c r="BR229" i="41"/>
  <c r="BQ229" i="41"/>
  <c r="BO229" i="41"/>
  <c r="BN229" i="41"/>
  <c r="BL229" i="41"/>
  <c r="BK229" i="41"/>
  <c r="BI229" i="41"/>
  <c r="BH229" i="41"/>
  <c r="BF229" i="41"/>
  <c r="BE229" i="41"/>
  <c r="BC229" i="41"/>
  <c r="BB229" i="41"/>
  <c r="AZ229" i="41"/>
  <c r="AY229" i="41"/>
  <c r="AW229" i="41"/>
  <c r="AV229" i="41"/>
  <c r="AT229" i="41"/>
  <c r="AS229" i="41"/>
  <c r="AQ229" i="41"/>
  <c r="AP229" i="41"/>
  <c r="AN229" i="41"/>
  <c r="AM229" i="41"/>
  <c r="AK229" i="41"/>
  <c r="AJ229" i="41"/>
  <c r="AH229" i="41"/>
  <c r="AG229" i="41"/>
  <c r="AE229" i="41"/>
  <c r="AD229" i="41"/>
  <c r="AB229" i="41"/>
  <c r="AA229" i="41"/>
  <c r="Y229" i="41"/>
  <c r="X229" i="41"/>
  <c r="V229" i="41"/>
  <c r="U229" i="41"/>
  <c r="S229" i="41"/>
  <c r="R229" i="41"/>
  <c r="P229" i="41"/>
  <c r="O229" i="41"/>
  <c r="M229" i="41"/>
  <c r="L229" i="41"/>
  <c r="J229" i="41"/>
  <c r="I229" i="41"/>
  <c r="G229" i="41"/>
  <c r="F229" i="41"/>
  <c r="DH228" i="41"/>
  <c r="DG228" i="41"/>
  <c r="DE228" i="41"/>
  <c r="DD228" i="41"/>
  <c r="DB228" i="41"/>
  <c r="DA228" i="41"/>
  <c r="CY228" i="41"/>
  <c r="CX228" i="41"/>
  <c r="CV228" i="41"/>
  <c r="CU228" i="41"/>
  <c r="CS228" i="41"/>
  <c r="CR228" i="41"/>
  <c r="CP228" i="41"/>
  <c r="CO228" i="41"/>
  <c r="CM228" i="41"/>
  <c r="CL228" i="41"/>
  <c r="CJ228" i="41"/>
  <c r="CI228" i="41"/>
  <c r="CG228" i="41"/>
  <c r="CF228" i="41"/>
  <c r="CD228" i="41"/>
  <c r="CC228" i="41"/>
  <c r="CA228" i="41"/>
  <c r="BZ228" i="41"/>
  <c r="BX228" i="41"/>
  <c r="BW228" i="41"/>
  <c r="BU228" i="41"/>
  <c r="BT228" i="41"/>
  <c r="BR228" i="41"/>
  <c r="BQ228" i="41"/>
  <c r="BO228" i="41"/>
  <c r="BN228" i="41"/>
  <c r="BL228" i="41"/>
  <c r="BK228" i="41"/>
  <c r="BI228" i="41"/>
  <c r="BH228" i="41"/>
  <c r="BF228" i="41"/>
  <c r="BE228" i="41"/>
  <c r="BC228" i="41"/>
  <c r="BB228" i="41"/>
  <c r="AZ228" i="41"/>
  <c r="AY228" i="41"/>
  <c r="AW228" i="41"/>
  <c r="AV228" i="41"/>
  <c r="AT228" i="41"/>
  <c r="AS228" i="41"/>
  <c r="AQ228" i="41"/>
  <c r="AP228" i="41"/>
  <c r="AN228" i="41"/>
  <c r="AM228" i="41"/>
  <c r="AK228" i="41"/>
  <c r="AJ228" i="41"/>
  <c r="AH228" i="41"/>
  <c r="AG228" i="41"/>
  <c r="AE228" i="41"/>
  <c r="AD228" i="41"/>
  <c r="AB228" i="41"/>
  <c r="AA228" i="41"/>
  <c r="Y228" i="41"/>
  <c r="X228" i="41"/>
  <c r="V228" i="41"/>
  <c r="U228" i="41"/>
  <c r="S228" i="41"/>
  <c r="R228" i="41"/>
  <c r="P228" i="41"/>
  <c r="O228" i="41"/>
  <c r="M228" i="41"/>
  <c r="L228" i="41"/>
  <c r="J228" i="41"/>
  <c r="I228" i="41"/>
  <c r="G228" i="41"/>
  <c r="F228" i="41"/>
  <c r="DH227" i="41"/>
  <c r="DG227" i="41"/>
  <c r="DE227" i="41"/>
  <c r="DD227" i="41"/>
  <c r="DB227" i="41"/>
  <c r="DA227" i="41"/>
  <c r="CY227" i="41"/>
  <c r="CX227" i="41"/>
  <c r="CV227" i="41"/>
  <c r="CU227" i="41"/>
  <c r="CS227" i="41"/>
  <c r="CR227" i="41"/>
  <c r="CP227" i="41"/>
  <c r="CO227" i="41"/>
  <c r="CM227" i="41"/>
  <c r="CL227" i="41"/>
  <c r="CJ227" i="41"/>
  <c r="CI227" i="41"/>
  <c r="CG227" i="41"/>
  <c r="CF227" i="41"/>
  <c r="CD227" i="41"/>
  <c r="CC227" i="41"/>
  <c r="CA227" i="41"/>
  <c r="BZ227" i="41"/>
  <c r="BX227" i="41"/>
  <c r="BW227" i="41"/>
  <c r="BU227" i="41"/>
  <c r="BT227" i="41"/>
  <c r="BR227" i="41"/>
  <c r="BQ227" i="41"/>
  <c r="BO227" i="41"/>
  <c r="BN227" i="41"/>
  <c r="BL227" i="41"/>
  <c r="BK227" i="41"/>
  <c r="BI227" i="41"/>
  <c r="BH227" i="41"/>
  <c r="BF227" i="41"/>
  <c r="BE227" i="41"/>
  <c r="BC227" i="41"/>
  <c r="BB227" i="41"/>
  <c r="AZ227" i="41"/>
  <c r="AY227" i="41"/>
  <c r="AW227" i="41"/>
  <c r="AV227" i="41"/>
  <c r="AT227" i="41"/>
  <c r="AS227" i="41"/>
  <c r="AQ227" i="41"/>
  <c r="AP227" i="41"/>
  <c r="AN227" i="41"/>
  <c r="AM227" i="41"/>
  <c r="AK227" i="41"/>
  <c r="AJ227" i="41"/>
  <c r="AH227" i="41"/>
  <c r="AG227" i="41"/>
  <c r="AE227" i="41"/>
  <c r="AD227" i="41"/>
  <c r="AB227" i="41"/>
  <c r="AA227" i="41"/>
  <c r="Y227" i="41"/>
  <c r="X227" i="41"/>
  <c r="V227" i="41"/>
  <c r="U227" i="41"/>
  <c r="S227" i="41"/>
  <c r="R227" i="41"/>
  <c r="P227" i="41"/>
  <c r="O227" i="41"/>
  <c r="M227" i="41"/>
  <c r="L227" i="41"/>
  <c r="J227" i="41"/>
  <c r="I227" i="41"/>
  <c r="G227" i="41"/>
  <c r="F227" i="41"/>
  <c r="DH226" i="41"/>
  <c r="DG226" i="41"/>
  <c r="DE226" i="41"/>
  <c r="DD226" i="41"/>
  <c r="DB226" i="41"/>
  <c r="DA226" i="41"/>
  <c r="CY226" i="41"/>
  <c r="CX226" i="41"/>
  <c r="CV226" i="41"/>
  <c r="CU226" i="41"/>
  <c r="CS226" i="41"/>
  <c r="CR226" i="41"/>
  <c r="CP226" i="41"/>
  <c r="CO226" i="41"/>
  <c r="CM226" i="41"/>
  <c r="CL226" i="41"/>
  <c r="CJ226" i="41"/>
  <c r="CI226" i="41"/>
  <c r="CG226" i="41"/>
  <c r="CF226" i="41"/>
  <c r="CD226" i="41"/>
  <c r="CC226" i="41"/>
  <c r="CA226" i="41"/>
  <c r="BZ226" i="41"/>
  <c r="BX226" i="41"/>
  <c r="BW226" i="41"/>
  <c r="BU226" i="41"/>
  <c r="BT226" i="41"/>
  <c r="BR226" i="41"/>
  <c r="BQ226" i="41"/>
  <c r="BO226" i="41"/>
  <c r="BN226" i="41"/>
  <c r="BL226" i="41"/>
  <c r="BK226" i="41"/>
  <c r="BI226" i="41"/>
  <c r="BH226" i="41"/>
  <c r="BF226" i="41"/>
  <c r="BE226" i="41"/>
  <c r="BC226" i="41"/>
  <c r="BB226" i="41"/>
  <c r="AZ226" i="41"/>
  <c r="AY226" i="41"/>
  <c r="AW226" i="41"/>
  <c r="AV226" i="41"/>
  <c r="AT226" i="41"/>
  <c r="AS226" i="41"/>
  <c r="AQ226" i="41"/>
  <c r="AP226" i="41"/>
  <c r="AN226" i="41"/>
  <c r="AM226" i="41"/>
  <c r="AK226" i="41"/>
  <c r="AJ226" i="41"/>
  <c r="AH226" i="41"/>
  <c r="AG226" i="41"/>
  <c r="AE226" i="41"/>
  <c r="AD226" i="41"/>
  <c r="AB226" i="41"/>
  <c r="AA226" i="41"/>
  <c r="Y226" i="41"/>
  <c r="X226" i="41"/>
  <c r="V226" i="41"/>
  <c r="U226" i="41"/>
  <c r="S226" i="41"/>
  <c r="R226" i="41"/>
  <c r="P226" i="41"/>
  <c r="O226" i="41"/>
  <c r="M226" i="41"/>
  <c r="L226" i="41"/>
  <c r="J226" i="41"/>
  <c r="I226" i="41"/>
  <c r="G226" i="41"/>
  <c r="F226" i="41"/>
  <c r="DH225" i="41"/>
  <c r="DG225" i="41"/>
  <c r="DE225" i="41"/>
  <c r="DD225" i="41"/>
  <c r="DB225" i="41"/>
  <c r="DA225" i="41"/>
  <c r="CY225" i="41"/>
  <c r="CX225" i="41"/>
  <c r="CV225" i="41"/>
  <c r="CU225" i="41"/>
  <c r="CS225" i="41"/>
  <c r="CR225" i="41"/>
  <c r="CP225" i="41"/>
  <c r="CO225" i="41"/>
  <c r="CM225" i="41"/>
  <c r="CL225" i="41"/>
  <c r="CJ225" i="41"/>
  <c r="CI225" i="41"/>
  <c r="CG225" i="41"/>
  <c r="CF225" i="41"/>
  <c r="CD225" i="41"/>
  <c r="CC225" i="41"/>
  <c r="CA225" i="41"/>
  <c r="BZ225" i="41"/>
  <c r="BX225" i="41"/>
  <c r="BW225" i="41"/>
  <c r="BU225" i="41"/>
  <c r="BT225" i="41"/>
  <c r="BR225" i="41"/>
  <c r="BQ225" i="41"/>
  <c r="BO225" i="41"/>
  <c r="BN225" i="41"/>
  <c r="BL225" i="41"/>
  <c r="BK225" i="41"/>
  <c r="BI225" i="41"/>
  <c r="BH225" i="41"/>
  <c r="BF225" i="41"/>
  <c r="BE225" i="41"/>
  <c r="BC225" i="41"/>
  <c r="BB225" i="41"/>
  <c r="AZ225" i="41"/>
  <c r="AY225" i="41"/>
  <c r="AW225" i="41"/>
  <c r="AV225" i="41"/>
  <c r="AT225" i="41"/>
  <c r="AS225" i="41"/>
  <c r="AQ225" i="41"/>
  <c r="AP225" i="41"/>
  <c r="AN225" i="41"/>
  <c r="AM225" i="41"/>
  <c r="AK225" i="41"/>
  <c r="AJ225" i="41"/>
  <c r="AH225" i="41"/>
  <c r="AG225" i="41"/>
  <c r="AE225" i="41"/>
  <c r="AD225" i="41"/>
  <c r="AB225" i="41"/>
  <c r="AA225" i="41"/>
  <c r="Y225" i="41"/>
  <c r="X225" i="41"/>
  <c r="V225" i="41"/>
  <c r="U225" i="41"/>
  <c r="S225" i="41"/>
  <c r="R225" i="41"/>
  <c r="P225" i="41"/>
  <c r="O225" i="41"/>
  <c r="M225" i="41"/>
  <c r="L225" i="41"/>
  <c r="J225" i="41"/>
  <c r="I225" i="41"/>
  <c r="G225" i="41"/>
  <c r="F225" i="41"/>
  <c r="DH224" i="41"/>
  <c r="DG224" i="41"/>
  <c r="DE224" i="41"/>
  <c r="DD224" i="41"/>
  <c r="DB224" i="41"/>
  <c r="DA224" i="41"/>
  <c r="CY224" i="41"/>
  <c r="CX224" i="41"/>
  <c r="CV224" i="41"/>
  <c r="CU224" i="41"/>
  <c r="CS224" i="41"/>
  <c r="CR224" i="41"/>
  <c r="CP224" i="41"/>
  <c r="CO224" i="41"/>
  <c r="CM224" i="41"/>
  <c r="CL224" i="41"/>
  <c r="CJ224" i="41"/>
  <c r="CI224" i="41"/>
  <c r="CG224" i="41"/>
  <c r="CF224" i="41"/>
  <c r="CD224" i="41"/>
  <c r="CC224" i="41"/>
  <c r="CA224" i="41"/>
  <c r="BZ224" i="41"/>
  <c r="BX224" i="41"/>
  <c r="BW224" i="41"/>
  <c r="BU224" i="41"/>
  <c r="BT224" i="41"/>
  <c r="BR224" i="41"/>
  <c r="BQ224" i="41"/>
  <c r="BO224" i="41"/>
  <c r="BN224" i="41"/>
  <c r="BL224" i="41"/>
  <c r="BK224" i="41"/>
  <c r="BI224" i="41"/>
  <c r="BH224" i="41"/>
  <c r="BF224" i="41"/>
  <c r="BE224" i="41"/>
  <c r="BC224" i="41"/>
  <c r="BB224" i="41"/>
  <c r="AZ224" i="41"/>
  <c r="AY224" i="41"/>
  <c r="AW224" i="41"/>
  <c r="AV224" i="41"/>
  <c r="AT224" i="41"/>
  <c r="AS224" i="41"/>
  <c r="AQ224" i="41"/>
  <c r="AP224" i="41"/>
  <c r="AN224" i="41"/>
  <c r="AM224" i="41"/>
  <c r="AK224" i="41"/>
  <c r="AJ224" i="41"/>
  <c r="AH224" i="41"/>
  <c r="AG224" i="41"/>
  <c r="AE224" i="41"/>
  <c r="AD224" i="41"/>
  <c r="AB224" i="41"/>
  <c r="AA224" i="41"/>
  <c r="Y224" i="41"/>
  <c r="X224" i="41"/>
  <c r="V224" i="41"/>
  <c r="U224" i="41"/>
  <c r="S224" i="41"/>
  <c r="R224" i="41"/>
  <c r="P224" i="41"/>
  <c r="O224" i="41"/>
  <c r="M224" i="41"/>
  <c r="L224" i="41"/>
  <c r="J224" i="41"/>
  <c r="I224" i="41"/>
  <c r="G224" i="41"/>
  <c r="F224" i="41"/>
  <c r="DH223" i="41"/>
  <c r="DG223" i="41"/>
  <c r="DE223" i="41"/>
  <c r="DD223" i="41"/>
  <c r="DB223" i="41"/>
  <c r="DA223" i="41"/>
  <c r="CY223" i="41"/>
  <c r="CX223" i="41"/>
  <c r="CV223" i="41"/>
  <c r="CU223" i="41"/>
  <c r="CS223" i="41"/>
  <c r="CR223" i="41"/>
  <c r="CP223" i="41"/>
  <c r="CO223" i="41"/>
  <c r="CM223" i="41"/>
  <c r="CL223" i="41"/>
  <c r="CJ223" i="41"/>
  <c r="CI223" i="41"/>
  <c r="CG223" i="41"/>
  <c r="CF223" i="41"/>
  <c r="CD223" i="41"/>
  <c r="CC223" i="41"/>
  <c r="CA223" i="41"/>
  <c r="BZ223" i="41"/>
  <c r="BX223" i="41"/>
  <c r="BW223" i="41"/>
  <c r="BU223" i="41"/>
  <c r="BT223" i="41"/>
  <c r="BR223" i="41"/>
  <c r="BQ223" i="41"/>
  <c r="BO223" i="41"/>
  <c r="BN223" i="41"/>
  <c r="BL223" i="41"/>
  <c r="BK223" i="41"/>
  <c r="BI223" i="41"/>
  <c r="BH223" i="41"/>
  <c r="BF223" i="41"/>
  <c r="BE223" i="41"/>
  <c r="BC223" i="41"/>
  <c r="BB223" i="41"/>
  <c r="AZ223" i="41"/>
  <c r="AY223" i="41"/>
  <c r="AW223" i="41"/>
  <c r="AV223" i="41"/>
  <c r="AT223" i="41"/>
  <c r="AS223" i="41"/>
  <c r="AQ223" i="41"/>
  <c r="AP223" i="41"/>
  <c r="AN223" i="41"/>
  <c r="AM223" i="41"/>
  <c r="AK223" i="41"/>
  <c r="AJ223" i="41"/>
  <c r="AH223" i="41"/>
  <c r="AG223" i="41"/>
  <c r="AE223" i="41"/>
  <c r="AD223" i="41"/>
  <c r="AB223" i="41"/>
  <c r="AA223" i="41"/>
  <c r="Y223" i="41"/>
  <c r="X223" i="41"/>
  <c r="V223" i="41"/>
  <c r="U223" i="41"/>
  <c r="S223" i="41"/>
  <c r="R223" i="41"/>
  <c r="P223" i="41"/>
  <c r="O223" i="41"/>
  <c r="M223" i="41"/>
  <c r="L223" i="41"/>
  <c r="J223" i="41"/>
  <c r="I223" i="41"/>
  <c r="G223" i="41"/>
  <c r="F223" i="41"/>
  <c r="DH222" i="41"/>
  <c r="DG222" i="41"/>
  <c r="DE222" i="41"/>
  <c r="DD222" i="41"/>
  <c r="DB222" i="41"/>
  <c r="DA222" i="41"/>
  <c r="CY222" i="41"/>
  <c r="CX222" i="41"/>
  <c r="CV222" i="41"/>
  <c r="CU222" i="41"/>
  <c r="CS222" i="41"/>
  <c r="CR222" i="41"/>
  <c r="CP222" i="41"/>
  <c r="CO222" i="41"/>
  <c r="CM222" i="41"/>
  <c r="CL222" i="41"/>
  <c r="CJ222" i="41"/>
  <c r="CI222" i="41"/>
  <c r="CG222" i="41"/>
  <c r="CF222" i="41"/>
  <c r="CD222" i="41"/>
  <c r="CC222" i="41"/>
  <c r="CA222" i="41"/>
  <c r="BZ222" i="41"/>
  <c r="BX222" i="41"/>
  <c r="BW222" i="41"/>
  <c r="BU222" i="41"/>
  <c r="BT222" i="41"/>
  <c r="BR222" i="41"/>
  <c r="BQ222" i="41"/>
  <c r="BO222" i="41"/>
  <c r="BN222" i="41"/>
  <c r="BL222" i="41"/>
  <c r="BK222" i="41"/>
  <c r="BI222" i="41"/>
  <c r="BH222" i="41"/>
  <c r="BF222" i="41"/>
  <c r="BE222" i="41"/>
  <c r="BC222" i="41"/>
  <c r="BB222" i="41"/>
  <c r="AZ222" i="41"/>
  <c r="AY222" i="41"/>
  <c r="AW222" i="41"/>
  <c r="AV222" i="41"/>
  <c r="AT222" i="41"/>
  <c r="AS222" i="41"/>
  <c r="AQ222" i="41"/>
  <c r="AP222" i="41"/>
  <c r="AN222" i="41"/>
  <c r="AM222" i="41"/>
  <c r="AK222" i="41"/>
  <c r="AJ222" i="41"/>
  <c r="AH222" i="41"/>
  <c r="AG222" i="41"/>
  <c r="AE222" i="41"/>
  <c r="AD222" i="41"/>
  <c r="AB222" i="41"/>
  <c r="AA222" i="41"/>
  <c r="Y222" i="41"/>
  <c r="X222" i="41"/>
  <c r="V222" i="41"/>
  <c r="U222" i="41"/>
  <c r="S222" i="41"/>
  <c r="R222" i="41"/>
  <c r="P222" i="41"/>
  <c r="O222" i="41"/>
  <c r="M222" i="41"/>
  <c r="L222" i="41"/>
  <c r="J222" i="41"/>
  <c r="I222" i="41"/>
  <c r="G222" i="41"/>
  <c r="F222" i="41"/>
  <c r="DH221" i="41"/>
  <c r="DG221" i="41"/>
  <c r="DE221" i="41"/>
  <c r="DD221" i="41"/>
  <c r="DB221" i="41"/>
  <c r="DA221" i="41"/>
  <c r="CY221" i="41"/>
  <c r="CX221" i="41"/>
  <c r="CV221" i="41"/>
  <c r="CU221" i="41"/>
  <c r="CS221" i="41"/>
  <c r="CR221" i="41"/>
  <c r="CP221" i="41"/>
  <c r="CO221" i="41"/>
  <c r="CM221" i="41"/>
  <c r="CL221" i="41"/>
  <c r="CJ221" i="41"/>
  <c r="CI221" i="41"/>
  <c r="CG221" i="41"/>
  <c r="CF221" i="41"/>
  <c r="CD221" i="41"/>
  <c r="CC221" i="41"/>
  <c r="CA221" i="41"/>
  <c r="BZ221" i="41"/>
  <c r="BX221" i="41"/>
  <c r="BW221" i="41"/>
  <c r="BU221" i="41"/>
  <c r="BT221" i="41"/>
  <c r="BR221" i="41"/>
  <c r="BQ221" i="41"/>
  <c r="BO221" i="41"/>
  <c r="BN221" i="41"/>
  <c r="BL221" i="41"/>
  <c r="BK221" i="41"/>
  <c r="BI221" i="41"/>
  <c r="BH221" i="41"/>
  <c r="BF221" i="41"/>
  <c r="BE221" i="41"/>
  <c r="BC221" i="41"/>
  <c r="BB221" i="41"/>
  <c r="AZ221" i="41"/>
  <c r="AY221" i="41"/>
  <c r="AW221" i="41"/>
  <c r="AV221" i="41"/>
  <c r="AT221" i="41"/>
  <c r="AS221" i="41"/>
  <c r="AQ221" i="41"/>
  <c r="AP221" i="41"/>
  <c r="AN221" i="41"/>
  <c r="AM221" i="41"/>
  <c r="AK221" i="41"/>
  <c r="AJ221" i="41"/>
  <c r="AH221" i="41"/>
  <c r="AG221" i="41"/>
  <c r="AE221" i="41"/>
  <c r="AD221" i="41"/>
  <c r="AB221" i="41"/>
  <c r="AA221" i="41"/>
  <c r="Y221" i="41"/>
  <c r="X221" i="41"/>
  <c r="V221" i="41"/>
  <c r="U221" i="41"/>
  <c r="S221" i="41"/>
  <c r="R221" i="41"/>
  <c r="P221" i="41"/>
  <c r="O221" i="41"/>
  <c r="M221" i="41"/>
  <c r="L221" i="41"/>
  <c r="J221" i="41"/>
  <c r="I221" i="41"/>
  <c r="G221" i="41"/>
  <c r="F221" i="41"/>
  <c r="DH220" i="41"/>
  <c r="DG220" i="41"/>
  <c r="DE220" i="41"/>
  <c r="DD220" i="41"/>
  <c r="DB220" i="41"/>
  <c r="DA220" i="41"/>
  <c r="CY220" i="41"/>
  <c r="CX220" i="41"/>
  <c r="CV220" i="41"/>
  <c r="CU220" i="41"/>
  <c r="CS220" i="41"/>
  <c r="CR220" i="41"/>
  <c r="CP220" i="41"/>
  <c r="CO220" i="41"/>
  <c r="CM220" i="41"/>
  <c r="CL220" i="41"/>
  <c r="CJ220" i="41"/>
  <c r="CI220" i="41"/>
  <c r="CG220" i="41"/>
  <c r="CF220" i="41"/>
  <c r="CD220" i="41"/>
  <c r="CC220" i="41"/>
  <c r="CA220" i="41"/>
  <c r="BZ220" i="41"/>
  <c r="BX220" i="41"/>
  <c r="BW220" i="41"/>
  <c r="BU220" i="41"/>
  <c r="BT220" i="41"/>
  <c r="BR220" i="41"/>
  <c r="BQ220" i="41"/>
  <c r="BO220" i="41"/>
  <c r="BN220" i="41"/>
  <c r="BL220" i="41"/>
  <c r="BK220" i="41"/>
  <c r="BI220" i="41"/>
  <c r="BH220" i="41"/>
  <c r="BF220" i="41"/>
  <c r="BE220" i="41"/>
  <c r="BC220" i="41"/>
  <c r="BB220" i="41"/>
  <c r="AZ220" i="41"/>
  <c r="AY220" i="41"/>
  <c r="AW220" i="41"/>
  <c r="AV220" i="41"/>
  <c r="AT220" i="41"/>
  <c r="AS220" i="41"/>
  <c r="AQ220" i="41"/>
  <c r="AP220" i="41"/>
  <c r="AN220" i="41"/>
  <c r="AM220" i="41"/>
  <c r="AK220" i="41"/>
  <c r="AJ220" i="41"/>
  <c r="AH220" i="41"/>
  <c r="AG220" i="41"/>
  <c r="AE220" i="41"/>
  <c r="AD220" i="41"/>
  <c r="AB220" i="41"/>
  <c r="AA220" i="41"/>
  <c r="Y220" i="41"/>
  <c r="X220" i="41"/>
  <c r="V220" i="41"/>
  <c r="U220" i="41"/>
  <c r="S220" i="41"/>
  <c r="R220" i="41"/>
  <c r="P220" i="41"/>
  <c r="O220" i="41"/>
  <c r="M220" i="41"/>
  <c r="L220" i="41"/>
  <c r="J220" i="41"/>
  <c r="I220" i="41"/>
  <c r="G220" i="41"/>
  <c r="F220" i="41"/>
  <c r="DH219" i="41"/>
  <c r="DG219" i="41"/>
  <c r="DE219" i="41"/>
  <c r="DD219" i="41"/>
  <c r="DB219" i="41"/>
  <c r="DA219" i="41"/>
  <c r="CY219" i="41"/>
  <c r="CX219" i="41"/>
  <c r="CV219" i="41"/>
  <c r="CU219" i="41"/>
  <c r="CS219" i="41"/>
  <c r="CR219" i="41"/>
  <c r="CP219" i="41"/>
  <c r="CO219" i="41"/>
  <c r="CM219" i="41"/>
  <c r="CL219" i="41"/>
  <c r="CJ219" i="41"/>
  <c r="CI219" i="41"/>
  <c r="CG219" i="41"/>
  <c r="CF219" i="41"/>
  <c r="CD219" i="41"/>
  <c r="CC219" i="41"/>
  <c r="CA219" i="41"/>
  <c r="BZ219" i="41"/>
  <c r="BX219" i="41"/>
  <c r="BW219" i="41"/>
  <c r="BU219" i="41"/>
  <c r="BT219" i="41"/>
  <c r="BR219" i="41"/>
  <c r="BQ219" i="41"/>
  <c r="BO219" i="41"/>
  <c r="BN219" i="41"/>
  <c r="BL219" i="41"/>
  <c r="BK219" i="41"/>
  <c r="BI219" i="41"/>
  <c r="BH219" i="41"/>
  <c r="BF219" i="41"/>
  <c r="BE219" i="41"/>
  <c r="BC219" i="41"/>
  <c r="BB219" i="41"/>
  <c r="AZ219" i="41"/>
  <c r="AY219" i="41"/>
  <c r="AW219" i="41"/>
  <c r="AV219" i="41"/>
  <c r="AT219" i="41"/>
  <c r="AS219" i="41"/>
  <c r="AQ219" i="41"/>
  <c r="AP219" i="41"/>
  <c r="AN219" i="41"/>
  <c r="AM219" i="41"/>
  <c r="AK219" i="41"/>
  <c r="AJ219" i="41"/>
  <c r="AH219" i="41"/>
  <c r="AG219" i="41"/>
  <c r="AE219" i="41"/>
  <c r="AD219" i="41"/>
  <c r="AB219" i="41"/>
  <c r="AA219" i="41"/>
  <c r="Y219" i="41"/>
  <c r="X219" i="41"/>
  <c r="V219" i="41"/>
  <c r="U219" i="41"/>
  <c r="S219" i="41"/>
  <c r="R219" i="41"/>
  <c r="P219" i="41"/>
  <c r="O219" i="41"/>
  <c r="M219" i="41"/>
  <c r="L219" i="41"/>
  <c r="J219" i="41"/>
  <c r="I219" i="41"/>
  <c r="G219" i="41"/>
  <c r="F219" i="41"/>
  <c r="DH218" i="41"/>
  <c r="DG218" i="41"/>
  <c r="DE218" i="41"/>
  <c r="DD218" i="41"/>
  <c r="DB218" i="41"/>
  <c r="DA218" i="41"/>
  <c r="CY218" i="41"/>
  <c r="CX218" i="41"/>
  <c r="CV218" i="41"/>
  <c r="CU218" i="41"/>
  <c r="CS218" i="41"/>
  <c r="CR218" i="41"/>
  <c r="CP218" i="41"/>
  <c r="CO218" i="41"/>
  <c r="CM218" i="41"/>
  <c r="CL218" i="41"/>
  <c r="CJ218" i="41"/>
  <c r="CI218" i="41"/>
  <c r="CG218" i="41"/>
  <c r="CF218" i="41"/>
  <c r="CD218" i="41"/>
  <c r="CC218" i="41"/>
  <c r="CA218" i="41"/>
  <c r="BZ218" i="41"/>
  <c r="BX218" i="41"/>
  <c r="BW218" i="41"/>
  <c r="BU218" i="41"/>
  <c r="BT218" i="41"/>
  <c r="BR218" i="41"/>
  <c r="BQ218" i="41"/>
  <c r="BO218" i="41"/>
  <c r="BN218" i="41"/>
  <c r="BL218" i="41"/>
  <c r="BK218" i="41"/>
  <c r="BI218" i="41"/>
  <c r="BH218" i="41"/>
  <c r="BF218" i="41"/>
  <c r="BE218" i="41"/>
  <c r="BC218" i="41"/>
  <c r="BB218" i="41"/>
  <c r="AZ218" i="41"/>
  <c r="AY218" i="41"/>
  <c r="AW218" i="41"/>
  <c r="AV218" i="41"/>
  <c r="AT218" i="41"/>
  <c r="AS218" i="41"/>
  <c r="AQ218" i="41"/>
  <c r="AP218" i="41"/>
  <c r="AN218" i="41"/>
  <c r="AM218" i="41"/>
  <c r="AK218" i="41"/>
  <c r="AJ218" i="41"/>
  <c r="AH218" i="41"/>
  <c r="AG218" i="41"/>
  <c r="AE218" i="41"/>
  <c r="AD218" i="41"/>
  <c r="AB218" i="41"/>
  <c r="AA218" i="41"/>
  <c r="Y218" i="41"/>
  <c r="X218" i="41"/>
  <c r="V218" i="41"/>
  <c r="U218" i="41"/>
  <c r="S218" i="41"/>
  <c r="R218" i="41"/>
  <c r="P218" i="41"/>
  <c r="O218" i="41"/>
  <c r="M218" i="41"/>
  <c r="L218" i="41"/>
  <c r="J218" i="41"/>
  <c r="I218" i="41"/>
  <c r="G218" i="41"/>
  <c r="F218" i="41"/>
  <c r="DH217" i="41"/>
  <c r="DG217" i="41"/>
  <c r="DE217" i="41"/>
  <c r="DD217" i="41"/>
  <c r="DB217" i="41"/>
  <c r="DA217" i="41"/>
  <c r="CY217" i="41"/>
  <c r="CX217" i="41"/>
  <c r="CV217" i="41"/>
  <c r="CU217" i="41"/>
  <c r="CS217" i="41"/>
  <c r="CR217" i="41"/>
  <c r="CP217" i="41"/>
  <c r="CO217" i="41"/>
  <c r="CM217" i="41"/>
  <c r="CL217" i="41"/>
  <c r="CJ217" i="41"/>
  <c r="CI217" i="41"/>
  <c r="CG217" i="41"/>
  <c r="CF217" i="41"/>
  <c r="CD217" i="41"/>
  <c r="CC217" i="41"/>
  <c r="CA217" i="41"/>
  <c r="BZ217" i="41"/>
  <c r="BX217" i="41"/>
  <c r="BW217" i="41"/>
  <c r="BU217" i="41"/>
  <c r="BT217" i="41"/>
  <c r="BR217" i="41"/>
  <c r="BQ217" i="41"/>
  <c r="BO217" i="41"/>
  <c r="BN217" i="41"/>
  <c r="BL217" i="41"/>
  <c r="BK217" i="41"/>
  <c r="BI217" i="41"/>
  <c r="BH217" i="41"/>
  <c r="BF217" i="41"/>
  <c r="BE217" i="41"/>
  <c r="BC217" i="41"/>
  <c r="BB217" i="41"/>
  <c r="AZ217" i="41"/>
  <c r="AY217" i="41"/>
  <c r="AW217" i="41"/>
  <c r="AV217" i="41"/>
  <c r="AT217" i="41"/>
  <c r="AS217" i="41"/>
  <c r="AQ217" i="41"/>
  <c r="AP217" i="41"/>
  <c r="AN217" i="41"/>
  <c r="AM217" i="41"/>
  <c r="AK217" i="41"/>
  <c r="AJ217" i="41"/>
  <c r="AH217" i="41"/>
  <c r="AG217" i="41"/>
  <c r="AE217" i="41"/>
  <c r="AD217" i="41"/>
  <c r="AB217" i="41"/>
  <c r="AA217" i="41"/>
  <c r="Y217" i="41"/>
  <c r="X217" i="41"/>
  <c r="V217" i="41"/>
  <c r="U217" i="41"/>
  <c r="S217" i="41"/>
  <c r="R217" i="41"/>
  <c r="P217" i="41"/>
  <c r="O217" i="41"/>
  <c r="M217" i="41"/>
  <c r="L217" i="41"/>
  <c r="J217" i="41"/>
  <c r="I217" i="41"/>
  <c r="G217" i="41"/>
  <c r="F217" i="41"/>
  <c r="DH216" i="41"/>
  <c r="DG216" i="41"/>
  <c r="DE216" i="41"/>
  <c r="DD216" i="41"/>
  <c r="DB216" i="41"/>
  <c r="DA216" i="41"/>
  <c r="CY216" i="41"/>
  <c r="CX216" i="41"/>
  <c r="CV216" i="41"/>
  <c r="CU216" i="41"/>
  <c r="CS216" i="41"/>
  <c r="CR216" i="41"/>
  <c r="CP216" i="41"/>
  <c r="CO216" i="41"/>
  <c r="CM216" i="41"/>
  <c r="CL216" i="41"/>
  <c r="CJ216" i="41"/>
  <c r="CI216" i="41"/>
  <c r="CG216" i="41"/>
  <c r="CF216" i="41"/>
  <c r="CD216" i="41"/>
  <c r="CC216" i="41"/>
  <c r="CA216" i="41"/>
  <c r="BZ216" i="41"/>
  <c r="BX216" i="41"/>
  <c r="BW216" i="41"/>
  <c r="BU216" i="41"/>
  <c r="BT216" i="41"/>
  <c r="BR216" i="41"/>
  <c r="BQ216" i="41"/>
  <c r="BO216" i="41"/>
  <c r="BN216" i="41"/>
  <c r="BL216" i="41"/>
  <c r="BK216" i="41"/>
  <c r="BI216" i="41"/>
  <c r="BH216" i="41"/>
  <c r="BF216" i="41"/>
  <c r="BE216" i="41"/>
  <c r="BC216" i="41"/>
  <c r="BB216" i="41"/>
  <c r="AZ216" i="41"/>
  <c r="AY216" i="41"/>
  <c r="AW216" i="41"/>
  <c r="AV216" i="41"/>
  <c r="AT216" i="41"/>
  <c r="AS216" i="41"/>
  <c r="AQ216" i="41"/>
  <c r="AP216" i="41"/>
  <c r="AN216" i="41"/>
  <c r="AM216" i="41"/>
  <c r="AK216" i="41"/>
  <c r="AJ216" i="41"/>
  <c r="AH216" i="41"/>
  <c r="AG216" i="41"/>
  <c r="AE216" i="41"/>
  <c r="AD216" i="41"/>
  <c r="AB216" i="41"/>
  <c r="AA216" i="41"/>
  <c r="Y216" i="41"/>
  <c r="X216" i="41"/>
  <c r="V216" i="41"/>
  <c r="U216" i="41"/>
  <c r="S216" i="41"/>
  <c r="R216" i="41"/>
  <c r="P216" i="41"/>
  <c r="O216" i="41"/>
  <c r="M216" i="41"/>
  <c r="L216" i="41"/>
  <c r="J216" i="41"/>
  <c r="I216" i="41"/>
  <c r="G216" i="41"/>
  <c r="F216" i="41"/>
  <c r="DH215" i="41"/>
  <c r="DG215" i="41"/>
  <c r="DE215" i="41"/>
  <c r="DD215" i="41"/>
  <c r="DB215" i="41"/>
  <c r="DA215" i="41"/>
  <c r="CY215" i="41"/>
  <c r="CX215" i="41"/>
  <c r="CV215" i="41"/>
  <c r="CU215" i="41"/>
  <c r="CS215" i="41"/>
  <c r="CR215" i="41"/>
  <c r="CP215" i="41"/>
  <c r="CO215" i="41"/>
  <c r="CM215" i="41"/>
  <c r="CL215" i="41"/>
  <c r="CJ215" i="41"/>
  <c r="CI215" i="41"/>
  <c r="CG215" i="41"/>
  <c r="CF215" i="41"/>
  <c r="CD215" i="41"/>
  <c r="CC215" i="41"/>
  <c r="CA215" i="41"/>
  <c r="BZ215" i="41"/>
  <c r="BX215" i="41"/>
  <c r="BW215" i="41"/>
  <c r="BU215" i="41"/>
  <c r="BT215" i="41"/>
  <c r="BR215" i="41"/>
  <c r="BQ215" i="41"/>
  <c r="BO215" i="41"/>
  <c r="BN215" i="41"/>
  <c r="BL215" i="41"/>
  <c r="BK215" i="41"/>
  <c r="BI215" i="41"/>
  <c r="BH215" i="41"/>
  <c r="BF215" i="41"/>
  <c r="BE215" i="41"/>
  <c r="BC215" i="41"/>
  <c r="BB215" i="41"/>
  <c r="AZ215" i="41"/>
  <c r="AY215" i="41"/>
  <c r="AW215" i="41"/>
  <c r="AV215" i="41"/>
  <c r="AT215" i="41"/>
  <c r="AS215" i="41"/>
  <c r="AQ215" i="41"/>
  <c r="AP215" i="41"/>
  <c r="AN215" i="41"/>
  <c r="AM215" i="41"/>
  <c r="AK215" i="41"/>
  <c r="AJ215" i="41"/>
  <c r="AH215" i="41"/>
  <c r="AG215" i="41"/>
  <c r="AE215" i="41"/>
  <c r="AD215" i="41"/>
  <c r="AB215" i="41"/>
  <c r="AA215" i="41"/>
  <c r="Y215" i="41"/>
  <c r="X215" i="41"/>
  <c r="V215" i="41"/>
  <c r="U215" i="41"/>
  <c r="S215" i="41"/>
  <c r="R215" i="41"/>
  <c r="P215" i="41"/>
  <c r="O215" i="41"/>
  <c r="M215" i="41"/>
  <c r="L215" i="41"/>
  <c r="J215" i="41"/>
  <c r="I215" i="41"/>
  <c r="G215" i="41"/>
  <c r="F215" i="41"/>
  <c r="DH214" i="41"/>
  <c r="DG214" i="41"/>
  <c r="DE214" i="41"/>
  <c r="DD214" i="41"/>
  <c r="DB214" i="41"/>
  <c r="DA214" i="41"/>
  <c r="CY214" i="41"/>
  <c r="CX214" i="41"/>
  <c r="CV214" i="41"/>
  <c r="CU214" i="41"/>
  <c r="CS214" i="41"/>
  <c r="CR214" i="41"/>
  <c r="CP214" i="41"/>
  <c r="CO214" i="41"/>
  <c r="CM214" i="41"/>
  <c r="CL214" i="41"/>
  <c r="CJ214" i="41"/>
  <c r="CI214" i="41"/>
  <c r="CG214" i="41"/>
  <c r="CF214" i="41"/>
  <c r="CD214" i="41"/>
  <c r="CC214" i="41"/>
  <c r="CA214" i="41"/>
  <c r="BZ214" i="41"/>
  <c r="BX214" i="41"/>
  <c r="BW214" i="41"/>
  <c r="BU214" i="41"/>
  <c r="BT214" i="41"/>
  <c r="BR214" i="41"/>
  <c r="BQ214" i="41"/>
  <c r="BO214" i="41"/>
  <c r="BN214" i="41"/>
  <c r="BL214" i="41"/>
  <c r="BK214" i="41"/>
  <c r="BI214" i="41"/>
  <c r="BH214" i="41"/>
  <c r="BF214" i="41"/>
  <c r="BE214" i="41"/>
  <c r="BC214" i="41"/>
  <c r="BB214" i="41"/>
  <c r="AZ214" i="41"/>
  <c r="AY214" i="41"/>
  <c r="AW214" i="41"/>
  <c r="AV214" i="41"/>
  <c r="AT214" i="41"/>
  <c r="AS214" i="41"/>
  <c r="AQ214" i="41"/>
  <c r="AP214" i="41"/>
  <c r="AN214" i="41"/>
  <c r="AM214" i="41"/>
  <c r="AK214" i="41"/>
  <c r="AJ214" i="41"/>
  <c r="AH214" i="41"/>
  <c r="AG214" i="41"/>
  <c r="AE214" i="41"/>
  <c r="AD214" i="41"/>
  <c r="AB214" i="41"/>
  <c r="AA214" i="41"/>
  <c r="Y214" i="41"/>
  <c r="X214" i="41"/>
  <c r="V214" i="41"/>
  <c r="U214" i="41"/>
  <c r="S214" i="41"/>
  <c r="R214" i="41"/>
  <c r="P214" i="41"/>
  <c r="O214" i="41"/>
  <c r="M214" i="41"/>
  <c r="L214" i="41"/>
  <c r="J214" i="41"/>
  <c r="I214" i="41"/>
  <c r="G214" i="41"/>
  <c r="F214" i="41"/>
  <c r="DH213" i="41"/>
  <c r="DG213" i="41"/>
  <c r="DE213" i="41"/>
  <c r="DD213" i="41"/>
  <c r="DB213" i="41"/>
  <c r="DA213" i="41"/>
  <c r="CY213" i="41"/>
  <c r="CX213" i="41"/>
  <c r="CV213" i="41"/>
  <c r="CU213" i="41"/>
  <c r="CS213" i="41"/>
  <c r="CR213" i="41"/>
  <c r="CP213" i="41"/>
  <c r="CO213" i="41"/>
  <c r="CM213" i="41"/>
  <c r="CL213" i="41"/>
  <c r="CJ213" i="41"/>
  <c r="CI213" i="41"/>
  <c r="CG213" i="41"/>
  <c r="CF213" i="41"/>
  <c r="CD213" i="41"/>
  <c r="CC213" i="41"/>
  <c r="CA213" i="41"/>
  <c r="BZ213" i="41"/>
  <c r="BX213" i="41"/>
  <c r="BW213" i="41"/>
  <c r="BU213" i="41"/>
  <c r="BT213" i="41"/>
  <c r="BR213" i="41"/>
  <c r="BQ213" i="41"/>
  <c r="BO213" i="41"/>
  <c r="BN213" i="41"/>
  <c r="BL213" i="41"/>
  <c r="BK213" i="41"/>
  <c r="BI213" i="41"/>
  <c r="BH213" i="41"/>
  <c r="BF213" i="41"/>
  <c r="BE213" i="41"/>
  <c r="BC213" i="41"/>
  <c r="BB213" i="41"/>
  <c r="AZ213" i="41"/>
  <c r="AY213" i="41"/>
  <c r="AW213" i="41"/>
  <c r="AV213" i="41"/>
  <c r="AT213" i="41"/>
  <c r="AS213" i="41"/>
  <c r="AQ213" i="41"/>
  <c r="AP213" i="41"/>
  <c r="AN213" i="41"/>
  <c r="AM213" i="41"/>
  <c r="AK213" i="41"/>
  <c r="AJ213" i="41"/>
  <c r="AH213" i="41"/>
  <c r="AG213" i="41"/>
  <c r="AE213" i="41"/>
  <c r="AD213" i="41"/>
  <c r="AB213" i="41"/>
  <c r="AA213" i="41"/>
  <c r="Y213" i="41"/>
  <c r="X213" i="41"/>
  <c r="V213" i="41"/>
  <c r="U213" i="41"/>
  <c r="S213" i="41"/>
  <c r="R213" i="41"/>
  <c r="P213" i="41"/>
  <c r="O213" i="41"/>
  <c r="M213" i="41"/>
  <c r="L213" i="41"/>
  <c r="J213" i="41"/>
  <c r="I213" i="41"/>
  <c r="G213" i="41"/>
  <c r="F213" i="41"/>
  <c r="DH212" i="41"/>
  <c r="DG212" i="41"/>
  <c r="DE212" i="41"/>
  <c r="DD212" i="41"/>
  <c r="DB212" i="41"/>
  <c r="DA212" i="41"/>
  <c r="CY212" i="41"/>
  <c r="CX212" i="41"/>
  <c r="CV212" i="41"/>
  <c r="CU212" i="41"/>
  <c r="CS212" i="41"/>
  <c r="CR212" i="41"/>
  <c r="CP212" i="41"/>
  <c r="CO212" i="41"/>
  <c r="CM212" i="41"/>
  <c r="CL212" i="41"/>
  <c r="CJ212" i="41"/>
  <c r="CI212" i="41"/>
  <c r="CG212" i="41"/>
  <c r="CF212" i="41"/>
  <c r="CD212" i="41"/>
  <c r="CC212" i="41"/>
  <c r="CA212" i="41"/>
  <c r="BZ212" i="41"/>
  <c r="BX212" i="41"/>
  <c r="BW212" i="41"/>
  <c r="BU212" i="41"/>
  <c r="BT212" i="41"/>
  <c r="BR212" i="41"/>
  <c r="BQ212" i="41"/>
  <c r="BO212" i="41"/>
  <c r="BN212" i="41"/>
  <c r="BL212" i="41"/>
  <c r="BK212" i="41"/>
  <c r="BI212" i="41"/>
  <c r="BH212" i="41"/>
  <c r="BF212" i="41"/>
  <c r="BE212" i="41"/>
  <c r="BC212" i="41"/>
  <c r="BB212" i="41"/>
  <c r="AZ212" i="41"/>
  <c r="AY212" i="41"/>
  <c r="AW212" i="41"/>
  <c r="AV212" i="41"/>
  <c r="AT212" i="41"/>
  <c r="AS212" i="41"/>
  <c r="AQ212" i="41"/>
  <c r="AP212" i="41"/>
  <c r="AN212" i="41"/>
  <c r="AM212" i="41"/>
  <c r="AK212" i="41"/>
  <c r="AJ212" i="41"/>
  <c r="AH212" i="41"/>
  <c r="AG212" i="41"/>
  <c r="AE212" i="41"/>
  <c r="AD212" i="41"/>
  <c r="AB212" i="41"/>
  <c r="AA212" i="41"/>
  <c r="Y212" i="41"/>
  <c r="X212" i="41"/>
  <c r="V212" i="41"/>
  <c r="U212" i="41"/>
  <c r="S212" i="41"/>
  <c r="R212" i="41"/>
  <c r="P212" i="41"/>
  <c r="O212" i="41"/>
  <c r="M212" i="41"/>
  <c r="L212" i="41"/>
  <c r="J212" i="41"/>
  <c r="I212" i="41"/>
  <c r="G212" i="41"/>
  <c r="F212" i="41"/>
  <c r="DH211" i="41"/>
  <c r="DG211" i="41"/>
  <c r="DE211" i="41"/>
  <c r="DD211" i="41"/>
  <c r="DB211" i="41"/>
  <c r="DA211" i="41"/>
  <c r="CY211" i="41"/>
  <c r="CX211" i="41"/>
  <c r="CV211" i="41"/>
  <c r="CU211" i="41"/>
  <c r="CS211" i="41"/>
  <c r="CR211" i="41"/>
  <c r="CP211" i="41"/>
  <c r="CO211" i="41"/>
  <c r="CM211" i="41"/>
  <c r="CL211" i="41"/>
  <c r="CJ211" i="41"/>
  <c r="CI211" i="41"/>
  <c r="CG211" i="41"/>
  <c r="CF211" i="41"/>
  <c r="CD211" i="41"/>
  <c r="CC211" i="41"/>
  <c r="CA211" i="41"/>
  <c r="BZ211" i="41"/>
  <c r="BX211" i="41"/>
  <c r="BW211" i="41"/>
  <c r="BU211" i="41"/>
  <c r="BT211" i="41"/>
  <c r="BR211" i="41"/>
  <c r="BQ211" i="41"/>
  <c r="BO211" i="41"/>
  <c r="BN211" i="41"/>
  <c r="BL211" i="41"/>
  <c r="BK211" i="41"/>
  <c r="BI211" i="41"/>
  <c r="BH211" i="41"/>
  <c r="BF211" i="41"/>
  <c r="BE211" i="41"/>
  <c r="BC211" i="41"/>
  <c r="BB211" i="41"/>
  <c r="AZ211" i="41"/>
  <c r="AY211" i="41"/>
  <c r="AW211" i="41"/>
  <c r="AV211" i="41"/>
  <c r="AT211" i="41"/>
  <c r="AS211" i="41"/>
  <c r="AQ211" i="41"/>
  <c r="AP211" i="41"/>
  <c r="AN211" i="41"/>
  <c r="AM211" i="41"/>
  <c r="AK211" i="41"/>
  <c r="AJ211" i="41"/>
  <c r="AH211" i="41"/>
  <c r="AG211" i="41"/>
  <c r="AE211" i="41"/>
  <c r="AD211" i="41"/>
  <c r="AB211" i="41"/>
  <c r="AA211" i="41"/>
  <c r="Y211" i="41"/>
  <c r="X211" i="41"/>
  <c r="V211" i="41"/>
  <c r="U211" i="41"/>
  <c r="S211" i="41"/>
  <c r="R211" i="41"/>
  <c r="P211" i="41"/>
  <c r="O211" i="41"/>
  <c r="M211" i="41"/>
  <c r="L211" i="41"/>
  <c r="J211" i="41"/>
  <c r="I211" i="41"/>
  <c r="G211" i="41"/>
  <c r="F211" i="41"/>
  <c r="E206" i="41"/>
  <c r="D206" i="41"/>
  <c r="C206" i="41"/>
  <c r="DI205" i="41"/>
  <c r="DH205" i="41"/>
  <c r="DG205" i="41"/>
  <c r="DF205" i="41"/>
  <c r="DE205" i="41"/>
  <c r="DD205" i="41"/>
  <c r="DC205" i="41"/>
  <c r="DB205" i="41"/>
  <c r="DA205" i="41"/>
  <c r="CZ205" i="41"/>
  <c r="CY205" i="41"/>
  <c r="CX205" i="41"/>
  <c r="CW205" i="41"/>
  <c r="CV205" i="41"/>
  <c r="CU205" i="41"/>
  <c r="CT205" i="41"/>
  <c r="CS205" i="41"/>
  <c r="CR205" i="41"/>
  <c r="CQ205" i="41"/>
  <c r="CP205" i="41"/>
  <c r="CO205" i="41"/>
  <c r="CN205" i="41"/>
  <c r="CM205" i="41"/>
  <c r="CL205" i="41"/>
  <c r="CK205" i="41"/>
  <c r="CJ205" i="41"/>
  <c r="CI205" i="41"/>
  <c r="CH205" i="41"/>
  <c r="CG205" i="41"/>
  <c r="CF205" i="41"/>
  <c r="CE205" i="41"/>
  <c r="CD205" i="41"/>
  <c r="CC205" i="41"/>
  <c r="CB205" i="41" a="1"/>
  <c r="CB205" i="41" s="1"/>
  <c r="CA205" i="41" a="1"/>
  <c r="CA205" i="41" s="1"/>
  <c r="BZ205" i="41"/>
  <c r="BY205" i="41"/>
  <c r="BX205" i="41"/>
  <c r="BW205" i="41"/>
  <c r="BV205" i="41"/>
  <c r="BU205" i="41"/>
  <c r="BT205" i="41"/>
  <c r="BS205" i="41"/>
  <c r="BR205" i="41"/>
  <c r="BQ205" i="41"/>
  <c r="BP205" i="41"/>
  <c r="BO205" i="41"/>
  <c r="BN205" i="41"/>
  <c r="BM205" i="41"/>
  <c r="BL205" i="41"/>
  <c r="BK205" i="41"/>
  <c r="BJ205" i="41"/>
  <c r="BI205" i="41"/>
  <c r="BH205" i="41"/>
  <c r="BG205" i="41"/>
  <c r="BF205" i="41"/>
  <c r="BE205" i="41"/>
  <c r="BD205" i="41"/>
  <c r="BC205" i="41"/>
  <c r="BB205" i="41"/>
  <c r="BA205" i="41"/>
  <c r="AZ205" i="41"/>
  <c r="AY205" i="41"/>
  <c r="AX205" i="41"/>
  <c r="AW205" i="41"/>
  <c r="AV205" i="41"/>
  <c r="AU205" i="41"/>
  <c r="AT205" i="41"/>
  <c r="AS205" i="41"/>
  <c r="AR205" i="41"/>
  <c r="AQ205" i="41"/>
  <c r="AP205" i="41"/>
  <c r="AO205" i="41"/>
  <c r="AN205" i="41"/>
  <c r="AM205" i="41"/>
  <c r="AL205" i="41"/>
  <c r="AK205" i="41"/>
  <c r="AJ205" i="41"/>
  <c r="AI205" i="41"/>
  <c r="AH205" i="41"/>
  <c r="AG205" i="41"/>
  <c r="AF205" i="41"/>
  <c r="AE205" i="41"/>
  <c r="AD205" i="41"/>
  <c r="AC205" i="41"/>
  <c r="AB205" i="41"/>
  <c r="AA205" i="41"/>
  <c r="Z205" i="41"/>
  <c r="Y205" i="41"/>
  <c r="X205" i="41"/>
  <c r="W205" i="41"/>
  <c r="V205" i="41"/>
  <c r="U205" i="41"/>
  <c r="T205" i="41"/>
  <c r="S205" i="41"/>
  <c r="R205" i="41"/>
  <c r="Q205" i="41"/>
  <c r="P205" i="41"/>
  <c r="O205" i="41"/>
  <c r="N205" i="41"/>
  <c r="M205" i="41"/>
  <c r="L205" i="41"/>
  <c r="K205" i="41"/>
  <c r="J205" i="41"/>
  <c r="I205" i="41"/>
  <c r="H205" i="41"/>
  <c r="G205" i="41"/>
  <c r="F205" i="41"/>
  <c r="DI204" i="41"/>
  <c r="DH204" i="41"/>
  <c r="DG204" i="41"/>
  <c r="DF204" i="41"/>
  <c r="DE204" i="41"/>
  <c r="DD204" i="41"/>
  <c r="DC204" i="41"/>
  <c r="DB204" i="41"/>
  <c r="DA204" i="41"/>
  <c r="CZ204" i="41"/>
  <c r="CY204" i="41"/>
  <c r="CX204" i="41"/>
  <c r="CW204" i="41"/>
  <c r="CV204" i="41"/>
  <c r="CU204" i="41"/>
  <c r="CT204" i="41"/>
  <c r="CS204" i="41"/>
  <c r="CR204" i="41"/>
  <c r="CQ204" i="41"/>
  <c r="CP204" i="41"/>
  <c r="CO204" i="41"/>
  <c r="CN204" i="41"/>
  <c r="CM204" i="41"/>
  <c r="CL204" i="41"/>
  <c r="CK204" i="41"/>
  <c r="CJ204" i="41"/>
  <c r="CI204" i="41"/>
  <c r="CH204" i="41"/>
  <c r="CG204" i="41"/>
  <c r="CF204" i="41"/>
  <c r="CE204" i="41"/>
  <c r="CD204" i="41"/>
  <c r="CC204" i="41"/>
  <c r="CB204" i="41" a="1"/>
  <c r="CB204" i="41" s="1"/>
  <c r="CA204" i="41" a="1"/>
  <c r="CA204" i="41" s="1"/>
  <c r="BZ204" i="41"/>
  <c r="BY204" i="41"/>
  <c r="BX204" i="41"/>
  <c r="BW204" i="41"/>
  <c r="BV204" i="41"/>
  <c r="BU204" i="41"/>
  <c r="BT204" i="41"/>
  <c r="BS204" i="41"/>
  <c r="BR204" i="41"/>
  <c r="BQ204" i="41"/>
  <c r="BP204" i="41"/>
  <c r="BO204" i="41"/>
  <c r="BN204" i="41"/>
  <c r="BM204" i="41"/>
  <c r="BL204" i="41"/>
  <c r="BK204" i="41"/>
  <c r="BJ204" i="41"/>
  <c r="BI204" i="41"/>
  <c r="BH204" i="41"/>
  <c r="BG204" i="41"/>
  <c r="BF204" i="41"/>
  <c r="BE204" i="41"/>
  <c r="BD204" i="41"/>
  <c r="BC204" i="41"/>
  <c r="BB204" i="41"/>
  <c r="BA204" i="41"/>
  <c r="AZ204" i="41"/>
  <c r="AY204" i="41"/>
  <c r="AX204" i="41"/>
  <c r="AW204" i="41"/>
  <c r="AV204" i="41"/>
  <c r="AU204" i="41"/>
  <c r="AT204" i="41"/>
  <c r="AS204" i="41"/>
  <c r="AR204" i="41"/>
  <c r="AQ204" i="41"/>
  <c r="AP204" i="41"/>
  <c r="AO204" i="41"/>
  <c r="AN204" i="41"/>
  <c r="AM204" i="41"/>
  <c r="AL204" i="41"/>
  <c r="AK204" i="41"/>
  <c r="AJ204" i="41"/>
  <c r="AI204" i="41"/>
  <c r="AH204" i="41"/>
  <c r="AG204" i="41"/>
  <c r="AF204" i="41"/>
  <c r="AE204" i="41"/>
  <c r="AD204" i="41"/>
  <c r="AC204" i="41"/>
  <c r="AB204" i="41"/>
  <c r="AA204" i="41"/>
  <c r="Z204" i="41"/>
  <c r="Y204" i="41"/>
  <c r="X204" i="41"/>
  <c r="W204" i="41"/>
  <c r="V204" i="41"/>
  <c r="U204" i="41"/>
  <c r="T204" i="41"/>
  <c r="S204" i="41"/>
  <c r="R204" i="41"/>
  <c r="Q204" i="41"/>
  <c r="P204" i="41"/>
  <c r="O204" i="41"/>
  <c r="N204" i="41"/>
  <c r="M204" i="41"/>
  <c r="L204" i="41"/>
  <c r="K204" i="41"/>
  <c r="J204" i="41"/>
  <c r="I204" i="41"/>
  <c r="H204" i="41"/>
  <c r="G204" i="41"/>
  <c r="F204" i="41"/>
  <c r="DI203" i="41"/>
  <c r="DH203" i="41"/>
  <c r="DG203" i="41"/>
  <c r="DF203" i="41"/>
  <c r="DE203" i="41"/>
  <c r="DD203" i="41"/>
  <c r="DC203" i="41"/>
  <c r="DB203" i="41"/>
  <c r="DA203" i="41"/>
  <c r="CZ203" i="41"/>
  <c r="CY203" i="41"/>
  <c r="CX203" i="41"/>
  <c r="CW203" i="41"/>
  <c r="CV203" i="41"/>
  <c r="CU203" i="41"/>
  <c r="CT203" i="41"/>
  <c r="CS203" i="41"/>
  <c r="CR203" i="41"/>
  <c r="CQ203" i="41"/>
  <c r="CP203" i="41"/>
  <c r="CO203" i="41"/>
  <c r="CN203" i="41"/>
  <c r="CM203" i="41"/>
  <c r="CL203" i="41"/>
  <c r="CK203" i="41"/>
  <c r="CJ203" i="41"/>
  <c r="CI203" i="41"/>
  <c r="CH203" i="41"/>
  <c r="CG203" i="41"/>
  <c r="CF203" i="41"/>
  <c r="CE203" i="41"/>
  <c r="CD203" i="41"/>
  <c r="CC203" i="41"/>
  <c r="CB203" i="41" a="1"/>
  <c r="CB203" i="41" s="1"/>
  <c r="CA203" i="41" a="1"/>
  <c r="CA203" i="41" s="1"/>
  <c r="BZ203" i="41"/>
  <c r="BY203" i="41"/>
  <c r="BX203" i="41"/>
  <c r="BW203" i="41"/>
  <c r="BV203" i="41"/>
  <c r="BU203" i="41"/>
  <c r="BT203" i="41"/>
  <c r="BS203" i="41"/>
  <c r="BR203" i="41"/>
  <c r="BQ203" i="41"/>
  <c r="BP203" i="41"/>
  <c r="BO203" i="41"/>
  <c r="BN203" i="41"/>
  <c r="BM203" i="41"/>
  <c r="BL203" i="41"/>
  <c r="BK203" i="41"/>
  <c r="BJ203" i="41"/>
  <c r="BI203" i="41"/>
  <c r="BH203" i="41"/>
  <c r="BG203" i="41"/>
  <c r="BF203" i="41"/>
  <c r="BE203" i="41"/>
  <c r="BD203" i="41"/>
  <c r="BC203" i="41"/>
  <c r="BB203" i="41"/>
  <c r="BA203" i="41"/>
  <c r="AZ203" i="41"/>
  <c r="AY203" i="41"/>
  <c r="AX203" i="41"/>
  <c r="AW203" i="41"/>
  <c r="AV203" i="41"/>
  <c r="AU203" i="41"/>
  <c r="AT203" i="41"/>
  <c r="AS203" i="41"/>
  <c r="AR203" i="41"/>
  <c r="AQ203" i="41"/>
  <c r="AP203" i="41"/>
  <c r="AO203" i="41"/>
  <c r="AN203" i="41"/>
  <c r="AM203" i="41"/>
  <c r="AL203" i="41"/>
  <c r="AK203" i="41"/>
  <c r="AJ203" i="41"/>
  <c r="AI203" i="41"/>
  <c r="AH203" i="41"/>
  <c r="AG203" i="41"/>
  <c r="AF203" i="41"/>
  <c r="AE203" i="41"/>
  <c r="AD203" i="41"/>
  <c r="AC203" i="41"/>
  <c r="AB203" i="41"/>
  <c r="AA203" i="41"/>
  <c r="Z203" i="41"/>
  <c r="Y203" i="41"/>
  <c r="X203" i="41"/>
  <c r="W203" i="41"/>
  <c r="V203" i="41"/>
  <c r="U203" i="41"/>
  <c r="T203" i="41"/>
  <c r="S203" i="41"/>
  <c r="R203" i="41"/>
  <c r="Q203" i="41"/>
  <c r="P203" i="41"/>
  <c r="O203" i="41"/>
  <c r="N203" i="41"/>
  <c r="M203" i="41"/>
  <c r="L203" i="41"/>
  <c r="K203" i="41"/>
  <c r="J203" i="41"/>
  <c r="I203" i="41"/>
  <c r="H203" i="41"/>
  <c r="G203" i="41"/>
  <c r="F203" i="41"/>
  <c r="DI202" i="41"/>
  <c r="DH202" i="41"/>
  <c r="DG202" i="41"/>
  <c r="DF202" i="41"/>
  <c r="DE202" i="41"/>
  <c r="DD202" i="41"/>
  <c r="DC202" i="41"/>
  <c r="DB202" i="41"/>
  <c r="DA202" i="41"/>
  <c r="CZ202" i="41"/>
  <c r="CY202" i="41"/>
  <c r="CX202" i="41"/>
  <c r="CW202" i="41"/>
  <c r="CV202" i="41"/>
  <c r="CU202" i="41"/>
  <c r="CT202" i="41"/>
  <c r="CS202" i="41"/>
  <c r="CR202" i="41"/>
  <c r="CQ202" i="41"/>
  <c r="CP202" i="41"/>
  <c r="CO202" i="41"/>
  <c r="CN202" i="41"/>
  <c r="CM202" i="41"/>
  <c r="CL202" i="41"/>
  <c r="CK202" i="41"/>
  <c r="CJ202" i="41"/>
  <c r="CI202" i="41"/>
  <c r="CH202" i="41"/>
  <c r="CG202" i="41"/>
  <c r="CF202" i="41"/>
  <c r="CE202" i="41"/>
  <c r="CD202" i="41"/>
  <c r="CC202" i="41"/>
  <c r="CB202" i="41" a="1"/>
  <c r="CB202" i="41" s="1"/>
  <c r="CA202" i="41" a="1"/>
  <c r="CA202" i="41" s="1"/>
  <c r="BZ202" i="41"/>
  <c r="BY202" i="41"/>
  <c r="BX202" i="41"/>
  <c r="BW202" i="41"/>
  <c r="BV202" i="41"/>
  <c r="BU202" i="41"/>
  <c r="BT202" i="41"/>
  <c r="BS202" i="41"/>
  <c r="BR202" i="41"/>
  <c r="BQ202" i="41"/>
  <c r="BP202" i="41"/>
  <c r="BO202" i="41"/>
  <c r="BN202" i="41"/>
  <c r="BM202" i="41"/>
  <c r="BL202" i="41"/>
  <c r="BK202" i="41"/>
  <c r="BJ202" i="41"/>
  <c r="BI202" i="41"/>
  <c r="BH202" i="41"/>
  <c r="BG202" i="41"/>
  <c r="BF202" i="41"/>
  <c r="BE202" i="41"/>
  <c r="BD202" i="41"/>
  <c r="BC202" i="41"/>
  <c r="BB202" i="41"/>
  <c r="BA202" i="41"/>
  <c r="AZ202" i="41"/>
  <c r="AY202" i="41"/>
  <c r="AX202" i="41"/>
  <c r="AW202" i="41"/>
  <c r="AV202" i="41"/>
  <c r="AU202" i="41"/>
  <c r="AT202" i="41"/>
  <c r="AS202" i="41"/>
  <c r="AR202" i="41"/>
  <c r="AQ202" i="41"/>
  <c r="AP202" i="41"/>
  <c r="AO202" i="41"/>
  <c r="AN202" i="41"/>
  <c r="AM202" i="41"/>
  <c r="AL202" i="41"/>
  <c r="AK202" i="41"/>
  <c r="AJ202" i="41"/>
  <c r="AI202" i="41"/>
  <c r="AH202" i="41"/>
  <c r="AG202" i="41"/>
  <c r="AF202" i="41"/>
  <c r="AE202" i="41"/>
  <c r="AD202" i="41"/>
  <c r="AC202" i="41"/>
  <c r="AB202" i="41"/>
  <c r="AA202" i="41"/>
  <c r="Z202" i="41"/>
  <c r="Y202" i="41"/>
  <c r="X202" i="41"/>
  <c r="W202" i="41"/>
  <c r="V202" i="41"/>
  <c r="U202" i="41"/>
  <c r="T202" i="41"/>
  <c r="S202" i="41"/>
  <c r="R202" i="41"/>
  <c r="Q202" i="41"/>
  <c r="P202" i="41"/>
  <c r="O202" i="41"/>
  <c r="N202" i="41"/>
  <c r="M202" i="41"/>
  <c r="L202" i="41"/>
  <c r="K202" i="41"/>
  <c r="J202" i="41"/>
  <c r="I202" i="41"/>
  <c r="H202" i="41"/>
  <c r="G202" i="41"/>
  <c r="F202" i="41"/>
  <c r="DI201" i="41"/>
  <c r="DH201" i="41"/>
  <c r="DG201" i="41"/>
  <c r="DF201" i="41"/>
  <c r="DE201" i="41"/>
  <c r="DD201" i="41"/>
  <c r="DC201" i="41"/>
  <c r="DB201" i="41"/>
  <c r="DA201" i="41"/>
  <c r="CZ201" i="41"/>
  <c r="CY201" i="41"/>
  <c r="CX201" i="41"/>
  <c r="CW201" i="41"/>
  <c r="CV201" i="41"/>
  <c r="CU201" i="41"/>
  <c r="CT201" i="41"/>
  <c r="CS201" i="41"/>
  <c r="CR201" i="41"/>
  <c r="CQ201" i="41"/>
  <c r="CP201" i="41"/>
  <c r="CO201" i="41"/>
  <c r="CN201" i="41"/>
  <c r="CM201" i="41"/>
  <c r="CL201" i="41"/>
  <c r="CK201" i="41"/>
  <c r="CJ201" i="41"/>
  <c r="CI201" i="41"/>
  <c r="CH201" i="41"/>
  <c r="CG201" i="41"/>
  <c r="CF201" i="41"/>
  <c r="CE201" i="41"/>
  <c r="CD201" i="41"/>
  <c r="CC201" i="41"/>
  <c r="CB201" i="41" a="1"/>
  <c r="CB201" i="41" s="1"/>
  <c r="CA201" i="41" a="1"/>
  <c r="CA201" i="41" s="1"/>
  <c r="BZ201" i="41"/>
  <c r="BY201" i="41"/>
  <c r="BX201" i="41"/>
  <c r="BW201" i="41"/>
  <c r="BV201" i="41"/>
  <c r="BU201" i="41"/>
  <c r="BT201" i="41"/>
  <c r="BS201" i="41"/>
  <c r="BR201" i="41"/>
  <c r="BQ201" i="41"/>
  <c r="BP201" i="41"/>
  <c r="BO201" i="41"/>
  <c r="BN201" i="41"/>
  <c r="BM201" i="41"/>
  <c r="BL201" i="41"/>
  <c r="BK201" i="41"/>
  <c r="BJ201" i="41"/>
  <c r="BI201" i="41"/>
  <c r="BH201" i="41"/>
  <c r="BG201" i="41"/>
  <c r="BF201" i="41"/>
  <c r="BE201" i="41"/>
  <c r="BD201" i="41"/>
  <c r="BC201" i="41"/>
  <c r="BB201" i="41"/>
  <c r="BA201" i="41"/>
  <c r="AZ201" i="41"/>
  <c r="AY201" i="41"/>
  <c r="AX201" i="41"/>
  <c r="AW201" i="41"/>
  <c r="AV201" i="41"/>
  <c r="AU201" i="41"/>
  <c r="AT201" i="41"/>
  <c r="AS201" i="41"/>
  <c r="AR201" i="41"/>
  <c r="AQ201" i="41"/>
  <c r="AP201" i="41"/>
  <c r="AO201" i="41"/>
  <c r="AN201" i="41"/>
  <c r="AM201" i="41"/>
  <c r="AL201" i="41"/>
  <c r="AK201" i="41"/>
  <c r="AJ201" i="41"/>
  <c r="AI201" i="41"/>
  <c r="AH201" i="41"/>
  <c r="AG201" i="41"/>
  <c r="AF201" i="41"/>
  <c r="AE201" i="41"/>
  <c r="AD201" i="41"/>
  <c r="AC201" i="41"/>
  <c r="AB201" i="41"/>
  <c r="AA201" i="41"/>
  <c r="Z201" i="41"/>
  <c r="Y201" i="41"/>
  <c r="X201" i="41"/>
  <c r="W201" i="41"/>
  <c r="V201" i="41"/>
  <c r="U201" i="41"/>
  <c r="T201" i="41"/>
  <c r="S201" i="41"/>
  <c r="R201" i="41"/>
  <c r="Q201" i="41"/>
  <c r="P201" i="41"/>
  <c r="O201" i="41"/>
  <c r="N201" i="41"/>
  <c r="M201" i="41"/>
  <c r="L201" i="41"/>
  <c r="K201" i="41"/>
  <c r="J201" i="41"/>
  <c r="I201" i="41"/>
  <c r="H201" i="41"/>
  <c r="G201" i="41"/>
  <c r="F201" i="41"/>
  <c r="DI200" i="41"/>
  <c r="DH200" i="41"/>
  <c r="DG200" i="41"/>
  <c r="DF200" i="41"/>
  <c r="DE200" i="41"/>
  <c r="DD200" i="41"/>
  <c r="DC200" i="41"/>
  <c r="DB200" i="41"/>
  <c r="DA200" i="41"/>
  <c r="CZ200" i="41"/>
  <c r="CY200" i="41"/>
  <c r="CX200" i="41"/>
  <c r="CW200" i="41"/>
  <c r="CV200" i="41"/>
  <c r="CU200" i="41"/>
  <c r="CT200" i="41"/>
  <c r="CS200" i="41"/>
  <c r="CR200" i="41"/>
  <c r="CQ200" i="41"/>
  <c r="CP200" i="41"/>
  <c r="CO200" i="41"/>
  <c r="CN200" i="41"/>
  <c r="CM200" i="41"/>
  <c r="CL200" i="41"/>
  <c r="CK200" i="41"/>
  <c r="CJ200" i="41"/>
  <c r="CI200" i="41"/>
  <c r="CH200" i="41"/>
  <c r="CG200" i="41"/>
  <c r="CF200" i="41"/>
  <c r="CE200" i="41"/>
  <c r="CD200" i="41"/>
  <c r="CC200" i="41"/>
  <c r="CB200" i="41" a="1"/>
  <c r="CB200" i="41" s="1"/>
  <c r="CA200" i="41" a="1"/>
  <c r="CA200" i="41" s="1"/>
  <c r="BZ200" i="41"/>
  <c r="BY200" i="41"/>
  <c r="BX200" i="41"/>
  <c r="BW200" i="41"/>
  <c r="BV200" i="41"/>
  <c r="BU200" i="41"/>
  <c r="BT200" i="41"/>
  <c r="BS200" i="41"/>
  <c r="BR200" i="41"/>
  <c r="BQ200" i="41"/>
  <c r="BP200" i="41"/>
  <c r="BO200" i="41"/>
  <c r="BN200" i="41"/>
  <c r="BM200" i="41"/>
  <c r="BL200" i="41"/>
  <c r="BK200" i="41"/>
  <c r="BJ200" i="41"/>
  <c r="BI200" i="41"/>
  <c r="BH200" i="41"/>
  <c r="BG200" i="41"/>
  <c r="BF200" i="41"/>
  <c r="BE200" i="41"/>
  <c r="BD200" i="41"/>
  <c r="BC200" i="41"/>
  <c r="BB200" i="41"/>
  <c r="BA200" i="41"/>
  <c r="AZ200" i="41"/>
  <c r="AY200" i="41"/>
  <c r="AX200" i="41"/>
  <c r="AW200" i="41"/>
  <c r="AV200" i="41"/>
  <c r="AU200" i="41"/>
  <c r="AT200" i="41"/>
  <c r="AS200" i="41"/>
  <c r="AR200" i="41"/>
  <c r="AQ200" i="41"/>
  <c r="AP200" i="41"/>
  <c r="AO200" i="41"/>
  <c r="AN200" i="41"/>
  <c r="AM200" i="41"/>
  <c r="AL200" i="41"/>
  <c r="AK200" i="41"/>
  <c r="AJ200" i="41"/>
  <c r="AI200" i="41"/>
  <c r="AH200" i="41"/>
  <c r="AG200" i="41"/>
  <c r="AF200" i="41"/>
  <c r="AE200" i="41"/>
  <c r="AD200" i="41"/>
  <c r="AC200" i="41"/>
  <c r="AB200" i="41"/>
  <c r="AA200" i="41"/>
  <c r="Z200" i="41"/>
  <c r="Y200" i="41"/>
  <c r="X200" i="41"/>
  <c r="W200" i="41"/>
  <c r="V200" i="41"/>
  <c r="U200" i="41"/>
  <c r="T200" i="41"/>
  <c r="S200" i="41"/>
  <c r="R200" i="41"/>
  <c r="Q200" i="41"/>
  <c r="P200" i="41"/>
  <c r="O200" i="41"/>
  <c r="N200" i="41"/>
  <c r="M200" i="41"/>
  <c r="L200" i="41"/>
  <c r="K200" i="41"/>
  <c r="J200" i="41"/>
  <c r="I200" i="41"/>
  <c r="H200" i="41"/>
  <c r="G200" i="41"/>
  <c r="F200" i="41"/>
  <c r="DI199" i="41"/>
  <c r="DH199" i="41"/>
  <c r="DG199" i="41"/>
  <c r="DF199" i="41"/>
  <c r="DE199" i="41"/>
  <c r="DD199" i="41"/>
  <c r="DC199" i="41"/>
  <c r="DB199" i="41"/>
  <c r="DA199" i="41"/>
  <c r="CZ199" i="41"/>
  <c r="CY199" i="41"/>
  <c r="CX199" i="41"/>
  <c r="CW199" i="41"/>
  <c r="CV199" i="41"/>
  <c r="CU199" i="41"/>
  <c r="CT199" i="41"/>
  <c r="CS199" i="41"/>
  <c r="CR199" i="41"/>
  <c r="CQ199" i="41"/>
  <c r="CP199" i="41"/>
  <c r="CO199" i="41"/>
  <c r="CN199" i="41"/>
  <c r="CM199" i="41"/>
  <c r="CL199" i="41"/>
  <c r="CK199" i="41"/>
  <c r="CJ199" i="41"/>
  <c r="CI199" i="41"/>
  <c r="CH199" i="41"/>
  <c r="CG199" i="41"/>
  <c r="CF199" i="41"/>
  <c r="CE199" i="41"/>
  <c r="CD199" i="41"/>
  <c r="CC199" i="41"/>
  <c r="CB199" i="41" a="1"/>
  <c r="CB199" i="41" s="1"/>
  <c r="CA199" i="41" a="1"/>
  <c r="CA199" i="41" s="1"/>
  <c r="BZ199" i="41"/>
  <c r="BY199" i="41"/>
  <c r="BX199" i="41"/>
  <c r="BW199" i="41"/>
  <c r="BV199" i="41"/>
  <c r="BU199" i="41"/>
  <c r="BT199" i="41"/>
  <c r="BS199" i="41"/>
  <c r="BR199" i="41"/>
  <c r="BQ199" i="41"/>
  <c r="BP199" i="41"/>
  <c r="BO199" i="41"/>
  <c r="BN199" i="41"/>
  <c r="BM199" i="41"/>
  <c r="BL199" i="41"/>
  <c r="BK199" i="41"/>
  <c r="BJ199" i="41"/>
  <c r="BI199" i="41"/>
  <c r="BH199" i="41"/>
  <c r="BG199" i="41"/>
  <c r="BF199" i="41"/>
  <c r="BE199" i="41"/>
  <c r="BD199" i="41"/>
  <c r="BC199" i="41"/>
  <c r="BB199" i="41"/>
  <c r="BA199" i="41"/>
  <c r="AZ199" i="41"/>
  <c r="AY199" i="41"/>
  <c r="AX199" i="41"/>
  <c r="AW199" i="41"/>
  <c r="AV199" i="41"/>
  <c r="AU199" i="41"/>
  <c r="AT199" i="41"/>
  <c r="AS199" i="41"/>
  <c r="AR199" i="41"/>
  <c r="AQ199" i="41"/>
  <c r="AP199" i="41"/>
  <c r="AO199" i="41"/>
  <c r="AN199" i="41"/>
  <c r="AM199" i="41"/>
  <c r="AL199" i="41"/>
  <c r="AK199" i="41"/>
  <c r="AJ199" i="41"/>
  <c r="AI199" i="41"/>
  <c r="AH199" i="41"/>
  <c r="AG199" i="41"/>
  <c r="AF199" i="41"/>
  <c r="AE199" i="41"/>
  <c r="AD199" i="41"/>
  <c r="AC199" i="41"/>
  <c r="AB199" i="41"/>
  <c r="AA199" i="41"/>
  <c r="Z199" i="41"/>
  <c r="Y199" i="41"/>
  <c r="X199" i="41"/>
  <c r="W199" i="41"/>
  <c r="V199" i="41"/>
  <c r="U199" i="41"/>
  <c r="T199" i="41"/>
  <c r="S199" i="41"/>
  <c r="R199" i="41"/>
  <c r="Q199" i="41"/>
  <c r="P199" i="41"/>
  <c r="O199" i="41"/>
  <c r="N199" i="41"/>
  <c r="M199" i="41"/>
  <c r="L199" i="41"/>
  <c r="K199" i="41"/>
  <c r="J199" i="41"/>
  <c r="I199" i="41"/>
  <c r="H199" i="41"/>
  <c r="G199" i="41"/>
  <c r="F199" i="41"/>
  <c r="DI198" i="41"/>
  <c r="DH198" i="41"/>
  <c r="DG198" i="41"/>
  <c r="DF198" i="41"/>
  <c r="DE198" i="41"/>
  <c r="DD198" i="41"/>
  <c r="DC198" i="41"/>
  <c r="DB198" i="41"/>
  <c r="DA198" i="41"/>
  <c r="CZ198" i="41"/>
  <c r="CY198" i="41"/>
  <c r="CX198" i="41"/>
  <c r="CW198" i="41"/>
  <c r="CV198" i="41"/>
  <c r="CU198" i="41"/>
  <c r="CT198" i="41"/>
  <c r="CS198" i="41"/>
  <c r="CR198" i="41"/>
  <c r="CQ198" i="41"/>
  <c r="CP198" i="41"/>
  <c r="CO198" i="41"/>
  <c r="CN198" i="41"/>
  <c r="CM198" i="41"/>
  <c r="CL198" i="41"/>
  <c r="CK198" i="41"/>
  <c r="CJ198" i="41"/>
  <c r="CI198" i="41"/>
  <c r="CH198" i="41"/>
  <c r="CG198" i="41"/>
  <c r="CF198" i="41"/>
  <c r="CE198" i="41"/>
  <c r="CD198" i="41"/>
  <c r="CC198" i="41"/>
  <c r="CB198" i="41" a="1"/>
  <c r="CB198" i="41" s="1"/>
  <c r="CA198" i="41" a="1"/>
  <c r="CA198" i="41" s="1"/>
  <c r="BZ198" i="41"/>
  <c r="BY198" i="41"/>
  <c r="BX198" i="41"/>
  <c r="BW198" i="41"/>
  <c r="BV198" i="41"/>
  <c r="BU198" i="41"/>
  <c r="BT198" i="41"/>
  <c r="BS198" i="41"/>
  <c r="BR198" i="41"/>
  <c r="BQ198" i="41"/>
  <c r="BP198" i="41"/>
  <c r="BO198" i="41"/>
  <c r="BN198" i="41"/>
  <c r="BM198" i="41"/>
  <c r="BL198" i="41"/>
  <c r="BK198" i="41"/>
  <c r="BJ198" i="41"/>
  <c r="BI198" i="41"/>
  <c r="BH198" i="41"/>
  <c r="BG198" i="41"/>
  <c r="BF198" i="41"/>
  <c r="BE198" i="41"/>
  <c r="BD198" i="41"/>
  <c r="BC198" i="41"/>
  <c r="BB198" i="41"/>
  <c r="BA198" i="41"/>
  <c r="AZ198" i="41"/>
  <c r="AY198" i="41"/>
  <c r="AX198" i="41"/>
  <c r="AW198" i="41"/>
  <c r="AV198" i="41"/>
  <c r="AU198" i="41"/>
  <c r="AT198" i="41"/>
  <c r="AS198" i="41"/>
  <c r="AR198" i="41"/>
  <c r="AQ198" i="41"/>
  <c r="AP198" i="41"/>
  <c r="AO198" i="41"/>
  <c r="AN198" i="41"/>
  <c r="AM198" i="41"/>
  <c r="AL198" i="41"/>
  <c r="AK198" i="41"/>
  <c r="AJ198" i="41"/>
  <c r="AI198" i="41"/>
  <c r="AH198" i="41"/>
  <c r="AG198" i="41"/>
  <c r="AF198" i="41"/>
  <c r="AE198" i="41"/>
  <c r="AD198" i="41"/>
  <c r="AC198" i="41"/>
  <c r="AB198" i="41"/>
  <c r="AA198" i="41"/>
  <c r="Z198" i="41"/>
  <c r="Y198" i="41"/>
  <c r="X198" i="41"/>
  <c r="W198" i="41"/>
  <c r="V198" i="41"/>
  <c r="U198" i="41"/>
  <c r="T198" i="41"/>
  <c r="S198" i="41"/>
  <c r="R198" i="41"/>
  <c r="Q198" i="41"/>
  <c r="P198" i="41"/>
  <c r="O198" i="41"/>
  <c r="N198" i="41"/>
  <c r="M198" i="41"/>
  <c r="L198" i="41"/>
  <c r="K198" i="41"/>
  <c r="J198" i="41"/>
  <c r="I198" i="41"/>
  <c r="H198" i="41"/>
  <c r="G198" i="41"/>
  <c r="F198" i="41"/>
  <c r="DI197" i="41"/>
  <c r="DH197" i="41"/>
  <c r="DG197" i="41"/>
  <c r="DF197" i="41"/>
  <c r="DE197" i="41"/>
  <c r="DD197" i="41"/>
  <c r="DC197" i="41"/>
  <c r="DB197" i="41"/>
  <c r="DA197" i="41"/>
  <c r="CZ197" i="41"/>
  <c r="CY197" i="41"/>
  <c r="CX197" i="41"/>
  <c r="CW197" i="41"/>
  <c r="CV197" i="41"/>
  <c r="CU197" i="41"/>
  <c r="CT197" i="41"/>
  <c r="CS197" i="41"/>
  <c r="CR197" i="41"/>
  <c r="CQ197" i="41"/>
  <c r="CP197" i="41"/>
  <c r="CO197" i="41"/>
  <c r="CN197" i="41"/>
  <c r="CM197" i="41"/>
  <c r="CL197" i="41"/>
  <c r="CK197" i="41"/>
  <c r="CJ197" i="41"/>
  <c r="CI197" i="41"/>
  <c r="CH197" i="41"/>
  <c r="CG197" i="41"/>
  <c r="CF197" i="41"/>
  <c r="CE197" i="41"/>
  <c r="CD197" i="41"/>
  <c r="CC197" i="41"/>
  <c r="CB197" i="41" a="1"/>
  <c r="CB197" i="41" s="1"/>
  <c r="CA197" i="41" a="1"/>
  <c r="CA197" i="41" s="1"/>
  <c r="BZ197" i="41"/>
  <c r="BY197" i="41"/>
  <c r="BX197" i="41"/>
  <c r="BW197" i="41"/>
  <c r="BV197" i="41"/>
  <c r="BU197" i="41"/>
  <c r="BT197" i="41"/>
  <c r="BS197" i="41"/>
  <c r="BR197" i="41"/>
  <c r="BQ197" i="41"/>
  <c r="BP197" i="41"/>
  <c r="BO197" i="41"/>
  <c r="BN197" i="41"/>
  <c r="BM197" i="41"/>
  <c r="BL197" i="41"/>
  <c r="BK197" i="41"/>
  <c r="BJ197" i="41"/>
  <c r="BI197" i="41"/>
  <c r="BH197" i="41"/>
  <c r="BG197" i="41"/>
  <c r="BF197" i="41"/>
  <c r="BE197" i="41"/>
  <c r="BD197" i="41"/>
  <c r="BC197" i="41"/>
  <c r="BB197" i="41"/>
  <c r="BA197" i="41"/>
  <c r="AZ197" i="41"/>
  <c r="AY197" i="41"/>
  <c r="AX197" i="41"/>
  <c r="AW197" i="41"/>
  <c r="AV197" i="41"/>
  <c r="AU197" i="41"/>
  <c r="AT197" i="41"/>
  <c r="AS197" i="41"/>
  <c r="AR197" i="41"/>
  <c r="AQ197" i="41"/>
  <c r="AP197" i="41"/>
  <c r="AO197" i="41"/>
  <c r="AN197" i="41"/>
  <c r="AM197" i="41"/>
  <c r="AL197" i="41"/>
  <c r="AK197" i="41"/>
  <c r="AJ197" i="41"/>
  <c r="AI197" i="41"/>
  <c r="AH197" i="41"/>
  <c r="AG197" i="41"/>
  <c r="AF197" i="41"/>
  <c r="AE197" i="41"/>
  <c r="AD197" i="41"/>
  <c r="AC197" i="41"/>
  <c r="AB197" i="41"/>
  <c r="AA197" i="41"/>
  <c r="Z197" i="41"/>
  <c r="Y197" i="41"/>
  <c r="X197" i="41"/>
  <c r="W197" i="41"/>
  <c r="V197" i="41"/>
  <c r="U197" i="41"/>
  <c r="T197" i="41"/>
  <c r="S197" i="41"/>
  <c r="R197" i="41"/>
  <c r="Q197" i="41"/>
  <c r="P197" i="41"/>
  <c r="O197" i="41"/>
  <c r="N197" i="41"/>
  <c r="M197" i="41"/>
  <c r="L197" i="41"/>
  <c r="K197" i="41"/>
  <c r="J197" i="41"/>
  <c r="I197" i="41"/>
  <c r="H197" i="41"/>
  <c r="G197" i="41"/>
  <c r="F197" i="41"/>
  <c r="DI196" i="41"/>
  <c r="DH196" i="41"/>
  <c r="DG196" i="41"/>
  <c r="DF196" i="41"/>
  <c r="DE196" i="41"/>
  <c r="DD196" i="41"/>
  <c r="DC196" i="41"/>
  <c r="DB196" i="41"/>
  <c r="DA196" i="41"/>
  <c r="CZ196" i="41"/>
  <c r="CY196" i="41"/>
  <c r="CX196" i="41"/>
  <c r="CW196" i="41"/>
  <c r="CV196" i="41"/>
  <c r="CU196" i="41"/>
  <c r="CT196" i="41"/>
  <c r="CS196" i="41"/>
  <c r="CR196" i="41"/>
  <c r="CQ196" i="41"/>
  <c r="CP196" i="41"/>
  <c r="CO196" i="41"/>
  <c r="CN196" i="41"/>
  <c r="CM196" i="41"/>
  <c r="CL196" i="41"/>
  <c r="CK196" i="41"/>
  <c r="CJ196" i="41"/>
  <c r="CI196" i="41"/>
  <c r="CH196" i="41"/>
  <c r="CG196" i="41"/>
  <c r="CF196" i="41"/>
  <c r="CE196" i="41"/>
  <c r="CD196" i="41"/>
  <c r="CC196" i="41"/>
  <c r="CB196" i="41" a="1"/>
  <c r="CB196" i="41" s="1"/>
  <c r="CA196" i="41" a="1"/>
  <c r="CA196" i="41" s="1"/>
  <c r="BZ196" i="41"/>
  <c r="BY196" i="41"/>
  <c r="BX196" i="41"/>
  <c r="BW196" i="41"/>
  <c r="BV196" i="41"/>
  <c r="BU196" i="41"/>
  <c r="BT196" i="41"/>
  <c r="BS196" i="41"/>
  <c r="BR196" i="41"/>
  <c r="BQ196" i="41"/>
  <c r="BP196" i="41"/>
  <c r="BO196" i="41"/>
  <c r="BN196" i="41"/>
  <c r="BM196" i="41"/>
  <c r="BL196" i="41"/>
  <c r="BK196" i="41"/>
  <c r="BJ196" i="41"/>
  <c r="BI196" i="41"/>
  <c r="BH196" i="41"/>
  <c r="BG196" i="41"/>
  <c r="BF196" i="41"/>
  <c r="BE196" i="41"/>
  <c r="BD196" i="41"/>
  <c r="BC196" i="41"/>
  <c r="BB196" i="41"/>
  <c r="BA196" i="41"/>
  <c r="AZ196" i="41"/>
  <c r="AY196" i="41"/>
  <c r="AX196" i="41"/>
  <c r="AW196" i="41"/>
  <c r="AV196" i="41"/>
  <c r="AU196" i="41"/>
  <c r="AT196" i="41"/>
  <c r="AS196" i="41"/>
  <c r="AR196" i="41"/>
  <c r="AQ196" i="41"/>
  <c r="AP196" i="41"/>
  <c r="AO196" i="41"/>
  <c r="AN196" i="41"/>
  <c r="AM196" i="41"/>
  <c r="AL196" i="41"/>
  <c r="AK196" i="41"/>
  <c r="AJ196" i="41"/>
  <c r="AI196" i="41"/>
  <c r="AH196" i="41"/>
  <c r="AG196" i="41"/>
  <c r="AF196" i="41"/>
  <c r="AE196" i="41"/>
  <c r="AD196" i="41"/>
  <c r="AC196" i="41"/>
  <c r="AB196" i="41"/>
  <c r="AA196" i="41"/>
  <c r="Z196" i="41"/>
  <c r="Y196" i="41"/>
  <c r="X196" i="41"/>
  <c r="W196" i="41"/>
  <c r="V196" i="41"/>
  <c r="U196" i="41"/>
  <c r="T196" i="41"/>
  <c r="S196" i="41"/>
  <c r="R196" i="41"/>
  <c r="Q196" i="41"/>
  <c r="P196" i="41"/>
  <c r="O196" i="41"/>
  <c r="N196" i="41"/>
  <c r="M196" i="41"/>
  <c r="L196" i="41"/>
  <c r="K196" i="41"/>
  <c r="J196" i="41"/>
  <c r="I196" i="41"/>
  <c r="H196" i="41"/>
  <c r="G196" i="41"/>
  <c r="F196" i="41"/>
  <c r="DI195" i="41"/>
  <c r="DH195" i="41"/>
  <c r="DG195" i="41"/>
  <c r="DF195" i="41"/>
  <c r="DE195" i="41"/>
  <c r="DD195" i="41"/>
  <c r="DC195" i="41"/>
  <c r="DB195" i="41"/>
  <c r="DA195" i="41"/>
  <c r="CZ195" i="41"/>
  <c r="CY195" i="41"/>
  <c r="CX195" i="41"/>
  <c r="CW195" i="41"/>
  <c r="CV195" i="41"/>
  <c r="CU195" i="41"/>
  <c r="CT195" i="41"/>
  <c r="CS195" i="41"/>
  <c r="CR195" i="41"/>
  <c r="CQ195" i="41"/>
  <c r="CP195" i="41"/>
  <c r="CO195" i="41"/>
  <c r="CN195" i="41"/>
  <c r="CM195" i="41"/>
  <c r="CL195" i="41"/>
  <c r="CK195" i="41"/>
  <c r="CJ195" i="41"/>
  <c r="CI195" i="41"/>
  <c r="CH195" i="41"/>
  <c r="CG195" i="41"/>
  <c r="CF195" i="41"/>
  <c r="CE195" i="41"/>
  <c r="CD195" i="41"/>
  <c r="CC195" i="41"/>
  <c r="CB195" i="41" a="1"/>
  <c r="CB195" i="41" s="1"/>
  <c r="CA195" i="41" a="1"/>
  <c r="CA195" i="41" s="1"/>
  <c r="BZ195" i="41"/>
  <c r="BY195" i="41"/>
  <c r="BX195" i="41"/>
  <c r="BW195" i="41"/>
  <c r="BV195" i="41"/>
  <c r="BU195" i="41"/>
  <c r="BT195" i="41"/>
  <c r="BS195" i="41"/>
  <c r="BR195" i="41"/>
  <c r="BQ195" i="41"/>
  <c r="BP195" i="41"/>
  <c r="BO195" i="41"/>
  <c r="BN195" i="41"/>
  <c r="BM195" i="41"/>
  <c r="BL195" i="41"/>
  <c r="BK195" i="41"/>
  <c r="BJ195" i="41"/>
  <c r="BI195" i="41"/>
  <c r="BH195" i="41"/>
  <c r="BG195" i="41"/>
  <c r="BF195" i="41"/>
  <c r="BE195" i="41"/>
  <c r="BD195" i="41"/>
  <c r="BC195" i="41"/>
  <c r="BB195" i="41"/>
  <c r="BA195" i="41"/>
  <c r="AZ195" i="41"/>
  <c r="AY195" i="41"/>
  <c r="AX195" i="41"/>
  <c r="AW195" i="41"/>
  <c r="AV195" i="41"/>
  <c r="AU195" i="41"/>
  <c r="AT195" i="41"/>
  <c r="AS195" i="41"/>
  <c r="AR195" i="41"/>
  <c r="AQ195" i="41"/>
  <c r="AP195" i="41"/>
  <c r="AO195" i="41"/>
  <c r="AN195" i="41"/>
  <c r="AM195" i="41"/>
  <c r="AL195" i="41"/>
  <c r="AK195" i="41"/>
  <c r="AJ195" i="41"/>
  <c r="AI195" i="41"/>
  <c r="AH195" i="41"/>
  <c r="AG195" i="41"/>
  <c r="AF195" i="41"/>
  <c r="AE195" i="41"/>
  <c r="AD195" i="41"/>
  <c r="AC195" i="41"/>
  <c r="AB195" i="41"/>
  <c r="AA195" i="41"/>
  <c r="Z195" i="41"/>
  <c r="Y195" i="41"/>
  <c r="X195" i="41"/>
  <c r="W195" i="41"/>
  <c r="V195" i="41"/>
  <c r="U195" i="41"/>
  <c r="T195" i="41"/>
  <c r="S195" i="41"/>
  <c r="R195" i="41"/>
  <c r="Q195" i="41"/>
  <c r="P195" i="41"/>
  <c r="O195" i="41"/>
  <c r="N195" i="41"/>
  <c r="M195" i="41"/>
  <c r="L195" i="41"/>
  <c r="K195" i="41"/>
  <c r="J195" i="41"/>
  <c r="I195" i="41"/>
  <c r="H195" i="41"/>
  <c r="G195" i="41"/>
  <c r="F195" i="41"/>
  <c r="DI194" i="41"/>
  <c r="DH194" i="41"/>
  <c r="DG194" i="41"/>
  <c r="DF194" i="41"/>
  <c r="DE194" i="41"/>
  <c r="DD194" i="41"/>
  <c r="DC194" i="41"/>
  <c r="DB194" i="41"/>
  <c r="DA194" i="41"/>
  <c r="CZ194" i="41"/>
  <c r="CY194" i="41"/>
  <c r="CX194" i="41"/>
  <c r="CW194" i="41"/>
  <c r="CV194" i="41"/>
  <c r="CU194" i="41"/>
  <c r="CT194" i="41"/>
  <c r="CS194" i="41"/>
  <c r="CR194" i="41"/>
  <c r="CQ194" i="41"/>
  <c r="CP194" i="41"/>
  <c r="CO194" i="41"/>
  <c r="CN194" i="41"/>
  <c r="CM194" i="41"/>
  <c r="CL194" i="41"/>
  <c r="CK194" i="41"/>
  <c r="CJ194" i="41"/>
  <c r="CI194" i="41"/>
  <c r="CH194" i="41"/>
  <c r="CG194" i="41"/>
  <c r="CF194" i="41"/>
  <c r="CE194" i="41"/>
  <c r="CD194" i="41"/>
  <c r="CC194" i="41"/>
  <c r="CB194" i="41" a="1"/>
  <c r="CB194" i="41" s="1"/>
  <c r="CA194" i="41" a="1"/>
  <c r="CA194" i="41" s="1"/>
  <c r="BZ194" i="41"/>
  <c r="BY194" i="41"/>
  <c r="BX194" i="41"/>
  <c r="BW194" i="41"/>
  <c r="BV194" i="41"/>
  <c r="BU194" i="41"/>
  <c r="BT194" i="41"/>
  <c r="BS194" i="41"/>
  <c r="BR194" i="41"/>
  <c r="BQ194" i="41"/>
  <c r="BP194" i="41"/>
  <c r="BO194" i="41"/>
  <c r="BN194" i="41"/>
  <c r="BM194" i="41"/>
  <c r="BL194" i="41"/>
  <c r="BK194" i="41"/>
  <c r="BJ194" i="41"/>
  <c r="BI194" i="41"/>
  <c r="BH194" i="41"/>
  <c r="BG194" i="41"/>
  <c r="BF194" i="41"/>
  <c r="BE194" i="41"/>
  <c r="BD194" i="41"/>
  <c r="BC194" i="41"/>
  <c r="BB194" i="41"/>
  <c r="BA194" i="41"/>
  <c r="AZ194" i="41"/>
  <c r="AY194" i="41"/>
  <c r="AX194" i="41"/>
  <c r="AW194" i="41"/>
  <c r="AV194" i="41"/>
  <c r="AU194" i="41"/>
  <c r="AT194" i="41"/>
  <c r="AS194" i="41"/>
  <c r="AR194" i="41"/>
  <c r="AQ194" i="41"/>
  <c r="AP194" i="41"/>
  <c r="AO194" i="41"/>
  <c r="AN194" i="41"/>
  <c r="AM194" i="41"/>
  <c r="AL194" i="41"/>
  <c r="AK194" i="41"/>
  <c r="AJ194" i="41"/>
  <c r="AI194" i="41"/>
  <c r="AH194" i="41"/>
  <c r="AG194" i="41"/>
  <c r="AF194" i="41"/>
  <c r="AE194" i="41"/>
  <c r="AD194" i="41"/>
  <c r="AC194" i="41"/>
  <c r="AB194" i="41"/>
  <c r="AA194" i="41"/>
  <c r="Z194" i="41"/>
  <c r="Y194" i="41"/>
  <c r="X194" i="41"/>
  <c r="W194" i="41"/>
  <c r="V194" i="41"/>
  <c r="U194" i="41"/>
  <c r="T194" i="41"/>
  <c r="S194" i="41"/>
  <c r="R194" i="41"/>
  <c r="Q194" i="41"/>
  <c r="P194" i="41"/>
  <c r="O194" i="41"/>
  <c r="N194" i="41"/>
  <c r="M194" i="41"/>
  <c r="L194" i="41"/>
  <c r="K194" i="41"/>
  <c r="J194" i="41"/>
  <c r="I194" i="41"/>
  <c r="H194" i="41"/>
  <c r="G194" i="41"/>
  <c r="F194" i="41"/>
  <c r="DI193" i="41"/>
  <c r="DH193" i="41"/>
  <c r="DG193" i="41"/>
  <c r="DF193" i="41"/>
  <c r="DE193" i="41"/>
  <c r="DD193" i="41"/>
  <c r="DC193" i="41"/>
  <c r="DB193" i="41"/>
  <c r="DA193" i="41"/>
  <c r="CZ193" i="41"/>
  <c r="CY193" i="41"/>
  <c r="CX193" i="41"/>
  <c r="CW193" i="41"/>
  <c r="CV193" i="41"/>
  <c r="CU193" i="41"/>
  <c r="CT193" i="41"/>
  <c r="CS193" i="41"/>
  <c r="CR193" i="41"/>
  <c r="CQ193" i="41"/>
  <c r="CP193" i="41"/>
  <c r="CO193" i="41"/>
  <c r="CN193" i="41"/>
  <c r="CM193" i="41"/>
  <c r="CL193" i="41"/>
  <c r="CK193" i="41"/>
  <c r="CJ193" i="41"/>
  <c r="CI193" i="41"/>
  <c r="CH193" i="41"/>
  <c r="CG193" i="41"/>
  <c r="CF193" i="41"/>
  <c r="CE193" i="41"/>
  <c r="CD193" i="41"/>
  <c r="CC193" i="41"/>
  <c r="CB193" i="41" a="1"/>
  <c r="CB193" i="41" s="1"/>
  <c r="CA193" i="41" a="1"/>
  <c r="CA193" i="41" s="1"/>
  <c r="BZ193" i="41"/>
  <c r="BY193" i="41"/>
  <c r="BX193" i="41"/>
  <c r="BW193" i="41"/>
  <c r="BV193" i="41"/>
  <c r="BU193" i="41"/>
  <c r="BT193" i="41"/>
  <c r="BS193" i="41"/>
  <c r="BR193" i="41"/>
  <c r="BQ193" i="41"/>
  <c r="BP193" i="41"/>
  <c r="BO193" i="41"/>
  <c r="BN193" i="41"/>
  <c r="BM193" i="41"/>
  <c r="BL193" i="41"/>
  <c r="BK193" i="41"/>
  <c r="BJ193" i="41"/>
  <c r="BI193" i="41"/>
  <c r="BH193" i="41"/>
  <c r="BG193" i="41"/>
  <c r="BF193" i="41"/>
  <c r="BE193" i="41"/>
  <c r="BD193" i="41"/>
  <c r="BC193" i="41"/>
  <c r="BB193" i="41"/>
  <c r="BA193" i="41"/>
  <c r="AZ193" i="41"/>
  <c r="AY193" i="41"/>
  <c r="AX193" i="41"/>
  <c r="AW193" i="41"/>
  <c r="AV193" i="41"/>
  <c r="AU193" i="41"/>
  <c r="AT193" i="41"/>
  <c r="AS193" i="41"/>
  <c r="AR193" i="41"/>
  <c r="AQ193" i="41"/>
  <c r="AP193" i="41"/>
  <c r="AO193" i="41"/>
  <c r="AN193" i="41"/>
  <c r="AM193" i="41"/>
  <c r="AL193" i="41"/>
  <c r="AK193" i="41"/>
  <c r="AJ193" i="41"/>
  <c r="AI193" i="41"/>
  <c r="AH193" i="41"/>
  <c r="AG193" i="41"/>
  <c r="AF193" i="41"/>
  <c r="AE193" i="41"/>
  <c r="AD193" i="41"/>
  <c r="AC193" i="41"/>
  <c r="AB193" i="41"/>
  <c r="AA193" i="41"/>
  <c r="Z193" i="41"/>
  <c r="Y193" i="41"/>
  <c r="X193" i="41"/>
  <c r="W193" i="41"/>
  <c r="V193" i="41"/>
  <c r="U193" i="41"/>
  <c r="T193" i="41"/>
  <c r="S193" i="41"/>
  <c r="R193" i="41"/>
  <c r="Q193" i="41"/>
  <c r="P193" i="41"/>
  <c r="O193" i="41"/>
  <c r="N193" i="41"/>
  <c r="M193" i="41"/>
  <c r="L193" i="41"/>
  <c r="K193" i="41"/>
  <c r="J193" i="41"/>
  <c r="I193" i="41"/>
  <c r="H193" i="41"/>
  <c r="G193" i="41"/>
  <c r="F193" i="41"/>
  <c r="DI192" i="41"/>
  <c r="DH192" i="41"/>
  <c r="DG192" i="41"/>
  <c r="DF192" i="41"/>
  <c r="DE192" i="41"/>
  <c r="DD192" i="41"/>
  <c r="DC192" i="41"/>
  <c r="DB192" i="41"/>
  <c r="DA192" i="41"/>
  <c r="CZ192" i="41"/>
  <c r="CY192" i="41"/>
  <c r="CX192" i="41"/>
  <c r="CW192" i="41"/>
  <c r="CV192" i="41"/>
  <c r="CU192" i="41"/>
  <c r="CT192" i="41"/>
  <c r="CS192" i="41"/>
  <c r="CR192" i="41"/>
  <c r="CQ192" i="41"/>
  <c r="CP192" i="41"/>
  <c r="CO192" i="41"/>
  <c r="CN192" i="41"/>
  <c r="CM192" i="41"/>
  <c r="CL192" i="41"/>
  <c r="CK192" i="41"/>
  <c r="CJ192" i="41"/>
  <c r="CI192" i="41"/>
  <c r="CH192" i="41"/>
  <c r="CG192" i="41"/>
  <c r="CF192" i="41"/>
  <c r="CE192" i="41"/>
  <c r="CD192" i="41"/>
  <c r="CC192" i="41"/>
  <c r="CB192" i="41" a="1"/>
  <c r="CB192" i="41" s="1"/>
  <c r="CA192" i="41" a="1"/>
  <c r="CA192" i="41" s="1"/>
  <c r="BZ192" i="41"/>
  <c r="BY192" i="41"/>
  <c r="BX192" i="41"/>
  <c r="BW192" i="41"/>
  <c r="BV192" i="41"/>
  <c r="BU192" i="41"/>
  <c r="BT192" i="41"/>
  <c r="BS192" i="41"/>
  <c r="BR192" i="41"/>
  <c r="BQ192" i="41"/>
  <c r="BP192" i="41"/>
  <c r="BO192" i="41"/>
  <c r="BN192" i="41"/>
  <c r="BM192" i="41"/>
  <c r="BL192" i="41"/>
  <c r="BK192" i="41"/>
  <c r="BJ192" i="41"/>
  <c r="BI192" i="41"/>
  <c r="BH192" i="41"/>
  <c r="BG192" i="41"/>
  <c r="BF192" i="41"/>
  <c r="BE192" i="41"/>
  <c r="BD192" i="41"/>
  <c r="BC192" i="41"/>
  <c r="BB192" i="41"/>
  <c r="BA192" i="41"/>
  <c r="AZ192" i="41"/>
  <c r="AY192" i="41"/>
  <c r="AX192" i="41"/>
  <c r="AW192" i="41"/>
  <c r="AV192" i="41"/>
  <c r="AU192" i="41"/>
  <c r="AT192" i="41"/>
  <c r="AS192" i="41"/>
  <c r="AR192" i="41"/>
  <c r="AQ192" i="41"/>
  <c r="AP192" i="41"/>
  <c r="AO192" i="41"/>
  <c r="AN192" i="41"/>
  <c r="AM192" i="41"/>
  <c r="AL192" i="41"/>
  <c r="AK192" i="41"/>
  <c r="AJ192" i="41"/>
  <c r="AI192" i="41"/>
  <c r="AH192" i="41"/>
  <c r="AG192" i="41"/>
  <c r="AF192" i="41"/>
  <c r="AE192" i="41"/>
  <c r="AD192" i="41"/>
  <c r="AC192" i="41"/>
  <c r="AB192" i="41"/>
  <c r="AA192" i="41"/>
  <c r="Z192" i="41"/>
  <c r="Y192" i="41"/>
  <c r="X192" i="41"/>
  <c r="W192" i="41"/>
  <c r="V192" i="41"/>
  <c r="U192" i="41"/>
  <c r="T192" i="41"/>
  <c r="S192" i="41"/>
  <c r="R192" i="41"/>
  <c r="Q192" i="41"/>
  <c r="P192" i="41"/>
  <c r="O192" i="41"/>
  <c r="N192" i="41"/>
  <c r="M192" i="41"/>
  <c r="L192" i="41"/>
  <c r="K192" i="41"/>
  <c r="J192" i="41"/>
  <c r="I192" i="41"/>
  <c r="H192" i="41"/>
  <c r="G192" i="41"/>
  <c r="F192" i="41"/>
  <c r="DI191" i="41"/>
  <c r="DH191" i="41"/>
  <c r="DG191" i="41"/>
  <c r="DF191" i="41"/>
  <c r="DE191" i="41"/>
  <c r="DD191" i="41"/>
  <c r="DC191" i="41"/>
  <c r="DB191" i="41"/>
  <c r="DA191" i="41"/>
  <c r="CZ191" i="41"/>
  <c r="CY191" i="41"/>
  <c r="CX191" i="41"/>
  <c r="CW191" i="41"/>
  <c r="CV191" i="41"/>
  <c r="CU191" i="41"/>
  <c r="CT191" i="41"/>
  <c r="CS191" i="41"/>
  <c r="CR191" i="41"/>
  <c r="CQ191" i="41"/>
  <c r="CP191" i="41"/>
  <c r="CO191" i="41"/>
  <c r="CN191" i="41"/>
  <c r="CM191" i="41"/>
  <c r="CL191" i="41"/>
  <c r="CK191" i="41"/>
  <c r="CJ191" i="41"/>
  <c r="CI191" i="41"/>
  <c r="CH191" i="41"/>
  <c r="CG191" i="41"/>
  <c r="CF191" i="41"/>
  <c r="CE191" i="41"/>
  <c r="CD191" i="41"/>
  <c r="CC191" i="41"/>
  <c r="CB191" i="41" a="1"/>
  <c r="CB191" i="41" s="1"/>
  <c r="CA191" i="41" a="1"/>
  <c r="CA191" i="41" s="1"/>
  <c r="BZ191" i="41"/>
  <c r="BY191" i="41"/>
  <c r="BX191" i="41"/>
  <c r="BW191" i="41"/>
  <c r="BV191" i="41"/>
  <c r="BU191" i="41"/>
  <c r="BT191" i="41"/>
  <c r="BS191" i="41"/>
  <c r="BR191" i="41"/>
  <c r="BQ191" i="41"/>
  <c r="BP191" i="41"/>
  <c r="BO191" i="41"/>
  <c r="BN191" i="41"/>
  <c r="BM191" i="41"/>
  <c r="BL191" i="41"/>
  <c r="BK191" i="41"/>
  <c r="BJ191" i="41"/>
  <c r="BI191" i="41"/>
  <c r="BH191" i="41"/>
  <c r="BG191" i="41"/>
  <c r="BF191" i="41"/>
  <c r="BE191" i="41"/>
  <c r="BD191" i="41"/>
  <c r="BC191" i="41"/>
  <c r="BB191" i="41"/>
  <c r="BA191" i="41"/>
  <c r="AZ191" i="41"/>
  <c r="AY191" i="41"/>
  <c r="AX191" i="41"/>
  <c r="AW191" i="41"/>
  <c r="AV191" i="41"/>
  <c r="AU191" i="41"/>
  <c r="AT191" i="41"/>
  <c r="AS191" i="41"/>
  <c r="AR191" i="41"/>
  <c r="AQ191" i="41"/>
  <c r="AP191" i="41"/>
  <c r="AO191" i="41"/>
  <c r="AN191" i="41"/>
  <c r="AM191" i="41"/>
  <c r="AL191" i="41"/>
  <c r="AK191" i="41"/>
  <c r="AJ191" i="41"/>
  <c r="AI191" i="41"/>
  <c r="AH191" i="41"/>
  <c r="AG191" i="41"/>
  <c r="AF191" i="41"/>
  <c r="AE191" i="41"/>
  <c r="AD191" i="41"/>
  <c r="AC191" i="41"/>
  <c r="AB191" i="41"/>
  <c r="AA191" i="41"/>
  <c r="Z191" i="41"/>
  <c r="Y191" i="41"/>
  <c r="X191" i="41"/>
  <c r="W191" i="41"/>
  <c r="V191" i="41"/>
  <c r="U191" i="41"/>
  <c r="T191" i="41"/>
  <c r="S191" i="41"/>
  <c r="R191" i="41"/>
  <c r="Q191" i="41"/>
  <c r="P191" i="41"/>
  <c r="O191" i="41"/>
  <c r="N191" i="41"/>
  <c r="M191" i="41"/>
  <c r="L191" i="41"/>
  <c r="K191" i="41"/>
  <c r="J191" i="41"/>
  <c r="I191" i="41"/>
  <c r="H191" i="41"/>
  <c r="G191" i="41"/>
  <c r="F191" i="41"/>
  <c r="DI190" i="41"/>
  <c r="DH190" i="41"/>
  <c r="DG190" i="41"/>
  <c r="DF190" i="41"/>
  <c r="DE190" i="41"/>
  <c r="DD190" i="41"/>
  <c r="DC190" i="41"/>
  <c r="DB190" i="41"/>
  <c r="DA190" i="41"/>
  <c r="CZ190" i="41"/>
  <c r="CY190" i="41"/>
  <c r="CX190" i="41"/>
  <c r="CW190" i="41"/>
  <c r="CV190" i="41"/>
  <c r="CU190" i="41"/>
  <c r="CT190" i="41"/>
  <c r="CS190" i="41"/>
  <c r="CR190" i="41"/>
  <c r="CQ190" i="41"/>
  <c r="CP190" i="41"/>
  <c r="CO190" i="41"/>
  <c r="CN190" i="41"/>
  <c r="CM190" i="41"/>
  <c r="CL190" i="41"/>
  <c r="CK190" i="41"/>
  <c r="CJ190" i="41"/>
  <c r="CI190" i="41"/>
  <c r="CH190" i="41"/>
  <c r="CG190" i="41"/>
  <c r="CF190" i="41"/>
  <c r="CE190" i="41"/>
  <c r="CD190" i="41"/>
  <c r="CC190" i="41"/>
  <c r="CB190" i="41" a="1"/>
  <c r="CB190" i="41" s="1"/>
  <c r="CA190" i="41" a="1"/>
  <c r="CA190" i="41" s="1"/>
  <c r="BZ190" i="41"/>
  <c r="BY190" i="41"/>
  <c r="BX190" i="41"/>
  <c r="BW190" i="41"/>
  <c r="BV190" i="41"/>
  <c r="BU190" i="41"/>
  <c r="BT190" i="41"/>
  <c r="BS190" i="41"/>
  <c r="BR190" i="41"/>
  <c r="BQ190" i="41"/>
  <c r="BP190" i="41"/>
  <c r="BO190" i="41"/>
  <c r="BN190" i="41"/>
  <c r="BM190" i="41"/>
  <c r="BL190" i="41"/>
  <c r="BK190" i="41"/>
  <c r="BJ190" i="41"/>
  <c r="BI190" i="41"/>
  <c r="BH190" i="41"/>
  <c r="BG190" i="41"/>
  <c r="BF190" i="41"/>
  <c r="BE190" i="41"/>
  <c r="BD190" i="41"/>
  <c r="BC190" i="41"/>
  <c r="BB190" i="41"/>
  <c r="BA190" i="41"/>
  <c r="AZ190" i="41"/>
  <c r="AY190" i="41"/>
  <c r="AX190" i="41"/>
  <c r="AW190" i="41"/>
  <c r="AV190" i="41"/>
  <c r="AU190" i="41"/>
  <c r="AT190" i="41"/>
  <c r="AS190" i="41"/>
  <c r="AR190" i="41"/>
  <c r="AQ190" i="41"/>
  <c r="AP190" i="41"/>
  <c r="AO190" i="41"/>
  <c r="AN190" i="41"/>
  <c r="AM190" i="41"/>
  <c r="AL190" i="41"/>
  <c r="AK190" i="41"/>
  <c r="AJ190" i="41"/>
  <c r="AI190" i="41"/>
  <c r="AH190" i="41"/>
  <c r="AG190" i="41"/>
  <c r="AF190" i="41"/>
  <c r="AE190" i="41"/>
  <c r="AD190" i="41"/>
  <c r="AC190" i="41"/>
  <c r="AB190" i="41"/>
  <c r="AA190" i="41"/>
  <c r="Z190" i="41"/>
  <c r="Y190" i="41"/>
  <c r="X190" i="41"/>
  <c r="W190" i="41"/>
  <c r="V190" i="41"/>
  <c r="U190" i="41"/>
  <c r="T190" i="41"/>
  <c r="S190" i="41"/>
  <c r="R190" i="41"/>
  <c r="Q190" i="41"/>
  <c r="P190" i="41"/>
  <c r="O190" i="41"/>
  <c r="N190" i="41"/>
  <c r="M190" i="41"/>
  <c r="L190" i="41"/>
  <c r="K190" i="41"/>
  <c r="J190" i="41"/>
  <c r="I190" i="41"/>
  <c r="H190" i="41"/>
  <c r="G190" i="41"/>
  <c r="F190" i="41"/>
  <c r="DI189" i="41"/>
  <c r="DH189" i="41"/>
  <c r="DG189" i="41"/>
  <c r="DF189" i="41"/>
  <c r="DE189" i="41"/>
  <c r="DD189" i="41"/>
  <c r="DC189" i="41"/>
  <c r="DB189" i="41"/>
  <c r="DA189" i="41"/>
  <c r="CZ189" i="41"/>
  <c r="CY189" i="41"/>
  <c r="CX189" i="41"/>
  <c r="CW189" i="41"/>
  <c r="CV189" i="41"/>
  <c r="CU189" i="41"/>
  <c r="CT189" i="41"/>
  <c r="CS189" i="41"/>
  <c r="CR189" i="41"/>
  <c r="CQ189" i="41"/>
  <c r="CP189" i="41"/>
  <c r="CO189" i="41"/>
  <c r="CN189" i="41"/>
  <c r="CM189" i="41"/>
  <c r="CL189" i="41"/>
  <c r="CK189" i="41"/>
  <c r="CJ189" i="41"/>
  <c r="CI189" i="41"/>
  <c r="CH189" i="41"/>
  <c r="CG189" i="41"/>
  <c r="CF189" i="41"/>
  <c r="CE189" i="41"/>
  <c r="CD189" i="41"/>
  <c r="CC189" i="41"/>
  <c r="CB189" i="41" a="1"/>
  <c r="CB189" i="41" s="1"/>
  <c r="CA189" i="41" a="1"/>
  <c r="CA189" i="41" s="1"/>
  <c r="BZ189" i="41"/>
  <c r="BY189" i="41"/>
  <c r="BX189" i="41"/>
  <c r="BW189" i="41"/>
  <c r="BV189" i="41"/>
  <c r="BU189" i="41"/>
  <c r="BT189" i="41"/>
  <c r="BS189" i="41"/>
  <c r="BR189" i="41"/>
  <c r="BQ189" i="41"/>
  <c r="BP189" i="41"/>
  <c r="BO189" i="41"/>
  <c r="BN189" i="41"/>
  <c r="BM189" i="41"/>
  <c r="BL189" i="41"/>
  <c r="BK189" i="41"/>
  <c r="BJ189" i="41"/>
  <c r="BI189" i="41"/>
  <c r="BH189" i="41"/>
  <c r="BG189" i="41"/>
  <c r="BF189" i="41"/>
  <c r="BE189" i="41"/>
  <c r="BD189" i="41"/>
  <c r="BC189" i="41"/>
  <c r="BB189" i="41"/>
  <c r="BA189" i="41"/>
  <c r="AZ189" i="41"/>
  <c r="AY189" i="41"/>
  <c r="AX189" i="41"/>
  <c r="AW189" i="41"/>
  <c r="AV189" i="41"/>
  <c r="AU189" i="41"/>
  <c r="AT189" i="41"/>
  <c r="AS189" i="41"/>
  <c r="AR189" i="41"/>
  <c r="AQ189" i="41"/>
  <c r="AP189" i="41"/>
  <c r="AO189" i="41"/>
  <c r="AN189" i="41"/>
  <c r="AM189" i="41"/>
  <c r="AL189" i="41"/>
  <c r="AK189" i="41"/>
  <c r="AJ189" i="41"/>
  <c r="AI189" i="41"/>
  <c r="AH189" i="41"/>
  <c r="AG189" i="41"/>
  <c r="AF189" i="41"/>
  <c r="AE189" i="41"/>
  <c r="AD189" i="41"/>
  <c r="AC189" i="41"/>
  <c r="AB189" i="41"/>
  <c r="AA189" i="41"/>
  <c r="Z189" i="41"/>
  <c r="Y189" i="41"/>
  <c r="X189" i="41"/>
  <c r="W189" i="41"/>
  <c r="V189" i="41"/>
  <c r="U189" i="41"/>
  <c r="T189" i="41"/>
  <c r="S189" i="41"/>
  <c r="R189" i="41"/>
  <c r="Q189" i="41"/>
  <c r="P189" i="41"/>
  <c r="O189" i="41"/>
  <c r="N189" i="41"/>
  <c r="M189" i="41"/>
  <c r="L189" i="41"/>
  <c r="K189" i="41"/>
  <c r="J189" i="41"/>
  <c r="I189" i="41"/>
  <c r="H189" i="41"/>
  <c r="G189" i="41"/>
  <c r="F189" i="41"/>
  <c r="DI188" i="41"/>
  <c r="DH188" i="41"/>
  <c r="DG188" i="41"/>
  <c r="DF188" i="41"/>
  <c r="DE188" i="41"/>
  <c r="DD188" i="41"/>
  <c r="DC188" i="41"/>
  <c r="DB188" i="41"/>
  <c r="DA188" i="41"/>
  <c r="CZ188" i="41"/>
  <c r="CY188" i="41"/>
  <c r="CX188" i="41"/>
  <c r="CW188" i="41"/>
  <c r="CV188" i="41"/>
  <c r="CU188" i="41"/>
  <c r="CT188" i="41"/>
  <c r="CS188" i="41"/>
  <c r="CR188" i="41"/>
  <c r="CQ188" i="41"/>
  <c r="CP188" i="41"/>
  <c r="CO188" i="41"/>
  <c r="CN188" i="41"/>
  <c r="CM188" i="41"/>
  <c r="CL188" i="41"/>
  <c r="CK188" i="41"/>
  <c r="CJ188" i="41"/>
  <c r="CI188" i="41"/>
  <c r="CH188" i="41"/>
  <c r="CG188" i="41"/>
  <c r="CF188" i="41"/>
  <c r="CE188" i="41"/>
  <c r="CD188" i="41"/>
  <c r="CC188" i="41"/>
  <c r="CB188" i="41" a="1"/>
  <c r="CB188" i="41" s="1"/>
  <c r="CA188" i="41" a="1"/>
  <c r="CA188" i="41" s="1"/>
  <c r="BZ188" i="41"/>
  <c r="BY188" i="41"/>
  <c r="BX188" i="41"/>
  <c r="BW188" i="41"/>
  <c r="BV188" i="41"/>
  <c r="BU188" i="41"/>
  <c r="BT188" i="41"/>
  <c r="BS188" i="41"/>
  <c r="BR188" i="41"/>
  <c r="BQ188" i="41"/>
  <c r="BP188" i="41"/>
  <c r="BO188" i="41"/>
  <c r="BN188" i="41"/>
  <c r="BM188" i="41"/>
  <c r="BL188" i="41"/>
  <c r="BK188" i="41"/>
  <c r="BJ188" i="41"/>
  <c r="BI188" i="41"/>
  <c r="BH188" i="41"/>
  <c r="BG188" i="41"/>
  <c r="BF188" i="41"/>
  <c r="BE188" i="41"/>
  <c r="BD188" i="41"/>
  <c r="BC188" i="41"/>
  <c r="BB188" i="41"/>
  <c r="BA188" i="41"/>
  <c r="AZ188" i="41"/>
  <c r="AY188" i="41"/>
  <c r="AX188" i="41"/>
  <c r="AW188" i="41"/>
  <c r="AV188" i="41"/>
  <c r="AU188" i="41"/>
  <c r="AT188" i="41"/>
  <c r="AS188" i="41"/>
  <c r="AR188" i="41"/>
  <c r="AQ188" i="41"/>
  <c r="AP188" i="41"/>
  <c r="AO188" i="41"/>
  <c r="AN188" i="41"/>
  <c r="AM188" i="41"/>
  <c r="AL188" i="41"/>
  <c r="AK188" i="41"/>
  <c r="AJ188" i="41"/>
  <c r="AI188" i="41"/>
  <c r="AH188" i="41"/>
  <c r="AG188" i="41"/>
  <c r="AF188" i="41"/>
  <c r="AE188" i="41"/>
  <c r="AD188" i="41"/>
  <c r="AC188" i="41"/>
  <c r="AB188" i="41"/>
  <c r="AA188" i="41"/>
  <c r="Z188" i="41"/>
  <c r="Y188" i="41"/>
  <c r="X188" i="41"/>
  <c r="W188" i="41"/>
  <c r="V188" i="41"/>
  <c r="U188" i="41"/>
  <c r="T188" i="41"/>
  <c r="S188" i="41"/>
  <c r="R188" i="41"/>
  <c r="Q188" i="41"/>
  <c r="P188" i="41"/>
  <c r="O188" i="41"/>
  <c r="N188" i="41"/>
  <c r="M188" i="41"/>
  <c r="L188" i="41"/>
  <c r="K188" i="41"/>
  <c r="J188" i="41"/>
  <c r="I188" i="41"/>
  <c r="H188" i="41"/>
  <c r="G188" i="41"/>
  <c r="F188" i="41"/>
  <c r="DI187" i="41"/>
  <c r="DH187" i="41"/>
  <c r="DG187" i="41"/>
  <c r="DF187" i="41"/>
  <c r="DE187" i="41"/>
  <c r="DD187" i="41"/>
  <c r="DC187" i="41"/>
  <c r="DB187" i="41"/>
  <c r="DA187" i="41"/>
  <c r="CZ187" i="41"/>
  <c r="CY187" i="41"/>
  <c r="CX187" i="41"/>
  <c r="CW187" i="41"/>
  <c r="CV187" i="41"/>
  <c r="CU187" i="41"/>
  <c r="CT187" i="41"/>
  <c r="CS187" i="41"/>
  <c r="CR187" i="41"/>
  <c r="CQ187" i="41"/>
  <c r="CP187" i="41"/>
  <c r="CO187" i="41"/>
  <c r="CN187" i="41"/>
  <c r="CM187" i="41"/>
  <c r="CL187" i="41"/>
  <c r="CK187" i="41"/>
  <c r="CJ187" i="41"/>
  <c r="CI187" i="41"/>
  <c r="CH187" i="41"/>
  <c r="CG187" i="41"/>
  <c r="CF187" i="41"/>
  <c r="CE187" i="41"/>
  <c r="CD187" i="41"/>
  <c r="CC187" i="41"/>
  <c r="CB187" i="41" a="1"/>
  <c r="CB187" i="41" s="1"/>
  <c r="CA187" i="41" a="1"/>
  <c r="CA187" i="41" s="1"/>
  <c r="BZ187" i="41"/>
  <c r="BY187" i="41"/>
  <c r="BX187" i="41"/>
  <c r="BW187" i="41"/>
  <c r="BV187" i="41"/>
  <c r="BU187" i="41"/>
  <c r="BT187" i="41"/>
  <c r="BS187" i="41"/>
  <c r="BR187" i="41"/>
  <c r="BQ187" i="41"/>
  <c r="BP187" i="41"/>
  <c r="BO187" i="41"/>
  <c r="BN187" i="41"/>
  <c r="BM187" i="41"/>
  <c r="BL187" i="41"/>
  <c r="BK187" i="41"/>
  <c r="BJ187" i="41"/>
  <c r="BI187" i="41"/>
  <c r="BH187" i="41"/>
  <c r="BG187" i="41"/>
  <c r="BF187" i="41"/>
  <c r="BE187" i="41"/>
  <c r="BD187" i="41"/>
  <c r="BC187" i="41"/>
  <c r="BB187" i="41"/>
  <c r="BA187" i="41"/>
  <c r="AZ187" i="41"/>
  <c r="AY187" i="41"/>
  <c r="AX187" i="41"/>
  <c r="AW187" i="41"/>
  <c r="AV187" i="41"/>
  <c r="AU187" i="41"/>
  <c r="AT187" i="41"/>
  <c r="AS187" i="41"/>
  <c r="AR187" i="41"/>
  <c r="AQ187" i="41"/>
  <c r="AP187" i="41"/>
  <c r="AO187" i="41"/>
  <c r="AN187" i="41"/>
  <c r="AM187" i="41"/>
  <c r="AL187" i="41"/>
  <c r="AK187" i="41"/>
  <c r="AJ187" i="41"/>
  <c r="AI187" i="41"/>
  <c r="AH187" i="41"/>
  <c r="AG187" i="41"/>
  <c r="AF187" i="41"/>
  <c r="AE187" i="41"/>
  <c r="AD187" i="41"/>
  <c r="AC187" i="41"/>
  <c r="AB187" i="41"/>
  <c r="AA187" i="41"/>
  <c r="Z187" i="41"/>
  <c r="Y187" i="41"/>
  <c r="X187" i="41"/>
  <c r="W187" i="41"/>
  <c r="V187" i="41"/>
  <c r="U187" i="41"/>
  <c r="T187" i="41"/>
  <c r="S187" i="41"/>
  <c r="R187" i="41"/>
  <c r="Q187" i="41"/>
  <c r="P187" i="41"/>
  <c r="O187" i="41"/>
  <c r="N187" i="41"/>
  <c r="M187" i="41"/>
  <c r="L187" i="41"/>
  <c r="K187" i="41"/>
  <c r="J187" i="41"/>
  <c r="I187" i="41"/>
  <c r="H187" i="41"/>
  <c r="G187" i="41"/>
  <c r="F187" i="41"/>
  <c r="DI186" i="41"/>
  <c r="DH186" i="41"/>
  <c r="DG186" i="41"/>
  <c r="DF186" i="41"/>
  <c r="DE186" i="41"/>
  <c r="DD186" i="41"/>
  <c r="DC186" i="41"/>
  <c r="DB186" i="41"/>
  <c r="DA186" i="41"/>
  <c r="CZ186" i="41"/>
  <c r="CY186" i="41"/>
  <c r="CX186" i="41"/>
  <c r="CW186" i="41"/>
  <c r="CV186" i="41"/>
  <c r="CU186" i="41"/>
  <c r="CT186" i="41"/>
  <c r="CS186" i="41"/>
  <c r="CR186" i="41"/>
  <c r="CQ186" i="41"/>
  <c r="CP186" i="41"/>
  <c r="CO186" i="41"/>
  <c r="CN186" i="41"/>
  <c r="CM186" i="41"/>
  <c r="CL186" i="41"/>
  <c r="CK186" i="41"/>
  <c r="CJ186" i="41"/>
  <c r="CI186" i="41"/>
  <c r="CH186" i="41"/>
  <c r="CG186" i="41"/>
  <c r="CF186" i="41"/>
  <c r="CE186" i="41"/>
  <c r="CD186" i="41"/>
  <c r="CC186" i="41"/>
  <c r="CB186" i="41" a="1"/>
  <c r="CB186" i="41" s="1"/>
  <c r="CA186" i="41" a="1"/>
  <c r="CA186" i="41" s="1"/>
  <c r="BZ186" i="41"/>
  <c r="BY186" i="41"/>
  <c r="BX186" i="41"/>
  <c r="BW186" i="41"/>
  <c r="BV186" i="41"/>
  <c r="BU186" i="41"/>
  <c r="BT186" i="41"/>
  <c r="BS186" i="41"/>
  <c r="BR186" i="41"/>
  <c r="BQ186" i="41"/>
  <c r="BP186" i="41"/>
  <c r="BO186" i="41"/>
  <c r="BN186" i="41"/>
  <c r="BM186" i="41"/>
  <c r="BL186" i="41"/>
  <c r="BK186" i="41"/>
  <c r="BJ186" i="41"/>
  <c r="BI186" i="41"/>
  <c r="BH186" i="41"/>
  <c r="BG186" i="41"/>
  <c r="BF186" i="41"/>
  <c r="BE186" i="41"/>
  <c r="BD186" i="41"/>
  <c r="BC186" i="41"/>
  <c r="BB186" i="41"/>
  <c r="BA186" i="41"/>
  <c r="AZ186" i="41"/>
  <c r="AY186" i="41"/>
  <c r="AX186" i="41"/>
  <c r="AW186" i="41"/>
  <c r="AV186" i="41"/>
  <c r="AU186" i="41"/>
  <c r="AT186" i="41"/>
  <c r="AS186" i="41"/>
  <c r="AR186" i="41"/>
  <c r="AQ186" i="41"/>
  <c r="AP186" i="41"/>
  <c r="AO186" i="41"/>
  <c r="AN186" i="41"/>
  <c r="AM186" i="41"/>
  <c r="AL186" i="41"/>
  <c r="AK186" i="41"/>
  <c r="AJ186" i="41"/>
  <c r="AI186" i="41"/>
  <c r="AH186" i="41"/>
  <c r="AG186" i="41"/>
  <c r="AF186" i="41"/>
  <c r="AE186" i="41"/>
  <c r="AD186" i="41"/>
  <c r="AC186" i="41"/>
  <c r="AB186" i="41"/>
  <c r="AA186" i="41"/>
  <c r="Z186" i="41"/>
  <c r="Y186" i="41"/>
  <c r="X186" i="41"/>
  <c r="W186" i="41"/>
  <c r="V186" i="41"/>
  <c r="U186" i="41"/>
  <c r="T186" i="41"/>
  <c r="S186" i="41"/>
  <c r="R186" i="41"/>
  <c r="Q186" i="41"/>
  <c r="P186" i="41"/>
  <c r="O186" i="41"/>
  <c r="N186" i="41"/>
  <c r="M186" i="41"/>
  <c r="L186" i="41"/>
  <c r="K186" i="41"/>
  <c r="J186" i="41"/>
  <c r="I186" i="41"/>
  <c r="H186" i="41"/>
  <c r="G186" i="41"/>
  <c r="F186" i="41"/>
  <c r="DI185" i="41"/>
  <c r="DH185" i="41"/>
  <c r="DG185" i="41"/>
  <c r="DF185" i="41"/>
  <c r="DE185" i="41"/>
  <c r="DD185" i="41"/>
  <c r="DC185" i="41"/>
  <c r="DB185" i="41"/>
  <c r="DA185" i="41"/>
  <c r="CZ185" i="41"/>
  <c r="CY185" i="41"/>
  <c r="CX185" i="41"/>
  <c r="CW185" i="41"/>
  <c r="CV185" i="41"/>
  <c r="CU185" i="41"/>
  <c r="CT185" i="41"/>
  <c r="CS185" i="41"/>
  <c r="CR185" i="41"/>
  <c r="CQ185" i="41"/>
  <c r="CP185" i="41"/>
  <c r="CO185" i="41"/>
  <c r="CN185" i="41"/>
  <c r="CM185" i="41"/>
  <c r="CL185" i="41"/>
  <c r="CK185" i="41"/>
  <c r="CJ185" i="41"/>
  <c r="CI185" i="41"/>
  <c r="CH185" i="41"/>
  <c r="CG185" i="41"/>
  <c r="CF185" i="41"/>
  <c r="CE185" i="41"/>
  <c r="CD185" i="41"/>
  <c r="CC185" i="41"/>
  <c r="CB185" i="41" a="1"/>
  <c r="CB185" i="41" s="1"/>
  <c r="CA185" i="41" a="1"/>
  <c r="CA185" i="41" s="1"/>
  <c r="BZ185" i="41"/>
  <c r="BY185" i="41"/>
  <c r="BX185" i="41"/>
  <c r="BW185" i="41"/>
  <c r="BV185" i="41"/>
  <c r="BU185" i="41"/>
  <c r="BT185" i="41"/>
  <c r="BS185" i="41"/>
  <c r="BR185" i="41"/>
  <c r="BQ185" i="41"/>
  <c r="BP185" i="41"/>
  <c r="BO185" i="41"/>
  <c r="BN185" i="41"/>
  <c r="BM185" i="41"/>
  <c r="BL185" i="41"/>
  <c r="BK185" i="41"/>
  <c r="BJ185" i="41"/>
  <c r="BI185" i="41"/>
  <c r="BH185" i="41"/>
  <c r="BG185" i="41"/>
  <c r="BF185" i="41"/>
  <c r="BE185" i="41"/>
  <c r="BD185" i="41"/>
  <c r="BC185" i="41"/>
  <c r="BB185" i="41"/>
  <c r="BA185" i="41"/>
  <c r="AZ185" i="41"/>
  <c r="AY185" i="41"/>
  <c r="AX185" i="41"/>
  <c r="AW185" i="41"/>
  <c r="AV185" i="41"/>
  <c r="AU185" i="41"/>
  <c r="AT185" i="41"/>
  <c r="AS185" i="41"/>
  <c r="AR185" i="41"/>
  <c r="AQ185" i="41"/>
  <c r="AP185" i="41"/>
  <c r="AO185" i="41"/>
  <c r="AN185" i="41"/>
  <c r="AM185" i="41"/>
  <c r="AL185" i="41"/>
  <c r="AK185" i="41"/>
  <c r="AJ185" i="41"/>
  <c r="AI185" i="41"/>
  <c r="AH185" i="41"/>
  <c r="AG185" i="41"/>
  <c r="AF185" i="41"/>
  <c r="AE185" i="41"/>
  <c r="AD185" i="41"/>
  <c r="AC185" i="41"/>
  <c r="AB185" i="41"/>
  <c r="AA185" i="41"/>
  <c r="Z185" i="41"/>
  <c r="Y185" i="41"/>
  <c r="X185" i="41"/>
  <c r="W185" i="41"/>
  <c r="V185" i="41"/>
  <c r="U185" i="41"/>
  <c r="T185" i="41"/>
  <c r="S185" i="41"/>
  <c r="R185" i="41"/>
  <c r="Q185" i="41"/>
  <c r="P185" i="41"/>
  <c r="O185" i="41"/>
  <c r="N185" i="41"/>
  <c r="M185" i="41"/>
  <c r="L185" i="41"/>
  <c r="K185" i="41"/>
  <c r="J185" i="41"/>
  <c r="I185" i="41"/>
  <c r="H185" i="41"/>
  <c r="G185" i="41"/>
  <c r="F185" i="41"/>
  <c r="DI184" i="41"/>
  <c r="DH184" i="41"/>
  <c r="DG184" i="41"/>
  <c r="DF184" i="41"/>
  <c r="DE184" i="41"/>
  <c r="DD184" i="41"/>
  <c r="DC184" i="41"/>
  <c r="DB184" i="41"/>
  <c r="DA184" i="41"/>
  <c r="CZ184" i="41"/>
  <c r="CY184" i="41"/>
  <c r="CX184" i="41"/>
  <c r="CW184" i="41"/>
  <c r="CV184" i="41"/>
  <c r="CU184" i="41"/>
  <c r="CT184" i="41"/>
  <c r="CS184" i="41"/>
  <c r="CR184" i="41"/>
  <c r="CQ184" i="41"/>
  <c r="CP184" i="41"/>
  <c r="CO184" i="41"/>
  <c r="CN184" i="41"/>
  <c r="CM184" i="41"/>
  <c r="CL184" i="41"/>
  <c r="CK184" i="41"/>
  <c r="CJ184" i="41"/>
  <c r="CI184" i="41"/>
  <c r="CH184" i="41"/>
  <c r="CG184" i="41"/>
  <c r="CF184" i="41"/>
  <c r="CE184" i="41"/>
  <c r="CD184" i="41"/>
  <c r="CC184" i="41"/>
  <c r="CB184" i="41" a="1"/>
  <c r="CB184" i="41" s="1"/>
  <c r="CA184" i="41" a="1"/>
  <c r="CA184" i="41" s="1"/>
  <c r="BZ184" i="41"/>
  <c r="BY184" i="41"/>
  <c r="BX184" i="41"/>
  <c r="BW184" i="41"/>
  <c r="BV184" i="41"/>
  <c r="BU184" i="41"/>
  <c r="BT184" i="41"/>
  <c r="BS184" i="41"/>
  <c r="BR184" i="41"/>
  <c r="BQ184" i="41"/>
  <c r="BP184" i="41"/>
  <c r="BO184" i="41"/>
  <c r="BN184" i="41"/>
  <c r="BM184" i="41"/>
  <c r="BL184" i="41"/>
  <c r="BK184" i="41"/>
  <c r="BJ184" i="41"/>
  <c r="BI184" i="41"/>
  <c r="BH184" i="41"/>
  <c r="BG184" i="41"/>
  <c r="BF184" i="41"/>
  <c r="BE184" i="41"/>
  <c r="BD184" i="41"/>
  <c r="BC184" i="41"/>
  <c r="BB184" i="41"/>
  <c r="BA184" i="41"/>
  <c r="AZ184" i="41"/>
  <c r="AY184" i="41"/>
  <c r="AX184" i="41"/>
  <c r="AW184" i="41"/>
  <c r="AV184" i="41"/>
  <c r="AU184" i="41"/>
  <c r="AT184" i="41"/>
  <c r="AS184" i="41"/>
  <c r="AR184" i="41"/>
  <c r="AQ184" i="41"/>
  <c r="AP184" i="41"/>
  <c r="AO184" i="41"/>
  <c r="AN184" i="41"/>
  <c r="AM184" i="41"/>
  <c r="AL184" i="41"/>
  <c r="AK184" i="41"/>
  <c r="AJ184" i="41"/>
  <c r="AI184" i="41"/>
  <c r="AH184" i="41"/>
  <c r="AG184" i="41"/>
  <c r="AF184" i="41"/>
  <c r="AE184" i="41"/>
  <c r="AD184" i="41"/>
  <c r="AC184" i="41"/>
  <c r="AB184" i="41"/>
  <c r="AA184" i="41"/>
  <c r="Z184" i="41"/>
  <c r="Y184" i="41"/>
  <c r="X184" i="41"/>
  <c r="W184" i="41"/>
  <c r="V184" i="41"/>
  <c r="U184" i="41"/>
  <c r="T184" i="41"/>
  <c r="S184" i="41"/>
  <c r="R184" i="41"/>
  <c r="Q184" i="41"/>
  <c r="P184" i="41"/>
  <c r="O184" i="41"/>
  <c r="N184" i="41"/>
  <c r="M184" i="41"/>
  <c r="L184" i="41"/>
  <c r="K184" i="41"/>
  <c r="J184" i="41"/>
  <c r="I184" i="41"/>
  <c r="H184" i="41"/>
  <c r="G184" i="41"/>
  <c r="F184" i="41"/>
  <c r="DI183" i="41"/>
  <c r="DH183" i="41"/>
  <c r="DG183" i="41"/>
  <c r="DF183" i="41"/>
  <c r="DE183" i="41"/>
  <c r="DD183" i="41"/>
  <c r="DC183" i="41"/>
  <c r="DB183" i="41"/>
  <c r="DA183" i="41"/>
  <c r="CZ183" i="41"/>
  <c r="CY183" i="41"/>
  <c r="CX183" i="41"/>
  <c r="CW183" i="41"/>
  <c r="CV183" i="41"/>
  <c r="CU183" i="41"/>
  <c r="CT183" i="41"/>
  <c r="CS183" i="41"/>
  <c r="CR183" i="41"/>
  <c r="CQ183" i="41"/>
  <c r="CP183" i="41"/>
  <c r="CO183" i="41"/>
  <c r="CN183" i="41"/>
  <c r="CM183" i="41"/>
  <c r="CL183" i="41"/>
  <c r="CK183" i="41"/>
  <c r="CJ183" i="41"/>
  <c r="CI183" i="41"/>
  <c r="CH183" i="41"/>
  <c r="CG183" i="41"/>
  <c r="CF183" i="41"/>
  <c r="CE183" i="41"/>
  <c r="CD183" i="41"/>
  <c r="CC183" i="41"/>
  <c r="CB183" i="41" a="1"/>
  <c r="CB183" i="41" s="1"/>
  <c r="CA183" i="41" a="1"/>
  <c r="CA183" i="41" s="1"/>
  <c r="BZ183" i="41"/>
  <c r="BY183" i="41"/>
  <c r="BX183" i="41"/>
  <c r="BW183" i="41"/>
  <c r="BV183" i="41"/>
  <c r="BU183" i="41"/>
  <c r="BT183" i="41"/>
  <c r="BS183" i="41"/>
  <c r="BR183" i="41"/>
  <c r="BQ183" i="41"/>
  <c r="BP183" i="41"/>
  <c r="BO183" i="41"/>
  <c r="BN183" i="41"/>
  <c r="BM183" i="41"/>
  <c r="BL183" i="41"/>
  <c r="BK183" i="41"/>
  <c r="BJ183" i="41"/>
  <c r="BI183" i="41"/>
  <c r="BH183" i="41"/>
  <c r="BG183" i="41"/>
  <c r="BF183" i="41"/>
  <c r="BE183" i="41"/>
  <c r="BD183" i="41"/>
  <c r="BC183" i="41"/>
  <c r="BB183" i="41"/>
  <c r="BA183" i="41"/>
  <c r="AZ183" i="41"/>
  <c r="AY183" i="41"/>
  <c r="AX183" i="41"/>
  <c r="AW183" i="41"/>
  <c r="AV183" i="41"/>
  <c r="AU183" i="41"/>
  <c r="AT183" i="41"/>
  <c r="AS183" i="41"/>
  <c r="AR183" i="41"/>
  <c r="AQ183" i="41"/>
  <c r="AP183" i="41"/>
  <c r="AO183" i="41"/>
  <c r="AN183" i="41"/>
  <c r="AM183" i="41"/>
  <c r="AL183" i="41"/>
  <c r="AK183" i="41"/>
  <c r="AJ183" i="41"/>
  <c r="AI183" i="41"/>
  <c r="AH183" i="41"/>
  <c r="AG183" i="41"/>
  <c r="AF183" i="41"/>
  <c r="AE183" i="41"/>
  <c r="AD183" i="41"/>
  <c r="AC183" i="41"/>
  <c r="AB183" i="41"/>
  <c r="AA183" i="41"/>
  <c r="Z183" i="41"/>
  <c r="Y183" i="41"/>
  <c r="X183" i="41"/>
  <c r="W183" i="41"/>
  <c r="V183" i="41"/>
  <c r="U183" i="41"/>
  <c r="T183" i="41"/>
  <c r="S183" i="41"/>
  <c r="R183" i="41"/>
  <c r="Q183" i="41"/>
  <c r="P183" i="41"/>
  <c r="O183" i="41"/>
  <c r="N183" i="41"/>
  <c r="M183" i="41"/>
  <c r="L183" i="41"/>
  <c r="K183" i="41"/>
  <c r="J183" i="41"/>
  <c r="I183" i="41"/>
  <c r="H183" i="41"/>
  <c r="G183" i="41"/>
  <c r="F183" i="41"/>
  <c r="DI182" i="41"/>
  <c r="DH182" i="41"/>
  <c r="DG182" i="41"/>
  <c r="DF182" i="41"/>
  <c r="DE182" i="41"/>
  <c r="DD182" i="41"/>
  <c r="DC182" i="41"/>
  <c r="DB182" i="41"/>
  <c r="DA182" i="41"/>
  <c r="CZ182" i="41"/>
  <c r="CY182" i="41"/>
  <c r="CX182" i="41"/>
  <c r="CW182" i="41"/>
  <c r="CV182" i="41"/>
  <c r="CU182" i="41"/>
  <c r="CT182" i="41"/>
  <c r="CS182" i="41"/>
  <c r="CR182" i="41"/>
  <c r="CQ182" i="41"/>
  <c r="CP182" i="41"/>
  <c r="CO182" i="41"/>
  <c r="CN182" i="41"/>
  <c r="CM182" i="41"/>
  <c r="CL182" i="41"/>
  <c r="CK182" i="41"/>
  <c r="CJ182" i="41"/>
  <c r="CI182" i="41"/>
  <c r="CH182" i="41"/>
  <c r="CG182" i="41"/>
  <c r="CF182" i="41"/>
  <c r="CE182" i="41"/>
  <c r="CD182" i="41"/>
  <c r="CC182" i="41"/>
  <c r="CB182" i="41" a="1"/>
  <c r="CB182" i="41" s="1"/>
  <c r="CA182" i="41" a="1"/>
  <c r="CA182" i="41" s="1"/>
  <c r="BZ182" i="41"/>
  <c r="BY182" i="41"/>
  <c r="BX182" i="41"/>
  <c r="BW182" i="41"/>
  <c r="BV182" i="41"/>
  <c r="BU182" i="41"/>
  <c r="BT182" i="41"/>
  <c r="BS182" i="41"/>
  <c r="BR182" i="41"/>
  <c r="BQ182" i="41"/>
  <c r="BP182" i="41"/>
  <c r="BO182" i="41"/>
  <c r="BN182" i="41"/>
  <c r="BM182" i="41"/>
  <c r="BL182" i="41"/>
  <c r="BK182" i="41"/>
  <c r="BJ182" i="41"/>
  <c r="BI182" i="41"/>
  <c r="BH182" i="41"/>
  <c r="BG182" i="41"/>
  <c r="BF182" i="41"/>
  <c r="BE182" i="41"/>
  <c r="BD182" i="41"/>
  <c r="BC182" i="41"/>
  <c r="BB182" i="41"/>
  <c r="BA182" i="41"/>
  <c r="AZ182" i="41"/>
  <c r="AY182" i="41"/>
  <c r="AX182" i="41"/>
  <c r="AW182" i="41"/>
  <c r="AV182" i="41"/>
  <c r="AU182" i="41"/>
  <c r="AT182" i="41"/>
  <c r="AS182" i="41"/>
  <c r="AR182" i="41"/>
  <c r="AQ182" i="41"/>
  <c r="AP182" i="41"/>
  <c r="AO182" i="41"/>
  <c r="AN182" i="41"/>
  <c r="AM182" i="41"/>
  <c r="AL182" i="41"/>
  <c r="AK182" i="41"/>
  <c r="AJ182" i="41"/>
  <c r="AI182" i="41"/>
  <c r="AH182" i="41"/>
  <c r="AG182" i="41"/>
  <c r="AF182" i="41"/>
  <c r="AE182" i="41"/>
  <c r="AD182" i="41"/>
  <c r="AC182" i="41"/>
  <c r="AB182" i="41"/>
  <c r="AA182" i="41"/>
  <c r="Z182" i="41"/>
  <c r="Y182" i="41"/>
  <c r="X182" i="41"/>
  <c r="W182" i="41"/>
  <c r="V182" i="41"/>
  <c r="U182" i="41"/>
  <c r="T182" i="41"/>
  <c r="S182" i="41"/>
  <c r="R182" i="41"/>
  <c r="Q182" i="41"/>
  <c r="P182" i="41"/>
  <c r="O182" i="41"/>
  <c r="N182" i="41"/>
  <c r="M182" i="41"/>
  <c r="L182" i="41"/>
  <c r="K182" i="41"/>
  <c r="J182" i="41"/>
  <c r="I182" i="41"/>
  <c r="H182" i="41"/>
  <c r="G182" i="41"/>
  <c r="F182" i="41"/>
  <c r="DI181" i="41"/>
  <c r="DH181" i="41"/>
  <c r="DG181" i="41"/>
  <c r="DF181" i="41"/>
  <c r="DE181" i="41"/>
  <c r="DD181" i="41"/>
  <c r="DC181" i="41"/>
  <c r="DB181" i="41"/>
  <c r="DA181" i="41"/>
  <c r="CZ181" i="41"/>
  <c r="CY181" i="41"/>
  <c r="CX181" i="41"/>
  <c r="CW181" i="41"/>
  <c r="CV181" i="41"/>
  <c r="CU181" i="41"/>
  <c r="CT181" i="41"/>
  <c r="CS181" i="41"/>
  <c r="CR181" i="41"/>
  <c r="CQ181" i="41"/>
  <c r="CP181" i="41"/>
  <c r="CO181" i="41"/>
  <c r="CN181" i="41"/>
  <c r="CM181" i="41"/>
  <c r="CL181" i="41"/>
  <c r="CK181" i="41"/>
  <c r="CJ181" i="41"/>
  <c r="CI181" i="41"/>
  <c r="CH181" i="41"/>
  <c r="CG181" i="41"/>
  <c r="CF181" i="41"/>
  <c r="CE181" i="41"/>
  <c r="CD181" i="41"/>
  <c r="CC181" i="41"/>
  <c r="CB181" i="41" a="1"/>
  <c r="CB181" i="41" s="1"/>
  <c r="CA181" i="41" a="1"/>
  <c r="CA181" i="41" s="1"/>
  <c r="BZ181" i="41"/>
  <c r="BY181" i="41"/>
  <c r="BX181" i="41"/>
  <c r="BW181" i="41"/>
  <c r="BV181" i="41"/>
  <c r="BU181" i="41"/>
  <c r="BT181" i="41"/>
  <c r="BS181" i="41"/>
  <c r="BR181" i="41"/>
  <c r="BQ181" i="41"/>
  <c r="BP181" i="41"/>
  <c r="BO181" i="41"/>
  <c r="BN181" i="41"/>
  <c r="BM181" i="41"/>
  <c r="BL181" i="41"/>
  <c r="BK181" i="41"/>
  <c r="BJ181" i="41"/>
  <c r="BI181" i="41"/>
  <c r="BH181" i="41"/>
  <c r="BG181" i="41"/>
  <c r="BF181" i="41"/>
  <c r="BE181" i="41"/>
  <c r="BD181" i="41"/>
  <c r="BC181" i="41"/>
  <c r="BB181" i="41"/>
  <c r="BA181" i="41"/>
  <c r="AZ181" i="41"/>
  <c r="AY181" i="41"/>
  <c r="AX181" i="41"/>
  <c r="AW181" i="41"/>
  <c r="AV181" i="41"/>
  <c r="AU181" i="41"/>
  <c r="AT181" i="41"/>
  <c r="AS181" i="41"/>
  <c r="AR181" i="41"/>
  <c r="AQ181" i="41"/>
  <c r="AP181" i="41"/>
  <c r="AO181" i="41"/>
  <c r="AN181" i="41"/>
  <c r="AM181" i="41"/>
  <c r="AL181" i="41"/>
  <c r="AK181" i="41"/>
  <c r="AJ181" i="41"/>
  <c r="AI181" i="41"/>
  <c r="AH181" i="41"/>
  <c r="AG181" i="41"/>
  <c r="AF181" i="41"/>
  <c r="AE181" i="41"/>
  <c r="AD181" i="41"/>
  <c r="AC181" i="41"/>
  <c r="AB181" i="41"/>
  <c r="AA181" i="41"/>
  <c r="Z181" i="41"/>
  <c r="Y181" i="41"/>
  <c r="X181" i="41"/>
  <c r="W181" i="41"/>
  <c r="V181" i="41"/>
  <c r="U181" i="41"/>
  <c r="T181" i="41"/>
  <c r="S181" i="41"/>
  <c r="R181" i="41"/>
  <c r="Q181" i="41"/>
  <c r="P181" i="41"/>
  <c r="O181" i="41"/>
  <c r="N181" i="41"/>
  <c r="M181" i="41"/>
  <c r="L181" i="41"/>
  <c r="K181" i="41"/>
  <c r="J181" i="41"/>
  <c r="I181" i="41"/>
  <c r="H181" i="41"/>
  <c r="G181" i="41"/>
  <c r="F181" i="41"/>
  <c r="DI180" i="41"/>
  <c r="DH180" i="41"/>
  <c r="DG180" i="41"/>
  <c r="DF180" i="41"/>
  <c r="DE180" i="41"/>
  <c r="DD180" i="41"/>
  <c r="DC180" i="41"/>
  <c r="DB180" i="41"/>
  <c r="DA180" i="41"/>
  <c r="CZ180" i="41"/>
  <c r="CY180" i="41"/>
  <c r="CX180" i="41"/>
  <c r="CW180" i="41"/>
  <c r="CV180" i="41"/>
  <c r="CU180" i="41"/>
  <c r="CT180" i="41"/>
  <c r="CS180" i="41"/>
  <c r="CR180" i="41"/>
  <c r="CQ180" i="41"/>
  <c r="CP180" i="41"/>
  <c r="CO180" i="41"/>
  <c r="CN180" i="41"/>
  <c r="CM180" i="41"/>
  <c r="CL180" i="41"/>
  <c r="CK180" i="41"/>
  <c r="CJ180" i="41"/>
  <c r="CI180" i="41"/>
  <c r="CH180" i="41"/>
  <c r="CG180" i="41"/>
  <c r="CF180" i="41"/>
  <c r="CE180" i="41"/>
  <c r="CD180" i="41"/>
  <c r="CC180" i="41"/>
  <c r="CB180" i="41" a="1"/>
  <c r="CB180" i="41" s="1"/>
  <c r="CA180" i="41" a="1"/>
  <c r="CA180" i="41" s="1"/>
  <c r="BZ180" i="41"/>
  <c r="BY180" i="41"/>
  <c r="BX180" i="41"/>
  <c r="BW180" i="41"/>
  <c r="BV180" i="41"/>
  <c r="BU180" i="41"/>
  <c r="BT180" i="41"/>
  <c r="BS180" i="41"/>
  <c r="BR180" i="41"/>
  <c r="BQ180" i="41"/>
  <c r="BP180" i="41"/>
  <c r="BO180" i="41"/>
  <c r="BN180" i="41"/>
  <c r="BM180" i="41"/>
  <c r="BL180" i="41"/>
  <c r="BK180" i="41"/>
  <c r="BJ180" i="41"/>
  <c r="BI180" i="41"/>
  <c r="BH180" i="41"/>
  <c r="BG180" i="41"/>
  <c r="BF180" i="41"/>
  <c r="BE180" i="41"/>
  <c r="BD180" i="41"/>
  <c r="BC180" i="41"/>
  <c r="BB180" i="41"/>
  <c r="BA180" i="41"/>
  <c r="AZ180" i="41"/>
  <c r="AY180" i="41"/>
  <c r="AX180" i="41"/>
  <c r="AW180" i="41"/>
  <c r="AV180" i="41"/>
  <c r="AU180" i="41"/>
  <c r="AT180" i="41"/>
  <c r="AS180" i="41"/>
  <c r="AR180" i="41"/>
  <c r="AQ180" i="41"/>
  <c r="AP180" i="41"/>
  <c r="AO180" i="41"/>
  <c r="AN180" i="41"/>
  <c r="AM180" i="41"/>
  <c r="AL180" i="41"/>
  <c r="AK180" i="41"/>
  <c r="AJ180" i="41"/>
  <c r="AI180" i="41"/>
  <c r="AH180" i="41"/>
  <c r="AG180" i="41"/>
  <c r="AF180" i="41"/>
  <c r="AE180" i="41"/>
  <c r="AD180" i="41"/>
  <c r="AC180" i="41"/>
  <c r="AB180" i="41"/>
  <c r="AA180" i="41"/>
  <c r="Z180" i="41"/>
  <c r="Y180" i="41"/>
  <c r="X180" i="41"/>
  <c r="W180" i="41"/>
  <c r="V180" i="41"/>
  <c r="U180" i="41"/>
  <c r="T180" i="41"/>
  <c r="S180" i="41"/>
  <c r="R180" i="41"/>
  <c r="Q180" i="41"/>
  <c r="P180" i="41"/>
  <c r="O180" i="41"/>
  <c r="N180" i="41"/>
  <c r="M180" i="41"/>
  <c r="L180" i="41"/>
  <c r="K180" i="41"/>
  <c r="J180" i="41"/>
  <c r="I180" i="41"/>
  <c r="H180" i="41"/>
  <c r="G180" i="41"/>
  <c r="F180" i="41"/>
  <c r="DI179" i="41"/>
  <c r="DH179" i="41"/>
  <c r="DG179" i="41"/>
  <c r="DF179" i="41"/>
  <c r="DE179" i="41"/>
  <c r="DD179" i="41"/>
  <c r="DC179" i="41"/>
  <c r="DB179" i="41"/>
  <c r="DA179" i="41"/>
  <c r="CZ179" i="41"/>
  <c r="CY179" i="41"/>
  <c r="CX179" i="41"/>
  <c r="CW179" i="41"/>
  <c r="CV179" i="41"/>
  <c r="CU179" i="41"/>
  <c r="CT179" i="41"/>
  <c r="CS179" i="41"/>
  <c r="CR179" i="41"/>
  <c r="CQ179" i="41"/>
  <c r="CP179" i="41"/>
  <c r="CO179" i="41"/>
  <c r="CN179" i="41"/>
  <c r="CM179" i="41"/>
  <c r="CL179" i="41"/>
  <c r="CK179" i="41"/>
  <c r="CJ179" i="41"/>
  <c r="CI179" i="41"/>
  <c r="CH179" i="41"/>
  <c r="CG179" i="41"/>
  <c r="CF179" i="41"/>
  <c r="CE179" i="41"/>
  <c r="CD179" i="41"/>
  <c r="CC179" i="41"/>
  <c r="CB179" i="41" a="1"/>
  <c r="CB179" i="41" s="1"/>
  <c r="CA179" i="41" a="1"/>
  <c r="CA179" i="41" s="1"/>
  <c r="BZ179" i="41"/>
  <c r="BY179" i="41"/>
  <c r="BX179" i="41"/>
  <c r="BW179" i="41"/>
  <c r="BV179" i="41"/>
  <c r="BU179" i="41"/>
  <c r="BT179" i="41"/>
  <c r="BS179" i="41"/>
  <c r="BR179" i="41"/>
  <c r="BQ179" i="41"/>
  <c r="BP179" i="41"/>
  <c r="BO179" i="41"/>
  <c r="BN179" i="41"/>
  <c r="BM179" i="41"/>
  <c r="BL179" i="41"/>
  <c r="BK179" i="41"/>
  <c r="BJ179" i="41"/>
  <c r="BI179" i="41"/>
  <c r="BH179" i="41"/>
  <c r="BG179" i="41"/>
  <c r="BF179" i="41"/>
  <c r="BE179" i="41"/>
  <c r="BD179" i="41"/>
  <c r="BC179" i="41"/>
  <c r="BB179" i="41"/>
  <c r="BA179" i="41"/>
  <c r="AZ179" i="41"/>
  <c r="AY179" i="41"/>
  <c r="AX179" i="41"/>
  <c r="AW179" i="41"/>
  <c r="AV179" i="41"/>
  <c r="AU179" i="41"/>
  <c r="AT179" i="41"/>
  <c r="AS179" i="41"/>
  <c r="AR179" i="41"/>
  <c r="AQ179" i="41"/>
  <c r="AP179" i="41"/>
  <c r="AO179" i="41"/>
  <c r="AN179" i="41"/>
  <c r="AM179" i="41"/>
  <c r="AL179" i="41"/>
  <c r="AK179" i="41"/>
  <c r="AJ179" i="41"/>
  <c r="AI179" i="41"/>
  <c r="AH179" i="41"/>
  <c r="AG179" i="41"/>
  <c r="AF179" i="41"/>
  <c r="AE179" i="41"/>
  <c r="AD179" i="41"/>
  <c r="AC179" i="41"/>
  <c r="AB179" i="41"/>
  <c r="AA179" i="41"/>
  <c r="Z179" i="41"/>
  <c r="Y179" i="41"/>
  <c r="X179" i="41"/>
  <c r="W179" i="41"/>
  <c r="V179" i="41"/>
  <c r="U179" i="41"/>
  <c r="T179" i="41"/>
  <c r="S179" i="41"/>
  <c r="R179" i="41"/>
  <c r="Q179" i="41"/>
  <c r="P179" i="41"/>
  <c r="O179" i="41"/>
  <c r="N179" i="41"/>
  <c r="M179" i="41"/>
  <c r="L179" i="41"/>
  <c r="K179" i="41"/>
  <c r="J179" i="41"/>
  <c r="I179" i="41"/>
  <c r="H179" i="41"/>
  <c r="G179" i="41"/>
  <c r="F179" i="41"/>
  <c r="DI178" i="41"/>
  <c r="DH178" i="41"/>
  <c r="DG178" i="41"/>
  <c r="DF178" i="41"/>
  <c r="DE178" i="41"/>
  <c r="DD178" i="41"/>
  <c r="DC178" i="41"/>
  <c r="DB178" i="41"/>
  <c r="DA178" i="41"/>
  <c r="CZ178" i="41"/>
  <c r="CY178" i="41"/>
  <c r="CX178" i="41"/>
  <c r="CW178" i="41"/>
  <c r="CV178" i="41"/>
  <c r="CU178" i="41"/>
  <c r="CT178" i="41"/>
  <c r="CS178" i="41"/>
  <c r="CR178" i="41"/>
  <c r="CQ178" i="41"/>
  <c r="CP178" i="41"/>
  <c r="CO178" i="41"/>
  <c r="CN178" i="41"/>
  <c r="CM178" i="41"/>
  <c r="CL178" i="41"/>
  <c r="CK178" i="41"/>
  <c r="CJ178" i="41"/>
  <c r="CI178" i="41"/>
  <c r="CH178" i="41"/>
  <c r="CG178" i="41"/>
  <c r="CF178" i="41"/>
  <c r="CE178" i="41"/>
  <c r="CD178" i="41"/>
  <c r="CC178" i="41"/>
  <c r="CB178" i="41" a="1"/>
  <c r="CB178" i="41" s="1"/>
  <c r="CA178" i="41" a="1"/>
  <c r="CA178" i="41" s="1"/>
  <c r="BZ178" i="41"/>
  <c r="BY178" i="41"/>
  <c r="BX178" i="41"/>
  <c r="BW178" i="41"/>
  <c r="BV178" i="41"/>
  <c r="BU178" i="41"/>
  <c r="BT178" i="41"/>
  <c r="BS178" i="41"/>
  <c r="BR178" i="41"/>
  <c r="BQ178" i="41"/>
  <c r="BP178" i="41"/>
  <c r="BO178" i="41"/>
  <c r="BN178" i="41"/>
  <c r="BM178" i="41"/>
  <c r="BL178" i="41"/>
  <c r="BK178" i="41"/>
  <c r="BJ178" i="41"/>
  <c r="BI178" i="41"/>
  <c r="BH178" i="41"/>
  <c r="BG178" i="41"/>
  <c r="BF178" i="41"/>
  <c r="BE178" i="41"/>
  <c r="BD178" i="41"/>
  <c r="BC178" i="41"/>
  <c r="BB178" i="41"/>
  <c r="BA178" i="41"/>
  <c r="AZ178" i="41"/>
  <c r="AY178" i="41"/>
  <c r="AX178" i="41"/>
  <c r="AW178" i="41"/>
  <c r="AV178" i="41"/>
  <c r="AU178" i="41"/>
  <c r="AT178" i="41"/>
  <c r="AS178" i="41"/>
  <c r="AR178" i="41"/>
  <c r="AQ178" i="41"/>
  <c r="AP178" i="41"/>
  <c r="AO178" i="41"/>
  <c r="AN178" i="41"/>
  <c r="AM178" i="41"/>
  <c r="AL178" i="41"/>
  <c r="AK178" i="41"/>
  <c r="AJ178" i="41"/>
  <c r="AI178" i="41"/>
  <c r="AH178" i="41"/>
  <c r="AG178" i="41"/>
  <c r="AF178" i="41"/>
  <c r="AE178" i="41"/>
  <c r="AD178" i="41"/>
  <c r="AC178" i="41"/>
  <c r="AB178" i="41"/>
  <c r="AA178" i="41"/>
  <c r="Z178" i="41"/>
  <c r="Y178" i="41"/>
  <c r="X178" i="41"/>
  <c r="W178" i="41"/>
  <c r="V178" i="41"/>
  <c r="U178" i="41"/>
  <c r="T178" i="41"/>
  <c r="S178" i="41"/>
  <c r="R178" i="41"/>
  <c r="Q178" i="41"/>
  <c r="P178" i="41"/>
  <c r="O178" i="41"/>
  <c r="N178" i="41"/>
  <c r="M178" i="41"/>
  <c r="L178" i="41"/>
  <c r="K178" i="41"/>
  <c r="J178" i="41"/>
  <c r="I178" i="41"/>
  <c r="H178" i="41"/>
  <c r="G178" i="41"/>
  <c r="F178" i="41"/>
  <c r="DI177" i="41"/>
  <c r="DH177" i="41"/>
  <c r="DG177" i="41"/>
  <c r="DF177" i="41"/>
  <c r="DE177" i="41"/>
  <c r="DD177" i="41"/>
  <c r="DC177" i="41"/>
  <c r="DB177" i="41"/>
  <c r="DA177" i="41"/>
  <c r="CZ177" i="41"/>
  <c r="CY177" i="41"/>
  <c r="CX177" i="41"/>
  <c r="CW177" i="41"/>
  <c r="CV177" i="41"/>
  <c r="CU177" i="41"/>
  <c r="CT177" i="41"/>
  <c r="CS177" i="41"/>
  <c r="CR177" i="41"/>
  <c r="CQ177" i="41"/>
  <c r="CP177" i="41"/>
  <c r="CO177" i="41"/>
  <c r="CN177" i="41"/>
  <c r="CM177" i="41"/>
  <c r="CL177" i="41"/>
  <c r="CK177" i="41"/>
  <c r="CJ177" i="41"/>
  <c r="CI177" i="41"/>
  <c r="CH177" i="41"/>
  <c r="CG177" i="41"/>
  <c r="CF177" i="41"/>
  <c r="CE177" i="41"/>
  <c r="CD177" i="41"/>
  <c r="CC177" i="41"/>
  <c r="CB177" i="41" a="1"/>
  <c r="CB177" i="41" s="1"/>
  <c r="CA177" i="41" a="1"/>
  <c r="CA177" i="41" s="1"/>
  <c r="BZ177" i="41"/>
  <c r="BY177" i="41"/>
  <c r="BX177" i="41"/>
  <c r="BW177" i="41"/>
  <c r="BV177" i="41"/>
  <c r="BU177" i="41"/>
  <c r="BT177" i="41"/>
  <c r="BS177" i="41"/>
  <c r="BR177" i="41"/>
  <c r="BQ177" i="41"/>
  <c r="BP177" i="41"/>
  <c r="BO177" i="41"/>
  <c r="BN177" i="41"/>
  <c r="BM177" i="41"/>
  <c r="BL177" i="41"/>
  <c r="BK177" i="41"/>
  <c r="BJ177" i="41"/>
  <c r="BI177" i="41"/>
  <c r="BH177" i="41"/>
  <c r="BG177" i="41"/>
  <c r="BF177" i="41"/>
  <c r="BE177" i="41"/>
  <c r="BD177" i="41"/>
  <c r="BC177" i="41"/>
  <c r="BB177" i="41"/>
  <c r="BA177" i="41"/>
  <c r="AZ177" i="41"/>
  <c r="AY177" i="41"/>
  <c r="AX177" i="41"/>
  <c r="AW177" i="41"/>
  <c r="AV177" i="41"/>
  <c r="AU177" i="41"/>
  <c r="AT177" i="41"/>
  <c r="AS177" i="41"/>
  <c r="AR177" i="41"/>
  <c r="AQ177" i="41"/>
  <c r="AP177" i="41"/>
  <c r="AO177" i="41"/>
  <c r="AN177" i="41"/>
  <c r="AM177" i="41"/>
  <c r="AL177" i="41"/>
  <c r="AK177" i="41"/>
  <c r="AJ177" i="41"/>
  <c r="AI177" i="41"/>
  <c r="AH177" i="41"/>
  <c r="AG177" i="41"/>
  <c r="AF177" i="41"/>
  <c r="AE177" i="41"/>
  <c r="AD177" i="41"/>
  <c r="AC177" i="41"/>
  <c r="AB177" i="41"/>
  <c r="AA177" i="41"/>
  <c r="Z177" i="41"/>
  <c r="Y177" i="41"/>
  <c r="X177" i="41"/>
  <c r="W177" i="41"/>
  <c r="V177" i="41"/>
  <c r="U177" i="41"/>
  <c r="T177" i="41"/>
  <c r="S177" i="41"/>
  <c r="R177" i="41"/>
  <c r="Q177" i="41"/>
  <c r="P177" i="41"/>
  <c r="O177" i="41"/>
  <c r="N177" i="41"/>
  <c r="M177" i="41"/>
  <c r="L177" i="41"/>
  <c r="K177" i="41"/>
  <c r="J177" i="41"/>
  <c r="I177" i="41"/>
  <c r="H177" i="41"/>
  <c r="G177" i="41"/>
  <c r="F177" i="41"/>
  <c r="DI176" i="41"/>
  <c r="DH176" i="41"/>
  <c r="DG176" i="41"/>
  <c r="DF176" i="41"/>
  <c r="DE176" i="41"/>
  <c r="DD176" i="41"/>
  <c r="DC176" i="41"/>
  <c r="DB176" i="41"/>
  <c r="DA176" i="41"/>
  <c r="CZ176" i="41"/>
  <c r="CY176" i="41"/>
  <c r="CX176" i="41"/>
  <c r="CW176" i="41"/>
  <c r="CV176" i="41"/>
  <c r="CU176" i="41"/>
  <c r="CT176" i="41"/>
  <c r="CS176" i="41"/>
  <c r="CR176" i="41"/>
  <c r="CQ176" i="41"/>
  <c r="CP176" i="41"/>
  <c r="CO176" i="41"/>
  <c r="CN176" i="41"/>
  <c r="CM176" i="41"/>
  <c r="CL176" i="41"/>
  <c r="CK176" i="41"/>
  <c r="CJ176" i="41"/>
  <c r="CI176" i="41"/>
  <c r="CH176" i="41"/>
  <c r="CG176" i="41"/>
  <c r="CF176" i="41"/>
  <c r="CE176" i="41"/>
  <c r="CD176" i="41"/>
  <c r="CC176" i="41"/>
  <c r="CB176" i="41" a="1"/>
  <c r="CB176" i="41" s="1"/>
  <c r="CA176" i="41" a="1"/>
  <c r="CA176" i="41" s="1"/>
  <c r="BZ176" i="41"/>
  <c r="BY176" i="41"/>
  <c r="BX176" i="41"/>
  <c r="BW176" i="41"/>
  <c r="BV176" i="41"/>
  <c r="BU176" i="41"/>
  <c r="BT176" i="41"/>
  <c r="BS176" i="41"/>
  <c r="BR176" i="41"/>
  <c r="BQ176" i="41"/>
  <c r="BP176" i="41"/>
  <c r="BO176" i="41"/>
  <c r="BN176" i="41"/>
  <c r="BM176" i="41"/>
  <c r="BL176" i="41"/>
  <c r="BK176" i="41"/>
  <c r="BJ176" i="41"/>
  <c r="BI176" i="41"/>
  <c r="BH176" i="41"/>
  <c r="BG176" i="41"/>
  <c r="BF176" i="41"/>
  <c r="BE176" i="41"/>
  <c r="BD176" i="41"/>
  <c r="BC176" i="41"/>
  <c r="BB176" i="41"/>
  <c r="BA176" i="41"/>
  <c r="AZ176" i="41"/>
  <c r="AY176" i="41"/>
  <c r="AX176" i="41"/>
  <c r="AW176" i="41"/>
  <c r="AV176" i="41"/>
  <c r="AU176" i="41"/>
  <c r="AT176" i="41"/>
  <c r="AS176" i="41"/>
  <c r="AR176" i="41"/>
  <c r="AQ176" i="41"/>
  <c r="AP176" i="41"/>
  <c r="AO176" i="41"/>
  <c r="AN176" i="41"/>
  <c r="AM176" i="41"/>
  <c r="AL176" i="41"/>
  <c r="AK176" i="41"/>
  <c r="AJ176" i="41"/>
  <c r="AI176" i="41"/>
  <c r="AH176" i="41"/>
  <c r="AG176" i="41"/>
  <c r="AF176" i="41"/>
  <c r="AE176" i="41"/>
  <c r="AD176" i="41"/>
  <c r="AC176" i="41"/>
  <c r="AB176" i="41"/>
  <c r="AA176" i="41"/>
  <c r="Z176" i="41"/>
  <c r="Y176" i="41"/>
  <c r="X176" i="41"/>
  <c r="W176" i="41"/>
  <c r="V176" i="41"/>
  <c r="U176" i="41"/>
  <c r="T176" i="41"/>
  <c r="S176" i="41"/>
  <c r="R176" i="41"/>
  <c r="Q176" i="41"/>
  <c r="P176" i="41"/>
  <c r="O176" i="41"/>
  <c r="N176" i="41"/>
  <c r="M176" i="41"/>
  <c r="L176" i="41"/>
  <c r="K176" i="41"/>
  <c r="J176" i="41"/>
  <c r="I176" i="41"/>
  <c r="H176" i="41"/>
  <c r="G176" i="41"/>
  <c r="F176" i="41"/>
  <c r="DI175" i="41"/>
  <c r="DH175" i="41"/>
  <c r="DG175" i="41"/>
  <c r="DF175" i="41"/>
  <c r="DE175" i="41"/>
  <c r="DD175" i="41"/>
  <c r="DC175" i="41"/>
  <c r="DB175" i="41"/>
  <c r="DA175" i="41"/>
  <c r="CZ175" i="41"/>
  <c r="CY175" i="41"/>
  <c r="CX175" i="41"/>
  <c r="CW175" i="41"/>
  <c r="CV175" i="41"/>
  <c r="CU175" i="41"/>
  <c r="CT175" i="41"/>
  <c r="CS175" i="41"/>
  <c r="CR175" i="41"/>
  <c r="CQ175" i="41"/>
  <c r="CP175" i="41"/>
  <c r="CO175" i="41"/>
  <c r="CN175" i="41"/>
  <c r="CM175" i="41"/>
  <c r="CL175" i="41"/>
  <c r="CK175" i="41"/>
  <c r="CJ175" i="41"/>
  <c r="CI175" i="41"/>
  <c r="CH175" i="41"/>
  <c r="CG175" i="41"/>
  <c r="CF175" i="41"/>
  <c r="CE175" i="41"/>
  <c r="CD175" i="41"/>
  <c r="CC175" i="41"/>
  <c r="CB175" i="41" a="1"/>
  <c r="CB175" i="41" s="1"/>
  <c r="CA175" i="41" a="1"/>
  <c r="CA175" i="41" s="1"/>
  <c r="BZ175" i="41"/>
  <c r="BY175" i="41"/>
  <c r="BX175" i="41"/>
  <c r="BW175" i="41"/>
  <c r="BV175" i="41"/>
  <c r="BU175" i="41"/>
  <c r="BT175" i="41"/>
  <c r="BS175" i="41"/>
  <c r="BR175" i="41"/>
  <c r="BQ175" i="41"/>
  <c r="BP175" i="41"/>
  <c r="BO175" i="41"/>
  <c r="BN175" i="41"/>
  <c r="BM175" i="41"/>
  <c r="BL175" i="41"/>
  <c r="BK175" i="41"/>
  <c r="BJ175" i="41"/>
  <c r="BI175" i="41"/>
  <c r="BH175" i="41"/>
  <c r="BG175" i="41"/>
  <c r="BF175" i="41"/>
  <c r="BE175" i="41"/>
  <c r="BD175" i="41"/>
  <c r="BC175" i="41"/>
  <c r="BB175" i="41"/>
  <c r="BA175" i="41"/>
  <c r="AZ175" i="41"/>
  <c r="AY175" i="41"/>
  <c r="AX175" i="41"/>
  <c r="AW175" i="41"/>
  <c r="AV175" i="41"/>
  <c r="AU175" i="41"/>
  <c r="AT175" i="41"/>
  <c r="AS175" i="41"/>
  <c r="AR175" i="41"/>
  <c r="AQ175" i="41"/>
  <c r="AP175" i="41"/>
  <c r="AO175" i="41"/>
  <c r="AN175" i="41"/>
  <c r="AM175" i="41"/>
  <c r="AL175" i="41"/>
  <c r="AK175" i="41"/>
  <c r="AJ175" i="41"/>
  <c r="AI175" i="41"/>
  <c r="AH175" i="41"/>
  <c r="AG175" i="41"/>
  <c r="AF175" i="41"/>
  <c r="AE175" i="41"/>
  <c r="AD175" i="41"/>
  <c r="AC175" i="41"/>
  <c r="AB175" i="41"/>
  <c r="AA175" i="41"/>
  <c r="Z175" i="41"/>
  <c r="Y175" i="41"/>
  <c r="X175" i="41"/>
  <c r="W175" i="41"/>
  <c r="V175" i="41"/>
  <c r="U175" i="41"/>
  <c r="T175" i="41"/>
  <c r="S175" i="41"/>
  <c r="R175" i="41"/>
  <c r="Q175" i="41"/>
  <c r="P175" i="41"/>
  <c r="O175" i="41"/>
  <c r="N175" i="41"/>
  <c r="M175" i="41"/>
  <c r="L175" i="41"/>
  <c r="K175" i="41"/>
  <c r="J175" i="41"/>
  <c r="I175" i="41"/>
  <c r="H175" i="41"/>
  <c r="G175" i="41"/>
  <c r="F175" i="41"/>
  <c r="DI174" i="41"/>
  <c r="DH174" i="41"/>
  <c r="DG174" i="41"/>
  <c r="DF174" i="41"/>
  <c r="DE174" i="41"/>
  <c r="DD174" i="41"/>
  <c r="DC174" i="41"/>
  <c r="DB174" i="41"/>
  <c r="DA174" i="41"/>
  <c r="CZ174" i="41"/>
  <c r="CY174" i="41"/>
  <c r="CX174" i="41"/>
  <c r="CW174" i="41"/>
  <c r="CV174" i="41"/>
  <c r="CU174" i="41"/>
  <c r="CT174" i="41"/>
  <c r="CS174" i="41"/>
  <c r="CR174" i="41"/>
  <c r="CQ174" i="41"/>
  <c r="CP174" i="41"/>
  <c r="CO174" i="41"/>
  <c r="CN174" i="41"/>
  <c r="CM174" i="41"/>
  <c r="CL174" i="41"/>
  <c r="CK174" i="41"/>
  <c r="CJ174" i="41"/>
  <c r="CI174" i="41"/>
  <c r="CH174" i="41"/>
  <c r="CG174" i="41"/>
  <c r="CF174" i="41"/>
  <c r="CE174" i="41"/>
  <c r="CD174" i="41"/>
  <c r="CC174" i="41"/>
  <c r="CB174" i="41" a="1"/>
  <c r="CB174" i="41" s="1"/>
  <c r="CA174" i="41" a="1"/>
  <c r="CA174" i="41" s="1"/>
  <c r="BZ174" i="41"/>
  <c r="BY174" i="41"/>
  <c r="BX174" i="41"/>
  <c r="BW174" i="41"/>
  <c r="BV174" i="41"/>
  <c r="BU174" i="41"/>
  <c r="BT174" i="41"/>
  <c r="BS174" i="41"/>
  <c r="BR174" i="41"/>
  <c r="BQ174" i="41"/>
  <c r="BP174" i="41"/>
  <c r="BO174" i="41"/>
  <c r="BN174" i="41"/>
  <c r="BM174" i="41"/>
  <c r="BL174" i="41"/>
  <c r="BK174" i="41"/>
  <c r="BJ174" i="41"/>
  <c r="BI174" i="41"/>
  <c r="BH174" i="41"/>
  <c r="BG174" i="41"/>
  <c r="BF174" i="41"/>
  <c r="BE174" i="41"/>
  <c r="BD174" i="41"/>
  <c r="BC174" i="41"/>
  <c r="BB174" i="41"/>
  <c r="BA174" i="41"/>
  <c r="AZ174" i="41"/>
  <c r="AY174" i="41"/>
  <c r="AX174" i="41"/>
  <c r="AW174" i="41"/>
  <c r="AV174" i="41"/>
  <c r="AU174" i="41"/>
  <c r="AT174" i="41"/>
  <c r="AS174" i="41"/>
  <c r="AR174" i="41"/>
  <c r="AQ174" i="41"/>
  <c r="AP174" i="41"/>
  <c r="AO174" i="41"/>
  <c r="AN174" i="41"/>
  <c r="AM174" i="41"/>
  <c r="AL174" i="41"/>
  <c r="AK174" i="41"/>
  <c r="AJ174" i="41"/>
  <c r="AI174" i="41"/>
  <c r="AH174" i="41"/>
  <c r="AG174" i="41"/>
  <c r="AF174" i="41"/>
  <c r="AE174" i="41"/>
  <c r="AD174" i="41"/>
  <c r="AC174" i="41"/>
  <c r="AB174" i="41"/>
  <c r="AA174" i="41"/>
  <c r="Z174" i="41"/>
  <c r="Y174" i="41"/>
  <c r="X174" i="41"/>
  <c r="W174" i="41"/>
  <c r="V174" i="41"/>
  <c r="U174" i="41"/>
  <c r="T174" i="41"/>
  <c r="S174" i="41"/>
  <c r="R174" i="41"/>
  <c r="Q174" i="41"/>
  <c r="P174" i="41"/>
  <c r="O174" i="41"/>
  <c r="N174" i="41"/>
  <c r="M174" i="41"/>
  <c r="L174" i="41"/>
  <c r="K174" i="41"/>
  <c r="J174" i="41"/>
  <c r="I174" i="41"/>
  <c r="H174" i="41"/>
  <c r="G174" i="41"/>
  <c r="F174" i="41"/>
  <c r="DI173" i="41"/>
  <c r="DH173" i="41"/>
  <c r="DG173" i="41"/>
  <c r="DF173" i="41"/>
  <c r="DE173" i="41"/>
  <c r="DD173" i="41"/>
  <c r="DC173" i="41"/>
  <c r="DB173" i="41"/>
  <c r="DA173" i="41"/>
  <c r="CZ173" i="41"/>
  <c r="CY173" i="41"/>
  <c r="CX173" i="41"/>
  <c r="CW173" i="41"/>
  <c r="CV173" i="41"/>
  <c r="CU173" i="41"/>
  <c r="CT173" i="41"/>
  <c r="CS173" i="41"/>
  <c r="CR173" i="41"/>
  <c r="CQ173" i="41"/>
  <c r="CP173" i="41"/>
  <c r="CO173" i="41"/>
  <c r="CN173" i="41"/>
  <c r="CM173" i="41"/>
  <c r="CL173" i="41"/>
  <c r="CK173" i="41"/>
  <c r="CJ173" i="41"/>
  <c r="CI173" i="41"/>
  <c r="CH173" i="41"/>
  <c r="CG173" i="41"/>
  <c r="CF173" i="41"/>
  <c r="CE173" i="41"/>
  <c r="CD173" i="41"/>
  <c r="CC173" i="41"/>
  <c r="CB173" i="41" a="1"/>
  <c r="CB173" i="41" s="1"/>
  <c r="CA173" i="41" a="1"/>
  <c r="CA173" i="41" s="1"/>
  <c r="BZ173" i="41"/>
  <c r="BY173" i="41"/>
  <c r="BX173" i="41"/>
  <c r="BW173" i="41"/>
  <c r="BV173" i="41"/>
  <c r="BU173" i="41"/>
  <c r="BT173" i="41"/>
  <c r="BS173" i="41"/>
  <c r="BR173" i="41"/>
  <c r="BQ173" i="41"/>
  <c r="BP173" i="41"/>
  <c r="BO173" i="41"/>
  <c r="BN173" i="41"/>
  <c r="BM173" i="41"/>
  <c r="BL173" i="41"/>
  <c r="BK173" i="41"/>
  <c r="BJ173" i="41"/>
  <c r="BI173" i="41"/>
  <c r="BH173" i="41"/>
  <c r="BG173" i="41"/>
  <c r="BF173" i="41"/>
  <c r="BE173" i="41"/>
  <c r="BD173" i="41"/>
  <c r="BC173" i="41"/>
  <c r="BB173" i="41"/>
  <c r="BA173" i="41"/>
  <c r="AZ173" i="41"/>
  <c r="AY173" i="41"/>
  <c r="AX173" i="41"/>
  <c r="AW173" i="41"/>
  <c r="AV173" i="41"/>
  <c r="AU173" i="41"/>
  <c r="AT173" i="41"/>
  <c r="AS173" i="41"/>
  <c r="AR173" i="41"/>
  <c r="AQ173" i="41"/>
  <c r="AP173" i="41"/>
  <c r="AO173" i="41"/>
  <c r="AN173" i="41"/>
  <c r="AM173" i="41"/>
  <c r="AL173" i="41"/>
  <c r="AK173" i="41"/>
  <c r="AJ173" i="41"/>
  <c r="AI173" i="41"/>
  <c r="AH173" i="41"/>
  <c r="AG173" i="41"/>
  <c r="AF173" i="41"/>
  <c r="AE173" i="41"/>
  <c r="AD173" i="41"/>
  <c r="AC173" i="41"/>
  <c r="AB173" i="41"/>
  <c r="AA173" i="41"/>
  <c r="Z173" i="41"/>
  <c r="Y173" i="41"/>
  <c r="X173" i="41"/>
  <c r="W173" i="41"/>
  <c r="V173" i="41"/>
  <c r="U173" i="41"/>
  <c r="T173" i="41"/>
  <c r="S173" i="41"/>
  <c r="R173" i="41"/>
  <c r="Q173" i="41"/>
  <c r="P173" i="41"/>
  <c r="O173" i="41"/>
  <c r="N173" i="41"/>
  <c r="M173" i="41"/>
  <c r="L173" i="41"/>
  <c r="K173" i="41"/>
  <c r="J173" i="41"/>
  <c r="I173" i="41"/>
  <c r="H173" i="41"/>
  <c r="G173" i="41"/>
  <c r="F173" i="41"/>
  <c r="DI172" i="41"/>
  <c r="DH172" i="41"/>
  <c r="DG172" i="41"/>
  <c r="DF172" i="41"/>
  <c r="DE172" i="41"/>
  <c r="DD172" i="41"/>
  <c r="DC172" i="41"/>
  <c r="DB172" i="41"/>
  <c r="DA172" i="41"/>
  <c r="CZ172" i="41"/>
  <c r="CY172" i="41"/>
  <c r="CX172" i="41"/>
  <c r="CW172" i="41"/>
  <c r="CV172" i="41"/>
  <c r="CU172" i="41"/>
  <c r="CT172" i="41"/>
  <c r="CS172" i="41"/>
  <c r="CR172" i="41"/>
  <c r="CQ172" i="41"/>
  <c r="CP172" i="41"/>
  <c r="CO172" i="41"/>
  <c r="CN172" i="41"/>
  <c r="CM172" i="41"/>
  <c r="CL172" i="41"/>
  <c r="CK172" i="41"/>
  <c r="CJ172" i="41"/>
  <c r="CI172" i="41"/>
  <c r="CH172" i="41"/>
  <c r="CG172" i="41"/>
  <c r="CF172" i="41"/>
  <c r="CE172" i="41"/>
  <c r="CD172" i="41"/>
  <c r="CC172" i="41"/>
  <c r="CB172" i="41" a="1"/>
  <c r="CB172" i="41" s="1"/>
  <c r="CA172" i="41" a="1"/>
  <c r="CA172" i="41" s="1"/>
  <c r="BZ172" i="41"/>
  <c r="BY172" i="41"/>
  <c r="BX172" i="41"/>
  <c r="BW172" i="41"/>
  <c r="BV172" i="41"/>
  <c r="BU172" i="41"/>
  <c r="BT172" i="41"/>
  <c r="BS172" i="41"/>
  <c r="BR172" i="41"/>
  <c r="BQ172" i="41"/>
  <c r="BP172" i="41"/>
  <c r="BO172" i="41"/>
  <c r="BN172" i="41"/>
  <c r="BM172" i="41"/>
  <c r="BL172" i="41"/>
  <c r="BK172" i="41"/>
  <c r="BJ172" i="41"/>
  <c r="BI172" i="41"/>
  <c r="BH172" i="41"/>
  <c r="BG172" i="41"/>
  <c r="BF172" i="41"/>
  <c r="BE172" i="41"/>
  <c r="BD172" i="41"/>
  <c r="BC172" i="41"/>
  <c r="BB172" i="41"/>
  <c r="BA172" i="41"/>
  <c r="AZ172" i="41"/>
  <c r="AY172" i="41"/>
  <c r="AX172" i="41"/>
  <c r="AW172" i="41"/>
  <c r="AV172" i="41"/>
  <c r="AU172" i="41"/>
  <c r="AT172" i="41"/>
  <c r="AS172" i="41"/>
  <c r="AR172" i="41"/>
  <c r="AQ172" i="41"/>
  <c r="AP172" i="41"/>
  <c r="AO172" i="41"/>
  <c r="AN172" i="41"/>
  <c r="AM172" i="41"/>
  <c r="AL172" i="41"/>
  <c r="AK172" i="41"/>
  <c r="AJ172" i="41"/>
  <c r="AI172" i="41"/>
  <c r="AH172" i="41"/>
  <c r="AG172" i="41"/>
  <c r="AF172" i="41"/>
  <c r="AE172" i="41"/>
  <c r="AD172" i="41"/>
  <c r="AC172" i="41"/>
  <c r="AB172" i="41"/>
  <c r="AA172" i="41"/>
  <c r="Z172" i="41"/>
  <c r="Y172" i="41"/>
  <c r="X172" i="41"/>
  <c r="W172" i="41"/>
  <c r="V172" i="41"/>
  <c r="U172" i="41"/>
  <c r="T172" i="41"/>
  <c r="S172" i="41"/>
  <c r="R172" i="41"/>
  <c r="Q172" i="41"/>
  <c r="P172" i="41"/>
  <c r="O172" i="41"/>
  <c r="N172" i="41"/>
  <c r="M172" i="41"/>
  <c r="L172" i="41"/>
  <c r="K172" i="41"/>
  <c r="J172" i="41"/>
  <c r="I172" i="41"/>
  <c r="H172" i="41"/>
  <c r="G172" i="41"/>
  <c r="F172" i="41"/>
  <c r="DI171" i="41"/>
  <c r="DH171" i="41"/>
  <c r="DG171" i="41"/>
  <c r="DF171" i="41"/>
  <c r="DE171" i="41"/>
  <c r="DD171" i="41"/>
  <c r="DC171" i="41"/>
  <c r="DB171" i="41"/>
  <c r="DA171" i="41"/>
  <c r="CZ171" i="41"/>
  <c r="CY171" i="41"/>
  <c r="CX171" i="41"/>
  <c r="CW171" i="41"/>
  <c r="CV171" i="41"/>
  <c r="CU171" i="41"/>
  <c r="CT171" i="41"/>
  <c r="CS171" i="41"/>
  <c r="CR171" i="41"/>
  <c r="CQ171" i="41"/>
  <c r="CP171" i="41"/>
  <c r="CO171" i="41"/>
  <c r="CN171" i="41"/>
  <c r="CM171" i="41"/>
  <c r="CL171" i="41"/>
  <c r="CK171" i="41"/>
  <c r="CJ171" i="41"/>
  <c r="CI171" i="41"/>
  <c r="CH171" i="41"/>
  <c r="CG171" i="41"/>
  <c r="CF171" i="41"/>
  <c r="CE171" i="41"/>
  <c r="CD171" i="41"/>
  <c r="CC171" i="41"/>
  <c r="CB171" i="41" a="1"/>
  <c r="CB171" i="41" s="1"/>
  <c r="CA171" i="41" a="1"/>
  <c r="CA171" i="41" s="1"/>
  <c r="BZ171" i="41"/>
  <c r="BY171" i="41"/>
  <c r="BX171" i="41"/>
  <c r="BW171" i="41"/>
  <c r="BV171" i="41"/>
  <c r="BU171" i="41"/>
  <c r="BT171" i="41"/>
  <c r="BS171" i="41"/>
  <c r="BR171" i="41"/>
  <c r="BQ171" i="41"/>
  <c r="BP171" i="41"/>
  <c r="BO171" i="41"/>
  <c r="BN171" i="41"/>
  <c r="BM171" i="41"/>
  <c r="BL171" i="41"/>
  <c r="BK171" i="41"/>
  <c r="BJ171" i="41"/>
  <c r="BI171" i="41"/>
  <c r="BH171" i="41"/>
  <c r="BG171" i="41"/>
  <c r="BF171" i="41"/>
  <c r="BE171" i="41"/>
  <c r="BD171" i="41"/>
  <c r="BC171" i="41"/>
  <c r="BB171" i="41"/>
  <c r="BA171" i="41"/>
  <c r="AZ171" i="41"/>
  <c r="AY171" i="41"/>
  <c r="AX171" i="41"/>
  <c r="AW171" i="41"/>
  <c r="AV171" i="41"/>
  <c r="AU171" i="41"/>
  <c r="AT171" i="41"/>
  <c r="AS171" i="41"/>
  <c r="AR171" i="41"/>
  <c r="AQ171" i="41"/>
  <c r="AP171" i="41"/>
  <c r="AO171" i="41"/>
  <c r="AN171" i="41"/>
  <c r="AM171" i="41"/>
  <c r="AL171" i="41"/>
  <c r="AK171" i="41"/>
  <c r="AJ171" i="41"/>
  <c r="AI171" i="41"/>
  <c r="AH171" i="41"/>
  <c r="AG171" i="41"/>
  <c r="AF171" i="41"/>
  <c r="AE171" i="41"/>
  <c r="AD171" i="41"/>
  <c r="AC171" i="41"/>
  <c r="AB171" i="41"/>
  <c r="AA171" i="41"/>
  <c r="Z171" i="41"/>
  <c r="Y171" i="41"/>
  <c r="X171" i="41"/>
  <c r="W171" i="41"/>
  <c r="V171" i="41"/>
  <c r="U171" i="41"/>
  <c r="T171" i="41"/>
  <c r="S171" i="41"/>
  <c r="R171" i="41"/>
  <c r="Q171" i="41"/>
  <c r="P171" i="41"/>
  <c r="O171" i="41"/>
  <c r="N171" i="41"/>
  <c r="M171" i="41"/>
  <c r="L171" i="41"/>
  <c r="K171" i="41"/>
  <c r="J171" i="41"/>
  <c r="I171" i="41"/>
  <c r="H171" i="41"/>
  <c r="G171" i="41"/>
  <c r="F171" i="41"/>
  <c r="DI170" i="41"/>
  <c r="DH170" i="41"/>
  <c r="DG170" i="41"/>
  <c r="DF170" i="41"/>
  <c r="DE170" i="41"/>
  <c r="DD170" i="41"/>
  <c r="DC170" i="41"/>
  <c r="DB170" i="41"/>
  <c r="DA170" i="41"/>
  <c r="CZ170" i="41"/>
  <c r="CY170" i="41"/>
  <c r="CX170" i="41"/>
  <c r="CW170" i="41"/>
  <c r="CV170" i="41"/>
  <c r="CU170" i="41"/>
  <c r="CT170" i="41"/>
  <c r="CS170" i="41"/>
  <c r="CR170" i="41"/>
  <c r="CQ170" i="41"/>
  <c r="CP170" i="41"/>
  <c r="CO170" i="41"/>
  <c r="CN170" i="41"/>
  <c r="CM170" i="41"/>
  <c r="CL170" i="41"/>
  <c r="CK170" i="41"/>
  <c r="CJ170" i="41"/>
  <c r="CI170" i="41"/>
  <c r="CH170" i="41"/>
  <c r="CG170" i="41"/>
  <c r="CF170" i="41"/>
  <c r="CE170" i="41"/>
  <c r="CD170" i="41"/>
  <c r="CC170" i="41"/>
  <c r="CB170" i="41" a="1"/>
  <c r="CB170" i="41" s="1"/>
  <c r="CA170" i="41" a="1"/>
  <c r="CA170" i="41" s="1"/>
  <c r="BZ170" i="41"/>
  <c r="BY170" i="41"/>
  <c r="BX170" i="41"/>
  <c r="BW170" i="41"/>
  <c r="BV170" i="41"/>
  <c r="BU170" i="41"/>
  <c r="BT170" i="41"/>
  <c r="BS170" i="41"/>
  <c r="BR170" i="41"/>
  <c r="BQ170" i="41"/>
  <c r="BP170" i="41"/>
  <c r="BO170" i="41"/>
  <c r="BN170" i="41"/>
  <c r="BM170" i="41"/>
  <c r="BL170" i="41"/>
  <c r="BK170" i="41"/>
  <c r="BJ170" i="41"/>
  <c r="BI170" i="41"/>
  <c r="BH170" i="41"/>
  <c r="BG170" i="41"/>
  <c r="BF170" i="41"/>
  <c r="BE170" i="41"/>
  <c r="BD170" i="41"/>
  <c r="BC170" i="41"/>
  <c r="BB170" i="41"/>
  <c r="BA170" i="41"/>
  <c r="AZ170" i="41"/>
  <c r="AY170" i="41"/>
  <c r="AX170" i="41"/>
  <c r="AW170" i="41"/>
  <c r="AV170" i="41"/>
  <c r="AU170" i="41"/>
  <c r="AT170" i="41"/>
  <c r="AS170" i="41"/>
  <c r="AR170" i="41"/>
  <c r="AQ170" i="41"/>
  <c r="AP170" i="41"/>
  <c r="AO170" i="41"/>
  <c r="AN170" i="41"/>
  <c r="AM170" i="41"/>
  <c r="AL170" i="41"/>
  <c r="AK170" i="41"/>
  <c r="AJ170" i="41"/>
  <c r="AI170" i="41"/>
  <c r="AH170" i="41"/>
  <c r="AG170" i="41"/>
  <c r="AF170" i="41"/>
  <c r="AE170" i="41"/>
  <c r="AD170" i="41"/>
  <c r="AC170" i="41"/>
  <c r="AB170" i="41"/>
  <c r="AA170" i="41"/>
  <c r="Z170" i="41"/>
  <c r="Y170" i="41"/>
  <c r="X170" i="41"/>
  <c r="W170" i="41"/>
  <c r="V170" i="41"/>
  <c r="U170" i="41"/>
  <c r="T170" i="41"/>
  <c r="S170" i="41"/>
  <c r="R170" i="41"/>
  <c r="Q170" i="41"/>
  <c r="P170" i="41"/>
  <c r="O170" i="41"/>
  <c r="N170" i="41"/>
  <c r="M170" i="41"/>
  <c r="L170" i="41"/>
  <c r="K170" i="41"/>
  <c r="J170" i="41"/>
  <c r="I170" i="41"/>
  <c r="H170" i="41"/>
  <c r="G170" i="41"/>
  <c r="F170" i="41"/>
  <c r="DI169" i="41"/>
  <c r="DH169" i="41"/>
  <c r="DG169" i="41"/>
  <c r="DF169" i="41"/>
  <c r="DE169" i="41"/>
  <c r="DD169" i="41"/>
  <c r="DC169" i="41"/>
  <c r="DB169" i="41"/>
  <c r="DA169" i="41"/>
  <c r="CZ169" i="41"/>
  <c r="CY169" i="41"/>
  <c r="CX169" i="41"/>
  <c r="CW169" i="41"/>
  <c r="CV169" i="41"/>
  <c r="CU169" i="41"/>
  <c r="CT169" i="41"/>
  <c r="CS169" i="41"/>
  <c r="CR169" i="41"/>
  <c r="CQ169" i="41"/>
  <c r="CP169" i="41"/>
  <c r="CO169" i="41"/>
  <c r="CN169" i="41"/>
  <c r="CM169" i="41"/>
  <c r="CL169" i="41"/>
  <c r="CK169" i="41"/>
  <c r="CJ169" i="41"/>
  <c r="CI169" i="41"/>
  <c r="CH169" i="41"/>
  <c r="CG169" i="41"/>
  <c r="CF169" i="41"/>
  <c r="CE169" i="41"/>
  <c r="CD169" i="41"/>
  <c r="CC169" i="41"/>
  <c r="CB169" i="41" a="1"/>
  <c r="CB169" i="41" s="1"/>
  <c r="CA169" i="41" a="1"/>
  <c r="CA169" i="41" s="1"/>
  <c r="BZ169" i="41"/>
  <c r="BY169" i="41"/>
  <c r="BX169" i="41"/>
  <c r="BW169" i="41"/>
  <c r="BV169" i="41"/>
  <c r="BU169" i="41"/>
  <c r="BT169" i="41"/>
  <c r="BS169" i="41"/>
  <c r="BR169" i="41"/>
  <c r="BQ169" i="41"/>
  <c r="BP169" i="41"/>
  <c r="BO169" i="41"/>
  <c r="BN169" i="41"/>
  <c r="BM169" i="41"/>
  <c r="BL169" i="41"/>
  <c r="BK169" i="41"/>
  <c r="BJ169" i="41"/>
  <c r="BI169" i="41"/>
  <c r="BH169" i="41"/>
  <c r="BG169" i="41"/>
  <c r="BF169" i="41"/>
  <c r="BE169" i="41"/>
  <c r="BD169" i="41"/>
  <c r="BC169" i="41"/>
  <c r="BB169" i="41"/>
  <c r="BA169" i="41"/>
  <c r="AZ169" i="41"/>
  <c r="AY169" i="41"/>
  <c r="AX169" i="41"/>
  <c r="AW169" i="41"/>
  <c r="AV169" i="41"/>
  <c r="AU169" i="41"/>
  <c r="AT169" i="41"/>
  <c r="AS169" i="41"/>
  <c r="AR169" i="41"/>
  <c r="AQ169" i="41"/>
  <c r="AP169" i="41"/>
  <c r="AO169" i="41"/>
  <c r="AN169" i="41"/>
  <c r="AM169" i="41"/>
  <c r="AL169" i="41"/>
  <c r="AK169" i="41"/>
  <c r="AJ169" i="41"/>
  <c r="AI169" i="41"/>
  <c r="AH169" i="41"/>
  <c r="AG169" i="41"/>
  <c r="AF169" i="41"/>
  <c r="AE169" i="41"/>
  <c r="AD169" i="41"/>
  <c r="AC169" i="41"/>
  <c r="AB169" i="41"/>
  <c r="AA169" i="41"/>
  <c r="Z169" i="41"/>
  <c r="Y169" i="41"/>
  <c r="X169" i="41"/>
  <c r="W169" i="41"/>
  <c r="V169" i="41"/>
  <c r="U169" i="41"/>
  <c r="T169" i="41"/>
  <c r="S169" i="41"/>
  <c r="R169" i="41"/>
  <c r="Q169" i="41"/>
  <c r="P169" i="41"/>
  <c r="O169" i="41"/>
  <c r="N169" i="41"/>
  <c r="M169" i="41"/>
  <c r="L169" i="41"/>
  <c r="K169" i="41"/>
  <c r="J169" i="41"/>
  <c r="I169" i="41"/>
  <c r="H169" i="41"/>
  <c r="G169" i="41"/>
  <c r="F169" i="41"/>
  <c r="DI168" i="41"/>
  <c r="DH168" i="41"/>
  <c r="DG168" i="41"/>
  <c r="DF168" i="41"/>
  <c r="DE168" i="41"/>
  <c r="DD168" i="41"/>
  <c r="DC168" i="41"/>
  <c r="DB168" i="41"/>
  <c r="DA168" i="41"/>
  <c r="CZ168" i="41"/>
  <c r="CY168" i="41"/>
  <c r="CX168" i="41"/>
  <c r="CW168" i="41"/>
  <c r="CV168" i="41"/>
  <c r="CU168" i="41"/>
  <c r="CT168" i="41"/>
  <c r="CS168" i="41"/>
  <c r="CR168" i="41"/>
  <c r="CQ168" i="41"/>
  <c r="CP168" i="41"/>
  <c r="CO168" i="41"/>
  <c r="CN168" i="41"/>
  <c r="CM168" i="41"/>
  <c r="CL168" i="41"/>
  <c r="CK168" i="41"/>
  <c r="CJ168" i="41"/>
  <c r="CI168" i="41"/>
  <c r="CH168" i="41"/>
  <c r="CG168" i="41"/>
  <c r="CF168" i="41"/>
  <c r="CE168" i="41"/>
  <c r="CD168" i="41"/>
  <c r="CC168" i="41"/>
  <c r="CB168" i="41" a="1"/>
  <c r="CB168" i="41" s="1"/>
  <c r="CA168" i="41" a="1"/>
  <c r="CA168" i="41" s="1"/>
  <c r="BZ168" i="41"/>
  <c r="BY168" i="41"/>
  <c r="BX168" i="41"/>
  <c r="BW168" i="41"/>
  <c r="BV168" i="41"/>
  <c r="BU168" i="41"/>
  <c r="BT168" i="41"/>
  <c r="BS168" i="41"/>
  <c r="BR168" i="41"/>
  <c r="BQ168" i="41"/>
  <c r="BP168" i="41"/>
  <c r="BO168" i="41"/>
  <c r="BN168" i="41"/>
  <c r="BM168" i="41"/>
  <c r="BL168" i="41"/>
  <c r="BK168" i="41"/>
  <c r="BJ168" i="41"/>
  <c r="BI168" i="41"/>
  <c r="BH168" i="41"/>
  <c r="BG168" i="41"/>
  <c r="BF168" i="41"/>
  <c r="BE168" i="41"/>
  <c r="BD168" i="41"/>
  <c r="BC168" i="41"/>
  <c r="BB168" i="41"/>
  <c r="BA168" i="41"/>
  <c r="AZ168" i="41"/>
  <c r="AY168" i="41"/>
  <c r="AX168" i="41"/>
  <c r="AW168" i="41"/>
  <c r="AV168" i="41"/>
  <c r="AU168" i="41"/>
  <c r="AT168" i="41"/>
  <c r="AS168" i="41"/>
  <c r="AR168" i="41"/>
  <c r="AQ168" i="41"/>
  <c r="AP168" i="41"/>
  <c r="AO168" i="41"/>
  <c r="AN168" i="41"/>
  <c r="AM168" i="41"/>
  <c r="AL168" i="41"/>
  <c r="AK168" i="41"/>
  <c r="AJ168" i="41"/>
  <c r="AI168" i="41"/>
  <c r="AH168" i="41"/>
  <c r="AG168" i="41"/>
  <c r="AF168" i="41"/>
  <c r="AE168" i="41"/>
  <c r="AD168" i="41"/>
  <c r="AC168" i="41"/>
  <c r="AB168" i="41"/>
  <c r="AA168" i="41"/>
  <c r="Z168" i="41"/>
  <c r="Y168" i="41"/>
  <c r="X168" i="41"/>
  <c r="W168" i="41"/>
  <c r="V168" i="41"/>
  <c r="U168" i="41"/>
  <c r="T168" i="41"/>
  <c r="S168" i="41"/>
  <c r="R168" i="41"/>
  <c r="Q168" i="41"/>
  <c r="P168" i="41"/>
  <c r="O168" i="41"/>
  <c r="N168" i="41"/>
  <c r="M168" i="41"/>
  <c r="L168" i="41"/>
  <c r="K168" i="41"/>
  <c r="J168" i="41"/>
  <c r="I168" i="41"/>
  <c r="H168" i="41"/>
  <c r="G168" i="41"/>
  <c r="F168" i="41"/>
  <c r="DI167" i="41"/>
  <c r="DH167" i="41"/>
  <c r="DG167" i="41"/>
  <c r="DF167" i="41"/>
  <c r="DE167" i="41"/>
  <c r="DD167" i="41"/>
  <c r="DC167" i="41"/>
  <c r="DB167" i="41"/>
  <c r="DA167" i="41"/>
  <c r="CZ167" i="41"/>
  <c r="CY167" i="41"/>
  <c r="CX167" i="41"/>
  <c r="CW167" i="41"/>
  <c r="CV167" i="41"/>
  <c r="CU167" i="41"/>
  <c r="CT167" i="41"/>
  <c r="CS167" i="41"/>
  <c r="CR167" i="41"/>
  <c r="CQ167" i="41"/>
  <c r="CP167" i="41"/>
  <c r="CO167" i="41"/>
  <c r="CN167" i="41"/>
  <c r="CM167" i="41"/>
  <c r="CL167" i="41"/>
  <c r="CK167" i="41"/>
  <c r="CJ167" i="41"/>
  <c r="CI167" i="41"/>
  <c r="CH167" i="41"/>
  <c r="CG167" i="41"/>
  <c r="CF167" i="41"/>
  <c r="CE167" i="41"/>
  <c r="CD167" i="41"/>
  <c r="CC167" i="41"/>
  <c r="CB167" i="41" a="1"/>
  <c r="CB167" i="41" s="1"/>
  <c r="CA167" i="41" a="1"/>
  <c r="CA167" i="41" s="1"/>
  <c r="BZ167" i="41"/>
  <c r="BY167" i="41"/>
  <c r="BX167" i="41"/>
  <c r="BW167" i="41"/>
  <c r="BV167" i="41"/>
  <c r="BU167" i="41"/>
  <c r="BT167" i="41"/>
  <c r="BS167" i="41"/>
  <c r="BR167" i="41"/>
  <c r="BQ167" i="41"/>
  <c r="BP167" i="41"/>
  <c r="BO167" i="41"/>
  <c r="BN167" i="41"/>
  <c r="BM167" i="41"/>
  <c r="BL167" i="41"/>
  <c r="BK167" i="41"/>
  <c r="BJ167" i="41"/>
  <c r="BI167" i="41"/>
  <c r="BH167" i="41"/>
  <c r="BG167" i="41"/>
  <c r="BF167" i="41"/>
  <c r="BE167" i="41"/>
  <c r="BD167" i="41"/>
  <c r="BC167" i="41"/>
  <c r="BB167" i="41"/>
  <c r="BA167" i="41"/>
  <c r="AZ167" i="41"/>
  <c r="AY167" i="41"/>
  <c r="AX167" i="41"/>
  <c r="AW167" i="41"/>
  <c r="AV167" i="41"/>
  <c r="AU167" i="41"/>
  <c r="AT167" i="41"/>
  <c r="AS167" i="41"/>
  <c r="AR167" i="41"/>
  <c r="AQ167" i="41"/>
  <c r="AP167" i="41"/>
  <c r="AO167" i="41"/>
  <c r="AN167" i="41"/>
  <c r="AM167" i="41"/>
  <c r="AL167" i="41"/>
  <c r="AK167" i="41"/>
  <c r="AJ167" i="41"/>
  <c r="AI167" i="41"/>
  <c r="AH167" i="41"/>
  <c r="AG167" i="41"/>
  <c r="AF167" i="41"/>
  <c r="AE167" i="41"/>
  <c r="AD167" i="41"/>
  <c r="AC167" i="41"/>
  <c r="AB167" i="41"/>
  <c r="AA167" i="41"/>
  <c r="Z167" i="41"/>
  <c r="Y167" i="41"/>
  <c r="X167" i="41"/>
  <c r="W167" i="41"/>
  <c r="V167" i="41"/>
  <c r="U167" i="41"/>
  <c r="T167" i="41"/>
  <c r="S167" i="41"/>
  <c r="R167" i="41"/>
  <c r="Q167" i="41"/>
  <c r="P167" i="41"/>
  <c r="O167" i="41"/>
  <c r="N167" i="41"/>
  <c r="M167" i="41"/>
  <c r="L167" i="41"/>
  <c r="K167" i="41"/>
  <c r="J167" i="41"/>
  <c r="I167" i="41"/>
  <c r="H167" i="41"/>
  <c r="G167" i="41"/>
  <c r="F167" i="41"/>
  <c r="DI166" i="41"/>
  <c r="DH166" i="41"/>
  <c r="DG166" i="41"/>
  <c r="DF166" i="41"/>
  <c r="DE166" i="41"/>
  <c r="DD166" i="41"/>
  <c r="DC166" i="41"/>
  <c r="DB166" i="41"/>
  <c r="DA166" i="41"/>
  <c r="CZ166" i="41"/>
  <c r="CY166" i="41"/>
  <c r="CX166" i="41"/>
  <c r="CW166" i="41"/>
  <c r="CV166" i="41"/>
  <c r="CU166" i="41"/>
  <c r="CT166" i="41"/>
  <c r="CS166" i="41"/>
  <c r="CR166" i="41"/>
  <c r="CQ166" i="41"/>
  <c r="CP166" i="41"/>
  <c r="CO166" i="41"/>
  <c r="CN166" i="41"/>
  <c r="CM166" i="41"/>
  <c r="CL166" i="41"/>
  <c r="CK166" i="41"/>
  <c r="CJ166" i="41"/>
  <c r="CI166" i="41"/>
  <c r="CH166" i="41"/>
  <c r="CG166" i="41"/>
  <c r="CF166" i="41"/>
  <c r="CE166" i="41"/>
  <c r="CD166" i="41"/>
  <c r="CC166" i="41"/>
  <c r="CB166" i="41" a="1"/>
  <c r="CB166" i="41" s="1"/>
  <c r="CA166" i="41" a="1"/>
  <c r="CA166" i="41" s="1"/>
  <c r="BZ166" i="41"/>
  <c r="BY166" i="41"/>
  <c r="BX166" i="41"/>
  <c r="BW166" i="41"/>
  <c r="BV166" i="41"/>
  <c r="BU166" i="41"/>
  <c r="BT166" i="41"/>
  <c r="BS166" i="41"/>
  <c r="BR166" i="41"/>
  <c r="BQ166" i="41"/>
  <c r="BP166" i="41"/>
  <c r="BO166" i="41"/>
  <c r="BN166" i="41"/>
  <c r="BM166" i="41"/>
  <c r="BL166" i="41"/>
  <c r="BK166" i="41"/>
  <c r="BJ166" i="41"/>
  <c r="BI166" i="41"/>
  <c r="BH166" i="41"/>
  <c r="BG166" i="41"/>
  <c r="BF166" i="41"/>
  <c r="BE166" i="41"/>
  <c r="BD166" i="41"/>
  <c r="BC166" i="41"/>
  <c r="BB166" i="41"/>
  <c r="BA166" i="41"/>
  <c r="AZ166" i="41"/>
  <c r="AY166" i="41"/>
  <c r="AX166" i="41"/>
  <c r="AW166" i="41"/>
  <c r="AV166" i="41"/>
  <c r="AU166" i="41"/>
  <c r="AT166" i="41"/>
  <c r="AS166" i="41"/>
  <c r="AR166" i="41"/>
  <c r="AQ166" i="41"/>
  <c r="AP166" i="41"/>
  <c r="AO166" i="41"/>
  <c r="AN166" i="41"/>
  <c r="AM166" i="41"/>
  <c r="AL166" i="41"/>
  <c r="AK166" i="41"/>
  <c r="AJ166" i="41"/>
  <c r="AI166" i="41"/>
  <c r="AH166" i="41"/>
  <c r="AG166" i="41"/>
  <c r="AF166" i="41"/>
  <c r="AE166" i="41"/>
  <c r="AD166" i="41"/>
  <c r="AC166" i="41"/>
  <c r="AB166" i="41"/>
  <c r="AA166" i="41"/>
  <c r="Z166" i="41"/>
  <c r="Y166" i="41"/>
  <c r="X166" i="41"/>
  <c r="W166" i="41"/>
  <c r="V166" i="41"/>
  <c r="U166" i="41"/>
  <c r="T166" i="41"/>
  <c r="S166" i="41"/>
  <c r="R166" i="41"/>
  <c r="Q166" i="41"/>
  <c r="P166" i="41"/>
  <c r="O166" i="41"/>
  <c r="N166" i="41"/>
  <c r="M166" i="41"/>
  <c r="L166" i="41"/>
  <c r="K166" i="41"/>
  <c r="J166" i="41"/>
  <c r="I166" i="41"/>
  <c r="H166" i="41"/>
  <c r="G166" i="41"/>
  <c r="F166" i="41"/>
  <c r="DI165" i="41"/>
  <c r="DH165" i="41"/>
  <c r="DG165" i="41"/>
  <c r="DF165" i="41"/>
  <c r="DE165" i="41"/>
  <c r="DD165" i="41"/>
  <c r="DC165" i="41"/>
  <c r="DB165" i="41"/>
  <c r="DA165" i="41"/>
  <c r="CZ165" i="41"/>
  <c r="CY165" i="41"/>
  <c r="CX165" i="41"/>
  <c r="CW165" i="41"/>
  <c r="CV165" i="41"/>
  <c r="CU165" i="41"/>
  <c r="CT165" i="41"/>
  <c r="CS165" i="41"/>
  <c r="CR165" i="41"/>
  <c r="CQ165" i="41"/>
  <c r="CP165" i="41"/>
  <c r="CO165" i="41"/>
  <c r="CN165" i="41"/>
  <c r="CM165" i="41"/>
  <c r="CL165" i="41"/>
  <c r="CK165" i="41"/>
  <c r="CJ165" i="41"/>
  <c r="CI165" i="41"/>
  <c r="CH165" i="41"/>
  <c r="CG165" i="41"/>
  <c r="CF165" i="41"/>
  <c r="CE165" i="41"/>
  <c r="CD165" i="41"/>
  <c r="CC165" i="41"/>
  <c r="CB165" i="41" a="1"/>
  <c r="CB165" i="41" s="1"/>
  <c r="CA165" i="41" a="1"/>
  <c r="CA165" i="41" s="1"/>
  <c r="BZ165" i="41"/>
  <c r="BY165" i="41"/>
  <c r="BX165" i="41"/>
  <c r="BW165" i="41"/>
  <c r="BV165" i="41"/>
  <c r="BU165" i="41"/>
  <c r="BT165" i="41"/>
  <c r="BS165" i="41"/>
  <c r="BR165" i="41"/>
  <c r="BQ165" i="41"/>
  <c r="BP165" i="41"/>
  <c r="BO165" i="41"/>
  <c r="BN165" i="41"/>
  <c r="BM165" i="41"/>
  <c r="BL165" i="41"/>
  <c r="BK165" i="41"/>
  <c r="BJ165" i="41"/>
  <c r="BI165" i="41"/>
  <c r="BH165" i="41"/>
  <c r="BG165" i="41"/>
  <c r="BF165" i="41"/>
  <c r="BE165" i="41"/>
  <c r="BD165" i="41"/>
  <c r="BC165" i="41"/>
  <c r="BB165" i="41"/>
  <c r="BA165" i="41"/>
  <c r="AZ165" i="41"/>
  <c r="AY165" i="41"/>
  <c r="AX165" i="41"/>
  <c r="AW165" i="41"/>
  <c r="AV165" i="41"/>
  <c r="AU165" i="41"/>
  <c r="AT165" i="41"/>
  <c r="AS165" i="41"/>
  <c r="AR165" i="41"/>
  <c r="AQ165" i="41"/>
  <c r="AP165" i="41"/>
  <c r="AO165" i="41"/>
  <c r="AN165" i="41"/>
  <c r="AM165" i="41"/>
  <c r="AL165" i="41"/>
  <c r="AK165" i="41"/>
  <c r="AJ165" i="41"/>
  <c r="AI165" i="41"/>
  <c r="AH165" i="41"/>
  <c r="AG165" i="41"/>
  <c r="AF165" i="41"/>
  <c r="AE165" i="41"/>
  <c r="AD165" i="41"/>
  <c r="AC165" i="41"/>
  <c r="AB165" i="41"/>
  <c r="AA165" i="41"/>
  <c r="Z165" i="41"/>
  <c r="Y165" i="41"/>
  <c r="X165" i="41"/>
  <c r="W165" i="41"/>
  <c r="V165" i="41"/>
  <c r="U165" i="41"/>
  <c r="T165" i="41"/>
  <c r="S165" i="41"/>
  <c r="R165" i="41"/>
  <c r="Q165" i="41"/>
  <c r="P165" i="41"/>
  <c r="O165" i="41"/>
  <c r="N165" i="41"/>
  <c r="M165" i="41"/>
  <c r="L165" i="41"/>
  <c r="K165" i="41"/>
  <c r="J165" i="41"/>
  <c r="I165" i="41"/>
  <c r="H165" i="41"/>
  <c r="G165" i="41"/>
  <c r="F165" i="41"/>
  <c r="DI164" i="41"/>
  <c r="DH164" i="41"/>
  <c r="DG164" i="41"/>
  <c r="DF164" i="41"/>
  <c r="DE164" i="41"/>
  <c r="DD164" i="41"/>
  <c r="DC164" i="41"/>
  <c r="DB164" i="41"/>
  <c r="DA164" i="41"/>
  <c r="CZ164" i="41"/>
  <c r="CY164" i="41"/>
  <c r="CX164" i="41"/>
  <c r="CW164" i="41"/>
  <c r="CV164" i="41"/>
  <c r="CU164" i="41"/>
  <c r="CT164" i="41"/>
  <c r="CS164" i="41"/>
  <c r="CR164" i="41"/>
  <c r="CQ164" i="41"/>
  <c r="CP164" i="41"/>
  <c r="CO164" i="41"/>
  <c r="CN164" i="41"/>
  <c r="CM164" i="41"/>
  <c r="CL164" i="41"/>
  <c r="CK164" i="41"/>
  <c r="CJ164" i="41"/>
  <c r="CI164" i="41"/>
  <c r="CH164" i="41"/>
  <c r="CG164" i="41"/>
  <c r="CF164" i="41"/>
  <c r="CE164" i="41"/>
  <c r="CD164" i="41"/>
  <c r="CC164" i="41"/>
  <c r="CB164" i="41" a="1"/>
  <c r="CB164" i="41" s="1"/>
  <c r="CA164" i="41" a="1"/>
  <c r="CA164" i="41" s="1"/>
  <c r="BZ164" i="41"/>
  <c r="BY164" i="41"/>
  <c r="BX164" i="41"/>
  <c r="BW164" i="41"/>
  <c r="BV164" i="41"/>
  <c r="BU164" i="41"/>
  <c r="BT164" i="41"/>
  <c r="BS164" i="41"/>
  <c r="BR164" i="41"/>
  <c r="BQ164" i="41"/>
  <c r="BP164" i="41"/>
  <c r="BO164" i="41"/>
  <c r="BN164" i="41"/>
  <c r="BM164" i="41"/>
  <c r="BL164" i="41"/>
  <c r="BK164" i="41"/>
  <c r="BJ164" i="41"/>
  <c r="BI164" i="41"/>
  <c r="BH164" i="41"/>
  <c r="BG164" i="41"/>
  <c r="BF164" i="41"/>
  <c r="BE164" i="41"/>
  <c r="BD164" i="41"/>
  <c r="BC164" i="41"/>
  <c r="BB164" i="41"/>
  <c r="BA164" i="41"/>
  <c r="AZ164" i="41"/>
  <c r="AY164" i="41"/>
  <c r="AX164" i="41"/>
  <c r="AW164" i="41"/>
  <c r="AV164" i="41"/>
  <c r="AU164" i="41"/>
  <c r="AT164" i="41"/>
  <c r="AS164" i="41"/>
  <c r="AR164" i="41"/>
  <c r="AQ164" i="41"/>
  <c r="AP164" i="41"/>
  <c r="AO164" i="41"/>
  <c r="AN164" i="41"/>
  <c r="AM164" i="41"/>
  <c r="AL164" i="41"/>
  <c r="AK164" i="41"/>
  <c r="AJ164" i="41"/>
  <c r="AI164" i="41"/>
  <c r="AH164" i="41"/>
  <c r="AG164" i="41"/>
  <c r="AF164" i="41"/>
  <c r="AE164" i="41"/>
  <c r="AD164" i="41"/>
  <c r="AC164" i="41"/>
  <c r="AB164" i="41"/>
  <c r="AA164" i="41"/>
  <c r="Z164" i="41"/>
  <c r="Y164" i="41"/>
  <c r="X164" i="41"/>
  <c r="W164" i="41"/>
  <c r="V164" i="41"/>
  <c r="U164" i="41"/>
  <c r="T164" i="41"/>
  <c r="S164" i="41"/>
  <c r="R164" i="41"/>
  <c r="Q164" i="41"/>
  <c r="P164" i="41"/>
  <c r="O164" i="41"/>
  <c r="N164" i="41"/>
  <c r="M164" i="41"/>
  <c r="L164" i="41"/>
  <c r="K164" i="41"/>
  <c r="J164" i="41"/>
  <c r="I164" i="41"/>
  <c r="H164" i="41"/>
  <c r="G164" i="41"/>
  <c r="F164" i="41"/>
  <c r="DI163" i="41"/>
  <c r="DH163" i="41"/>
  <c r="DG163" i="41"/>
  <c r="DF163" i="41"/>
  <c r="DE163" i="41"/>
  <c r="DD163" i="41"/>
  <c r="DC163" i="41"/>
  <c r="DB163" i="41"/>
  <c r="DA163" i="41"/>
  <c r="CZ163" i="41"/>
  <c r="CY163" i="41"/>
  <c r="CX163" i="41"/>
  <c r="CW163" i="41"/>
  <c r="CV163" i="41"/>
  <c r="CU163" i="41"/>
  <c r="CT163" i="41"/>
  <c r="CS163" i="41"/>
  <c r="CR163" i="41"/>
  <c r="CQ163" i="41"/>
  <c r="CP163" i="41"/>
  <c r="CO163" i="41"/>
  <c r="CN163" i="41"/>
  <c r="CM163" i="41"/>
  <c r="CL163" i="41"/>
  <c r="CK163" i="41"/>
  <c r="CJ163" i="41"/>
  <c r="CI163" i="41"/>
  <c r="CH163" i="41"/>
  <c r="CG163" i="41"/>
  <c r="CF163" i="41"/>
  <c r="CE163" i="41"/>
  <c r="CD163" i="41"/>
  <c r="CC163" i="41"/>
  <c r="CB163" i="41" a="1"/>
  <c r="CB163" i="41" s="1"/>
  <c r="CA163" i="41" a="1"/>
  <c r="CA163" i="41" s="1"/>
  <c r="BZ163" i="41"/>
  <c r="BY163" i="41"/>
  <c r="BX163" i="41"/>
  <c r="BW163" i="41"/>
  <c r="BV163" i="41"/>
  <c r="BU163" i="41"/>
  <c r="BT163" i="41"/>
  <c r="BS163" i="41"/>
  <c r="BR163" i="41"/>
  <c r="BQ163" i="41"/>
  <c r="BP163" i="41"/>
  <c r="BO163" i="41"/>
  <c r="BN163" i="41"/>
  <c r="BM163" i="41"/>
  <c r="BL163" i="41"/>
  <c r="BK163" i="41"/>
  <c r="BJ163" i="41"/>
  <c r="BI163" i="41"/>
  <c r="BH163" i="41"/>
  <c r="BG163" i="41"/>
  <c r="BF163" i="41"/>
  <c r="BE163" i="41"/>
  <c r="BD163" i="41"/>
  <c r="BC163" i="41"/>
  <c r="BB163" i="41"/>
  <c r="BA163" i="41"/>
  <c r="AZ163" i="41"/>
  <c r="AY163" i="41"/>
  <c r="AX163" i="41"/>
  <c r="AW163" i="41"/>
  <c r="AV163" i="41"/>
  <c r="AU163" i="41"/>
  <c r="AT163" i="41"/>
  <c r="AS163" i="41"/>
  <c r="AR163" i="41"/>
  <c r="AQ163" i="41"/>
  <c r="AP163" i="41"/>
  <c r="AO163" i="41"/>
  <c r="AN163" i="41"/>
  <c r="AM163" i="41"/>
  <c r="AL163" i="41"/>
  <c r="AK163" i="41"/>
  <c r="AJ163" i="41"/>
  <c r="AI163" i="41"/>
  <c r="AH163" i="41"/>
  <c r="AG163" i="41"/>
  <c r="AF163" i="41"/>
  <c r="AE163" i="41"/>
  <c r="AD163" i="41"/>
  <c r="AC163" i="41"/>
  <c r="AB163" i="41"/>
  <c r="AA163" i="41"/>
  <c r="Z163" i="41"/>
  <c r="Y163" i="41"/>
  <c r="X163" i="41"/>
  <c r="W163" i="41"/>
  <c r="V163" i="41"/>
  <c r="U163" i="41"/>
  <c r="T163" i="41"/>
  <c r="S163" i="41"/>
  <c r="R163" i="41"/>
  <c r="Q163" i="41"/>
  <c r="P163" i="41"/>
  <c r="O163" i="41"/>
  <c r="N163" i="41"/>
  <c r="M163" i="41"/>
  <c r="L163" i="41"/>
  <c r="K163" i="41"/>
  <c r="J163" i="41"/>
  <c r="I163" i="41"/>
  <c r="H163" i="41"/>
  <c r="G163" i="41"/>
  <c r="F163" i="41"/>
  <c r="DI162" i="41"/>
  <c r="DH162" i="41"/>
  <c r="DG162" i="41"/>
  <c r="DF162" i="41"/>
  <c r="DE162" i="41"/>
  <c r="DD162" i="41"/>
  <c r="DC162" i="41"/>
  <c r="DB162" i="41"/>
  <c r="DA162" i="41"/>
  <c r="CZ162" i="41"/>
  <c r="CY162" i="41"/>
  <c r="CX162" i="41"/>
  <c r="CW162" i="41"/>
  <c r="CV162" i="41"/>
  <c r="CU162" i="41"/>
  <c r="CT162" i="41"/>
  <c r="CS162" i="41"/>
  <c r="CR162" i="41"/>
  <c r="CQ162" i="41"/>
  <c r="CP162" i="41"/>
  <c r="CO162" i="41"/>
  <c r="CN162" i="41"/>
  <c r="CM162" i="41"/>
  <c r="CL162" i="41"/>
  <c r="CK162" i="41"/>
  <c r="CJ162" i="41"/>
  <c r="CI162" i="41"/>
  <c r="CH162" i="41"/>
  <c r="CG162" i="41"/>
  <c r="CF162" i="41"/>
  <c r="CE162" i="41"/>
  <c r="CD162" i="41"/>
  <c r="CC162" i="41"/>
  <c r="CB162" i="41" a="1"/>
  <c r="CB162" i="41" s="1"/>
  <c r="CA162" i="41" a="1"/>
  <c r="CA162" i="41" s="1"/>
  <c r="BZ162" i="41"/>
  <c r="BY162" i="41"/>
  <c r="BX162" i="41"/>
  <c r="BW162" i="41"/>
  <c r="BV162" i="41"/>
  <c r="BU162" i="41"/>
  <c r="BT162" i="41"/>
  <c r="BS162" i="41"/>
  <c r="BR162" i="41"/>
  <c r="BQ162" i="41"/>
  <c r="BP162" i="41"/>
  <c r="BO162" i="41"/>
  <c r="BN162" i="41"/>
  <c r="BM162" i="41"/>
  <c r="BL162" i="41"/>
  <c r="BK162" i="41"/>
  <c r="BJ162" i="41"/>
  <c r="BI162" i="41"/>
  <c r="BH162" i="41"/>
  <c r="BG162" i="41"/>
  <c r="BF162" i="41"/>
  <c r="BE162" i="41"/>
  <c r="BD162" i="41"/>
  <c r="BC162" i="41"/>
  <c r="BB162" i="41"/>
  <c r="BA162" i="41"/>
  <c r="AZ162" i="41"/>
  <c r="AY162" i="41"/>
  <c r="AX162" i="41"/>
  <c r="AW162" i="41"/>
  <c r="AV162" i="41"/>
  <c r="AU162" i="41"/>
  <c r="AT162" i="41"/>
  <c r="AS162" i="41"/>
  <c r="AR162" i="41"/>
  <c r="AQ162" i="41"/>
  <c r="AP162" i="41"/>
  <c r="AO162" i="41"/>
  <c r="AN162" i="41"/>
  <c r="AM162" i="41"/>
  <c r="AL162" i="41"/>
  <c r="AK162" i="41"/>
  <c r="AJ162" i="41"/>
  <c r="AI162" i="41"/>
  <c r="AH162" i="41"/>
  <c r="AG162" i="41"/>
  <c r="AF162" i="41"/>
  <c r="AE162" i="41"/>
  <c r="AD162" i="41"/>
  <c r="AC162" i="41"/>
  <c r="AB162" i="41"/>
  <c r="AA162" i="41"/>
  <c r="Z162" i="41"/>
  <c r="Y162" i="41"/>
  <c r="X162" i="41"/>
  <c r="W162" i="41"/>
  <c r="V162" i="41"/>
  <c r="U162" i="41"/>
  <c r="T162" i="41"/>
  <c r="S162" i="41"/>
  <c r="R162" i="41"/>
  <c r="Q162" i="41"/>
  <c r="P162" i="41"/>
  <c r="O162" i="41"/>
  <c r="N162" i="41"/>
  <c r="M162" i="41"/>
  <c r="L162" i="41"/>
  <c r="K162" i="41"/>
  <c r="J162" i="41"/>
  <c r="I162" i="41"/>
  <c r="H162" i="41"/>
  <c r="G162" i="41"/>
  <c r="F162" i="41"/>
  <c r="DI161" i="41"/>
  <c r="DH161" i="41"/>
  <c r="DG161" i="41"/>
  <c r="DF161" i="41"/>
  <c r="DE161" i="41"/>
  <c r="DD161" i="41"/>
  <c r="DC161" i="41"/>
  <c r="DB161" i="41"/>
  <c r="DA161" i="41"/>
  <c r="CZ161" i="41"/>
  <c r="CY161" i="41"/>
  <c r="CX161" i="41"/>
  <c r="CW161" i="41"/>
  <c r="CV161" i="41"/>
  <c r="CU161" i="41"/>
  <c r="CT161" i="41"/>
  <c r="CS161" i="41"/>
  <c r="CR161" i="41"/>
  <c r="CQ161" i="41"/>
  <c r="CP161" i="41"/>
  <c r="CO161" i="41"/>
  <c r="CN161" i="41"/>
  <c r="CM161" i="41"/>
  <c r="CL161" i="41"/>
  <c r="CK161" i="41"/>
  <c r="CJ161" i="41"/>
  <c r="CI161" i="41"/>
  <c r="CH161" i="41"/>
  <c r="CG161" i="41"/>
  <c r="CF161" i="41"/>
  <c r="CE161" i="41"/>
  <c r="CD161" i="41"/>
  <c r="CC161" i="41"/>
  <c r="CB161" i="41" a="1"/>
  <c r="CB161" i="41" s="1"/>
  <c r="CA161" i="41" a="1"/>
  <c r="CA161" i="41" s="1"/>
  <c r="BZ161" i="41"/>
  <c r="BY161" i="41"/>
  <c r="BX161" i="41"/>
  <c r="BW161" i="41"/>
  <c r="BV161" i="41"/>
  <c r="BU161" i="41"/>
  <c r="BT161" i="41"/>
  <c r="BS161" i="41"/>
  <c r="BR161" i="41"/>
  <c r="BQ161" i="41"/>
  <c r="BP161" i="41"/>
  <c r="BO161" i="41"/>
  <c r="BN161" i="41"/>
  <c r="BM161" i="41"/>
  <c r="BL161" i="41"/>
  <c r="BK161" i="41"/>
  <c r="BJ161" i="41"/>
  <c r="BI161" i="41"/>
  <c r="BH161" i="41"/>
  <c r="BG161" i="41"/>
  <c r="BF161" i="41"/>
  <c r="BE161" i="41"/>
  <c r="BD161" i="41"/>
  <c r="BC161" i="41"/>
  <c r="BB161" i="41"/>
  <c r="BA161" i="41"/>
  <c r="AZ161" i="41"/>
  <c r="AY161" i="41"/>
  <c r="AX161" i="41"/>
  <c r="AW161" i="41"/>
  <c r="AV161" i="41"/>
  <c r="AU161" i="41"/>
  <c r="AT161" i="41"/>
  <c r="AS161" i="41"/>
  <c r="AR161" i="41"/>
  <c r="AQ161" i="41"/>
  <c r="AP161" i="41"/>
  <c r="AO161" i="41"/>
  <c r="AN161" i="41"/>
  <c r="AM161" i="41"/>
  <c r="AL161" i="41"/>
  <c r="AK161" i="41"/>
  <c r="AJ161" i="41"/>
  <c r="AI161" i="41"/>
  <c r="AH161" i="41"/>
  <c r="AG161" i="41"/>
  <c r="AF161" i="41"/>
  <c r="AE161" i="41"/>
  <c r="AD161" i="41"/>
  <c r="AC161" i="41"/>
  <c r="AB161" i="41"/>
  <c r="AA161" i="41"/>
  <c r="Z161" i="41"/>
  <c r="Y161" i="41"/>
  <c r="X161" i="41"/>
  <c r="W161" i="41"/>
  <c r="V161" i="41"/>
  <c r="U161" i="41"/>
  <c r="T161" i="41"/>
  <c r="S161" i="41"/>
  <c r="R161" i="41"/>
  <c r="Q161" i="41"/>
  <c r="P161" i="41"/>
  <c r="O161" i="41"/>
  <c r="N161" i="41"/>
  <c r="M161" i="41"/>
  <c r="L161" i="41"/>
  <c r="K161" i="41"/>
  <c r="J161" i="41"/>
  <c r="I161" i="41"/>
  <c r="H161" i="41"/>
  <c r="G161" i="41"/>
  <c r="F161" i="41"/>
  <c r="DI160" i="41"/>
  <c r="DH160" i="41"/>
  <c r="DG160" i="41"/>
  <c r="DF160" i="41"/>
  <c r="DE160" i="41"/>
  <c r="DD160" i="41"/>
  <c r="DC160" i="41"/>
  <c r="DB160" i="41"/>
  <c r="DA160" i="41"/>
  <c r="CZ160" i="41"/>
  <c r="CY160" i="41"/>
  <c r="CX160" i="41"/>
  <c r="CW160" i="41"/>
  <c r="CV160" i="41"/>
  <c r="CU160" i="41"/>
  <c r="CT160" i="41"/>
  <c r="CS160" i="41"/>
  <c r="CR160" i="41"/>
  <c r="CQ160" i="41"/>
  <c r="CP160" i="41"/>
  <c r="CO160" i="41"/>
  <c r="CN160" i="41"/>
  <c r="CM160" i="41"/>
  <c r="CL160" i="41"/>
  <c r="CK160" i="41"/>
  <c r="CJ160" i="41"/>
  <c r="CI160" i="41"/>
  <c r="CH160" i="41"/>
  <c r="CG160" i="41"/>
  <c r="CF160" i="41"/>
  <c r="CE160" i="41"/>
  <c r="CD160" i="41"/>
  <c r="CC160" i="41"/>
  <c r="CB160" i="41" a="1"/>
  <c r="CB160" i="41" s="1"/>
  <c r="CA160" i="41" a="1"/>
  <c r="CA160" i="41" s="1"/>
  <c r="BZ160" i="41"/>
  <c r="BY160" i="41"/>
  <c r="BX160" i="41"/>
  <c r="BW160" i="41"/>
  <c r="BV160" i="41"/>
  <c r="BU160" i="41"/>
  <c r="BT160" i="41"/>
  <c r="BS160" i="41"/>
  <c r="BR160" i="41"/>
  <c r="BQ160" i="41"/>
  <c r="BP160" i="41"/>
  <c r="BO160" i="41"/>
  <c r="BN160" i="41"/>
  <c r="BM160" i="41"/>
  <c r="BL160" i="41"/>
  <c r="BK160" i="41"/>
  <c r="BJ160" i="41"/>
  <c r="BI160" i="41"/>
  <c r="BH160" i="41"/>
  <c r="BG160" i="41"/>
  <c r="BF160" i="41"/>
  <c r="BE160" i="41"/>
  <c r="BD160" i="41"/>
  <c r="BC160" i="41"/>
  <c r="BB160" i="41"/>
  <c r="BA160" i="41"/>
  <c r="AZ160" i="41"/>
  <c r="AY160" i="41"/>
  <c r="AX160" i="41"/>
  <c r="AW160" i="41"/>
  <c r="AV160" i="41"/>
  <c r="AU160" i="41"/>
  <c r="AT160" i="41"/>
  <c r="AS160" i="41"/>
  <c r="AR160" i="41"/>
  <c r="AQ160" i="41"/>
  <c r="AP160" i="41"/>
  <c r="AO160" i="41"/>
  <c r="AN160" i="41"/>
  <c r="AM160" i="41"/>
  <c r="AL160" i="41"/>
  <c r="AK160" i="41"/>
  <c r="AJ160" i="41"/>
  <c r="AI160" i="41"/>
  <c r="AH160" i="41"/>
  <c r="AG160" i="41"/>
  <c r="AF160" i="41"/>
  <c r="AE160" i="41"/>
  <c r="AD160" i="41"/>
  <c r="AC160" i="41"/>
  <c r="AB160" i="41"/>
  <c r="AA160" i="41"/>
  <c r="Z160" i="41"/>
  <c r="Y160" i="41"/>
  <c r="X160" i="41"/>
  <c r="W160" i="41"/>
  <c r="V160" i="41"/>
  <c r="U160" i="41"/>
  <c r="T160" i="41"/>
  <c r="S160" i="41"/>
  <c r="R160" i="41"/>
  <c r="Q160" i="41"/>
  <c r="P160" i="41"/>
  <c r="O160" i="41"/>
  <c r="N160" i="41"/>
  <c r="M160" i="41"/>
  <c r="L160" i="41"/>
  <c r="K160" i="41"/>
  <c r="J160" i="41"/>
  <c r="I160" i="41"/>
  <c r="H160" i="41"/>
  <c r="G160" i="41"/>
  <c r="F160" i="41"/>
  <c r="DI159" i="41"/>
  <c r="DH159" i="41"/>
  <c r="DG159" i="41"/>
  <c r="DF159" i="41"/>
  <c r="DE159" i="41"/>
  <c r="DD159" i="41"/>
  <c r="DC159" i="41"/>
  <c r="DB159" i="41"/>
  <c r="DA159" i="41"/>
  <c r="CZ159" i="41"/>
  <c r="CY159" i="41"/>
  <c r="CX159" i="41"/>
  <c r="CW159" i="41"/>
  <c r="CV159" i="41"/>
  <c r="CU159" i="41"/>
  <c r="CT159" i="41"/>
  <c r="CS159" i="41"/>
  <c r="CR159" i="41"/>
  <c r="CQ159" i="41"/>
  <c r="CP159" i="41"/>
  <c r="CO159" i="41"/>
  <c r="CN159" i="41"/>
  <c r="CM159" i="41"/>
  <c r="CL159" i="41"/>
  <c r="CK159" i="41"/>
  <c r="CJ159" i="41"/>
  <c r="CI159" i="41"/>
  <c r="CH159" i="41"/>
  <c r="CG159" i="41"/>
  <c r="CF159" i="41"/>
  <c r="CE159" i="41"/>
  <c r="CD159" i="41"/>
  <c r="CC159" i="41"/>
  <c r="CB159" i="41" a="1"/>
  <c r="CB159" i="41" s="1"/>
  <c r="CA159" i="41" a="1"/>
  <c r="CA159" i="41" s="1"/>
  <c r="BZ159" i="41"/>
  <c r="BY159" i="41"/>
  <c r="BX159" i="41"/>
  <c r="BW159" i="41"/>
  <c r="BV159" i="41"/>
  <c r="BU159" i="41"/>
  <c r="BT159" i="41"/>
  <c r="BS159" i="41"/>
  <c r="BR159" i="41"/>
  <c r="BQ159" i="41"/>
  <c r="BP159" i="41"/>
  <c r="BO159" i="41"/>
  <c r="BN159" i="41"/>
  <c r="BM159" i="41"/>
  <c r="BL159" i="41"/>
  <c r="BK159" i="41"/>
  <c r="BJ159" i="41"/>
  <c r="BI159" i="41"/>
  <c r="BH159" i="41"/>
  <c r="BG159" i="41"/>
  <c r="BF159" i="41"/>
  <c r="BE159" i="41"/>
  <c r="BD159" i="41"/>
  <c r="BC159" i="41"/>
  <c r="BB159" i="41"/>
  <c r="BA159" i="41"/>
  <c r="AZ159" i="41"/>
  <c r="AY159" i="41"/>
  <c r="AX159" i="41"/>
  <c r="AW159" i="41"/>
  <c r="AV159" i="41"/>
  <c r="AU159" i="41"/>
  <c r="AT159" i="41"/>
  <c r="AS159" i="41"/>
  <c r="AR159" i="41"/>
  <c r="AQ159" i="41"/>
  <c r="AP159" i="41"/>
  <c r="AO159" i="41"/>
  <c r="AN159" i="41"/>
  <c r="AM159" i="41"/>
  <c r="AL159" i="41"/>
  <c r="AK159" i="41"/>
  <c r="AJ159" i="41"/>
  <c r="AI159" i="41"/>
  <c r="AH159" i="41"/>
  <c r="AG159" i="41"/>
  <c r="AF159" i="41"/>
  <c r="AE159" i="41"/>
  <c r="AD159" i="41"/>
  <c r="AC159" i="41"/>
  <c r="AB159" i="41"/>
  <c r="AA159" i="41"/>
  <c r="Z159" i="41"/>
  <c r="Y159" i="41"/>
  <c r="X159" i="41"/>
  <c r="W159" i="41"/>
  <c r="V159" i="41"/>
  <c r="U159" i="41"/>
  <c r="T159" i="41"/>
  <c r="S159" i="41"/>
  <c r="R159" i="41"/>
  <c r="Q159" i="41"/>
  <c r="P159" i="41"/>
  <c r="O159" i="41"/>
  <c r="N159" i="41"/>
  <c r="M159" i="41"/>
  <c r="L159" i="41"/>
  <c r="K159" i="41"/>
  <c r="J159" i="41"/>
  <c r="I159" i="41"/>
  <c r="H159" i="41"/>
  <c r="G159" i="41"/>
  <c r="F159" i="41"/>
  <c r="DI158" i="41"/>
  <c r="DH158" i="41"/>
  <c r="DG158" i="41"/>
  <c r="DF158" i="41"/>
  <c r="DE158" i="41"/>
  <c r="DD158" i="41"/>
  <c r="DC158" i="41"/>
  <c r="DB158" i="41"/>
  <c r="DA158" i="41"/>
  <c r="CZ158" i="41"/>
  <c r="CY158" i="41"/>
  <c r="CX158" i="41"/>
  <c r="CW158" i="41"/>
  <c r="CV158" i="41"/>
  <c r="CU158" i="41"/>
  <c r="CT158" i="41"/>
  <c r="CS158" i="41"/>
  <c r="CR158" i="41"/>
  <c r="CQ158" i="41"/>
  <c r="CP158" i="41"/>
  <c r="CO158" i="41"/>
  <c r="CN158" i="41"/>
  <c r="CM158" i="41"/>
  <c r="CL158" i="41"/>
  <c r="CK158" i="41"/>
  <c r="CJ158" i="41"/>
  <c r="CI158" i="41"/>
  <c r="CH158" i="41"/>
  <c r="CG158" i="41"/>
  <c r="CF158" i="41"/>
  <c r="CE158" i="41"/>
  <c r="CD158" i="41"/>
  <c r="CC158" i="41"/>
  <c r="CB158" i="41" a="1"/>
  <c r="CB158" i="41" s="1"/>
  <c r="CA158" i="41" a="1"/>
  <c r="CA158" i="41" s="1"/>
  <c r="BZ158" i="41"/>
  <c r="BY158" i="41"/>
  <c r="BX158" i="41"/>
  <c r="BW158" i="41"/>
  <c r="BV158" i="41"/>
  <c r="BU158" i="41"/>
  <c r="BT158" i="41"/>
  <c r="BS158" i="41"/>
  <c r="BR158" i="41"/>
  <c r="BQ158" i="41"/>
  <c r="BP158" i="41"/>
  <c r="BO158" i="41"/>
  <c r="BN158" i="41"/>
  <c r="BM158" i="41"/>
  <c r="BL158" i="41"/>
  <c r="BK158" i="41"/>
  <c r="BJ158" i="41"/>
  <c r="BI158" i="41"/>
  <c r="BH158" i="41"/>
  <c r="BG158" i="41"/>
  <c r="BF158" i="41"/>
  <c r="BE158" i="41"/>
  <c r="BD158" i="41"/>
  <c r="BC158" i="41"/>
  <c r="BB158" i="41"/>
  <c r="BA158" i="41"/>
  <c r="AZ158" i="41"/>
  <c r="AY158" i="41"/>
  <c r="AX158" i="41"/>
  <c r="AW158" i="41"/>
  <c r="AV158" i="41"/>
  <c r="AU158" i="41"/>
  <c r="AT158" i="41"/>
  <c r="AS158" i="41"/>
  <c r="AR158" i="41"/>
  <c r="AQ158" i="41"/>
  <c r="AP158" i="41"/>
  <c r="AO158" i="41"/>
  <c r="AN158" i="41"/>
  <c r="AM158" i="41"/>
  <c r="AL158" i="41"/>
  <c r="AK158" i="41"/>
  <c r="AJ158" i="41"/>
  <c r="AI158" i="41"/>
  <c r="AH158" i="41"/>
  <c r="AG158" i="41"/>
  <c r="AF158" i="41"/>
  <c r="AE158" i="41"/>
  <c r="AD158" i="41"/>
  <c r="AC158" i="41"/>
  <c r="AB158" i="41"/>
  <c r="AA158" i="41"/>
  <c r="Z158" i="41"/>
  <c r="Y158" i="41"/>
  <c r="X158" i="41"/>
  <c r="W158" i="41"/>
  <c r="V158" i="41"/>
  <c r="U158" i="41"/>
  <c r="T158" i="41"/>
  <c r="S158" i="41"/>
  <c r="R158" i="41"/>
  <c r="Q158" i="41"/>
  <c r="P158" i="41"/>
  <c r="O158" i="41"/>
  <c r="N158" i="41"/>
  <c r="M158" i="41"/>
  <c r="L158" i="41"/>
  <c r="K158" i="41"/>
  <c r="J158" i="41"/>
  <c r="I158" i="41"/>
  <c r="H158" i="41"/>
  <c r="G158" i="41"/>
  <c r="F158" i="41"/>
  <c r="DI157" i="41"/>
  <c r="DH157" i="41"/>
  <c r="DG157" i="41"/>
  <c r="DF157" i="41"/>
  <c r="DE157" i="41"/>
  <c r="DD157" i="41"/>
  <c r="DC157" i="41"/>
  <c r="DB157" i="41"/>
  <c r="DA157" i="41"/>
  <c r="CZ157" i="41"/>
  <c r="CY157" i="41"/>
  <c r="CX157" i="41"/>
  <c r="CW157" i="41"/>
  <c r="CV157" i="41"/>
  <c r="CU157" i="41"/>
  <c r="CT157" i="41"/>
  <c r="CS157" i="41"/>
  <c r="CR157" i="41"/>
  <c r="CQ157" i="41"/>
  <c r="CP157" i="41"/>
  <c r="CO157" i="41"/>
  <c r="CN157" i="41"/>
  <c r="CM157" i="41"/>
  <c r="CL157" i="41"/>
  <c r="CK157" i="41"/>
  <c r="CJ157" i="41"/>
  <c r="CI157" i="41"/>
  <c r="CH157" i="41"/>
  <c r="CG157" i="41"/>
  <c r="CF157" i="41"/>
  <c r="CE157" i="41"/>
  <c r="CD157" i="41"/>
  <c r="CC157" i="41"/>
  <c r="CB157" i="41" a="1"/>
  <c r="CB157" i="41" s="1"/>
  <c r="CA157" i="41" a="1"/>
  <c r="CA157" i="41" s="1"/>
  <c r="BZ157" i="41"/>
  <c r="BY157" i="41"/>
  <c r="BX157" i="41"/>
  <c r="BW157" i="41"/>
  <c r="BV157" i="41"/>
  <c r="BU157" i="41"/>
  <c r="BT157" i="41"/>
  <c r="BS157" i="41"/>
  <c r="BR157" i="41"/>
  <c r="BQ157" i="41"/>
  <c r="BP157" i="41"/>
  <c r="BO157" i="41"/>
  <c r="BN157" i="41"/>
  <c r="BM157" i="41"/>
  <c r="BL157" i="41"/>
  <c r="BK157" i="41"/>
  <c r="BJ157" i="41"/>
  <c r="BI157" i="41"/>
  <c r="BH157" i="41"/>
  <c r="BG157" i="41"/>
  <c r="BF157" i="41"/>
  <c r="BE157" i="41"/>
  <c r="BD157" i="41"/>
  <c r="BC157" i="41"/>
  <c r="BB157" i="41"/>
  <c r="BA157" i="41"/>
  <c r="AZ157" i="41"/>
  <c r="AY157" i="41"/>
  <c r="AX157" i="41"/>
  <c r="AW157" i="41"/>
  <c r="AV157" i="41"/>
  <c r="AU157" i="41"/>
  <c r="AT157" i="41"/>
  <c r="AS157" i="41"/>
  <c r="AR157" i="41"/>
  <c r="AQ157" i="41"/>
  <c r="AP157" i="41"/>
  <c r="AO157" i="41"/>
  <c r="AN157" i="41"/>
  <c r="AM157" i="41"/>
  <c r="AL157" i="41"/>
  <c r="AK157" i="41"/>
  <c r="AJ157" i="41"/>
  <c r="AI157" i="41"/>
  <c r="AH157" i="41"/>
  <c r="AG157" i="41"/>
  <c r="AF157" i="41"/>
  <c r="AE157" i="41"/>
  <c r="AD157" i="41"/>
  <c r="AC157" i="41"/>
  <c r="AB157" i="41"/>
  <c r="AA157" i="41"/>
  <c r="Z157" i="41"/>
  <c r="Y157" i="41"/>
  <c r="X157" i="41"/>
  <c r="W157" i="41"/>
  <c r="V157" i="41"/>
  <c r="U157" i="41"/>
  <c r="T157" i="41"/>
  <c r="S157" i="41"/>
  <c r="R157" i="41"/>
  <c r="Q157" i="41"/>
  <c r="P157" i="41"/>
  <c r="O157" i="41"/>
  <c r="N157" i="41"/>
  <c r="M157" i="41"/>
  <c r="L157" i="41"/>
  <c r="K157" i="41"/>
  <c r="J157" i="41"/>
  <c r="I157" i="41"/>
  <c r="H157" i="41"/>
  <c r="G157" i="41"/>
  <c r="F157" i="41"/>
  <c r="DI156" i="41"/>
  <c r="DH156" i="41"/>
  <c r="DG156" i="41"/>
  <c r="DF156" i="41"/>
  <c r="DE156" i="41"/>
  <c r="DD156" i="41"/>
  <c r="DC156" i="41"/>
  <c r="DB156" i="41"/>
  <c r="DA156" i="41"/>
  <c r="CZ156" i="41"/>
  <c r="CY156" i="41"/>
  <c r="CX156" i="41"/>
  <c r="CW156" i="41"/>
  <c r="CV156" i="41"/>
  <c r="CU156" i="41"/>
  <c r="CT156" i="41"/>
  <c r="CS156" i="41"/>
  <c r="CR156" i="41"/>
  <c r="CQ156" i="41"/>
  <c r="CP156" i="41"/>
  <c r="CO156" i="41"/>
  <c r="CN156" i="41"/>
  <c r="CM156" i="41"/>
  <c r="CL156" i="41"/>
  <c r="CK156" i="41"/>
  <c r="CJ156" i="41"/>
  <c r="CI156" i="41"/>
  <c r="CH156" i="41"/>
  <c r="CG156" i="41"/>
  <c r="CF156" i="41"/>
  <c r="CE156" i="41"/>
  <c r="CD156" i="41"/>
  <c r="CC156" i="41"/>
  <c r="CB156" i="41" a="1"/>
  <c r="CB156" i="41" s="1"/>
  <c r="CA156" i="41" a="1"/>
  <c r="CA156" i="41" s="1"/>
  <c r="BZ156" i="41"/>
  <c r="BY156" i="41"/>
  <c r="BX156" i="41"/>
  <c r="BW156" i="41"/>
  <c r="BV156" i="41"/>
  <c r="BU156" i="41"/>
  <c r="BT156" i="41"/>
  <c r="BS156" i="41"/>
  <c r="BR156" i="41"/>
  <c r="BQ156" i="41"/>
  <c r="BP156" i="41"/>
  <c r="BO156" i="41"/>
  <c r="BN156" i="41"/>
  <c r="BM156" i="41"/>
  <c r="BL156" i="41"/>
  <c r="BK156" i="41"/>
  <c r="BJ156" i="41"/>
  <c r="BI156" i="41"/>
  <c r="BH156" i="41"/>
  <c r="BG156" i="41"/>
  <c r="BF156" i="41"/>
  <c r="BE156" i="41"/>
  <c r="BD156" i="41"/>
  <c r="BC156" i="41"/>
  <c r="BB156" i="41"/>
  <c r="BA156" i="41"/>
  <c r="AZ156" i="41"/>
  <c r="AY156" i="41"/>
  <c r="AX156" i="41"/>
  <c r="AW156" i="41"/>
  <c r="AV156" i="41"/>
  <c r="AU156" i="41"/>
  <c r="AT156" i="41"/>
  <c r="AS156" i="41"/>
  <c r="AR156" i="41"/>
  <c r="AQ156" i="41"/>
  <c r="AP156" i="41"/>
  <c r="AO156" i="41"/>
  <c r="AN156" i="41"/>
  <c r="AM156" i="41"/>
  <c r="AL156" i="41"/>
  <c r="AK156" i="41"/>
  <c r="AJ156" i="41"/>
  <c r="AI156" i="41"/>
  <c r="AH156" i="41"/>
  <c r="AG156" i="41"/>
  <c r="AF156" i="41"/>
  <c r="AE156" i="41"/>
  <c r="AD156" i="41"/>
  <c r="AC156" i="41"/>
  <c r="AB156" i="41"/>
  <c r="AA156" i="41"/>
  <c r="Z156" i="41"/>
  <c r="Y156" i="41"/>
  <c r="X156" i="41"/>
  <c r="W156" i="41"/>
  <c r="V156" i="41"/>
  <c r="U156" i="41"/>
  <c r="T156" i="41"/>
  <c r="S156" i="41"/>
  <c r="R156" i="41"/>
  <c r="Q156" i="41"/>
  <c r="P156" i="41"/>
  <c r="O156" i="41"/>
  <c r="N156" i="41"/>
  <c r="M156" i="41"/>
  <c r="L156" i="41"/>
  <c r="K156" i="41"/>
  <c r="J156" i="41"/>
  <c r="I156" i="41"/>
  <c r="H156" i="41"/>
  <c r="G156" i="41"/>
  <c r="F156" i="41"/>
  <c r="DI155" i="41"/>
  <c r="DH155" i="41"/>
  <c r="DG155" i="41"/>
  <c r="DF155" i="41"/>
  <c r="DE155" i="41"/>
  <c r="DD155" i="41"/>
  <c r="DC155" i="41"/>
  <c r="DB155" i="41"/>
  <c r="DA155" i="41"/>
  <c r="CZ155" i="41"/>
  <c r="CY155" i="41"/>
  <c r="CX155" i="41"/>
  <c r="CW155" i="41"/>
  <c r="CV155" i="41"/>
  <c r="CU155" i="41"/>
  <c r="CT155" i="41"/>
  <c r="CS155" i="41"/>
  <c r="CR155" i="41"/>
  <c r="CQ155" i="41"/>
  <c r="CP155" i="41"/>
  <c r="CO155" i="41"/>
  <c r="CN155" i="41"/>
  <c r="CM155" i="41"/>
  <c r="CL155" i="41"/>
  <c r="CK155" i="41"/>
  <c r="CJ155" i="41"/>
  <c r="CI155" i="41"/>
  <c r="CH155" i="41"/>
  <c r="CG155" i="41"/>
  <c r="CF155" i="41"/>
  <c r="CE155" i="41"/>
  <c r="CD155" i="41"/>
  <c r="CC155" i="41"/>
  <c r="CB155" i="41" a="1"/>
  <c r="CB155" i="41" s="1"/>
  <c r="CA155" i="41" a="1"/>
  <c r="CA155" i="41" s="1"/>
  <c r="BZ155" i="41"/>
  <c r="BY155" i="41"/>
  <c r="BX155" i="41"/>
  <c r="BW155" i="41"/>
  <c r="BV155" i="41"/>
  <c r="BU155" i="41"/>
  <c r="BT155" i="41"/>
  <c r="BS155" i="41"/>
  <c r="BR155" i="41"/>
  <c r="BQ155" i="41"/>
  <c r="BP155" i="41"/>
  <c r="BO155" i="41"/>
  <c r="BN155" i="41"/>
  <c r="BM155" i="41"/>
  <c r="BL155" i="41"/>
  <c r="BK155" i="41"/>
  <c r="BJ155" i="41"/>
  <c r="BI155" i="41"/>
  <c r="BH155" i="41"/>
  <c r="BG155" i="41"/>
  <c r="BF155" i="41"/>
  <c r="BE155" i="41"/>
  <c r="BD155" i="41"/>
  <c r="BC155" i="41"/>
  <c r="BB155" i="41"/>
  <c r="BA155" i="41"/>
  <c r="AZ155" i="41"/>
  <c r="AY155" i="41"/>
  <c r="AX155" i="41"/>
  <c r="AW155" i="41"/>
  <c r="AV155" i="41"/>
  <c r="AU155" i="41"/>
  <c r="AT155" i="41"/>
  <c r="AS155" i="41"/>
  <c r="AR155" i="41"/>
  <c r="AQ155" i="41"/>
  <c r="AP155" i="41"/>
  <c r="AO155" i="41"/>
  <c r="AN155" i="41"/>
  <c r="AM155" i="41"/>
  <c r="AL155" i="41"/>
  <c r="AK155" i="41"/>
  <c r="AJ155" i="41"/>
  <c r="AI155" i="41"/>
  <c r="AH155" i="41"/>
  <c r="AG155" i="41"/>
  <c r="AF155" i="41"/>
  <c r="AE155" i="41"/>
  <c r="AD155" i="41"/>
  <c r="AC155" i="41"/>
  <c r="AB155" i="41"/>
  <c r="AA155" i="41"/>
  <c r="Z155" i="41"/>
  <c r="Y155" i="41"/>
  <c r="X155" i="41"/>
  <c r="W155" i="41"/>
  <c r="V155" i="41"/>
  <c r="U155" i="41"/>
  <c r="T155" i="41"/>
  <c r="S155" i="41"/>
  <c r="R155" i="41"/>
  <c r="Q155" i="41"/>
  <c r="P155" i="41"/>
  <c r="O155" i="41"/>
  <c r="N155" i="41"/>
  <c r="M155" i="41"/>
  <c r="L155" i="41"/>
  <c r="K155" i="41"/>
  <c r="J155" i="41"/>
  <c r="I155" i="41"/>
  <c r="H155" i="41"/>
  <c r="G155" i="41"/>
  <c r="F155" i="41"/>
  <c r="DI154" i="41"/>
  <c r="DH154" i="41"/>
  <c r="DG154" i="41"/>
  <c r="DF154" i="41"/>
  <c r="DE154" i="41"/>
  <c r="DD154" i="41"/>
  <c r="DC154" i="41"/>
  <c r="DB154" i="41"/>
  <c r="DA154" i="41"/>
  <c r="CZ154" i="41"/>
  <c r="CY154" i="41"/>
  <c r="CX154" i="41"/>
  <c r="CW154" i="41"/>
  <c r="CV154" i="41"/>
  <c r="CU154" i="41"/>
  <c r="CT154" i="41"/>
  <c r="CS154" i="41"/>
  <c r="CR154" i="41"/>
  <c r="CQ154" i="41"/>
  <c r="CP154" i="41"/>
  <c r="CO154" i="41"/>
  <c r="CN154" i="41"/>
  <c r="CM154" i="41"/>
  <c r="CL154" i="41"/>
  <c r="CK154" i="41"/>
  <c r="CJ154" i="41"/>
  <c r="CI154" i="41"/>
  <c r="CH154" i="41"/>
  <c r="CG154" i="41"/>
  <c r="CF154" i="41"/>
  <c r="CE154" i="41"/>
  <c r="CD154" i="41"/>
  <c r="CC154" i="41"/>
  <c r="CB154" i="41" a="1"/>
  <c r="CB154" i="41" s="1"/>
  <c r="CA154" i="41" a="1"/>
  <c r="CA154" i="41" s="1"/>
  <c r="BZ154" i="41"/>
  <c r="BY154" i="41"/>
  <c r="BX154" i="41"/>
  <c r="BW154" i="41"/>
  <c r="BV154" i="41"/>
  <c r="BU154" i="41"/>
  <c r="BT154" i="41"/>
  <c r="BS154" i="41"/>
  <c r="BR154" i="41"/>
  <c r="BQ154" i="41"/>
  <c r="BP154" i="41"/>
  <c r="BO154" i="41"/>
  <c r="BN154" i="41"/>
  <c r="BM154" i="41"/>
  <c r="BL154" i="41"/>
  <c r="BK154" i="41"/>
  <c r="BJ154" i="41"/>
  <c r="BI154" i="41"/>
  <c r="BH154" i="41"/>
  <c r="BG154" i="41"/>
  <c r="BF154" i="41"/>
  <c r="BE154" i="41"/>
  <c r="BD154" i="41"/>
  <c r="BC154" i="41"/>
  <c r="BB154" i="41"/>
  <c r="BA154" i="41"/>
  <c r="AZ154" i="41"/>
  <c r="AY154" i="41"/>
  <c r="AX154" i="41"/>
  <c r="AW154" i="41"/>
  <c r="AV154" i="41"/>
  <c r="AU154" i="41"/>
  <c r="AT154" i="41"/>
  <c r="AS154" i="41"/>
  <c r="AR154" i="41"/>
  <c r="AQ154" i="41"/>
  <c r="AP154" i="41"/>
  <c r="AO154" i="41"/>
  <c r="AN154" i="41"/>
  <c r="AM154" i="41"/>
  <c r="AL154" i="41"/>
  <c r="AK154" i="41"/>
  <c r="AJ154" i="41"/>
  <c r="AI154" i="41"/>
  <c r="AH154" i="41"/>
  <c r="AG154" i="41"/>
  <c r="AF154" i="41"/>
  <c r="AE154" i="41"/>
  <c r="AD154" i="41"/>
  <c r="AC154" i="41"/>
  <c r="AB154" i="41"/>
  <c r="AA154" i="41"/>
  <c r="Z154" i="41"/>
  <c r="Y154" i="41"/>
  <c r="X154" i="41"/>
  <c r="W154" i="41"/>
  <c r="V154" i="41"/>
  <c r="U154" i="41"/>
  <c r="T154" i="41"/>
  <c r="S154" i="41"/>
  <c r="R154" i="41"/>
  <c r="Q154" i="41"/>
  <c r="P154" i="41"/>
  <c r="O154" i="41"/>
  <c r="N154" i="41"/>
  <c r="M154" i="41"/>
  <c r="L154" i="41"/>
  <c r="K154" i="41"/>
  <c r="J154" i="41"/>
  <c r="I154" i="41"/>
  <c r="H154" i="41"/>
  <c r="G154" i="41"/>
  <c r="F154" i="41"/>
  <c r="DI153" i="41"/>
  <c r="DH153" i="41"/>
  <c r="DG153" i="41"/>
  <c r="DF153" i="41"/>
  <c r="DE153" i="41"/>
  <c r="DD153" i="41"/>
  <c r="DC153" i="41"/>
  <c r="DB153" i="41"/>
  <c r="DA153" i="41"/>
  <c r="CZ153" i="41"/>
  <c r="CY153" i="41"/>
  <c r="CX153" i="41"/>
  <c r="CW153" i="41"/>
  <c r="CV153" i="41"/>
  <c r="CU153" i="41"/>
  <c r="CT153" i="41"/>
  <c r="CS153" i="41"/>
  <c r="CR153" i="41"/>
  <c r="CQ153" i="41"/>
  <c r="CP153" i="41"/>
  <c r="CO153" i="41"/>
  <c r="CN153" i="41"/>
  <c r="CM153" i="41"/>
  <c r="CL153" i="41"/>
  <c r="CK153" i="41"/>
  <c r="CJ153" i="41"/>
  <c r="CI153" i="41"/>
  <c r="CH153" i="41"/>
  <c r="CG153" i="41"/>
  <c r="CF153" i="41"/>
  <c r="CE153" i="41"/>
  <c r="CD153" i="41"/>
  <c r="CC153" i="41"/>
  <c r="CB153" i="41" a="1"/>
  <c r="CB153" i="41" s="1"/>
  <c r="CA153" i="41" a="1"/>
  <c r="CA153" i="41" s="1"/>
  <c r="BZ153" i="41"/>
  <c r="BY153" i="41"/>
  <c r="BX153" i="41"/>
  <c r="BW153" i="41"/>
  <c r="BV153" i="41"/>
  <c r="BU153" i="41"/>
  <c r="BT153" i="41"/>
  <c r="BS153" i="41"/>
  <c r="BR153" i="41"/>
  <c r="BQ153" i="41"/>
  <c r="BP153" i="41"/>
  <c r="BO153" i="41"/>
  <c r="BN153" i="41"/>
  <c r="BM153" i="41"/>
  <c r="BL153" i="41"/>
  <c r="BK153" i="41"/>
  <c r="BJ153" i="41"/>
  <c r="BI153" i="41"/>
  <c r="BH153" i="41"/>
  <c r="BG153" i="41"/>
  <c r="BF153" i="41"/>
  <c r="BE153" i="41"/>
  <c r="BD153" i="41"/>
  <c r="BC153" i="41"/>
  <c r="BB153" i="41"/>
  <c r="BA153" i="41"/>
  <c r="AZ153" i="41"/>
  <c r="AY153" i="41"/>
  <c r="AX153" i="41"/>
  <c r="AW153" i="41"/>
  <c r="AV153" i="41"/>
  <c r="AU153" i="41"/>
  <c r="AT153" i="41"/>
  <c r="AS153" i="41"/>
  <c r="AR153" i="41"/>
  <c r="AQ153" i="41"/>
  <c r="AP153" i="41"/>
  <c r="AO153" i="41"/>
  <c r="AN153" i="41"/>
  <c r="AM153" i="41"/>
  <c r="AL153" i="41"/>
  <c r="AK153" i="41"/>
  <c r="AJ153" i="41"/>
  <c r="AI153" i="41"/>
  <c r="AH153" i="41"/>
  <c r="AG153" i="41"/>
  <c r="AF153" i="41"/>
  <c r="AE153" i="41"/>
  <c r="AD153" i="41"/>
  <c r="AC153" i="41"/>
  <c r="AB153" i="41"/>
  <c r="AA153" i="41"/>
  <c r="Z153" i="41"/>
  <c r="Y153" i="41"/>
  <c r="X153" i="41"/>
  <c r="W153" i="41"/>
  <c r="V153" i="41"/>
  <c r="U153" i="41"/>
  <c r="T153" i="41"/>
  <c r="S153" i="41"/>
  <c r="R153" i="41"/>
  <c r="Q153" i="41"/>
  <c r="P153" i="41"/>
  <c r="O153" i="41"/>
  <c r="N153" i="41"/>
  <c r="M153" i="41"/>
  <c r="L153" i="41"/>
  <c r="K153" i="41"/>
  <c r="J153" i="41"/>
  <c r="I153" i="41"/>
  <c r="H153" i="41"/>
  <c r="G153" i="41"/>
  <c r="F153" i="41"/>
  <c r="DI152" i="41"/>
  <c r="DH152" i="41"/>
  <c r="DG152" i="41"/>
  <c r="DF152" i="41"/>
  <c r="DE152" i="41"/>
  <c r="DD152" i="41"/>
  <c r="DC152" i="41"/>
  <c r="DB152" i="41"/>
  <c r="DA152" i="41"/>
  <c r="CZ152" i="41"/>
  <c r="CY152" i="41"/>
  <c r="CX152" i="41"/>
  <c r="CW152" i="41"/>
  <c r="CV152" i="41"/>
  <c r="CU152" i="41"/>
  <c r="CT152" i="41"/>
  <c r="CS152" i="41"/>
  <c r="CR152" i="41"/>
  <c r="CQ152" i="41"/>
  <c r="CP152" i="41"/>
  <c r="CO152" i="41"/>
  <c r="CN152" i="41"/>
  <c r="CM152" i="41"/>
  <c r="CL152" i="41"/>
  <c r="CK152" i="41"/>
  <c r="CJ152" i="41"/>
  <c r="CI152" i="41"/>
  <c r="CH152" i="41"/>
  <c r="CG152" i="41"/>
  <c r="CF152" i="41"/>
  <c r="CE152" i="41"/>
  <c r="CD152" i="41"/>
  <c r="CC152" i="41"/>
  <c r="CB152" i="41" a="1"/>
  <c r="CB152" i="41" s="1"/>
  <c r="CA152" i="41" a="1"/>
  <c r="CA152" i="41" s="1"/>
  <c r="BZ152" i="41"/>
  <c r="BY152" i="41"/>
  <c r="BX152" i="41"/>
  <c r="BW152" i="41"/>
  <c r="BV152" i="41"/>
  <c r="BU152" i="41"/>
  <c r="BT152" i="41"/>
  <c r="BS152" i="41"/>
  <c r="BR152" i="41"/>
  <c r="BQ152" i="41"/>
  <c r="BP152" i="41"/>
  <c r="BO152" i="41"/>
  <c r="BN152" i="41"/>
  <c r="BM152" i="41"/>
  <c r="BL152" i="41"/>
  <c r="BK152" i="41"/>
  <c r="BJ152" i="41"/>
  <c r="BI152" i="41"/>
  <c r="BH152" i="41"/>
  <c r="BG152" i="41"/>
  <c r="BF152" i="41"/>
  <c r="BE152" i="41"/>
  <c r="BD152" i="41"/>
  <c r="BC152" i="41"/>
  <c r="BB152" i="41"/>
  <c r="BA152" i="41"/>
  <c r="AZ152" i="41"/>
  <c r="AY152" i="41"/>
  <c r="AX152" i="41"/>
  <c r="AW152" i="41"/>
  <c r="AV152" i="41"/>
  <c r="AU152" i="41"/>
  <c r="AT152" i="41"/>
  <c r="AS152" i="41"/>
  <c r="AR152" i="41"/>
  <c r="AQ152" i="41"/>
  <c r="AP152" i="41"/>
  <c r="AO152" i="41"/>
  <c r="AN152" i="41"/>
  <c r="AM152" i="41"/>
  <c r="AL152" i="41"/>
  <c r="AK152" i="41"/>
  <c r="AJ152" i="41"/>
  <c r="AI152" i="41"/>
  <c r="AH152" i="41"/>
  <c r="AG152" i="41"/>
  <c r="AF152" i="41"/>
  <c r="AE152" i="41"/>
  <c r="AD152" i="41"/>
  <c r="AC152" i="41"/>
  <c r="AB152" i="41"/>
  <c r="AA152" i="41"/>
  <c r="Z152" i="41"/>
  <c r="Y152" i="41"/>
  <c r="X152" i="41"/>
  <c r="W152" i="41"/>
  <c r="V152" i="41"/>
  <c r="U152" i="41"/>
  <c r="T152" i="41"/>
  <c r="S152" i="41"/>
  <c r="R152" i="41"/>
  <c r="Q152" i="41"/>
  <c r="P152" i="41"/>
  <c r="O152" i="41"/>
  <c r="N152" i="41"/>
  <c r="M152" i="41"/>
  <c r="L152" i="41"/>
  <c r="K152" i="41"/>
  <c r="J152" i="41"/>
  <c r="I152" i="41"/>
  <c r="H152" i="41"/>
  <c r="G152" i="41"/>
  <c r="F152" i="41"/>
  <c r="DI151" i="41"/>
  <c r="DH151" i="41"/>
  <c r="DG151" i="41"/>
  <c r="DF151" i="41"/>
  <c r="DE151" i="41"/>
  <c r="DD151" i="41"/>
  <c r="DC151" i="41"/>
  <c r="DB151" i="41"/>
  <c r="DA151" i="41"/>
  <c r="CZ151" i="41"/>
  <c r="CY151" i="41"/>
  <c r="CX151" i="41"/>
  <c r="CW151" i="41"/>
  <c r="CV151" i="41"/>
  <c r="CU151" i="41"/>
  <c r="CT151" i="41"/>
  <c r="CS151" i="41"/>
  <c r="CR151" i="41"/>
  <c r="CQ151" i="41"/>
  <c r="CP151" i="41"/>
  <c r="CO151" i="41"/>
  <c r="CN151" i="41"/>
  <c r="CM151" i="41"/>
  <c r="CL151" i="41"/>
  <c r="CK151" i="41"/>
  <c r="CJ151" i="41"/>
  <c r="CI151" i="41"/>
  <c r="CH151" i="41"/>
  <c r="CG151" i="41"/>
  <c r="CF151" i="41"/>
  <c r="CE151" i="41"/>
  <c r="CD151" i="41"/>
  <c r="CC151" i="41"/>
  <c r="CB151" i="41" a="1"/>
  <c r="CB151" i="41" s="1"/>
  <c r="CA151" i="41" a="1"/>
  <c r="CA151" i="41" s="1"/>
  <c r="BZ151" i="41"/>
  <c r="BY151" i="41"/>
  <c r="BX151" i="41"/>
  <c r="BW151" i="41"/>
  <c r="BV151" i="41"/>
  <c r="BU151" i="41"/>
  <c r="BT151" i="41"/>
  <c r="BS151" i="41"/>
  <c r="BR151" i="41"/>
  <c r="BQ151" i="41"/>
  <c r="BP151" i="41"/>
  <c r="BO151" i="41"/>
  <c r="BN151" i="41"/>
  <c r="BM151" i="41"/>
  <c r="BL151" i="41"/>
  <c r="BK151" i="41"/>
  <c r="BJ151" i="41"/>
  <c r="BI151" i="41"/>
  <c r="BH151" i="41"/>
  <c r="BG151" i="41"/>
  <c r="BF151" i="41"/>
  <c r="BE151" i="41"/>
  <c r="BD151" i="41"/>
  <c r="BC151" i="41"/>
  <c r="BB151" i="41"/>
  <c r="BA151" i="41"/>
  <c r="AZ151" i="41"/>
  <c r="AY151" i="41"/>
  <c r="AX151" i="41"/>
  <c r="AW151" i="41"/>
  <c r="AV151" i="41"/>
  <c r="AU151" i="41"/>
  <c r="AT151" i="41"/>
  <c r="AS151" i="41"/>
  <c r="AR151" i="41"/>
  <c r="AQ151" i="41"/>
  <c r="AP151" i="41"/>
  <c r="AO151" i="41"/>
  <c r="AN151" i="41"/>
  <c r="AM151" i="41"/>
  <c r="AL151" i="41"/>
  <c r="AK151" i="41"/>
  <c r="AJ151" i="41"/>
  <c r="AI151" i="41"/>
  <c r="AH151" i="41"/>
  <c r="AG151" i="41"/>
  <c r="AF151" i="41"/>
  <c r="AE151" i="41"/>
  <c r="AD151" i="41"/>
  <c r="AC151" i="41"/>
  <c r="AB151" i="41"/>
  <c r="AA151" i="41"/>
  <c r="Z151" i="41"/>
  <c r="Y151" i="41"/>
  <c r="X151" i="41"/>
  <c r="W151" i="41"/>
  <c r="V151" i="41"/>
  <c r="U151" i="41"/>
  <c r="T151" i="41"/>
  <c r="S151" i="41"/>
  <c r="R151" i="41"/>
  <c r="Q151" i="41"/>
  <c r="P151" i="41"/>
  <c r="O151" i="41"/>
  <c r="N151" i="41"/>
  <c r="M151" i="41"/>
  <c r="L151" i="41"/>
  <c r="K151" i="41"/>
  <c r="J151" i="41"/>
  <c r="I151" i="41"/>
  <c r="H151" i="41"/>
  <c r="G151" i="41"/>
  <c r="F151" i="41"/>
  <c r="DI150" i="41"/>
  <c r="DH150" i="41"/>
  <c r="DG150" i="41"/>
  <c r="DF150" i="41"/>
  <c r="DE150" i="41"/>
  <c r="DD150" i="41"/>
  <c r="DC150" i="41"/>
  <c r="DB150" i="41"/>
  <c r="DA150" i="41"/>
  <c r="CZ150" i="41"/>
  <c r="CY150" i="41"/>
  <c r="CX150" i="41"/>
  <c r="CW150" i="41"/>
  <c r="CV150" i="41"/>
  <c r="CU150" i="41"/>
  <c r="CT150" i="41"/>
  <c r="CS150" i="41"/>
  <c r="CR150" i="41"/>
  <c r="CQ150" i="41"/>
  <c r="CP150" i="41"/>
  <c r="CO150" i="41"/>
  <c r="CN150" i="41"/>
  <c r="CM150" i="41"/>
  <c r="CL150" i="41"/>
  <c r="CK150" i="41"/>
  <c r="CJ150" i="41"/>
  <c r="CI150" i="41"/>
  <c r="CH150" i="41"/>
  <c r="CG150" i="41"/>
  <c r="CF150" i="41"/>
  <c r="CE150" i="41"/>
  <c r="CD150" i="41"/>
  <c r="CC150" i="41"/>
  <c r="CB150" i="41" a="1"/>
  <c r="CB150" i="41" s="1"/>
  <c r="CA150" i="41" a="1"/>
  <c r="CA150" i="41" s="1"/>
  <c r="BZ150" i="41"/>
  <c r="BY150" i="41"/>
  <c r="BX150" i="41"/>
  <c r="BW150" i="41"/>
  <c r="BV150" i="41"/>
  <c r="BU150" i="41"/>
  <c r="BT150" i="41"/>
  <c r="BS150" i="41"/>
  <c r="BR150" i="41"/>
  <c r="BQ150" i="41"/>
  <c r="BP150" i="41"/>
  <c r="BO150" i="41"/>
  <c r="BN150" i="41"/>
  <c r="BM150" i="41"/>
  <c r="BL150" i="41"/>
  <c r="BK150" i="41"/>
  <c r="BJ150" i="41"/>
  <c r="BI150" i="41"/>
  <c r="BH150" i="41"/>
  <c r="BG150" i="41"/>
  <c r="BF150" i="41"/>
  <c r="BE150" i="41"/>
  <c r="BD150" i="41"/>
  <c r="BC150" i="41"/>
  <c r="BB150" i="41"/>
  <c r="BA150" i="41"/>
  <c r="AZ150" i="41"/>
  <c r="AY150" i="41"/>
  <c r="AX150" i="41"/>
  <c r="AW150" i="41"/>
  <c r="AV150" i="41"/>
  <c r="AU150" i="41"/>
  <c r="AT150" i="41"/>
  <c r="AS150" i="41"/>
  <c r="AR150" i="41"/>
  <c r="AQ150" i="41"/>
  <c r="AP150" i="41"/>
  <c r="AO150" i="41"/>
  <c r="AN150" i="41"/>
  <c r="AM150" i="41"/>
  <c r="AL150" i="41"/>
  <c r="AK150" i="41"/>
  <c r="AJ150" i="41"/>
  <c r="AI150" i="41"/>
  <c r="AH150" i="41"/>
  <c r="AG150" i="41"/>
  <c r="AF150" i="41"/>
  <c r="AE150" i="41"/>
  <c r="AD150" i="41"/>
  <c r="AC150" i="41"/>
  <c r="AB150" i="41"/>
  <c r="AA150" i="41"/>
  <c r="Z150" i="41"/>
  <c r="Y150" i="41"/>
  <c r="X150" i="41"/>
  <c r="W150" i="41"/>
  <c r="V150" i="41"/>
  <c r="U150" i="41"/>
  <c r="T150" i="41"/>
  <c r="S150" i="41"/>
  <c r="R150" i="41"/>
  <c r="Q150" i="41"/>
  <c r="P150" i="41"/>
  <c r="O150" i="41"/>
  <c r="N150" i="41"/>
  <c r="M150" i="41"/>
  <c r="L150" i="41"/>
  <c r="K150" i="41"/>
  <c r="J150" i="41"/>
  <c r="I150" i="41"/>
  <c r="H150" i="41"/>
  <c r="G150" i="41"/>
  <c r="F150" i="41"/>
  <c r="DI149" i="41"/>
  <c r="DH149" i="41"/>
  <c r="DG149" i="41"/>
  <c r="DF149" i="41"/>
  <c r="DE149" i="41"/>
  <c r="DD149" i="41"/>
  <c r="DC149" i="41"/>
  <c r="DB149" i="41"/>
  <c r="DA149" i="41"/>
  <c r="CZ149" i="41"/>
  <c r="CY149" i="41"/>
  <c r="CX149" i="41"/>
  <c r="CW149" i="41"/>
  <c r="CV149" i="41"/>
  <c r="CU149" i="41"/>
  <c r="CT149" i="41"/>
  <c r="CS149" i="41"/>
  <c r="CR149" i="41"/>
  <c r="CQ149" i="41"/>
  <c r="CP149" i="41"/>
  <c r="CO149" i="41"/>
  <c r="CN149" i="41"/>
  <c r="CM149" i="41"/>
  <c r="CL149" i="41"/>
  <c r="CK149" i="41"/>
  <c r="CJ149" i="41"/>
  <c r="CI149" i="41"/>
  <c r="CH149" i="41"/>
  <c r="CG149" i="41"/>
  <c r="CF149" i="41"/>
  <c r="CE149" i="41"/>
  <c r="CD149" i="41"/>
  <c r="CC149" i="41"/>
  <c r="CB149" i="41" a="1"/>
  <c r="CB149" i="41" s="1"/>
  <c r="CA149" i="41" a="1"/>
  <c r="CA149" i="41" s="1"/>
  <c r="BZ149" i="41"/>
  <c r="BY149" i="41"/>
  <c r="BX149" i="41"/>
  <c r="BW149" i="41"/>
  <c r="BV149" i="41"/>
  <c r="BU149" i="41"/>
  <c r="BT149" i="41"/>
  <c r="BS149" i="41"/>
  <c r="BR149" i="41"/>
  <c r="BQ149" i="41"/>
  <c r="BP149" i="41"/>
  <c r="BO149" i="41"/>
  <c r="BN149" i="41"/>
  <c r="BM149" i="41"/>
  <c r="BL149" i="41"/>
  <c r="BK149" i="41"/>
  <c r="BJ149" i="41"/>
  <c r="BI149" i="41"/>
  <c r="BH149" i="41"/>
  <c r="BG149" i="41"/>
  <c r="BF149" i="41"/>
  <c r="BE149" i="41"/>
  <c r="BD149" i="41"/>
  <c r="BC149" i="41"/>
  <c r="BB149" i="41"/>
  <c r="BA149" i="41"/>
  <c r="AZ149" i="41"/>
  <c r="AY149" i="41"/>
  <c r="AX149" i="41"/>
  <c r="AW149" i="41"/>
  <c r="AV149" i="41"/>
  <c r="AU149" i="41"/>
  <c r="AT149" i="41"/>
  <c r="AS149" i="41"/>
  <c r="AR149" i="41"/>
  <c r="AQ149" i="41"/>
  <c r="AP149" i="41"/>
  <c r="AO149" i="41"/>
  <c r="AN149" i="41"/>
  <c r="AM149" i="41"/>
  <c r="AL149" i="41"/>
  <c r="AK149" i="41"/>
  <c r="AJ149" i="41"/>
  <c r="AI149" i="41"/>
  <c r="AH149" i="41"/>
  <c r="AG149" i="41"/>
  <c r="AF149" i="41"/>
  <c r="AE149" i="41"/>
  <c r="AD149" i="41"/>
  <c r="AC149" i="41"/>
  <c r="AB149" i="41"/>
  <c r="AA149" i="41"/>
  <c r="Z149" i="41"/>
  <c r="Y149" i="41"/>
  <c r="X149" i="41"/>
  <c r="W149" i="41"/>
  <c r="V149" i="41"/>
  <c r="U149" i="41"/>
  <c r="T149" i="41"/>
  <c r="S149" i="41"/>
  <c r="R149" i="41"/>
  <c r="Q149" i="41"/>
  <c r="P149" i="41"/>
  <c r="O149" i="41"/>
  <c r="N149" i="41"/>
  <c r="M149" i="41"/>
  <c r="L149" i="41"/>
  <c r="K149" i="41"/>
  <c r="J149" i="41"/>
  <c r="I149" i="41"/>
  <c r="H149" i="41"/>
  <c r="G149" i="41"/>
  <c r="F149" i="41"/>
  <c r="DI148" i="41"/>
  <c r="DH148" i="41"/>
  <c r="DG148" i="41"/>
  <c r="DF148" i="41"/>
  <c r="DE148" i="41"/>
  <c r="DD148" i="41"/>
  <c r="DC148" i="41"/>
  <c r="DB148" i="41"/>
  <c r="DA148" i="41"/>
  <c r="CZ148" i="41"/>
  <c r="CY148" i="41"/>
  <c r="CX148" i="41"/>
  <c r="CW148" i="41"/>
  <c r="CV148" i="41"/>
  <c r="CU148" i="41"/>
  <c r="CT148" i="41"/>
  <c r="CS148" i="41"/>
  <c r="CR148" i="41"/>
  <c r="CQ148" i="41"/>
  <c r="CP148" i="41"/>
  <c r="CO148" i="41"/>
  <c r="CN148" i="41"/>
  <c r="CM148" i="41"/>
  <c r="CL148" i="41"/>
  <c r="CK148" i="41"/>
  <c r="CJ148" i="41"/>
  <c r="CI148" i="41"/>
  <c r="CH148" i="41"/>
  <c r="CG148" i="41"/>
  <c r="CF148" i="41"/>
  <c r="CE148" i="41"/>
  <c r="CD148" i="41"/>
  <c r="CC148" i="41"/>
  <c r="CB148" i="41" a="1"/>
  <c r="CB148" i="41" s="1"/>
  <c r="CA148" i="41" a="1"/>
  <c r="CA148" i="41" s="1"/>
  <c r="BZ148" i="41"/>
  <c r="BY148" i="41"/>
  <c r="BX148" i="41"/>
  <c r="BW148" i="41"/>
  <c r="BV148" i="41"/>
  <c r="BU148" i="41"/>
  <c r="BT148" i="41"/>
  <c r="BS148" i="41"/>
  <c r="BR148" i="41"/>
  <c r="BQ148" i="41"/>
  <c r="BP148" i="41"/>
  <c r="BO148" i="41"/>
  <c r="BN148" i="41"/>
  <c r="BM148" i="41"/>
  <c r="BL148" i="41"/>
  <c r="BK148" i="41"/>
  <c r="BJ148" i="41"/>
  <c r="BI148" i="41"/>
  <c r="BH148" i="41"/>
  <c r="BG148" i="41"/>
  <c r="BF148" i="41"/>
  <c r="BE148" i="41"/>
  <c r="BD148" i="41"/>
  <c r="BC148" i="41"/>
  <c r="BB148" i="41"/>
  <c r="BA148" i="41"/>
  <c r="AZ148" i="41"/>
  <c r="AY148" i="41"/>
  <c r="AX148" i="41"/>
  <c r="AW148" i="41"/>
  <c r="AV148" i="41"/>
  <c r="AU148" i="41"/>
  <c r="AT148" i="41"/>
  <c r="AS148" i="41"/>
  <c r="AR148" i="41"/>
  <c r="AQ148" i="41"/>
  <c r="AP148" i="41"/>
  <c r="AO148" i="41"/>
  <c r="AN148" i="41"/>
  <c r="AM148" i="41"/>
  <c r="AL148" i="41"/>
  <c r="AK148" i="41"/>
  <c r="AJ148" i="41"/>
  <c r="AI148" i="41"/>
  <c r="AH148" i="41"/>
  <c r="AG148" i="41"/>
  <c r="AF148" i="41"/>
  <c r="AE148" i="41"/>
  <c r="AD148" i="41"/>
  <c r="AC148" i="41"/>
  <c r="AB148" i="41"/>
  <c r="AA148" i="41"/>
  <c r="Z148" i="41"/>
  <c r="Y148" i="41"/>
  <c r="X148" i="41"/>
  <c r="W148" i="41"/>
  <c r="V148" i="41"/>
  <c r="U148" i="41"/>
  <c r="T148" i="41"/>
  <c r="S148" i="41"/>
  <c r="R148" i="41"/>
  <c r="Q148" i="41"/>
  <c r="P148" i="41"/>
  <c r="O148" i="41"/>
  <c r="N148" i="41"/>
  <c r="M148" i="41"/>
  <c r="L148" i="41"/>
  <c r="K148" i="41"/>
  <c r="J148" i="41"/>
  <c r="I148" i="41"/>
  <c r="H148" i="41"/>
  <c r="G148" i="41"/>
  <c r="F148" i="41"/>
  <c r="DI147" i="41"/>
  <c r="DH147" i="41"/>
  <c r="DG147" i="41"/>
  <c r="DF147" i="41"/>
  <c r="DE147" i="41"/>
  <c r="DD147" i="41"/>
  <c r="DC147" i="41"/>
  <c r="DB147" i="41"/>
  <c r="DA147" i="41"/>
  <c r="CZ147" i="41"/>
  <c r="CY147" i="41"/>
  <c r="CX147" i="41"/>
  <c r="CW147" i="41"/>
  <c r="CV147" i="41"/>
  <c r="CU147" i="41"/>
  <c r="CT147" i="41"/>
  <c r="CS147" i="41"/>
  <c r="CR147" i="41"/>
  <c r="CQ147" i="41"/>
  <c r="CP147" i="41"/>
  <c r="CO147" i="41"/>
  <c r="CN147" i="41"/>
  <c r="CM147" i="41"/>
  <c r="CL147" i="41"/>
  <c r="CK147" i="41"/>
  <c r="CJ147" i="41"/>
  <c r="CI147" i="41"/>
  <c r="CH147" i="41"/>
  <c r="CG147" i="41"/>
  <c r="CF147" i="41"/>
  <c r="CE147" i="41"/>
  <c r="CD147" i="41"/>
  <c r="CC147" i="41"/>
  <c r="CB147" i="41" a="1"/>
  <c r="CB147" i="41" s="1"/>
  <c r="CA147" i="41" a="1"/>
  <c r="CA147" i="41" s="1"/>
  <c r="BZ147" i="41"/>
  <c r="BY147" i="41"/>
  <c r="BX147" i="41"/>
  <c r="BW147" i="41"/>
  <c r="BV147" i="41"/>
  <c r="BU147" i="41"/>
  <c r="BT147" i="41"/>
  <c r="BS147" i="41"/>
  <c r="BR147" i="41"/>
  <c r="BQ147" i="41"/>
  <c r="BP147" i="41"/>
  <c r="BO147" i="41"/>
  <c r="BN147" i="41"/>
  <c r="BM147" i="41"/>
  <c r="BL147" i="41"/>
  <c r="BK147" i="41"/>
  <c r="BJ147" i="41"/>
  <c r="BI147" i="41"/>
  <c r="BH147" i="41"/>
  <c r="BG147" i="41"/>
  <c r="BF147" i="41"/>
  <c r="BE147" i="41"/>
  <c r="BD147" i="41"/>
  <c r="BC147" i="41"/>
  <c r="BB147" i="41"/>
  <c r="BA147" i="41"/>
  <c r="AZ147" i="41"/>
  <c r="AY147" i="41"/>
  <c r="AX147" i="41"/>
  <c r="AW147" i="41"/>
  <c r="AV147" i="41"/>
  <c r="AU147" i="41"/>
  <c r="AT147" i="41"/>
  <c r="AS147" i="41"/>
  <c r="AR147" i="41"/>
  <c r="AQ147" i="41"/>
  <c r="AP147" i="41"/>
  <c r="AO147" i="41"/>
  <c r="AN147" i="41"/>
  <c r="AM147" i="41"/>
  <c r="AL147" i="41"/>
  <c r="AK147" i="41"/>
  <c r="AJ147" i="41"/>
  <c r="AI147" i="41"/>
  <c r="AH147" i="41"/>
  <c r="AG147" i="41"/>
  <c r="AF147" i="41"/>
  <c r="AE147" i="41"/>
  <c r="AD147" i="41"/>
  <c r="AC147" i="41"/>
  <c r="AB147" i="41"/>
  <c r="AA147" i="41"/>
  <c r="Z147" i="41"/>
  <c r="Y147" i="41"/>
  <c r="X147" i="41"/>
  <c r="W147" i="41"/>
  <c r="V147" i="41"/>
  <c r="U147" i="41"/>
  <c r="T147" i="41"/>
  <c r="S147" i="41"/>
  <c r="R147" i="41"/>
  <c r="Q147" i="41"/>
  <c r="P147" i="41"/>
  <c r="O147" i="41"/>
  <c r="N147" i="41"/>
  <c r="M147" i="41"/>
  <c r="L147" i="41"/>
  <c r="K147" i="41"/>
  <c r="J147" i="41"/>
  <c r="I147" i="41"/>
  <c r="H147" i="41"/>
  <c r="G147" i="41"/>
  <c r="F147" i="41"/>
  <c r="DI146" i="41"/>
  <c r="DH146" i="41"/>
  <c r="DG146" i="41"/>
  <c r="DF146" i="41"/>
  <c r="DE146" i="41"/>
  <c r="DD146" i="41"/>
  <c r="DC146" i="41"/>
  <c r="DB146" i="41"/>
  <c r="DA146" i="41"/>
  <c r="CZ146" i="41"/>
  <c r="CY146" i="41"/>
  <c r="CX146" i="41"/>
  <c r="CW146" i="41"/>
  <c r="CV146" i="41"/>
  <c r="CU146" i="41"/>
  <c r="CT146" i="41"/>
  <c r="CS146" i="41"/>
  <c r="CR146" i="41"/>
  <c r="CQ146" i="41"/>
  <c r="CP146" i="41"/>
  <c r="CO146" i="41"/>
  <c r="CN146" i="41"/>
  <c r="CM146" i="41"/>
  <c r="CL146" i="41"/>
  <c r="CK146" i="41"/>
  <c r="CJ146" i="41"/>
  <c r="CI146" i="41"/>
  <c r="CH146" i="41"/>
  <c r="CG146" i="41"/>
  <c r="CF146" i="41"/>
  <c r="CE146" i="41"/>
  <c r="CD146" i="41"/>
  <c r="CC146" i="41"/>
  <c r="CB146" i="41" a="1"/>
  <c r="CB146" i="41" s="1"/>
  <c r="CA146" i="41" a="1"/>
  <c r="CA146" i="41" s="1"/>
  <c r="BZ146" i="41"/>
  <c r="BY146" i="41"/>
  <c r="BX146" i="41"/>
  <c r="BW146" i="41"/>
  <c r="BV146" i="41"/>
  <c r="BU146" i="41"/>
  <c r="BT146" i="41"/>
  <c r="BS146" i="41"/>
  <c r="BR146" i="41"/>
  <c r="BQ146" i="41"/>
  <c r="BP146" i="41"/>
  <c r="BO146" i="41"/>
  <c r="BN146" i="41"/>
  <c r="BM146" i="41"/>
  <c r="BL146" i="41"/>
  <c r="BK146" i="41"/>
  <c r="BJ146" i="41"/>
  <c r="BI146" i="41"/>
  <c r="BH146" i="41"/>
  <c r="BG146" i="41"/>
  <c r="BF146" i="41"/>
  <c r="BE146" i="41"/>
  <c r="BD146" i="41"/>
  <c r="BC146" i="41"/>
  <c r="BB146" i="41"/>
  <c r="BA146" i="41"/>
  <c r="AZ146" i="41"/>
  <c r="AY146" i="41"/>
  <c r="AX146" i="41"/>
  <c r="AW146" i="41"/>
  <c r="AV146" i="41"/>
  <c r="AU146" i="41"/>
  <c r="AT146" i="41"/>
  <c r="AS146" i="41"/>
  <c r="AR146" i="41"/>
  <c r="AQ146" i="41"/>
  <c r="AP146" i="41"/>
  <c r="AO146" i="41"/>
  <c r="AN146" i="41"/>
  <c r="AM146" i="41"/>
  <c r="AL146" i="41"/>
  <c r="AK146" i="41"/>
  <c r="AJ146" i="41"/>
  <c r="AI146" i="41"/>
  <c r="AH146" i="41"/>
  <c r="AG146" i="41"/>
  <c r="AF146" i="41"/>
  <c r="AE146" i="41"/>
  <c r="AD146" i="41"/>
  <c r="AC146" i="41"/>
  <c r="AB146" i="41"/>
  <c r="AA146" i="41"/>
  <c r="Z146" i="41"/>
  <c r="Y146" i="41"/>
  <c r="X146" i="41"/>
  <c r="W146" i="41"/>
  <c r="V146" i="41"/>
  <c r="U146" i="41"/>
  <c r="T146" i="41"/>
  <c r="S146" i="41"/>
  <c r="R146" i="41"/>
  <c r="Q146" i="41"/>
  <c r="P146" i="41"/>
  <c r="O146" i="41"/>
  <c r="N146" i="41"/>
  <c r="M146" i="41"/>
  <c r="L146" i="41"/>
  <c r="K146" i="41"/>
  <c r="J146" i="41"/>
  <c r="I146" i="41"/>
  <c r="H146" i="41"/>
  <c r="G146" i="41"/>
  <c r="F146" i="41"/>
  <c r="DI145" i="41"/>
  <c r="DH145" i="41"/>
  <c r="DG145" i="41"/>
  <c r="DF145" i="41"/>
  <c r="DE145" i="41"/>
  <c r="DD145" i="41"/>
  <c r="DC145" i="41"/>
  <c r="DB145" i="41"/>
  <c r="DA145" i="41"/>
  <c r="CZ145" i="41"/>
  <c r="CY145" i="41"/>
  <c r="CX145" i="41"/>
  <c r="CW145" i="41"/>
  <c r="CV145" i="41"/>
  <c r="CU145" i="41"/>
  <c r="CT145" i="41"/>
  <c r="CS145" i="41"/>
  <c r="CR145" i="41"/>
  <c r="CQ145" i="41"/>
  <c r="CP145" i="41"/>
  <c r="CO145" i="41"/>
  <c r="CN145" i="41"/>
  <c r="CM145" i="41"/>
  <c r="CL145" i="41"/>
  <c r="CK145" i="41"/>
  <c r="CJ145" i="41"/>
  <c r="CI145" i="41"/>
  <c r="CH145" i="41"/>
  <c r="CG145" i="41"/>
  <c r="CF145" i="41"/>
  <c r="CE145" i="41"/>
  <c r="CD145" i="41"/>
  <c r="CC145" i="41"/>
  <c r="CB145" i="41" a="1"/>
  <c r="CB145" i="41" s="1"/>
  <c r="CA145" i="41" a="1"/>
  <c r="CA145" i="41" s="1"/>
  <c r="BZ145" i="41"/>
  <c r="BY145" i="41"/>
  <c r="BX145" i="41"/>
  <c r="BW145" i="41"/>
  <c r="BV145" i="41"/>
  <c r="BU145" i="41"/>
  <c r="BT145" i="41"/>
  <c r="BS145" i="41"/>
  <c r="BR145" i="41"/>
  <c r="BQ145" i="41"/>
  <c r="BP145" i="41"/>
  <c r="BO145" i="41"/>
  <c r="BN145" i="41"/>
  <c r="BM145" i="41"/>
  <c r="BL145" i="41"/>
  <c r="BK145" i="41"/>
  <c r="BJ145" i="41"/>
  <c r="BI145" i="41"/>
  <c r="BH145" i="41"/>
  <c r="BG145" i="41"/>
  <c r="BF145" i="41"/>
  <c r="BE145" i="41"/>
  <c r="BD145" i="41"/>
  <c r="BC145" i="41"/>
  <c r="BB145" i="41"/>
  <c r="BA145" i="41"/>
  <c r="AZ145" i="41"/>
  <c r="AY145" i="41"/>
  <c r="AX145" i="41"/>
  <c r="AW145" i="41"/>
  <c r="AV145" i="41"/>
  <c r="AU145" i="41"/>
  <c r="AT145" i="41"/>
  <c r="AS145" i="41"/>
  <c r="AR145" i="41"/>
  <c r="AQ145" i="41"/>
  <c r="AP145" i="41"/>
  <c r="AO145" i="41"/>
  <c r="AN145" i="41"/>
  <c r="AM145" i="41"/>
  <c r="AL145" i="41"/>
  <c r="AK145" i="41"/>
  <c r="AJ145" i="41"/>
  <c r="AI145" i="41"/>
  <c r="AH145" i="41"/>
  <c r="AG145" i="41"/>
  <c r="AF145" i="41"/>
  <c r="AE145" i="41"/>
  <c r="AD145" i="41"/>
  <c r="AC145" i="41"/>
  <c r="AB145" i="41"/>
  <c r="AA145" i="41"/>
  <c r="Z145" i="41"/>
  <c r="Y145" i="41"/>
  <c r="X145" i="41"/>
  <c r="W145" i="41"/>
  <c r="V145" i="41"/>
  <c r="U145" i="41"/>
  <c r="T145" i="41"/>
  <c r="S145" i="41"/>
  <c r="R145" i="41"/>
  <c r="Q145" i="41"/>
  <c r="P145" i="41"/>
  <c r="O145" i="41"/>
  <c r="N145" i="41"/>
  <c r="M145" i="41"/>
  <c r="L145" i="41"/>
  <c r="K145" i="41"/>
  <c r="J145" i="41"/>
  <c r="I145" i="41"/>
  <c r="H145" i="41"/>
  <c r="G145" i="41"/>
  <c r="F145" i="41"/>
  <c r="DI144" i="41"/>
  <c r="DH144" i="41"/>
  <c r="DG144" i="41"/>
  <c r="DF144" i="41"/>
  <c r="DE144" i="41"/>
  <c r="DD144" i="41"/>
  <c r="DC144" i="41"/>
  <c r="DB144" i="41"/>
  <c r="DA144" i="41"/>
  <c r="CZ144" i="41"/>
  <c r="CY144" i="41"/>
  <c r="CX144" i="41"/>
  <c r="CW144" i="41"/>
  <c r="CV144" i="41"/>
  <c r="CU144" i="41"/>
  <c r="CT144" i="41"/>
  <c r="CS144" i="41"/>
  <c r="CR144" i="41"/>
  <c r="CQ144" i="41"/>
  <c r="CP144" i="41"/>
  <c r="CO144" i="41"/>
  <c r="CN144" i="41"/>
  <c r="CM144" i="41"/>
  <c r="CL144" i="41"/>
  <c r="CK144" i="41"/>
  <c r="CJ144" i="41"/>
  <c r="CI144" i="41"/>
  <c r="CH144" i="41"/>
  <c r="CG144" i="41"/>
  <c r="CF144" i="41"/>
  <c r="CE144" i="41"/>
  <c r="CD144" i="41"/>
  <c r="CC144" i="41"/>
  <c r="CB144" i="41" a="1"/>
  <c r="CB144" i="41" s="1"/>
  <c r="CA144" i="41" a="1"/>
  <c r="CA144" i="41" s="1"/>
  <c r="BZ144" i="41"/>
  <c r="BY144" i="41"/>
  <c r="BX144" i="41"/>
  <c r="BW144" i="41"/>
  <c r="BV144" i="41"/>
  <c r="BU144" i="41"/>
  <c r="BT144" i="41"/>
  <c r="BS144" i="41"/>
  <c r="BR144" i="41"/>
  <c r="BQ144" i="41"/>
  <c r="BP144" i="41"/>
  <c r="BO144" i="41"/>
  <c r="BN144" i="41"/>
  <c r="BM144" i="41"/>
  <c r="BL144" i="41"/>
  <c r="BK144" i="41"/>
  <c r="BJ144" i="41"/>
  <c r="BI144" i="41"/>
  <c r="BH144" i="41"/>
  <c r="BG144" i="41"/>
  <c r="BF144" i="41"/>
  <c r="BE144" i="41"/>
  <c r="BD144" i="41"/>
  <c r="BC144" i="41"/>
  <c r="BB144" i="41"/>
  <c r="BA144" i="41"/>
  <c r="AZ144" i="41"/>
  <c r="AY144" i="41"/>
  <c r="AX144" i="41"/>
  <c r="AW144" i="41"/>
  <c r="AV144" i="41"/>
  <c r="AU144" i="41"/>
  <c r="AT144" i="41"/>
  <c r="AS144" i="41"/>
  <c r="AR144" i="41"/>
  <c r="AQ144" i="41"/>
  <c r="AP144" i="41"/>
  <c r="AO144" i="41"/>
  <c r="AN144" i="41"/>
  <c r="AM144" i="41"/>
  <c r="AL144" i="41"/>
  <c r="AK144" i="41"/>
  <c r="AJ144" i="41"/>
  <c r="AI144" i="41"/>
  <c r="AH144" i="41"/>
  <c r="AG144" i="41"/>
  <c r="AF144" i="41"/>
  <c r="AE144" i="41"/>
  <c r="AD144" i="41"/>
  <c r="AC144" i="41"/>
  <c r="AB144" i="41"/>
  <c r="AA144" i="41"/>
  <c r="Z144" i="41"/>
  <c r="Y144" i="41"/>
  <c r="X144" i="41"/>
  <c r="W144" i="41"/>
  <c r="V144" i="41"/>
  <c r="U144" i="41"/>
  <c r="T144" i="41"/>
  <c r="S144" i="41"/>
  <c r="R144" i="41"/>
  <c r="Q144" i="41"/>
  <c r="P144" i="41"/>
  <c r="O144" i="41"/>
  <c r="N144" i="41"/>
  <c r="M144" i="41"/>
  <c r="L144" i="41"/>
  <c r="K144" i="41"/>
  <c r="J144" i="41"/>
  <c r="I144" i="41"/>
  <c r="H144" i="41"/>
  <c r="G144" i="41"/>
  <c r="F144" i="41"/>
  <c r="DI143" i="41"/>
  <c r="DH143" i="41"/>
  <c r="DG143" i="41"/>
  <c r="DF143" i="41"/>
  <c r="DE143" i="41"/>
  <c r="DD143" i="41"/>
  <c r="DC143" i="41"/>
  <c r="DB143" i="41"/>
  <c r="DA143" i="41"/>
  <c r="CZ143" i="41"/>
  <c r="CY143" i="41"/>
  <c r="CX143" i="41"/>
  <c r="CW143" i="41"/>
  <c r="CV143" i="41"/>
  <c r="CU143" i="41"/>
  <c r="CT143" i="41"/>
  <c r="CS143" i="41"/>
  <c r="CR143" i="41"/>
  <c r="CQ143" i="41"/>
  <c r="CP143" i="41"/>
  <c r="CO143" i="41"/>
  <c r="CN143" i="41"/>
  <c r="CM143" i="41"/>
  <c r="CL143" i="41"/>
  <c r="CK143" i="41"/>
  <c r="CJ143" i="41"/>
  <c r="CI143" i="41"/>
  <c r="CH143" i="41"/>
  <c r="CG143" i="41"/>
  <c r="CF143" i="41"/>
  <c r="CE143" i="41"/>
  <c r="CD143" i="41"/>
  <c r="CC143" i="41"/>
  <c r="CB143" i="41" a="1"/>
  <c r="CB143" i="41" s="1"/>
  <c r="CA143" i="41" a="1"/>
  <c r="CA143" i="41" s="1"/>
  <c r="BZ143" i="41"/>
  <c r="BY143" i="41"/>
  <c r="BX143" i="41"/>
  <c r="BW143" i="41"/>
  <c r="BV143" i="41"/>
  <c r="BU143" i="41"/>
  <c r="BT143" i="41"/>
  <c r="BS143" i="41"/>
  <c r="BR143" i="41"/>
  <c r="BQ143" i="41"/>
  <c r="BP143" i="41"/>
  <c r="BO143" i="41"/>
  <c r="BN143" i="41"/>
  <c r="BM143" i="41"/>
  <c r="BL143" i="41"/>
  <c r="BK143" i="41"/>
  <c r="BJ143" i="41"/>
  <c r="BI143" i="41"/>
  <c r="BH143" i="41"/>
  <c r="BG143" i="41"/>
  <c r="BF143" i="41"/>
  <c r="BE143" i="41"/>
  <c r="BD143" i="41"/>
  <c r="BC143" i="41"/>
  <c r="BB143" i="41"/>
  <c r="BA143" i="41"/>
  <c r="AZ143" i="41"/>
  <c r="AY143" i="41"/>
  <c r="AX143" i="41"/>
  <c r="AW143" i="41"/>
  <c r="AV143" i="41"/>
  <c r="AU143" i="41"/>
  <c r="AT143" i="41"/>
  <c r="AS143" i="41"/>
  <c r="AR143" i="41"/>
  <c r="AQ143" i="41"/>
  <c r="AP143" i="41"/>
  <c r="AO143" i="41"/>
  <c r="AN143" i="41"/>
  <c r="AM143" i="41"/>
  <c r="AL143" i="41"/>
  <c r="AK143" i="41"/>
  <c r="AJ143" i="41"/>
  <c r="AI143" i="41"/>
  <c r="AH143" i="41"/>
  <c r="AG143" i="41"/>
  <c r="AF143" i="41"/>
  <c r="AE143" i="41"/>
  <c r="AD143" i="41"/>
  <c r="AC143" i="41"/>
  <c r="AB143" i="41"/>
  <c r="AA143" i="41"/>
  <c r="Z143" i="41"/>
  <c r="Y143" i="41"/>
  <c r="X143" i="41"/>
  <c r="W143" i="41"/>
  <c r="V143" i="41"/>
  <c r="U143" i="41"/>
  <c r="T143" i="41"/>
  <c r="S143" i="41"/>
  <c r="R143" i="41"/>
  <c r="Q143" i="41"/>
  <c r="P143" i="41"/>
  <c r="O143" i="41"/>
  <c r="N143" i="41"/>
  <c r="M143" i="41"/>
  <c r="L143" i="41"/>
  <c r="K143" i="41"/>
  <c r="J143" i="41"/>
  <c r="I143" i="41"/>
  <c r="H143" i="41"/>
  <c r="G143" i="41"/>
  <c r="F143" i="41"/>
  <c r="DI142" i="41"/>
  <c r="DH142" i="41"/>
  <c r="DG142" i="41"/>
  <c r="DF142" i="41"/>
  <c r="DE142" i="41"/>
  <c r="DD142" i="41"/>
  <c r="DC142" i="41"/>
  <c r="DB142" i="41"/>
  <c r="DA142" i="41"/>
  <c r="CZ142" i="41"/>
  <c r="CY142" i="41"/>
  <c r="CX142" i="41"/>
  <c r="CW142" i="41"/>
  <c r="CV142" i="41"/>
  <c r="CU142" i="41"/>
  <c r="CT142" i="41"/>
  <c r="CS142" i="41"/>
  <c r="CR142" i="41"/>
  <c r="CQ142" i="41"/>
  <c r="CP142" i="41"/>
  <c r="CO142" i="41"/>
  <c r="CN142" i="41"/>
  <c r="CM142" i="41"/>
  <c r="CL142" i="41"/>
  <c r="CK142" i="41"/>
  <c r="CJ142" i="41"/>
  <c r="CI142" i="41"/>
  <c r="CH142" i="41"/>
  <c r="CG142" i="41"/>
  <c r="CF142" i="41"/>
  <c r="CE142" i="41"/>
  <c r="CD142" i="41"/>
  <c r="CC142" i="41"/>
  <c r="CB142" i="41" a="1"/>
  <c r="CB142" i="41" s="1"/>
  <c r="CA142" i="41" a="1"/>
  <c r="CA142" i="41" s="1"/>
  <c r="BZ142" i="41"/>
  <c r="BY142" i="41"/>
  <c r="BX142" i="41"/>
  <c r="BW142" i="41"/>
  <c r="BV142" i="41"/>
  <c r="BU142" i="41"/>
  <c r="BT142" i="41"/>
  <c r="BS142" i="41"/>
  <c r="BR142" i="41"/>
  <c r="BQ142" i="41"/>
  <c r="BP142" i="41"/>
  <c r="BO142" i="41"/>
  <c r="BN142" i="41"/>
  <c r="BM142" i="41"/>
  <c r="BL142" i="41"/>
  <c r="BK142" i="41"/>
  <c r="BJ142" i="41"/>
  <c r="BI142" i="41"/>
  <c r="BH142" i="41"/>
  <c r="BG142" i="41"/>
  <c r="BF142" i="41"/>
  <c r="BE142" i="41"/>
  <c r="BD142" i="41"/>
  <c r="BC142" i="41"/>
  <c r="BB142" i="41"/>
  <c r="BA142" i="41"/>
  <c r="AZ142" i="41"/>
  <c r="AY142" i="41"/>
  <c r="AX142" i="41"/>
  <c r="AW142" i="41"/>
  <c r="AV142" i="41"/>
  <c r="AU142" i="41"/>
  <c r="AT142" i="41"/>
  <c r="AS142" i="41"/>
  <c r="AR142" i="41"/>
  <c r="AQ142" i="41"/>
  <c r="AP142" i="41"/>
  <c r="AO142" i="41"/>
  <c r="AN142" i="41"/>
  <c r="AM142" i="41"/>
  <c r="AL142" i="41"/>
  <c r="AK142" i="41"/>
  <c r="AJ142" i="41"/>
  <c r="AI142" i="41"/>
  <c r="AH142" i="41"/>
  <c r="AG142" i="41"/>
  <c r="AF142" i="41"/>
  <c r="AE142" i="41"/>
  <c r="AD142" i="41"/>
  <c r="AC142" i="41"/>
  <c r="AB142" i="41"/>
  <c r="AA142" i="41"/>
  <c r="Z142" i="41"/>
  <c r="Y142" i="41"/>
  <c r="X142" i="41"/>
  <c r="W142" i="41"/>
  <c r="V142" i="41"/>
  <c r="U142" i="41"/>
  <c r="T142" i="41"/>
  <c r="S142" i="41"/>
  <c r="R142" i="41"/>
  <c r="Q142" i="41"/>
  <c r="P142" i="41"/>
  <c r="O142" i="41"/>
  <c r="N142" i="41"/>
  <c r="M142" i="41"/>
  <c r="L142" i="41"/>
  <c r="K142" i="41"/>
  <c r="J142" i="41"/>
  <c r="I142" i="41"/>
  <c r="H142" i="41"/>
  <c r="G142" i="41"/>
  <c r="F142" i="41"/>
  <c r="DI141" i="41"/>
  <c r="DH141" i="41"/>
  <c r="DG141" i="41"/>
  <c r="DF141" i="41"/>
  <c r="DE141" i="41"/>
  <c r="DD141" i="41"/>
  <c r="DC141" i="41"/>
  <c r="DB141" i="41"/>
  <c r="DA141" i="41"/>
  <c r="CZ141" i="41"/>
  <c r="CY141" i="41"/>
  <c r="CX141" i="41"/>
  <c r="CW141" i="41"/>
  <c r="CV141" i="41"/>
  <c r="CU141" i="41"/>
  <c r="CT141" i="41"/>
  <c r="CS141" i="41"/>
  <c r="CR141" i="41"/>
  <c r="CQ141" i="41"/>
  <c r="CP141" i="41"/>
  <c r="CO141" i="41"/>
  <c r="CN141" i="41"/>
  <c r="CM141" i="41"/>
  <c r="CL141" i="41"/>
  <c r="CK141" i="41"/>
  <c r="CJ141" i="41"/>
  <c r="CI141" i="41"/>
  <c r="CH141" i="41"/>
  <c r="CG141" i="41"/>
  <c r="CF141" i="41"/>
  <c r="CE141" i="41"/>
  <c r="CD141" i="41"/>
  <c r="CC141" i="41"/>
  <c r="CB141" i="41" a="1"/>
  <c r="CB141" i="41" s="1"/>
  <c r="CA141" i="41" a="1"/>
  <c r="CA141" i="41" s="1"/>
  <c r="BZ141" i="41"/>
  <c r="BY141" i="41"/>
  <c r="BX141" i="41"/>
  <c r="BW141" i="41"/>
  <c r="BV141" i="41"/>
  <c r="BU141" i="41"/>
  <c r="BT141" i="41"/>
  <c r="BS141" i="41"/>
  <c r="BR141" i="41"/>
  <c r="BQ141" i="41"/>
  <c r="BP141" i="41"/>
  <c r="BO141" i="41"/>
  <c r="BN141" i="41"/>
  <c r="BM141" i="41"/>
  <c r="BL141" i="41"/>
  <c r="BK141" i="41"/>
  <c r="BJ141" i="41"/>
  <c r="BI141" i="41"/>
  <c r="BH141" i="41"/>
  <c r="BG141" i="41"/>
  <c r="BF141" i="41"/>
  <c r="BE141" i="41"/>
  <c r="BD141" i="41"/>
  <c r="BC141" i="41"/>
  <c r="BB141" i="41"/>
  <c r="BA141" i="41"/>
  <c r="AZ141" i="41"/>
  <c r="AY141" i="41"/>
  <c r="AX141" i="41"/>
  <c r="AW141" i="41"/>
  <c r="AV141" i="41"/>
  <c r="AU141" i="41"/>
  <c r="AT141" i="41"/>
  <c r="AS141" i="41"/>
  <c r="AR141" i="41"/>
  <c r="AQ141" i="41"/>
  <c r="AP141" i="41"/>
  <c r="AO141" i="41"/>
  <c r="AN141" i="41"/>
  <c r="AM141" i="41"/>
  <c r="AL141" i="41"/>
  <c r="AK141" i="41"/>
  <c r="AJ141" i="41"/>
  <c r="AI141" i="41"/>
  <c r="AH141" i="41"/>
  <c r="AG141" i="41"/>
  <c r="AF141" i="41"/>
  <c r="AE141" i="41"/>
  <c r="AD141" i="41"/>
  <c r="AC141" i="41"/>
  <c r="AB141" i="41"/>
  <c r="AA141" i="41"/>
  <c r="Z141" i="41"/>
  <c r="Y141" i="41"/>
  <c r="X141" i="41"/>
  <c r="W141" i="41"/>
  <c r="V141" i="41"/>
  <c r="U141" i="41"/>
  <c r="T141" i="41"/>
  <c r="S141" i="41"/>
  <c r="R141" i="41"/>
  <c r="Q141" i="41"/>
  <c r="P141" i="41"/>
  <c r="O141" i="41"/>
  <c r="N141" i="41"/>
  <c r="M141" i="41"/>
  <c r="L141" i="41"/>
  <c r="K141" i="41"/>
  <c r="J141" i="41"/>
  <c r="I141" i="41"/>
  <c r="H141" i="41"/>
  <c r="G141" i="41"/>
  <c r="F141" i="41"/>
  <c r="DI140" i="41"/>
  <c r="DH140" i="41"/>
  <c r="DG140" i="41"/>
  <c r="DF140" i="41"/>
  <c r="DE140" i="41"/>
  <c r="DD140" i="41"/>
  <c r="DC140" i="41"/>
  <c r="DB140" i="41"/>
  <c r="DA140" i="41"/>
  <c r="CZ140" i="41"/>
  <c r="CY140" i="41"/>
  <c r="CX140" i="41"/>
  <c r="CW140" i="41"/>
  <c r="CV140" i="41"/>
  <c r="CU140" i="41"/>
  <c r="CT140" i="41"/>
  <c r="CS140" i="41"/>
  <c r="CR140" i="41"/>
  <c r="CQ140" i="41"/>
  <c r="CP140" i="41"/>
  <c r="CO140" i="41"/>
  <c r="CN140" i="41"/>
  <c r="CM140" i="41"/>
  <c r="CL140" i="41"/>
  <c r="CK140" i="41"/>
  <c r="CJ140" i="41"/>
  <c r="CI140" i="41"/>
  <c r="CH140" i="41"/>
  <c r="CG140" i="41"/>
  <c r="CF140" i="41"/>
  <c r="CE140" i="41"/>
  <c r="CD140" i="41"/>
  <c r="CC140" i="41"/>
  <c r="CB140" i="41" a="1"/>
  <c r="CB140" i="41" s="1"/>
  <c r="CA140" i="41" a="1"/>
  <c r="CA140" i="41" s="1"/>
  <c r="BZ140" i="41"/>
  <c r="BY140" i="41"/>
  <c r="BX140" i="41"/>
  <c r="BW140" i="41"/>
  <c r="BV140" i="41"/>
  <c r="BU140" i="41"/>
  <c r="BT140" i="41"/>
  <c r="BS140" i="41"/>
  <c r="BR140" i="41"/>
  <c r="BQ140" i="41"/>
  <c r="BP140" i="41"/>
  <c r="BO140" i="41"/>
  <c r="BN140" i="41"/>
  <c r="BM140" i="41"/>
  <c r="BL140" i="41"/>
  <c r="BK140" i="41"/>
  <c r="BJ140" i="41"/>
  <c r="BI140" i="41"/>
  <c r="BH140" i="41"/>
  <c r="BG140" i="41"/>
  <c r="BF140" i="41"/>
  <c r="BE140" i="41"/>
  <c r="BD140" i="41"/>
  <c r="BC140" i="41"/>
  <c r="BB140" i="41"/>
  <c r="BA140" i="41"/>
  <c r="AZ140" i="41"/>
  <c r="AY140" i="41"/>
  <c r="AX140" i="41"/>
  <c r="AW140" i="41"/>
  <c r="AV140" i="41"/>
  <c r="AU140" i="41"/>
  <c r="AT140" i="41"/>
  <c r="AS140" i="41"/>
  <c r="AR140" i="41"/>
  <c r="AQ140" i="41"/>
  <c r="AP140" i="41"/>
  <c r="AO140" i="41"/>
  <c r="AN140" i="41"/>
  <c r="AM140" i="41"/>
  <c r="AL140" i="41"/>
  <c r="AK140" i="41"/>
  <c r="AJ140" i="41"/>
  <c r="AI140" i="41"/>
  <c r="AH140" i="41"/>
  <c r="AG140" i="41"/>
  <c r="AF140" i="41"/>
  <c r="AE140" i="41"/>
  <c r="AD140" i="41"/>
  <c r="AC140" i="41"/>
  <c r="AB140" i="41"/>
  <c r="AA140" i="41"/>
  <c r="Z140" i="41"/>
  <c r="Y140" i="41"/>
  <c r="X140" i="41"/>
  <c r="W140" i="41"/>
  <c r="V140" i="41"/>
  <c r="U140" i="41"/>
  <c r="T140" i="41"/>
  <c r="S140" i="41"/>
  <c r="R140" i="41"/>
  <c r="Q140" i="41"/>
  <c r="P140" i="41"/>
  <c r="O140" i="41"/>
  <c r="N140" i="41"/>
  <c r="M140" i="41"/>
  <c r="L140" i="41"/>
  <c r="K140" i="41"/>
  <c r="J140" i="41"/>
  <c r="I140" i="41"/>
  <c r="H140" i="41"/>
  <c r="G140" i="41"/>
  <c r="F140" i="41"/>
  <c r="DI139" i="41"/>
  <c r="DH139" i="41"/>
  <c r="DG139" i="41"/>
  <c r="DF139" i="41"/>
  <c r="DE139" i="41"/>
  <c r="DD139" i="41"/>
  <c r="DC139" i="41"/>
  <c r="DB139" i="41"/>
  <c r="DA139" i="41"/>
  <c r="CZ139" i="41"/>
  <c r="CY139" i="41"/>
  <c r="CX139" i="41"/>
  <c r="CW139" i="41"/>
  <c r="CV139" i="41"/>
  <c r="CU139" i="41"/>
  <c r="CT139" i="41"/>
  <c r="CS139" i="41"/>
  <c r="CR139" i="41"/>
  <c r="CQ139" i="41"/>
  <c r="CP139" i="41"/>
  <c r="CO139" i="41"/>
  <c r="CN139" i="41"/>
  <c r="CM139" i="41"/>
  <c r="CL139" i="41"/>
  <c r="CK139" i="41"/>
  <c r="CJ139" i="41"/>
  <c r="CI139" i="41"/>
  <c r="CH139" i="41"/>
  <c r="CG139" i="41"/>
  <c r="CF139" i="41"/>
  <c r="CE139" i="41"/>
  <c r="CD139" i="41"/>
  <c r="CC139" i="41"/>
  <c r="CB139" i="41" a="1"/>
  <c r="CB139" i="41" s="1"/>
  <c r="CA139" i="41" a="1"/>
  <c r="CA139" i="41" s="1"/>
  <c r="BZ139" i="41"/>
  <c r="BY139" i="41"/>
  <c r="BX139" i="41"/>
  <c r="BW139" i="41"/>
  <c r="BV139" i="41"/>
  <c r="BU139" i="41"/>
  <c r="BT139" i="41"/>
  <c r="BS139" i="41"/>
  <c r="BR139" i="41"/>
  <c r="BQ139" i="41"/>
  <c r="BP139" i="41"/>
  <c r="BO139" i="41"/>
  <c r="BN139" i="41"/>
  <c r="BM139" i="41"/>
  <c r="BL139" i="41"/>
  <c r="BK139" i="41"/>
  <c r="BJ139" i="41"/>
  <c r="BI139" i="41"/>
  <c r="BH139" i="41"/>
  <c r="BG139" i="41"/>
  <c r="BF139" i="41"/>
  <c r="BE139" i="41"/>
  <c r="BD139" i="41"/>
  <c r="BC139" i="41"/>
  <c r="BB139" i="41"/>
  <c r="BA139" i="41"/>
  <c r="AZ139" i="41"/>
  <c r="AY139" i="41"/>
  <c r="AX139" i="41"/>
  <c r="AW139" i="41"/>
  <c r="AV139" i="41"/>
  <c r="AU139" i="41"/>
  <c r="AT139" i="41"/>
  <c r="AS139" i="41"/>
  <c r="AR139" i="41"/>
  <c r="AQ139" i="41"/>
  <c r="AP139" i="41"/>
  <c r="AO139" i="41"/>
  <c r="AN139" i="41"/>
  <c r="AM139" i="41"/>
  <c r="AL139" i="41"/>
  <c r="AK139" i="41"/>
  <c r="AJ139" i="41"/>
  <c r="AI139" i="41"/>
  <c r="AH139" i="41"/>
  <c r="AG139" i="41"/>
  <c r="AF139" i="41"/>
  <c r="AE139" i="41"/>
  <c r="AD139" i="41"/>
  <c r="AC139" i="41"/>
  <c r="AB139" i="41"/>
  <c r="AA139" i="41"/>
  <c r="Z139" i="41"/>
  <c r="Y139" i="41"/>
  <c r="X139" i="41"/>
  <c r="W139" i="41"/>
  <c r="V139" i="41"/>
  <c r="U139" i="41"/>
  <c r="T139" i="41"/>
  <c r="S139" i="41"/>
  <c r="R139" i="41"/>
  <c r="Q139" i="41"/>
  <c r="P139" i="41"/>
  <c r="O139" i="41"/>
  <c r="N139" i="41"/>
  <c r="M139" i="41"/>
  <c r="L139" i="41"/>
  <c r="K139" i="41"/>
  <c r="J139" i="41"/>
  <c r="I139" i="41"/>
  <c r="H139" i="41"/>
  <c r="G139" i="41"/>
  <c r="F139" i="41"/>
  <c r="DI138" i="41"/>
  <c r="DH138" i="41"/>
  <c r="DG138" i="41"/>
  <c r="DF138" i="41"/>
  <c r="DE138" i="41"/>
  <c r="DD138" i="41"/>
  <c r="DC138" i="41"/>
  <c r="DB138" i="41"/>
  <c r="DA138" i="41"/>
  <c r="CZ138" i="41"/>
  <c r="CY138" i="41"/>
  <c r="CX138" i="41"/>
  <c r="CW138" i="41"/>
  <c r="CV138" i="41"/>
  <c r="CU138" i="41"/>
  <c r="CT138" i="41"/>
  <c r="CS138" i="41"/>
  <c r="CR138" i="41"/>
  <c r="CQ138" i="41"/>
  <c r="CP138" i="41"/>
  <c r="CO138" i="41"/>
  <c r="CN138" i="41"/>
  <c r="CM138" i="41"/>
  <c r="CL138" i="41"/>
  <c r="CK138" i="41"/>
  <c r="CJ138" i="41"/>
  <c r="CI138" i="41"/>
  <c r="CH138" i="41"/>
  <c r="CG138" i="41"/>
  <c r="CF138" i="41"/>
  <c r="CE138" i="41"/>
  <c r="CD138" i="41"/>
  <c r="CC138" i="41"/>
  <c r="CB138" i="41" a="1"/>
  <c r="CB138" i="41" s="1"/>
  <c r="CA138" i="41" a="1"/>
  <c r="CA138" i="41" s="1"/>
  <c r="BZ138" i="41"/>
  <c r="BY138" i="41"/>
  <c r="BX138" i="41"/>
  <c r="BW138" i="41"/>
  <c r="BV138" i="41"/>
  <c r="BU138" i="41"/>
  <c r="BT138" i="41"/>
  <c r="BS138" i="41"/>
  <c r="BR138" i="41"/>
  <c r="BQ138" i="41"/>
  <c r="BP138" i="41"/>
  <c r="BO138" i="41"/>
  <c r="BN138" i="41"/>
  <c r="BM138" i="41"/>
  <c r="BL138" i="41"/>
  <c r="BK138" i="41"/>
  <c r="BJ138" i="41"/>
  <c r="BI138" i="41"/>
  <c r="BH138" i="41"/>
  <c r="BG138" i="41"/>
  <c r="BF138" i="41"/>
  <c r="BE138" i="41"/>
  <c r="BD138" i="41"/>
  <c r="BC138" i="41"/>
  <c r="BB138" i="41"/>
  <c r="BA138" i="41"/>
  <c r="AZ138" i="41"/>
  <c r="AY138" i="41"/>
  <c r="AX138" i="41"/>
  <c r="AW138" i="41"/>
  <c r="AV138" i="41"/>
  <c r="AU138" i="41"/>
  <c r="AT138" i="41"/>
  <c r="AS138" i="41"/>
  <c r="AR138" i="41"/>
  <c r="AQ138" i="41"/>
  <c r="AP138" i="41"/>
  <c r="AO138" i="41"/>
  <c r="AN138" i="41"/>
  <c r="AM138" i="41"/>
  <c r="AL138" i="41"/>
  <c r="AK138" i="41"/>
  <c r="AJ138" i="41"/>
  <c r="AI138" i="41"/>
  <c r="AH138" i="41"/>
  <c r="AG138" i="41"/>
  <c r="AF138" i="41"/>
  <c r="AE138" i="41"/>
  <c r="AD138" i="41"/>
  <c r="AC138" i="41"/>
  <c r="AB138" i="41"/>
  <c r="AA138" i="41"/>
  <c r="Z138" i="41"/>
  <c r="Y138" i="41"/>
  <c r="X138" i="41"/>
  <c r="W138" i="41"/>
  <c r="V138" i="41"/>
  <c r="U138" i="41"/>
  <c r="T138" i="41"/>
  <c r="S138" i="41"/>
  <c r="R138" i="41"/>
  <c r="Q138" i="41"/>
  <c r="P138" i="41"/>
  <c r="O138" i="41"/>
  <c r="N138" i="41"/>
  <c r="M138" i="41"/>
  <c r="L138" i="41"/>
  <c r="K138" i="41"/>
  <c r="J138" i="41"/>
  <c r="I138" i="41"/>
  <c r="H138" i="41"/>
  <c r="G138" i="41"/>
  <c r="F138" i="41"/>
  <c r="DI137" i="41"/>
  <c r="DH137" i="41"/>
  <c r="DG137" i="41"/>
  <c r="DF137" i="41"/>
  <c r="DE137" i="41"/>
  <c r="DD137" i="41"/>
  <c r="DC137" i="41"/>
  <c r="DB137" i="41"/>
  <c r="DA137" i="41"/>
  <c r="CZ137" i="41"/>
  <c r="CY137" i="41"/>
  <c r="CX137" i="41"/>
  <c r="CW137" i="41"/>
  <c r="CV137" i="41"/>
  <c r="CU137" i="41"/>
  <c r="CT137" i="41"/>
  <c r="CS137" i="41"/>
  <c r="CR137" i="41"/>
  <c r="CQ137" i="41"/>
  <c r="CP137" i="41"/>
  <c r="CO137" i="41"/>
  <c r="CN137" i="41"/>
  <c r="CM137" i="41"/>
  <c r="CL137" i="41"/>
  <c r="CK137" i="41"/>
  <c r="CJ137" i="41"/>
  <c r="CI137" i="41"/>
  <c r="CH137" i="41"/>
  <c r="CG137" i="41"/>
  <c r="CF137" i="41"/>
  <c r="CE137" i="41"/>
  <c r="CD137" i="41"/>
  <c r="CC137" i="41"/>
  <c r="CB137" i="41" a="1"/>
  <c r="CB137" i="41" s="1"/>
  <c r="CA137" i="41" a="1"/>
  <c r="CA137" i="41" s="1"/>
  <c r="BZ137" i="41"/>
  <c r="BY137" i="41"/>
  <c r="BX137" i="41"/>
  <c r="BW137" i="41"/>
  <c r="BV137" i="41"/>
  <c r="BU137" i="41"/>
  <c r="BT137" i="41"/>
  <c r="BS137" i="41"/>
  <c r="BR137" i="41"/>
  <c r="BQ137" i="41"/>
  <c r="BP137" i="41"/>
  <c r="BO137" i="41"/>
  <c r="BN137" i="41"/>
  <c r="BM137" i="41"/>
  <c r="BL137" i="41"/>
  <c r="BK137" i="41"/>
  <c r="BJ137" i="41"/>
  <c r="BI137" i="41"/>
  <c r="BH137" i="41"/>
  <c r="BG137" i="41"/>
  <c r="BF137" i="41"/>
  <c r="BE137" i="41"/>
  <c r="BD137" i="41"/>
  <c r="BC137" i="41"/>
  <c r="BB137" i="41"/>
  <c r="BA137" i="41"/>
  <c r="AZ137" i="41"/>
  <c r="AY137" i="41"/>
  <c r="AX137" i="41"/>
  <c r="AW137" i="41"/>
  <c r="AV137" i="41"/>
  <c r="AU137" i="41"/>
  <c r="AT137" i="41"/>
  <c r="AS137" i="41"/>
  <c r="AR137" i="41"/>
  <c r="AQ137" i="41"/>
  <c r="AP137" i="41"/>
  <c r="AO137" i="41"/>
  <c r="AN137" i="41"/>
  <c r="AM137" i="41"/>
  <c r="AL137" i="41"/>
  <c r="AK137" i="41"/>
  <c r="AJ137" i="41"/>
  <c r="AI137" i="41"/>
  <c r="AH137" i="41"/>
  <c r="AG137" i="41"/>
  <c r="AF137" i="41"/>
  <c r="AE137" i="41"/>
  <c r="AD137" i="41"/>
  <c r="AC137" i="41"/>
  <c r="AB137" i="41"/>
  <c r="AA137" i="41"/>
  <c r="Z137" i="41"/>
  <c r="Y137" i="41"/>
  <c r="X137" i="41"/>
  <c r="W137" i="41"/>
  <c r="V137" i="41"/>
  <c r="U137" i="41"/>
  <c r="T137" i="41"/>
  <c r="S137" i="41"/>
  <c r="R137" i="41"/>
  <c r="Q137" i="41"/>
  <c r="P137" i="41"/>
  <c r="O137" i="41"/>
  <c r="N137" i="41"/>
  <c r="M137" i="41"/>
  <c r="L137" i="41"/>
  <c r="K137" i="41"/>
  <c r="J137" i="41"/>
  <c r="I137" i="41"/>
  <c r="H137" i="41"/>
  <c r="G137" i="41"/>
  <c r="F137" i="41"/>
  <c r="DI136" i="41"/>
  <c r="DH136" i="41"/>
  <c r="DG136" i="41"/>
  <c r="DF136" i="41"/>
  <c r="DE136" i="41"/>
  <c r="DD136" i="41"/>
  <c r="DC136" i="41"/>
  <c r="DB136" i="41"/>
  <c r="DA136" i="41"/>
  <c r="CZ136" i="41"/>
  <c r="CY136" i="41"/>
  <c r="CX136" i="41"/>
  <c r="CW136" i="41"/>
  <c r="CV136" i="41"/>
  <c r="CU136" i="41"/>
  <c r="CT136" i="41"/>
  <c r="CS136" i="41"/>
  <c r="CR136" i="41"/>
  <c r="CQ136" i="41"/>
  <c r="CP136" i="41"/>
  <c r="CO136" i="41"/>
  <c r="CN136" i="41"/>
  <c r="CM136" i="41"/>
  <c r="CL136" i="41"/>
  <c r="CK136" i="41"/>
  <c r="CJ136" i="41"/>
  <c r="CI136" i="41"/>
  <c r="CH136" i="41"/>
  <c r="CG136" i="41"/>
  <c r="CF136" i="41"/>
  <c r="CE136" i="41"/>
  <c r="CD136" i="41"/>
  <c r="CC136" i="41"/>
  <c r="CB136" i="41" a="1"/>
  <c r="CB136" i="41" s="1"/>
  <c r="CA136" i="41" a="1"/>
  <c r="CA136" i="41" s="1"/>
  <c r="BZ136" i="41"/>
  <c r="BY136" i="41"/>
  <c r="BX136" i="41"/>
  <c r="BW136" i="41"/>
  <c r="BV136" i="41"/>
  <c r="BU136" i="41"/>
  <c r="BT136" i="41"/>
  <c r="BS136" i="41"/>
  <c r="BR136" i="41"/>
  <c r="BQ136" i="41"/>
  <c r="BP136" i="41"/>
  <c r="BO136" i="41"/>
  <c r="BN136" i="41"/>
  <c r="BM136" i="41"/>
  <c r="BL136" i="41"/>
  <c r="BK136" i="41"/>
  <c r="BJ136" i="41"/>
  <c r="BI136" i="41"/>
  <c r="BH136" i="41"/>
  <c r="BG136" i="41"/>
  <c r="BF136" i="41"/>
  <c r="BE136" i="41"/>
  <c r="BD136" i="41"/>
  <c r="BC136" i="41"/>
  <c r="BB136" i="41"/>
  <c r="BA136" i="41"/>
  <c r="AZ136" i="41"/>
  <c r="AY136" i="41"/>
  <c r="AX136" i="41"/>
  <c r="AW136" i="41"/>
  <c r="AV136" i="41"/>
  <c r="AU136" i="41"/>
  <c r="AT136" i="41"/>
  <c r="AS136" i="41"/>
  <c r="AR136" i="41"/>
  <c r="AQ136" i="41"/>
  <c r="AP136" i="41"/>
  <c r="AO136" i="41"/>
  <c r="AN136" i="41"/>
  <c r="AM136" i="41"/>
  <c r="AL136" i="41"/>
  <c r="AK136" i="41"/>
  <c r="AJ136" i="41"/>
  <c r="AI136" i="41"/>
  <c r="AH136" i="41"/>
  <c r="AG136" i="41"/>
  <c r="AF136" i="41"/>
  <c r="AE136" i="41"/>
  <c r="AD136" i="41"/>
  <c r="AC136" i="41"/>
  <c r="AB136" i="41"/>
  <c r="AA136" i="41"/>
  <c r="Z136" i="41"/>
  <c r="Y136" i="41"/>
  <c r="X136" i="41"/>
  <c r="W136" i="41"/>
  <c r="V136" i="41"/>
  <c r="U136" i="41"/>
  <c r="T136" i="41"/>
  <c r="S136" i="41"/>
  <c r="R136" i="41"/>
  <c r="Q136" i="41"/>
  <c r="P136" i="41"/>
  <c r="O136" i="41"/>
  <c r="N136" i="41"/>
  <c r="M136" i="41"/>
  <c r="L136" i="41"/>
  <c r="K136" i="41"/>
  <c r="J136" i="41"/>
  <c r="I136" i="41"/>
  <c r="H136" i="41"/>
  <c r="G136" i="41"/>
  <c r="F136" i="41"/>
  <c r="DI135" i="41"/>
  <c r="DH135" i="41"/>
  <c r="DG135" i="41"/>
  <c r="DF135" i="41"/>
  <c r="DE135" i="41"/>
  <c r="DD135" i="41"/>
  <c r="DC135" i="41"/>
  <c r="DB135" i="41"/>
  <c r="DA135" i="41"/>
  <c r="CZ135" i="41"/>
  <c r="CY135" i="41"/>
  <c r="CX135" i="41"/>
  <c r="CW135" i="41"/>
  <c r="CV135" i="41"/>
  <c r="CU135" i="41"/>
  <c r="CT135" i="41"/>
  <c r="CS135" i="41"/>
  <c r="CR135" i="41"/>
  <c r="CQ135" i="41"/>
  <c r="CP135" i="41"/>
  <c r="CO135" i="41"/>
  <c r="CN135" i="41"/>
  <c r="CM135" i="41"/>
  <c r="CL135" i="41"/>
  <c r="CK135" i="41"/>
  <c r="CJ135" i="41"/>
  <c r="CI135" i="41"/>
  <c r="CH135" i="41"/>
  <c r="CG135" i="41"/>
  <c r="CF135" i="41"/>
  <c r="CE135" i="41"/>
  <c r="CD135" i="41"/>
  <c r="CC135" i="41"/>
  <c r="CB135" i="41" a="1"/>
  <c r="CB135" i="41" s="1"/>
  <c r="CA135" i="41" a="1"/>
  <c r="CA135" i="41" s="1"/>
  <c r="BZ135" i="41"/>
  <c r="BY135" i="41"/>
  <c r="BX135" i="41"/>
  <c r="BW135" i="41"/>
  <c r="BV135" i="41"/>
  <c r="BU135" i="41"/>
  <c r="BT135" i="41"/>
  <c r="BS135" i="41"/>
  <c r="BR135" i="41"/>
  <c r="BQ135" i="41"/>
  <c r="BP135" i="41"/>
  <c r="BO135" i="41"/>
  <c r="BN135" i="41"/>
  <c r="BM135" i="41"/>
  <c r="BL135" i="41"/>
  <c r="BK135" i="41"/>
  <c r="BJ135" i="41"/>
  <c r="BI135" i="41"/>
  <c r="BH135" i="41"/>
  <c r="BG135" i="41"/>
  <c r="BF135" i="41"/>
  <c r="BE135" i="41"/>
  <c r="BD135" i="41"/>
  <c r="BC135" i="41"/>
  <c r="BB135" i="41"/>
  <c r="BA135" i="41"/>
  <c r="AZ135" i="41"/>
  <c r="AY135" i="41"/>
  <c r="AX135" i="41"/>
  <c r="AW135" i="41"/>
  <c r="AV135" i="41"/>
  <c r="AU135" i="41"/>
  <c r="AT135" i="41"/>
  <c r="AS135" i="41"/>
  <c r="AR135" i="41"/>
  <c r="AQ135" i="41"/>
  <c r="AP135" i="41"/>
  <c r="AO135" i="41"/>
  <c r="AN135" i="41"/>
  <c r="AM135" i="41"/>
  <c r="AL135" i="41"/>
  <c r="AK135" i="41"/>
  <c r="AJ135" i="41"/>
  <c r="AI135" i="41"/>
  <c r="AH135" i="41"/>
  <c r="AG135" i="41"/>
  <c r="AF135" i="41"/>
  <c r="AE135" i="41"/>
  <c r="AD135" i="41"/>
  <c r="AC135" i="41"/>
  <c r="AB135" i="41"/>
  <c r="AA135" i="41"/>
  <c r="Z135" i="41"/>
  <c r="Y135" i="41"/>
  <c r="X135" i="41"/>
  <c r="W135" i="41"/>
  <c r="V135" i="41"/>
  <c r="U135" i="41"/>
  <c r="T135" i="41"/>
  <c r="S135" i="41"/>
  <c r="R135" i="41"/>
  <c r="Q135" i="41"/>
  <c r="P135" i="41"/>
  <c r="O135" i="41"/>
  <c r="N135" i="41"/>
  <c r="M135" i="41"/>
  <c r="L135" i="41"/>
  <c r="K135" i="41"/>
  <c r="J135" i="41"/>
  <c r="I135" i="41"/>
  <c r="H135" i="41"/>
  <c r="G135" i="41"/>
  <c r="F135" i="41"/>
  <c r="DI134" i="41"/>
  <c r="DH134" i="41"/>
  <c r="DG134" i="41"/>
  <c r="DF134" i="41"/>
  <c r="DE134" i="41"/>
  <c r="DD134" i="41"/>
  <c r="DC134" i="41"/>
  <c r="DB134" i="41"/>
  <c r="DA134" i="41"/>
  <c r="CZ134" i="41"/>
  <c r="CY134" i="41"/>
  <c r="CX134" i="41"/>
  <c r="CW134" i="41"/>
  <c r="CV134" i="41"/>
  <c r="CU134" i="41"/>
  <c r="CT134" i="41"/>
  <c r="CS134" i="41"/>
  <c r="CR134" i="41"/>
  <c r="CQ134" i="41"/>
  <c r="CP134" i="41"/>
  <c r="CO134" i="41"/>
  <c r="CN134" i="41"/>
  <c r="CM134" i="41"/>
  <c r="CL134" i="41"/>
  <c r="CK134" i="41"/>
  <c r="CJ134" i="41"/>
  <c r="CI134" i="41"/>
  <c r="CH134" i="41"/>
  <c r="CG134" i="41"/>
  <c r="CF134" i="41"/>
  <c r="CE134" i="41"/>
  <c r="CD134" i="41"/>
  <c r="CC134" i="41"/>
  <c r="CB134" i="41" a="1"/>
  <c r="CB134" i="41" s="1"/>
  <c r="CA134" i="41" a="1"/>
  <c r="CA134" i="41" s="1"/>
  <c r="BZ134" i="41"/>
  <c r="BY134" i="41"/>
  <c r="BX134" i="41"/>
  <c r="BW134" i="41"/>
  <c r="BV134" i="41"/>
  <c r="BU134" i="41"/>
  <c r="BT134" i="41"/>
  <c r="BS134" i="41"/>
  <c r="BR134" i="41"/>
  <c r="BQ134" i="41"/>
  <c r="BP134" i="41"/>
  <c r="BO134" i="41"/>
  <c r="BN134" i="41"/>
  <c r="BM134" i="41"/>
  <c r="BL134" i="41"/>
  <c r="BK134" i="41"/>
  <c r="BJ134" i="41"/>
  <c r="BI134" i="41"/>
  <c r="BH134" i="41"/>
  <c r="BG134" i="41"/>
  <c r="BF134" i="41"/>
  <c r="BE134" i="41"/>
  <c r="BD134" i="41"/>
  <c r="BC134" i="41"/>
  <c r="BB134" i="41"/>
  <c r="BA134" i="41"/>
  <c r="AZ134" i="41"/>
  <c r="AY134" i="41"/>
  <c r="AX134" i="41"/>
  <c r="AW134" i="41"/>
  <c r="AV134" i="41"/>
  <c r="AU134" i="41"/>
  <c r="AT134" i="41"/>
  <c r="AS134" i="41"/>
  <c r="AR134" i="41"/>
  <c r="AQ134" i="41"/>
  <c r="AP134" i="41"/>
  <c r="AO134" i="41"/>
  <c r="AN134" i="41"/>
  <c r="AM134" i="41"/>
  <c r="AL134" i="41"/>
  <c r="AK134" i="41"/>
  <c r="AJ134" i="41"/>
  <c r="AI134" i="41"/>
  <c r="AH134" i="41"/>
  <c r="AG134" i="41"/>
  <c r="AF134" i="41"/>
  <c r="AE134" i="41"/>
  <c r="AD134" i="41"/>
  <c r="AC134" i="41"/>
  <c r="AB134" i="41"/>
  <c r="AA134" i="41"/>
  <c r="Z134" i="41"/>
  <c r="Y134" i="41"/>
  <c r="X134" i="41"/>
  <c r="W134" i="41"/>
  <c r="V134" i="41"/>
  <c r="U134" i="41"/>
  <c r="T134" i="41"/>
  <c r="S134" i="41"/>
  <c r="R134" i="41"/>
  <c r="Q134" i="41"/>
  <c r="P134" i="41"/>
  <c r="O134" i="41"/>
  <c r="N134" i="41"/>
  <c r="M134" i="41"/>
  <c r="L134" i="41"/>
  <c r="K134" i="41"/>
  <c r="J134" i="41"/>
  <c r="I134" i="41"/>
  <c r="H134" i="41"/>
  <c r="G134" i="41"/>
  <c r="F134" i="41"/>
  <c r="DI133" i="41"/>
  <c r="DH133" i="41"/>
  <c r="DG133" i="41"/>
  <c r="DF133" i="41"/>
  <c r="DE133" i="41"/>
  <c r="DD133" i="41"/>
  <c r="DC133" i="41"/>
  <c r="DB133" i="41"/>
  <c r="DA133" i="41"/>
  <c r="CZ133" i="41"/>
  <c r="CY133" i="41"/>
  <c r="CX133" i="41"/>
  <c r="CW133" i="41"/>
  <c r="CV133" i="41"/>
  <c r="CU133" i="41"/>
  <c r="CT133" i="41"/>
  <c r="CS133" i="41"/>
  <c r="CR133" i="41"/>
  <c r="CQ133" i="41"/>
  <c r="CP133" i="41"/>
  <c r="CO133" i="41"/>
  <c r="CN133" i="41"/>
  <c r="CM133" i="41"/>
  <c r="CL133" i="41"/>
  <c r="CK133" i="41"/>
  <c r="CJ133" i="41"/>
  <c r="CI133" i="41"/>
  <c r="CH133" i="41"/>
  <c r="CG133" i="41"/>
  <c r="CF133" i="41"/>
  <c r="CE133" i="41"/>
  <c r="CD133" i="41"/>
  <c r="CC133" i="41"/>
  <c r="CB133" i="41" a="1"/>
  <c r="CB133" i="41" s="1"/>
  <c r="CA133" i="41" a="1"/>
  <c r="CA133" i="41" s="1"/>
  <c r="BZ133" i="41"/>
  <c r="BY133" i="41"/>
  <c r="BX133" i="41"/>
  <c r="BW133" i="41"/>
  <c r="BV133" i="41"/>
  <c r="BU133" i="41"/>
  <c r="BT133" i="41"/>
  <c r="BS133" i="41"/>
  <c r="BR133" i="41"/>
  <c r="BQ133" i="41"/>
  <c r="BP133" i="41"/>
  <c r="BO133" i="41"/>
  <c r="BN133" i="41"/>
  <c r="BM133" i="41"/>
  <c r="BL133" i="41"/>
  <c r="BK133" i="41"/>
  <c r="BJ133" i="41"/>
  <c r="BI133" i="41"/>
  <c r="BH133" i="41"/>
  <c r="BG133" i="41"/>
  <c r="BF133" i="41"/>
  <c r="BE133" i="41"/>
  <c r="BD133" i="41"/>
  <c r="BC133" i="41"/>
  <c r="BB133" i="41"/>
  <c r="BA133" i="41"/>
  <c r="AZ133" i="41"/>
  <c r="AY133" i="41"/>
  <c r="AX133" i="41"/>
  <c r="AW133" i="41"/>
  <c r="AV133" i="41"/>
  <c r="AU133" i="41"/>
  <c r="AT133" i="41"/>
  <c r="AS133" i="41"/>
  <c r="AR133" i="41"/>
  <c r="AQ133" i="41"/>
  <c r="AP133" i="41"/>
  <c r="AO133" i="41"/>
  <c r="AN133" i="41"/>
  <c r="AM133" i="41"/>
  <c r="AL133" i="41"/>
  <c r="AK133" i="41"/>
  <c r="AJ133" i="41"/>
  <c r="AI133" i="41"/>
  <c r="AH133" i="41"/>
  <c r="AG133" i="41"/>
  <c r="AF133" i="41"/>
  <c r="AE133" i="41"/>
  <c r="AD133" i="41"/>
  <c r="AC133" i="41"/>
  <c r="AB133" i="41"/>
  <c r="AA133" i="41"/>
  <c r="Z133" i="41"/>
  <c r="Y133" i="41"/>
  <c r="X133" i="41"/>
  <c r="W133" i="41"/>
  <c r="V133" i="41"/>
  <c r="U133" i="41"/>
  <c r="T133" i="41"/>
  <c r="S133" i="41"/>
  <c r="R133" i="41"/>
  <c r="Q133" i="41"/>
  <c r="P133" i="41"/>
  <c r="O133" i="41"/>
  <c r="N133" i="41"/>
  <c r="M133" i="41"/>
  <c r="L133" i="41"/>
  <c r="K133" i="41"/>
  <c r="J133" i="41"/>
  <c r="I133" i="41"/>
  <c r="H133" i="41"/>
  <c r="G133" i="41"/>
  <c r="F133" i="41"/>
  <c r="DI132" i="41"/>
  <c r="DH132" i="41"/>
  <c r="DG132" i="41"/>
  <c r="DF132" i="41"/>
  <c r="DE132" i="41"/>
  <c r="DD132" i="41"/>
  <c r="DC132" i="41"/>
  <c r="DB132" i="41"/>
  <c r="DA132" i="41"/>
  <c r="CZ132" i="41"/>
  <c r="CY132" i="41"/>
  <c r="CX132" i="41"/>
  <c r="CW132" i="41"/>
  <c r="CV132" i="41"/>
  <c r="CU132" i="41"/>
  <c r="CT132" i="41"/>
  <c r="CS132" i="41"/>
  <c r="CR132" i="41"/>
  <c r="CQ132" i="41"/>
  <c r="CP132" i="41"/>
  <c r="CO132" i="41"/>
  <c r="CN132" i="41"/>
  <c r="CM132" i="41"/>
  <c r="CL132" i="41"/>
  <c r="CK132" i="41"/>
  <c r="CJ132" i="41"/>
  <c r="CI132" i="41"/>
  <c r="CH132" i="41"/>
  <c r="CG132" i="41"/>
  <c r="CF132" i="41"/>
  <c r="CE132" i="41"/>
  <c r="CD132" i="41"/>
  <c r="CC132" i="41"/>
  <c r="CB132" i="41" a="1"/>
  <c r="CB132" i="41" s="1"/>
  <c r="CA132" i="41" a="1"/>
  <c r="CA132" i="41" s="1"/>
  <c r="BZ132" i="41"/>
  <c r="BY132" i="41"/>
  <c r="BX132" i="41"/>
  <c r="BW132" i="41"/>
  <c r="BV132" i="41"/>
  <c r="BU132" i="41"/>
  <c r="BT132" i="41"/>
  <c r="BS132" i="41"/>
  <c r="BR132" i="41"/>
  <c r="BQ132" i="41"/>
  <c r="BP132" i="41"/>
  <c r="BO132" i="41"/>
  <c r="BN132" i="41"/>
  <c r="BM132" i="41"/>
  <c r="BL132" i="41"/>
  <c r="BK132" i="41"/>
  <c r="BJ132" i="41"/>
  <c r="BI132" i="41"/>
  <c r="BH132" i="41"/>
  <c r="BG132" i="41"/>
  <c r="BF132" i="41"/>
  <c r="BE132" i="41"/>
  <c r="BD132" i="41"/>
  <c r="BC132" i="41"/>
  <c r="BB132" i="41"/>
  <c r="BA132" i="41"/>
  <c r="AZ132" i="41"/>
  <c r="AY132" i="41"/>
  <c r="AX132" i="41"/>
  <c r="AW132" i="41"/>
  <c r="AV132" i="41"/>
  <c r="AU132" i="41"/>
  <c r="AT132" i="41"/>
  <c r="AS132" i="41"/>
  <c r="AR132" i="41"/>
  <c r="AQ132" i="41"/>
  <c r="AP132" i="41"/>
  <c r="AO132" i="41"/>
  <c r="AN132" i="41"/>
  <c r="AM132" i="41"/>
  <c r="AL132" i="41"/>
  <c r="AK132" i="41"/>
  <c r="AJ132" i="41"/>
  <c r="AI132" i="41"/>
  <c r="AH132" i="41"/>
  <c r="AG132" i="41"/>
  <c r="AF132" i="41"/>
  <c r="AE132" i="41"/>
  <c r="AD132" i="41"/>
  <c r="AC132" i="41"/>
  <c r="AB132" i="41"/>
  <c r="AA132" i="41"/>
  <c r="Z132" i="41"/>
  <c r="Y132" i="41"/>
  <c r="X132" i="41"/>
  <c r="W132" i="41"/>
  <c r="V132" i="41"/>
  <c r="U132" i="41"/>
  <c r="T132" i="41"/>
  <c r="S132" i="41"/>
  <c r="R132" i="41"/>
  <c r="Q132" i="41"/>
  <c r="P132" i="41"/>
  <c r="O132" i="41"/>
  <c r="N132" i="41"/>
  <c r="M132" i="41"/>
  <c r="L132" i="41"/>
  <c r="K132" i="41"/>
  <c r="J132" i="41"/>
  <c r="I132" i="41"/>
  <c r="H132" i="41"/>
  <c r="G132" i="41"/>
  <c r="F132" i="41"/>
  <c r="DI131" i="41"/>
  <c r="DH131" i="41"/>
  <c r="DG131" i="41"/>
  <c r="DF131" i="41"/>
  <c r="DE131" i="41"/>
  <c r="DD131" i="41"/>
  <c r="DC131" i="41"/>
  <c r="DB131" i="41"/>
  <c r="DA131" i="41"/>
  <c r="CZ131" i="41"/>
  <c r="CY131" i="41"/>
  <c r="CX131" i="41"/>
  <c r="CW131" i="41"/>
  <c r="CV131" i="41"/>
  <c r="CU131" i="41"/>
  <c r="CT131" i="41"/>
  <c r="CS131" i="41"/>
  <c r="CR131" i="41"/>
  <c r="CQ131" i="41"/>
  <c r="CP131" i="41"/>
  <c r="CO131" i="41"/>
  <c r="CN131" i="41"/>
  <c r="CM131" i="41"/>
  <c r="CL131" i="41"/>
  <c r="CK131" i="41"/>
  <c r="CJ131" i="41"/>
  <c r="CI131" i="41"/>
  <c r="CH131" i="41"/>
  <c r="CG131" i="41"/>
  <c r="CF131" i="41"/>
  <c r="CE131" i="41"/>
  <c r="CD131" i="41"/>
  <c r="CC131" i="41"/>
  <c r="CB131" i="41" a="1"/>
  <c r="CB131" i="41" s="1"/>
  <c r="CA131" i="41" a="1"/>
  <c r="CA131" i="41" s="1"/>
  <c r="BZ131" i="41"/>
  <c r="BY131" i="41"/>
  <c r="BX131" i="41"/>
  <c r="BW131" i="41"/>
  <c r="BV131" i="41"/>
  <c r="BU131" i="41"/>
  <c r="BT131" i="41"/>
  <c r="BS131" i="41"/>
  <c r="BR131" i="41"/>
  <c r="BQ131" i="41"/>
  <c r="BP131" i="41"/>
  <c r="BO131" i="41"/>
  <c r="BN131" i="41"/>
  <c r="BM131" i="41"/>
  <c r="BL131" i="41"/>
  <c r="BK131" i="41"/>
  <c r="BJ131" i="41"/>
  <c r="BI131" i="41"/>
  <c r="BH131" i="41"/>
  <c r="BG131" i="41"/>
  <c r="BF131" i="41"/>
  <c r="BE131" i="41"/>
  <c r="BD131" i="41"/>
  <c r="BC131" i="41"/>
  <c r="BB131" i="41"/>
  <c r="BA131" i="41"/>
  <c r="AZ131" i="41"/>
  <c r="AY131" i="41"/>
  <c r="AX131" i="41"/>
  <c r="AW131" i="41"/>
  <c r="AV131" i="41"/>
  <c r="AU131" i="41"/>
  <c r="AT131" i="41"/>
  <c r="AS131" i="41"/>
  <c r="AR131" i="41"/>
  <c r="AQ131" i="41"/>
  <c r="AP131" i="41"/>
  <c r="AO131" i="41"/>
  <c r="AN131" i="41"/>
  <c r="AM131" i="41"/>
  <c r="AL131" i="41"/>
  <c r="AK131" i="41"/>
  <c r="AJ131" i="41"/>
  <c r="AI131" i="41"/>
  <c r="AH131" i="41"/>
  <c r="AG131" i="41"/>
  <c r="AF131" i="41"/>
  <c r="AE131" i="41"/>
  <c r="AD131" i="41"/>
  <c r="AC131" i="41"/>
  <c r="AB131" i="41"/>
  <c r="AA131" i="41"/>
  <c r="Z131" i="41"/>
  <c r="Y131" i="41"/>
  <c r="X131" i="41"/>
  <c r="W131" i="41"/>
  <c r="V131" i="41"/>
  <c r="U131" i="41"/>
  <c r="T131" i="41"/>
  <c r="S131" i="41"/>
  <c r="R131" i="41"/>
  <c r="Q131" i="41"/>
  <c r="P131" i="41"/>
  <c r="O131" i="41"/>
  <c r="N131" i="41"/>
  <c r="M131" i="41"/>
  <c r="L131" i="41"/>
  <c r="K131" i="41"/>
  <c r="J131" i="41"/>
  <c r="I131" i="41"/>
  <c r="H131" i="41"/>
  <c r="G131" i="41"/>
  <c r="F131" i="41"/>
  <c r="DI130" i="41"/>
  <c r="DH130" i="41"/>
  <c r="DG130" i="41"/>
  <c r="DF130" i="41"/>
  <c r="DE130" i="41"/>
  <c r="DD130" i="41"/>
  <c r="DC130" i="41"/>
  <c r="DB130" i="41"/>
  <c r="DA130" i="41"/>
  <c r="CZ130" i="41"/>
  <c r="CY130" i="41"/>
  <c r="CX130" i="41"/>
  <c r="CW130" i="41"/>
  <c r="CV130" i="41"/>
  <c r="CU130" i="41"/>
  <c r="CT130" i="41"/>
  <c r="CS130" i="41"/>
  <c r="CR130" i="41"/>
  <c r="CQ130" i="41"/>
  <c r="CP130" i="41"/>
  <c r="CO130" i="41"/>
  <c r="CN130" i="41"/>
  <c r="CM130" i="41"/>
  <c r="CL130" i="41"/>
  <c r="CK130" i="41"/>
  <c r="CJ130" i="41"/>
  <c r="CI130" i="41"/>
  <c r="CH130" i="41"/>
  <c r="CG130" i="41"/>
  <c r="CF130" i="41"/>
  <c r="CE130" i="41"/>
  <c r="CD130" i="41"/>
  <c r="CC130" i="41"/>
  <c r="CB130" i="41" a="1"/>
  <c r="CB130" i="41" s="1"/>
  <c r="CA130" i="41" a="1"/>
  <c r="CA130" i="41" s="1"/>
  <c r="BZ130" i="41"/>
  <c r="BY130" i="41"/>
  <c r="BX130" i="41"/>
  <c r="BW130" i="41"/>
  <c r="BV130" i="41"/>
  <c r="BU130" i="41"/>
  <c r="BT130" i="41"/>
  <c r="BS130" i="41"/>
  <c r="BR130" i="41"/>
  <c r="BQ130" i="41"/>
  <c r="BP130" i="41"/>
  <c r="BO130" i="41"/>
  <c r="BN130" i="41"/>
  <c r="BM130" i="41"/>
  <c r="BL130" i="41"/>
  <c r="BK130" i="41"/>
  <c r="BJ130" i="41"/>
  <c r="BI130" i="41"/>
  <c r="BH130" i="41"/>
  <c r="BG130" i="41"/>
  <c r="BF130" i="41"/>
  <c r="BE130" i="41"/>
  <c r="BD130" i="41"/>
  <c r="BC130" i="41"/>
  <c r="BB130" i="41"/>
  <c r="BA130" i="41"/>
  <c r="AZ130" i="41"/>
  <c r="AY130" i="41"/>
  <c r="AX130" i="41"/>
  <c r="AW130" i="41"/>
  <c r="AV130" i="41"/>
  <c r="AU130" i="41"/>
  <c r="AT130" i="41"/>
  <c r="AS130" i="41"/>
  <c r="AR130" i="41"/>
  <c r="AQ130" i="41"/>
  <c r="AP130" i="41"/>
  <c r="AO130" i="41"/>
  <c r="AN130" i="41"/>
  <c r="AM130" i="41"/>
  <c r="AL130" i="41"/>
  <c r="AK130" i="41"/>
  <c r="AJ130" i="41"/>
  <c r="AI130" i="41"/>
  <c r="AH130" i="41"/>
  <c r="AG130" i="41"/>
  <c r="AF130" i="41"/>
  <c r="AE130" i="41"/>
  <c r="AD130" i="41"/>
  <c r="AC130" i="41"/>
  <c r="AB130" i="41"/>
  <c r="AA130" i="41"/>
  <c r="Z130" i="41"/>
  <c r="Y130" i="41"/>
  <c r="X130" i="41"/>
  <c r="W130" i="41"/>
  <c r="V130" i="41"/>
  <c r="U130" i="41"/>
  <c r="T130" i="41"/>
  <c r="S130" i="41"/>
  <c r="R130" i="41"/>
  <c r="Q130" i="41"/>
  <c r="P130" i="41"/>
  <c r="O130" i="41"/>
  <c r="N130" i="41"/>
  <c r="M130" i="41"/>
  <c r="L130" i="41"/>
  <c r="K130" i="41"/>
  <c r="J130" i="41"/>
  <c r="I130" i="41"/>
  <c r="H130" i="41"/>
  <c r="G130" i="41"/>
  <c r="F130" i="41"/>
  <c r="DI129" i="41"/>
  <c r="DH129" i="41"/>
  <c r="DG129" i="41"/>
  <c r="DF129" i="41"/>
  <c r="DE129" i="41"/>
  <c r="DD129" i="41"/>
  <c r="DC129" i="41"/>
  <c r="DB129" i="41"/>
  <c r="DA129" i="41"/>
  <c r="CZ129" i="41"/>
  <c r="CY129" i="41"/>
  <c r="CX129" i="41"/>
  <c r="CW129" i="41"/>
  <c r="CV129" i="41"/>
  <c r="CU129" i="41"/>
  <c r="CT129" i="41"/>
  <c r="CS129" i="41"/>
  <c r="CR129" i="41"/>
  <c r="CQ129" i="41"/>
  <c r="CP129" i="41"/>
  <c r="CO129" i="41"/>
  <c r="CN129" i="41"/>
  <c r="CM129" i="41"/>
  <c r="CL129" i="41"/>
  <c r="CK129" i="41"/>
  <c r="CJ129" i="41"/>
  <c r="CI129" i="41"/>
  <c r="CH129" i="41"/>
  <c r="CG129" i="41"/>
  <c r="CF129" i="41"/>
  <c r="CE129" i="41"/>
  <c r="CD129" i="41"/>
  <c r="CC129" i="41"/>
  <c r="CB129" i="41" a="1"/>
  <c r="CB129" i="41" s="1"/>
  <c r="CA129" i="41" a="1"/>
  <c r="CA129" i="41" s="1"/>
  <c r="BZ129" i="41"/>
  <c r="BY129" i="41"/>
  <c r="BX129" i="41"/>
  <c r="BW129" i="41"/>
  <c r="BV129" i="41"/>
  <c r="BU129" i="41"/>
  <c r="BT129" i="41"/>
  <c r="BS129" i="41"/>
  <c r="BR129" i="41"/>
  <c r="BQ129" i="41"/>
  <c r="BP129" i="41"/>
  <c r="BO129" i="41"/>
  <c r="BN129" i="41"/>
  <c r="BM129" i="41"/>
  <c r="BL129" i="41"/>
  <c r="BK129" i="41"/>
  <c r="BJ129" i="41"/>
  <c r="BI129" i="41"/>
  <c r="BH129" i="41"/>
  <c r="BG129" i="41"/>
  <c r="BF129" i="41"/>
  <c r="BE129" i="41"/>
  <c r="BD129" i="41"/>
  <c r="BC129" i="41"/>
  <c r="BB129" i="41"/>
  <c r="BA129" i="41"/>
  <c r="AZ129" i="41"/>
  <c r="AY129" i="41"/>
  <c r="AX129" i="41"/>
  <c r="AW129" i="41"/>
  <c r="AV129" i="41"/>
  <c r="AU129" i="41"/>
  <c r="AT129" i="41"/>
  <c r="AS129" i="41"/>
  <c r="AR129" i="41"/>
  <c r="AQ129" i="41"/>
  <c r="AP129" i="41"/>
  <c r="AO129" i="41"/>
  <c r="AN129" i="41"/>
  <c r="AM129" i="41"/>
  <c r="AL129" i="41"/>
  <c r="AK129" i="41"/>
  <c r="AJ129" i="41"/>
  <c r="AI129" i="41"/>
  <c r="AH129" i="41"/>
  <c r="AG129" i="41"/>
  <c r="AF129" i="41"/>
  <c r="AE129" i="41"/>
  <c r="AD129" i="41"/>
  <c r="AC129" i="41"/>
  <c r="AB129" i="41"/>
  <c r="AA129" i="41"/>
  <c r="Z129" i="41"/>
  <c r="Y129" i="41"/>
  <c r="X129" i="41"/>
  <c r="W129" i="41"/>
  <c r="V129" i="41"/>
  <c r="U129" i="41"/>
  <c r="T129" i="41"/>
  <c r="S129" i="41"/>
  <c r="R129" i="41"/>
  <c r="Q129" i="41"/>
  <c r="P129" i="41"/>
  <c r="O129" i="41"/>
  <c r="N129" i="41"/>
  <c r="M129" i="41"/>
  <c r="L129" i="41"/>
  <c r="K129" i="41"/>
  <c r="J129" i="41"/>
  <c r="I129" i="41"/>
  <c r="H129" i="41"/>
  <c r="G129" i="41"/>
  <c r="F129" i="41"/>
  <c r="DI128" i="41"/>
  <c r="DH128" i="41"/>
  <c r="DG128" i="41"/>
  <c r="DF128" i="41"/>
  <c r="DE128" i="41"/>
  <c r="DD128" i="41"/>
  <c r="DC128" i="41"/>
  <c r="DB128" i="41"/>
  <c r="DA128" i="41"/>
  <c r="CZ128" i="41"/>
  <c r="CY128" i="41"/>
  <c r="CX128" i="41"/>
  <c r="CW128" i="41"/>
  <c r="CV128" i="41"/>
  <c r="CU128" i="41"/>
  <c r="CT128" i="41"/>
  <c r="CS128" i="41"/>
  <c r="CR128" i="41"/>
  <c r="CQ128" i="41"/>
  <c r="CP128" i="41"/>
  <c r="CO128" i="41"/>
  <c r="CN128" i="41"/>
  <c r="CM128" i="41"/>
  <c r="CL128" i="41"/>
  <c r="CK128" i="41"/>
  <c r="CJ128" i="41"/>
  <c r="CI128" i="41"/>
  <c r="CH128" i="41"/>
  <c r="CG128" i="41"/>
  <c r="CF128" i="41"/>
  <c r="CE128" i="41"/>
  <c r="CD128" i="41"/>
  <c r="CC128" i="41"/>
  <c r="CB128" i="41" a="1"/>
  <c r="CB128" i="41" s="1"/>
  <c r="CA128" i="41" a="1"/>
  <c r="CA128" i="41" s="1"/>
  <c r="BZ128" i="41"/>
  <c r="BY128" i="41"/>
  <c r="BX128" i="41"/>
  <c r="BW128" i="41"/>
  <c r="BV128" i="41"/>
  <c r="BU128" i="41"/>
  <c r="BT128" i="41"/>
  <c r="BS128" i="41"/>
  <c r="BR128" i="41"/>
  <c r="BQ128" i="41"/>
  <c r="BP128" i="41"/>
  <c r="BO128" i="41"/>
  <c r="BN128" i="41"/>
  <c r="BM128" i="41"/>
  <c r="BL128" i="41"/>
  <c r="BK128" i="41"/>
  <c r="BJ128" i="41"/>
  <c r="BI128" i="41"/>
  <c r="BH128" i="41"/>
  <c r="BG128" i="41"/>
  <c r="BF128" i="41"/>
  <c r="BE128" i="41"/>
  <c r="BD128" i="41"/>
  <c r="BC128" i="41"/>
  <c r="BB128" i="41"/>
  <c r="BA128" i="41"/>
  <c r="AZ128" i="41"/>
  <c r="AY128" i="41"/>
  <c r="AX128" i="41"/>
  <c r="AW128" i="41"/>
  <c r="AV128" i="41"/>
  <c r="AU128" i="41"/>
  <c r="AT128" i="41"/>
  <c r="AS128" i="41"/>
  <c r="AR128" i="41"/>
  <c r="AQ128" i="41"/>
  <c r="AP128" i="41"/>
  <c r="AO128" i="41"/>
  <c r="AN128" i="41"/>
  <c r="AM128" i="41"/>
  <c r="AL128" i="41"/>
  <c r="AK128" i="41"/>
  <c r="AJ128" i="41"/>
  <c r="AI128" i="41"/>
  <c r="AH128" i="41"/>
  <c r="AG128" i="41"/>
  <c r="AF128" i="41"/>
  <c r="AE128" i="41"/>
  <c r="AD128" i="41"/>
  <c r="AC128" i="41"/>
  <c r="AB128" i="41"/>
  <c r="AA128" i="41"/>
  <c r="Z128" i="41"/>
  <c r="Y128" i="41"/>
  <c r="X128" i="41"/>
  <c r="W128" i="41"/>
  <c r="V128" i="41"/>
  <c r="U128" i="41"/>
  <c r="T128" i="41"/>
  <c r="S128" i="41"/>
  <c r="R128" i="41"/>
  <c r="Q128" i="41"/>
  <c r="P128" i="41"/>
  <c r="O128" i="41"/>
  <c r="N128" i="41"/>
  <c r="M128" i="41"/>
  <c r="L128" i="41"/>
  <c r="K128" i="41"/>
  <c r="J128" i="41"/>
  <c r="I128" i="41"/>
  <c r="H128" i="41"/>
  <c r="G128" i="41"/>
  <c r="F128" i="41"/>
  <c r="DI127" i="41"/>
  <c r="DH127" i="41"/>
  <c r="DG127" i="41"/>
  <c r="DF127" i="41"/>
  <c r="DE127" i="41"/>
  <c r="DD127" i="41"/>
  <c r="DC127" i="41"/>
  <c r="DB127" i="41"/>
  <c r="DA127" i="41"/>
  <c r="CZ127" i="41"/>
  <c r="CY127" i="41"/>
  <c r="CX127" i="41"/>
  <c r="CW127" i="41"/>
  <c r="CV127" i="41"/>
  <c r="CU127" i="41"/>
  <c r="CT127" i="41"/>
  <c r="CS127" i="41"/>
  <c r="CR127" i="41"/>
  <c r="CQ127" i="41"/>
  <c r="CP127" i="41"/>
  <c r="CO127" i="41"/>
  <c r="CN127" i="41"/>
  <c r="CM127" i="41"/>
  <c r="CL127" i="41"/>
  <c r="CK127" i="41"/>
  <c r="CJ127" i="41"/>
  <c r="CI127" i="41"/>
  <c r="CH127" i="41"/>
  <c r="CG127" i="41"/>
  <c r="CF127" i="41"/>
  <c r="CE127" i="41"/>
  <c r="CD127" i="41"/>
  <c r="CC127" i="41"/>
  <c r="CB127" i="41" a="1"/>
  <c r="CB127" i="41" s="1"/>
  <c r="CA127" i="41" a="1"/>
  <c r="CA127" i="41" s="1"/>
  <c r="BZ127" i="41"/>
  <c r="BY127" i="41"/>
  <c r="BX127" i="41"/>
  <c r="BW127" i="41"/>
  <c r="BV127" i="41"/>
  <c r="BU127" i="41"/>
  <c r="BT127" i="41"/>
  <c r="BS127" i="41"/>
  <c r="BR127" i="41"/>
  <c r="BQ127" i="41"/>
  <c r="BP127" i="41"/>
  <c r="BO127" i="41"/>
  <c r="BN127" i="41"/>
  <c r="BM127" i="41"/>
  <c r="BL127" i="41"/>
  <c r="BK127" i="41"/>
  <c r="BJ127" i="41"/>
  <c r="BI127" i="41"/>
  <c r="BH127" i="41"/>
  <c r="BG127" i="41"/>
  <c r="BF127" i="41"/>
  <c r="BE127" i="41"/>
  <c r="BD127" i="41"/>
  <c r="BC127" i="41"/>
  <c r="BB127" i="41"/>
  <c r="BA127" i="41"/>
  <c r="AZ127" i="41"/>
  <c r="AY127" i="41"/>
  <c r="AX127" i="41"/>
  <c r="AW127" i="41"/>
  <c r="AV127" i="41"/>
  <c r="AU127" i="41"/>
  <c r="AT127" i="41"/>
  <c r="AS127" i="41"/>
  <c r="AR127" i="41"/>
  <c r="AQ127" i="41"/>
  <c r="AP127" i="41"/>
  <c r="AO127" i="41"/>
  <c r="AN127" i="41"/>
  <c r="AM127" i="41"/>
  <c r="AL127" i="41"/>
  <c r="AK127" i="41"/>
  <c r="AJ127" i="41"/>
  <c r="AI127" i="41"/>
  <c r="AH127" i="41"/>
  <c r="AG127" i="41"/>
  <c r="AF127" i="41"/>
  <c r="AE127" i="41"/>
  <c r="AD127" i="41"/>
  <c r="AC127" i="41"/>
  <c r="AB127" i="41"/>
  <c r="AA127" i="41"/>
  <c r="Z127" i="41"/>
  <c r="Y127" i="41"/>
  <c r="X127" i="41"/>
  <c r="W127" i="41"/>
  <c r="V127" i="41"/>
  <c r="U127" i="41"/>
  <c r="T127" i="41"/>
  <c r="S127" i="41"/>
  <c r="R127" i="41"/>
  <c r="Q127" i="41"/>
  <c r="P127" i="41"/>
  <c r="O127" i="41"/>
  <c r="N127" i="41"/>
  <c r="M127" i="41"/>
  <c r="L127" i="41"/>
  <c r="K127" i="41"/>
  <c r="J127" i="41"/>
  <c r="I127" i="41"/>
  <c r="H127" i="41"/>
  <c r="G127" i="41"/>
  <c r="F127" i="41"/>
  <c r="DI126" i="41"/>
  <c r="DH126" i="41"/>
  <c r="DG126" i="41"/>
  <c r="DF126" i="41"/>
  <c r="DE126" i="41"/>
  <c r="DD126" i="41"/>
  <c r="DC126" i="41"/>
  <c r="DB126" i="41"/>
  <c r="DA126" i="41"/>
  <c r="CZ126" i="41"/>
  <c r="CY126" i="41"/>
  <c r="CX126" i="41"/>
  <c r="CW126" i="41"/>
  <c r="CV126" i="41"/>
  <c r="CU126" i="41"/>
  <c r="CT126" i="41"/>
  <c r="CS126" i="41"/>
  <c r="CR126" i="41"/>
  <c r="CQ126" i="41"/>
  <c r="CP126" i="41"/>
  <c r="CO126" i="41"/>
  <c r="CN126" i="41"/>
  <c r="CM126" i="41"/>
  <c r="CL126" i="41"/>
  <c r="CK126" i="41"/>
  <c r="CJ126" i="41"/>
  <c r="CI126" i="41"/>
  <c r="CH126" i="41"/>
  <c r="CG126" i="41"/>
  <c r="CF126" i="41"/>
  <c r="CE126" i="41"/>
  <c r="CD126" i="41"/>
  <c r="CC126" i="41"/>
  <c r="CB126" i="41" a="1"/>
  <c r="CB126" i="41" s="1"/>
  <c r="CA126" i="41" a="1"/>
  <c r="CA126" i="41" s="1"/>
  <c r="BZ126" i="41"/>
  <c r="BY126" i="41"/>
  <c r="BX126" i="41"/>
  <c r="BW126" i="41"/>
  <c r="BV126" i="41"/>
  <c r="BU126" i="41"/>
  <c r="BT126" i="41"/>
  <c r="BS126" i="41"/>
  <c r="BR126" i="41"/>
  <c r="BQ126" i="41"/>
  <c r="BP126" i="41"/>
  <c r="BO126" i="41"/>
  <c r="BN126" i="41"/>
  <c r="BM126" i="41"/>
  <c r="BL126" i="41"/>
  <c r="BK126" i="41"/>
  <c r="BJ126" i="41"/>
  <c r="BI126" i="41"/>
  <c r="BH126" i="41"/>
  <c r="BG126" i="41"/>
  <c r="BF126" i="41"/>
  <c r="BE126" i="41"/>
  <c r="BD126" i="41"/>
  <c r="BC126" i="41"/>
  <c r="BB126" i="41"/>
  <c r="BA126" i="41"/>
  <c r="AZ126" i="41"/>
  <c r="AY126" i="41"/>
  <c r="AX126" i="41"/>
  <c r="AW126" i="41"/>
  <c r="AV126" i="41"/>
  <c r="AU126" i="41"/>
  <c r="AT126" i="41"/>
  <c r="AS126" i="41"/>
  <c r="AR126" i="41"/>
  <c r="AQ126" i="41"/>
  <c r="AP126" i="41"/>
  <c r="AO126" i="41"/>
  <c r="AN126" i="41"/>
  <c r="AM126" i="41"/>
  <c r="AL126" i="41"/>
  <c r="AK126" i="41"/>
  <c r="AJ126" i="41"/>
  <c r="AI126" i="41"/>
  <c r="AH126" i="41"/>
  <c r="AG126" i="41"/>
  <c r="AF126" i="41"/>
  <c r="AE126" i="41"/>
  <c r="AD126" i="41"/>
  <c r="AC126" i="41"/>
  <c r="AB126" i="41"/>
  <c r="AA126" i="41"/>
  <c r="Z126" i="41"/>
  <c r="Y126" i="41"/>
  <c r="X126" i="41"/>
  <c r="W126" i="41"/>
  <c r="V126" i="41"/>
  <c r="U126" i="41"/>
  <c r="T126" i="41"/>
  <c r="S126" i="41"/>
  <c r="R126" i="41"/>
  <c r="Q126" i="41"/>
  <c r="P126" i="41"/>
  <c r="O126" i="41"/>
  <c r="N126" i="41"/>
  <c r="M126" i="41"/>
  <c r="L126" i="41"/>
  <c r="K126" i="41"/>
  <c r="J126" i="41"/>
  <c r="I126" i="41"/>
  <c r="H126" i="41"/>
  <c r="G126" i="41"/>
  <c r="F126" i="41"/>
  <c r="DI125" i="41"/>
  <c r="DH125" i="41"/>
  <c r="DG125" i="41"/>
  <c r="DF125" i="41"/>
  <c r="DE125" i="41"/>
  <c r="DD125" i="41"/>
  <c r="DC125" i="41"/>
  <c r="DB125" i="41"/>
  <c r="DA125" i="41"/>
  <c r="CZ125" i="41"/>
  <c r="CY125" i="41"/>
  <c r="CX125" i="41"/>
  <c r="CW125" i="41"/>
  <c r="CV125" i="41"/>
  <c r="CU125" i="41"/>
  <c r="CT125" i="41"/>
  <c r="CS125" i="41"/>
  <c r="CR125" i="41"/>
  <c r="CQ125" i="41"/>
  <c r="CP125" i="41"/>
  <c r="CO125" i="41"/>
  <c r="CN125" i="41"/>
  <c r="CM125" i="41"/>
  <c r="CL125" i="41"/>
  <c r="CK125" i="41"/>
  <c r="CJ125" i="41"/>
  <c r="CI125" i="41"/>
  <c r="CH125" i="41"/>
  <c r="CG125" i="41"/>
  <c r="CF125" i="41"/>
  <c r="CE125" i="41"/>
  <c r="CD125" i="41"/>
  <c r="CC125" i="41"/>
  <c r="CB125" i="41" a="1"/>
  <c r="CB125" i="41" s="1"/>
  <c r="CA125" i="41" a="1"/>
  <c r="CA125" i="41" s="1"/>
  <c r="BZ125" i="41"/>
  <c r="BY125" i="41"/>
  <c r="BX125" i="41"/>
  <c r="BW125" i="41"/>
  <c r="BV125" i="41"/>
  <c r="BU125" i="41"/>
  <c r="BT125" i="41"/>
  <c r="BS125" i="41"/>
  <c r="BR125" i="41"/>
  <c r="BQ125" i="41"/>
  <c r="BP125" i="41"/>
  <c r="BO125" i="41"/>
  <c r="BN125" i="41"/>
  <c r="BM125" i="41"/>
  <c r="BL125" i="41"/>
  <c r="BK125" i="41"/>
  <c r="BJ125" i="41"/>
  <c r="BI125" i="41"/>
  <c r="BH125" i="41"/>
  <c r="BG125" i="41"/>
  <c r="BF125" i="41"/>
  <c r="BE125" i="41"/>
  <c r="BD125" i="41"/>
  <c r="BC125" i="41"/>
  <c r="BB125" i="41"/>
  <c r="BA125" i="41"/>
  <c r="AZ125" i="41"/>
  <c r="AY125" i="41"/>
  <c r="AX125" i="41"/>
  <c r="AW125" i="41"/>
  <c r="AV125" i="41"/>
  <c r="AU125" i="41"/>
  <c r="AT125" i="41"/>
  <c r="AS125" i="41"/>
  <c r="AR125" i="41"/>
  <c r="AQ125" i="41"/>
  <c r="AP125" i="41"/>
  <c r="AO125" i="41"/>
  <c r="AN125" i="41"/>
  <c r="AM125" i="41"/>
  <c r="AL125" i="41"/>
  <c r="AK125" i="41"/>
  <c r="AJ125" i="41"/>
  <c r="AI125" i="41"/>
  <c r="AH125" i="41"/>
  <c r="AG125" i="41"/>
  <c r="AF125" i="41"/>
  <c r="AE125" i="41"/>
  <c r="AD125" i="41"/>
  <c r="AC125" i="41"/>
  <c r="AB125" i="41"/>
  <c r="AA125" i="41"/>
  <c r="Z125" i="41"/>
  <c r="Y125" i="41"/>
  <c r="X125" i="41"/>
  <c r="W125" i="41"/>
  <c r="V125" i="41"/>
  <c r="U125" i="41"/>
  <c r="T125" i="41"/>
  <c r="S125" i="41"/>
  <c r="R125" i="41"/>
  <c r="Q125" i="41"/>
  <c r="P125" i="41"/>
  <c r="O125" i="41"/>
  <c r="N125" i="41"/>
  <c r="M125" i="41"/>
  <c r="L125" i="41"/>
  <c r="K125" i="41"/>
  <c r="J125" i="41"/>
  <c r="I125" i="41"/>
  <c r="H125" i="41"/>
  <c r="G125" i="41"/>
  <c r="F125" i="41"/>
  <c r="DI124" i="41"/>
  <c r="DH124" i="41"/>
  <c r="DG124" i="41"/>
  <c r="DF124" i="41"/>
  <c r="DE124" i="41"/>
  <c r="DD124" i="41"/>
  <c r="DC124" i="41"/>
  <c r="DB124" i="41"/>
  <c r="DA124" i="41"/>
  <c r="CZ124" i="41"/>
  <c r="CY124" i="41"/>
  <c r="CX124" i="41"/>
  <c r="CW124" i="41"/>
  <c r="CV124" i="41"/>
  <c r="CU124" i="41"/>
  <c r="CT124" i="41"/>
  <c r="CS124" i="41"/>
  <c r="CR124" i="41"/>
  <c r="CQ124" i="41"/>
  <c r="CP124" i="41"/>
  <c r="CO124" i="41"/>
  <c r="CN124" i="41"/>
  <c r="CM124" i="41"/>
  <c r="CL124" i="41"/>
  <c r="CK124" i="41"/>
  <c r="CJ124" i="41"/>
  <c r="CI124" i="41"/>
  <c r="CH124" i="41"/>
  <c r="CG124" i="41"/>
  <c r="CF124" i="41"/>
  <c r="CE124" i="41"/>
  <c r="CD124" i="41"/>
  <c r="CC124" i="41"/>
  <c r="CB124" i="41" a="1"/>
  <c r="CB124" i="41" s="1"/>
  <c r="CA124" i="41" a="1"/>
  <c r="CA124" i="41" s="1"/>
  <c r="BZ124" i="41"/>
  <c r="BY124" i="41"/>
  <c r="BX124" i="41"/>
  <c r="BW124" i="41"/>
  <c r="BV124" i="41"/>
  <c r="BU124" i="41"/>
  <c r="BT124" i="41"/>
  <c r="BS124" i="41"/>
  <c r="BR124" i="41"/>
  <c r="BQ124" i="41"/>
  <c r="BP124" i="41"/>
  <c r="BO124" i="41"/>
  <c r="BN124" i="41"/>
  <c r="BM124" i="41"/>
  <c r="BL124" i="41"/>
  <c r="BK124" i="41"/>
  <c r="BJ124" i="41"/>
  <c r="BI124" i="41"/>
  <c r="BH124" i="41"/>
  <c r="BG124" i="41"/>
  <c r="BF124" i="41"/>
  <c r="BE124" i="41"/>
  <c r="BD124" i="41"/>
  <c r="BC124" i="41"/>
  <c r="BB124" i="41"/>
  <c r="BA124" i="41"/>
  <c r="AZ124" i="41"/>
  <c r="AY124" i="41"/>
  <c r="AX124" i="41"/>
  <c r="AW124" i="41"/>
  <c r="AV124" i="41"/>
  <c r="AU124" i="41"/>
  <c r="AT124" i="41"/>
  <c r="AS124" i="41"/>
  <c r="AR124" i="41"/>
  <c r="AQ124" i="41"/>
  <c r="AP124" i="41"/>
  <c r="AO124" i="41"/>
  <c r="AN124" i="41"/>
  <c r="AM124" i="41"/>
  <c r="AL124" i="41"/>
  <c r="AK124" i="41"/>
  <c r="AJ124" i="41"/>
  <c r="AI124" i="41"/>
  <c r="AH124" i="41"/>
  <c r="AG124" i="41"/>
  <c r="AF124" i="41"/>
  <c r="AE124" i="41"/>
  <c r="AD124" i="41"/>
  <c r="AC124" i="41"/>
  <c r="AB124" i="41"/>
  <c r="AA124" i="41"/>
  <c r="Z124" i="41"/>
  <c r="Y124" i="41"/>
  <c r="X124" i="41"/>
  <c r="W124" i="41"/>
  <c r="V124" i="41"/>
  <c r="U124" i="41"/>
  <c r="T124" i="41"/>
  <c r="S124" i="41"/>
  <c r="R124" i="41"/>
  <c r="Q124" i="41"/>
  <c r="P124" i="41"/>
  <c r="O124" i="41"/>
  <c r="N124" i="41"/>
  <c r="M124" i="41"/>
  <c r="L124" i="41"/>
  <c r="K124" i="41"/>
  <c r="J124" i="41"/>
  <c r="I124" i="41"/>
  <c r="H124" i="41"/>
  <c r="G124" i="41"/>
  <c r="F124" i="41"/>
  <c r="DI123" i="41"/>
  <c r="DH123" i="41"/>
  <c r="DG123" i="41"/>
  <c r="DF123" i="41"/>
  <c r="DE123" i="41"/>
  <c r="DD123" i="41"/>
  <c r="DC123" i="41"/>
  <c r="DB123" i="41"/>
  <c r="DA123" i="41"/>
  <c r="CZ123" i="41"/>
  <c r="CY123" i="41"/>
  <c r="CX123" i="41"/>
  <c r="CW123" i="41"/>
  <c r="CV123" i="41"/>
  <c r="CU123" i="41"/>
  <c r="CT123" i="41"/>
  <c r="CS123" i="41"/>
  <c r="CR123" i="41"/>
  <c r="CQ123" i="41"/>
  <c r="CP123" i="41"/>
  <c r="CO123" i="41"/>
  <c r="CN123" i="41"/>
  <c r="CM123" i="41"/>
  <c r="CL123" i="41"/>
  <c r="CK123" i="41"/>
  <c r="CJ123" i="41"/>
  <c r="CI123" i="41"/>
  <c r="CH123" i="41"/>
  <c r="CG123" i="41"/>
  <c r="CF123" i="41"/>
  <c r="CE123" i="41"/>
  <c r="CD123" i="41"/>
  <c r="CC123" i="41"/>
  <c r="CB123" i="41" a="1"/>
  <c r="CB123" i="41" s="1"/>
  <c r="CA123" i="41" a="1"/>
  <c r="CA123" i="41" s="1"/>
  <c r="BZ123" i="41"/>
  <c r="BY123" i="41"/>
  <c r="BX123" i="41"/>
  <c r="BW123" i="41"/>
  <c r="BV123" i="41"/>
  <c r="BU123" i="41"/>
  <c r="BT123" i="41"/>
  <c r="BS123" i="41"/>
  <c r="BR123" i="41"/>
  <c r="BQ123" i="41"/>
  <c r="BP123" i="41"/>
  <c r="BO123" i="41"/>
  <c r="BN123" i="41"/>
  <c r="BM123" i="41"/>
  <c r="BL123" i="41"/>
  <c r="BK123" i="41"/>
  <c r="BJ123" i="41"/>
  <c r="BI123" i="41"/>
  <c r="BH123" i="41"/>
  <c r="BG123" i="41"/>
  <c r="BF123" i="41"/>
  <c r="BE123" i="41"/>
  <c r="BD123" i="41"/>
  <c r="BC123" i="41"/>
  <c r="BB123" i="41"/>
  <c r="BA123" i="41"/>
  <c r="AZ123" i="41"/>
  <c r="AY123" i="41"/>
  <c r="AX123" i="41"/>
  <c r="AW123" i="41"/>
  <c r="AV123" i="41"/>
  <c r="AU123" i="41"/>
  <c r="AT123" i="41"/>
  <c r="AS123" i="41"/>
  <c r="AR123" i="41"/>
  <c r="AQ123" i="41"/>
  <c r="AP123" i="41"/>
  <c r="AO123" i="41"/>
  <c r="AN123" i="41"/>
  <c r="AM123" i="41"/>
  <c r="AL123" i="41"/>
  <c r="AK123" i="41"/>
  <c r="AJ123" i="41"/>
  <c r="AI123" i="41"/>
  <c r="AH123" i="41"/>
  <c r="AG123" i="41"/>
  <c r="AF123" i="41"/>
  <c r="AE123" i="41"/>
  <c r="AD123" i="41"/>
  <c r="AC123" i="41"/>
  <c r="AB123" i="41"/>
  <c r="AA123" i="41"/>
  <c r="Z123" i="41"/>
  <c r="Y123" i="41"/>
  <c r="X123" i="41"/>
  <c r="W123" i="41"/>
  <c r="V123" i="41"/>
  <c r="U123" i="41"/>
  <c r="T123" i="41"/>
  <c r="S123" i="41"/>
  <c r="R123" i="41"/>
  <c r="Q123" i="41"/>
  <c r="P123" i="41"/>
  <c r="O123" i="41"/>
  <c r="N123" i="41"/>
  <c r="M123" i="41"/>
  <c r="L123" i="41"/>
  <c r="K123" i="41"/>
  <c r="J123" i="41"/>
  <c r="I123" i="41"/>
  <c r="H123" i="41"/>
  <c r="G123" i="41"/>
  <c r="F123" i="41"/>
  <c r="DI122" i="41"/>
  <c r="DH122" i="41"/>
  <c r="DG122" i="41"/>
  <c r="DF122" i="41"/>
  <c r="DE122" i="41"/>
  <c r="DD122" i="41"/>
  <c r="DC122" i="41"/>
  <c r="DB122" i="41"/>
  <c r="DA122" i="41"/>
  <c r="CZ122" i="41"/>
  <c r="CY122" i="41"/>
  <c r="CX122" i="41"/>
  <c r="CW122" i="41"/>
  <c r="CV122" i="41"/>
  <c r="CU122" i="41"/>
  <c r="CT122" i="41"/>
  <c r="CS122" i="41"/>
  <c r="CR122" i="41"/>
  <c r="CQ122" i="41"/>
  <c r="CP122" i="41"/>
  <c r="CO122" i="41"/>
  <c r="CN122" i="41"/>
  <c r="CM122" i="41"/>
  <c r="CL122" i="41"/>
  <c r="CK122" i="41"/>
  <c r="CJ122" i="41"/>
  <c r="CI122" i="41"/>
  <c r="CH122" i="41"/>
  <c r="CG122" i="41"/>
  <c r="CF122" i="41"/>
  <c r="CE122" i="41"/>
  <c r="CD122" i="41"/>
  <c r="CC122" i="41"/>
  <c r="CB122" i="41" a="1"/>
  <c r="CB122" i="41" s="1"/>
  <c r="CA122" i="41" a="1"/>
  <c r="CA122" i="41" s="1"/>
  <c r="BZ122" i="41"/>
  <c r="BY122" i="41"/>
  <c r="BX122" i="41"/>
  <c r="BW122" i="41"/>
  <c r="BV122" i="41"/>
  <c r="BU122" i="41"/>
  <c r="BT122" i="41"/>
  <c r="BS122" i="41"/>
  <c r="BR122" i="41"/>
  <c r="BQ122" i="41"/>
  <c r="BP122" i="41"/>
  <c r="BO122" i="41"/>
  <c r="BN122" i="41"/>
  <c r="BM122" i="41"/>
  <c r="BL122" i="41"/>
  <c r="BK122" i="41"/>
  <c r="BJ122" i="41"/>
  <c r="BI122" i="41"/>
  <c r="BH122" i="41"/>
  <c r="BG122" i="41"/>
  <c r="BF122" i="41"/>
  <c r="BE122" i="41"/>
  <c r="BD122" i="41"/>
  <c r="BC122" i="41"/>
  <c r="BB122" i="41"/>
  <c r="BA122" i="41"/>
  <c r="AZ122" i="41"/>
  <c r="AY122" i="41"/>
  <c r="AX122" i="41"/>
  <c r="AW122" i="41"/>
  <c r="AV122" i="41"/>
  <c r="AU122" i="41"/>
  <c r="AT122" i="41"/>
  <c r="AS122" i="41"/>
  <c r="AR122" i="41"/>
  <c r="AQ122" i="41"/>
  <c r="AP122" i="41"/>
  <c r="AO122" i="41"/>
  <c r="AN122" i="41"/>
  <c r="AM122" i="41"/>
  <c r="AL122" i="41"/>
  <c r="AK122" i="41"/>
  <c r="AJ122" i="41"/>
  <c r="AI122" i="41"/>
  <c r="AH122" i="41"/>
  <c r="AG122" i="41"/>
  <c r="AF122" i="41"/>
  <c r="AE122" i="41"/>
  <c r="AD122" i="41"/>
  <c r="AC122" i="41"/>
  <c r="AB122" i="41"/>
  <c r="AA122" i="41"/>
  <c r="Z122" i="41"/>
  <c r="Y122" i="41"/>
  <c r="X122" i="41"/>
  <c r="W122" i="41"/>
  <c r="V122" i="41"/>
  <c r="U122" i="41"/>
  <c r="T122" i="41"/>
  <c r="S122" i="41"/>
  <c r="R122" i="41"/>
  <c r="Q122" i="41"/>
  <c r="P122" i="41"/>
  <c r="O122" i="41"/>
  <c r="N122" i="41"/>
  <c r="M122" i="41"/>
  <c r="L122" i="41"/>
  <c r="K122" i="41"/>
  <c r="J122" i="41"/>
  <c r="I122" i="41"/>
  <c r="H122" i="41"/>
  <c r="G122" i="41"/>
  <c r="F122" i="41"/>
  <c r="DI121" i="41"/>
  <c r="DH121" i="41"/>
  <c r="DG121" i="41"/>
  <c r="DF121" i="41"/>
  <c r="DE121" i="41"/>
  <c r="DD121" i="41"/>
  <c r="DC121" i="41"/>
  <c r="DB121" i="41"/>
  <c r="DA121" i="41"/>
  <c r="CZ121" i="41"/>
  <c r="CY121" i="41"/>
  <c r="CX121" i="41"/>
  <c r="CW121" i="41"/>
  <c r="CV121" i="41"/>
  <c r="CU121" i="41"/>
  <c r="CT121" i="41"/>
  <c r="CS121" i="41"/>
  <c r="CR121" i="41"/>
  <c r="CQ121" i="41"/>
  <c r="CP121" i="41"/>
  <c r="CO121" i="41"/>
  <c r="CN121" i="41"/>
  <c r="CM121" i="41"/>
  <c r="CL121" i="41"/>
  <c r="CK121" i="41"/>
  <c r="CJ121" i="41"/>
  <c r="CI121" i="41"/>
  <c r="CH121" i="41"/>
  <c r="CG121" i="41"/>
  <c r="CF121" i="41"/>
  <c r="CE121" i="41"/>
  <c r="CD121" i="41"/>
  <c r="CC121" i="41"/>
  <c r="CB121" i="41" a="1"/>
  <c r="CB121" i="41" s="1"/>
  <c r="CA121" i="41" a="1"/>
  <c r="CA121" i="41" s="1"/>
  <c r="BZ121" i="41"/>
  <c r="BY121" i="41"/>
  <c r="BX121" i="41"/>
  <c r="BW121" i="41"/>
  <c r="BV121" i="41"/>
  <c r="BU121" i="41"/>
  <c r="BT121" i="41"/>
  <c r="BS121" i="41"/>
  <c r="BR121" i="41"/>
  <c r="BQ121" i="41"/>
  <c r="BP121" i="41"/>
  <c r="BO121" i="41"/>
  <c r="BN121" i="41"/>
  <c r="BM121" i="41"/>
  <c r="BL121" i="41"/>
  <c r="BK121" i="41"/>
  <c r="BJ121" i="41"/>
  <c r="BI121" i="41"/>
  <c r="BH121" i="41"/>
  <c r="BG121" i="41"/>
  <c r="BF121" i="41"/>
  <c r="BE121" i="41"/>
  <c r="BD121" i="41"/>
  <c r="BC121" i="41"/>
  <c r="BB121" i="41"/>
  <c r="BA121" i="41"/>
  <c r="AZ121" i="41"/>
  <c r="AY121" i="41"/>
  <c r="AX121" i="41"/>
  <c r="AW121" i="41"/>
  <c r="AV121" i="41"/>
  <c r="AU121" i="41"/>
  <c r="AT121" i="41"/>
  <c r="AS121" i="41"/>
  <c r="AR121" i="41"/>
  <c r="AQ121" i="41"/>
  <c r="AP121" i="41"/>
  <c r="AO121" i="41"/>
  <c r="AN121" i="41"/>
  <c r="AM121" i="41"/>
  <c r="AL121" i="41"/>
  <c r="AK121" i="41"/>
  <c r="AJ121" i="41"/>
  <c r="AI121" i="41"/>
  <c r="AH121" i="41"/>
  <c r="AG121" i="41"/>
  <c r="AF121" i="41"/>
  <c r="AE121" i="41"/>
  <c r="AD121" i="41"/>
  <c r="AC121" i="41"/>
  <c r="AB121" i="41"/>
  <c r="AA121" i="41"/>
  <c r="Z121" i="41"/>
  <c r="Y121" i="41"/>
  <c r="X121" i="41"/>
  <c r="W121" i="41"/>
  <c r="V121" i="41"/>
  <c r="U121" i="41"/>
  <c r="T121" i="41"/>
  <c r="S121" i="41"/>
  <c r="R121" i="41"/>
  <c r="Q121" i="41"/>
  <c r="P121" i="41"/>
  <c r="O121" i="41"/>
  <c r="N121" i="41"/>
  <c r="M121" i="41"/>
  <c r="L121" i="41"/>
  <c r="K121" i="41"/>
  <c r="J121" i="41"/>
  <c r="I121" i="41"/>
  <c r="H121" i="41"/>
  <c r="G121" i="41"/>
  <c r="F121" i="41"/>
  <c r="DI120" i="41"/>
  <c r="DH120" i="41"/>
  <c r="DG120" i="41"/>
  <c r="DF120" i="41"/>
  <c r="DE120" i="41"/>
  <c r="DD120" i="41"/>
  <c r="DC120" i="41"/>
  <c r="DB120" i="41"/>
  <c r="DA120" i="41"/>
  <c r="CZ120" i="41"/>
  <c r="CY120" i="41"/>
  <c r="CX120" i="41"/>
  <c r="CW120" i="41"/>
  <c r="CV120" i="41"/>
  <c r="CU120" i="41"/>
  <c r="CT120" i="41"/>
  <c r="CS120" i="41"/>
  <c r="CR120" i="41"/>
  <c r="CQ120" i="41"/>
  <c r="CP120" i="41"/>
  <c r="CO120" i="41"/>
  <c r="CN120" i="41"/>
  <c r="CM120" i="41"/>
  <c r="CL120" i="41"/>
  <c r="CK120" i="41"/>
  <c r="CJ120" i="41"/>
  <c r="CI120" i="41"/>
  <c r="CH120" i="41"/>
  <c r="CG120" i="41"/>
  <c r="CF120" i="41"/>
  <c r="CE120" i="41"/>
  <c r="CD120" i="41"/>
  <c r="CC120" i="41"/>
  <c r="CB120" i="41" a="1"/>
  <c r="CB120" i="41" s="1"/>
  <c r="CA120" i="41" a="1"/>
  <c r="CA120" i="41" s="1"/>
  <c r="BZ120" i="41"/>
  <c r="BY120" i="41"/>
  <c r="BX120" i="41"/>
  <c r="BW120" i="41"/>
  <c r="BV120" i="41"/>
  <c r="BU120" i="41"/>
  <c r="BT120" i="41"/>
  <c r="BS120" i="41"/>
  <c r="BR120" i="41"/>
  <c r="BQ120" i="41"/>
  <c r="BP120" i="41"/>
  <c r="BO120" i="41"/>
  <c r="BN120" i="41"/>
  <c r="BM120" i="41"/>
  <c r="BL120" i="41"/>
  <c r="BK120" i="41"/>
  <c r="BJ120" i="41"/>
  <c r="BI120" i="41"/>
  <c r="BH120" i="41"/>
  <c r="BG120" i="41"/>
  <c r="BF120" i="41"/>
  <c r="BE120" i="41"/>
  <c r="BD120" i="41"/>
  <c r="BC120" i="41"/>
  <c r="BB120" i="41"/>
  <c r="BA120" i="41"/>
  <c r="AZ120" i="41"/>
  <c r="AY120" i="41"/>
  <c r="AX120" i="41"/>
  <c r="AW120" i="41"/>
  <c r="AV120" i="41"/>
  <c r="AU120" i="41"/>
  <c r="AT120" i="41"/>
  <c r="AS120" i="41"/>
  <c r="AR120" i="41"/>
  <c r="AQ120" i="41"/>
  <c r="AP120" i="41"/>
  <c r="AO120" i="41"/>
  <c r="AN120" i="41"/>
  <c r="AM120" i="41"/>
  <c r="AL120" i="41"/>
  <c r="AK120" i="41"/>
  <c r="AJ120" i="41"/>
  <c r="AI120" i="41"/>
  <c r="AH120" i="41"/>
  <c r="AG120" i="41"/>
  <c r="AF120" i="41"/>
  <c r="AE120" i="41"/>
  <c r="AD120" i="41"/>
  <c r="AC120" i="41"/>
  <c r="AB120" i="41"/>
  <c r="AA120" i="41"/>
  <c r="Z120" i="41"/>
  <c r="Y120" i="41"/>
  <c r="X120" i="41"/>
  <c r="W120" i="41"/>
  <c r="V120" i="41"/>
  <c r="U120" i="41"/>
  <c r="T120" i="41"/>
  <c r="S120" i="41"/>
  <c r="R120" i="41"/>
  <c r="Q120" i="41"/>
  <c r="P120" i="41"/>
  <c r="O120" i="41"/>
  <c r="N120" i="41"/>
  <c r="M120" i="41"/>
  <c r="L120" i="41"/>
  <c r="K120" i="41"/>
  <c r="J120" i="41"/>
  <c r="I120" i="41"/>
  <c r="H120" i="41"/>
  <c r="G120" i="41"/>
  <c r="F120" i="41"/>
  <c r="DI119" i="41"/>
  <c r="DH119" i="41"/>
  <c r="DG119" i="41"/>
  <c r="DF119" i="41"/>
  <c r="DE119" i="41"/>
  <c r="DD119" i="41"/>
  <c r="DC119" i="41"/>
  <c r="DB119" i="41"/>
  <c r="DA119" i="41"/>
  <c r="CZ119" i="41"/>
  <c r="CY119" i="41"/>
  <c r="CX119" i="41"/>
  <c r="CW119" i="41"/>
  <c r="CV119" i="41"/>
  <c r="CU119" i="41"/>
  <c r="CT119" i="41"/>
  <c r="CS119" i="41"/>
  <c r="CR119" i="41"/>
  <c r="CQ119" i="41"/>
  <c r="CP119" i="41"/>
  <c r="CO119" i="41"/>
  <c r="CN119" i="41"/>
  <c r="CM119" i="41"/>
  <c r="CL119" i="41"/>
  <c r="CK119" i="41"/>
  <c r="CJ119" i="41"/>
  <c r="CI119" i="41"/>
  <c r="CH119" i="41"/>
  <c r="CG119" i="41"/>
  <c r="CF119" i="41"/>
  <c r="CE119" i="41"/>
  <c r="CD119" i="41"/>
  <c r="CC119" i="41"/>
  <c r="CB119" i="41" a="1"/>
  <c r="CB119" i="41" s="1"/>
  <c r="CA119" i="41" a="1"/>
  <c r="CA119" i="41" s="1"/>
  <c r="BZ119" i="41"/>
  <c r="BY119" i="41"/>
  <c r="BX119" i="41"/>
  <c r="BW119" i="41"/>
  <c r="BV119" i="41"/>
  <c r="BU119" i="41"/>
  <c r="BT119" i="41"/>
  <c r="BS119" i="41"/>
  <c r="BR119" i="41"/>
  <c r="BQ119" i="41"/>
  <c r="BP119" i="41"/>
  <c r="BO119" i="41"/>
  <c r="BN119" i="41"/>
  <c r="BM119" i="41"/>
  <c r="BL119" i="41"/>
  <c r="BK119" i="41"/>
  <c r="BJ119" i="41"/>
  <c r="BI119" i="41"/>
  <c r="BH119" i="41"/>
  <c r="BG119" i="41"/>
  <c r="BF119" i="41"/>
  <c r="BE119" i="41"/>
  <c r="BD119" i="41"/>
  <c r="BC119" i="41"/>
  <c r="BB119" i="41"/>
  <c r="BA119" i="41"/>
  <c r="AZ119" i="41"/>
  <c r="AY119" i="41"/>
  <c r="AX119" i="41"/>
  <c r="AW119" i="41"/>
  <c r="AV119" i="41"/>
  <c r="AU119" i="41"/>
  <c r="AT119" i="41"/>
  <c r="AS119" i="41"/>
  <c r="AR119" i="41"/>
  <c r="AQ119" i="41"/>
  <c r="AP119" i="41"/>
  <c r="AO119" i="41"/>
  <c r="AN119" i="41"/>
  <c r="AM119" i="41"/>
  <c r="AL119" i="41"/>
  <c r="AK119" i="41"/>
  <c r="AJ119" i="41"/>
  <c r="AI119" i="41"/>
  <c r="AH119" i="41"/>
  <c r="AG119" i="41"/>
  <c r="AF119" i="41"/>
  <c r="AE119" i="41"/>
  <c r="AD119" i="41"/>
  <c r="AC119" i="41"/>
  <c r="AB119" i="41"/>
  <c r="AA119" i="41"/>
  <c r="Z119" i="41"/>
  <c r="Y119" i="41"/>
  <c r="X119" i="41"/>
  <c r="W119" i="41"/>
  <c r="V119" i="41"/>
  <c r="U119" i="41"/>
  <c r="T119" i="41"/>
  <c r="S119" i="41"/>
  <c r="R119" i="41"/>
  <c r="Q119" i="41"/>
  <c r="P119" i="41"/>
  <c r="O119" i="41"/>
  <c r="N119" i="41"/>
  <c r="M119" i="41"/>
  <c r="L119" i="41"/>
  <c r="K119" i="41"/>
  <c r="J119" i="41"/>
  <c r="I119" i="41"/>
  <c r="H119" i="41"/>
  <c r="G119" i="41"/>
  <c r="F119" i="41"/>
  <c r="DI118" i="41"/>
  <c r="DH118" i="41"/>
  <c r="DG118" i="41"/>
  <c r="DF118" i="41"/>
  <c r="DE118" i="41"/>
  <c r="DD118" i="41"/>
  <c r="DC118" i="41"/>
  <c r="DB118" i="41"/>
  <c r="DA118" i="41"/>
  <c r="CZ118" i="41"/>
  <c r="CY118" i="41"/>
  <c r="CX118" i="41"/>
  <c r="CW118" i="41"/>
  <c r="CV118" i="41"/>
  <c r="CU118" i="41"/>
  <c r="CT118" i="41"/>
  <c r="CS118" i="41"/>
  <c r="CR118" i="41"/>
  <c r="CQ118" i="41"/>
  <c r="CP118" i="41"/>
  <c r="CO118" i="41"/>
  <c r="CN118" i="41"/>
  <c r="CM118" i="41"/>
  <c r="CL118" i="41"/>
  <c r="CK118" i="41"/>
  <c r="CJ118" i="41"/>
  <c r="CI118" i="41"/>
  <c r="CH118" i="41"/>
  <c r="CG118" i="41"/>
  <c r="CF118" i="41"/>
  <c r="CE118" i="41"/>
  <c r="CD118" i="41"/>
  <c r="CC118" i="41"/>
  <c r="CB118" i="41" a="1"/>
  <c r="CB118" i="41" s="1"/>
  <c r="CA118" i="41" a="1"/>
  <c r="CA118" i="41" s="1"/>
  <c r="BZ118" i="41"/>
  <c r="BY118" i="41"/>
  <c r="BX118" i="41"/>
  <c r="BW118" i="41"/>
  <c r="BV118" i="41"/>
  <c r="BU118" i="41"/>
  <c r="BT118" i="41"/>
  <c r="BS118" i="41"/>
  <c r="BR118" i="41"/>
  <c r="BQ118" i="41"/>
  <c r="BP118" i="41"/>
  <c r="BO118" i="41"/>
  <c r="BN118" i="41"/>
  <c r="BM118" i="41"/>
  <c r="BL118" i="41"/>
  <c r="BK118" i="41"/>
  <c r="BJ118" i="41"/>
  <c r="BI118" i="41"/>
  <c r="BH118" i="41"/>
  <c r="BG118" i="41"/>
  <c r="BF118" i="41"/>
  <c r="BE118" i="41"/>
  <c r="BD118" i="41"/>
  <c r="BC118" i="41"/>
  <c r="BB118" i="41"/>
  <c r="BA118" i="41"/>
  <c r="AZ118" i="41"/>
  <c r="AY118" i="41"/>
  <c r="AX118" i="41"/>
  <c r="AW118" i="41"/>
  <c r="AV118" i="41"/>
  <c r="AU118" i="41"/>
  <c r="AT118" i="41"/>
  <c r="AS118" i="41"/>
  <c r="AR118" i="41"/>
  <c r="AQ118" i="41"/>
  <c r="AP118" i="41"/>
  <c r="AO118" i="41"/>
  <c r="AN118" i="41"/>
  <c r="AM118" i="41"/>
  <c r="AL118" i="41"/>
  <c r="AK118" i="41"/>
  <c r="AJ118" i="41"/>
  <c r="AI118" i="41"/>
  <c r="AH118" i="41"/>
  <c r="AG118" i="41"/>
  <c r="AF118" i="41"/>
  <c r="AE118" i="41"/>
  <c r="AD118" i="41"/>
  <c r="AC118" i="41"/>
  <c r="AB118" i="41"/>
  <c r="AA118" i="41"/>
  <c r="Z118" i="41"/>
  <c r="Y118" i="41"/>
  <c r="X118" i="41"/>
  <c r="W118" i="41"/>
  <c r="V118" i="41"/>
  <c r="U118" i="41"/>
  <c r="T118" i="41"/>
  <c r="S118" i="41"/>
  <c r="R118" i="41"/>
  <c r="Q118" i="41"/>
  <c r="P118" i="41"/>
  <c r="O118" i="41"/>
  <c r="N118" i="41"/>
  <c r="M118" i="41"/>
  <c r="L118" i="41"/>
  <c r="K118" i="41"/>
  <c r="J118" i="41"/>
  <c r="I118" i="41"/>
  <c r="H118" i="41"/>
  <c r="G118" i="41"/>
  <c r="F118" i="41"/>
  <c r="DI117" i="41"/>
  <c r="DH117" i="41"/>
  <c r="DG117" i="41"/>
  <c r="DF117" i="41"/>
  <c r="DE117" i="41"/>
  <c r="DD117" i="41"/>
  <c r="DC117" i="41"/>
  <c r="DB117" i="41"/>
  <c r="DA117" i="41"/>
  <c r="CZ117" i="41"/>
  <c r="CY117" i="41"/>
  <c r="CX117" i="41"/>
  <c r="CW117" i="41"/>
  <c r="CV117" i="41"/>
  <c r="CU117" i="41"/>
  <c r="CT117" i="41"/>
  <c r="CS117" i="41"/>
  <c r="CR117" i="41"/>
  <c r="CQ117" i="41"/>
  <c r="CP117" i="41"/>
  <c r="CO117" i="41"/>
  <c r="CN117" i="41"/>
  <c r="CM117" i="41"/>
  <c r="CL117" i="41"/>
  <c r="CK117" i="41"/>
  <c r="CJ117" i="41"/>
  <c r="CI117" i="41"/>
  <c r="CH117" i="41"/>
  <c r="CG117" i="41"/>
  <c r="CF117" i="41"/>
  <c r="CE117" i="41"/>
  <c r="CD117" i="41"/>
  <c r="CC117" i="41"/>
  <c r="CB117" i="41" a="1"/>
  <c r="CB117" i="41" s="1"/>
  <c r="CA117" i="41" a="1"/>
  <c r="CA117" i="41" s="1"/>
  <c r="BZ117" i="41"/>
  <c r="BY117" i="41"/>
  <c r="BX117" i="41"/>
  <c r="BW117" i="41"/>
  <c r="BV117" i="41"/>
  <c r="BU117" i="41"/>
  <c r="BT117" i="41"/>
  <c r="BS117" i="41"/>
  <c r="BR117" i="41"/>
  <c r="BQ117" i="41"/>
  <c r="BP117" i="41"/>
  <c r="BO117" i="41"/>
  <c r="BN117" i="41"/>
  <c r="BM117" i="41"/>
  <c r="BL117" i="41"/>
  <c r="BK117" i="41"/>
  <c r="BJ117" i="41"/>
  <c r="BI117" i="41"/>
  <c r="BH117" i="41"/>
  <c r="BG117" i="41"/>
  <c r="BF117" i="41"/>
  <c r="BE117" i="41"/>
  <c r="BD117" i="41"/>
  <c r="BC117" i="41"/>
  <c r="BB117" i="41"/>
  <c r="BA117" i="41"/>
  <c r="AZ117" i="41"/>
  <c r="AY117" i="41"/>
  <c r="AX117" i="41"/>
  <c r="AW117" i="41"/>
  <c r="AV117" i="41"/>
  <c r="AU117" i="41"/>
  <c r="AT117" i="41"/>
  <c r="AS117" i="41"/>
  <c r="AR117" i="41"/>
  <c r="AQ117" i="41"/>
  <c r="AP117" i="41"/>
  <c r="AO117" i="41"/>
  <c r="AN117" i="41"/>
  <c r="AM117" i="41"/>
  <c r="AL117" i="41"/>
  <c r="AK117" i="41"/>
  <c r="AJ117" i="41"/>
  <c r="AI117" i="41"/>
  <c r="AH117" i="41"/>
  <c r="AG117" i="41"/>
  <c r="AF117" i="41"/>
  <c r="AE117" i="41"/>
  <c r="AD117" i="41"/>
  <c r="AC117" i="41"/>
  <c r="AB117" i="41"/>
  <c r="AA117" i="41"/>
  <c r="Z117" i="41"/>
  <c r="Y117" i="41"/>
  <c r="X117" i="41"/>
  <c r="W117" i="41"/>
  <c r="V117" i="41"/>
  <c r="U117" i="41"/>
  <c r="T117" i="41"/>
  <c r="S117" i="41"/>
  <c r="R117" i="41"/>
  <c r="Q117" i="41"/>
  <c r="P117" i="41"/>
  <c r="O117" i="41"/>
  <c r="N117" i="41"/>
  <c r="M117" i="41"/>
  <c r="L117" i="41"/>
  <c r="K117" i="41"/>
  <c r="J117" i="41"/>
  <c r="I117" i="41"/>
  <c r="H117" i="41"/>
  <c r="G117" i="41"/>
  <c r="F117" i="41"/>
  <c r="DI116" i="41"/>
  <c r="DH116" i="41"/>
  <c r="DG116" i="41"/>
  <c r="DF116" i="41"/>
  <c r="DE116" i="41"/>
  <c r="DD116" i="41"/>
  <c r="DC116" i="41"/>
  <c r="DB116" i="41"/>
  <c r="DA116" i="41"/>
  <c r="CZ116" i="41"/>
  <c r="CY116" i="41"/>
  <c r="CX116" i="41"/>
  <c r="CW116" i="41"/>
  <c r="CV116" i="41"/>
  <c r="CU116" i="41"/>
  <c r="CT116" i="41"/>
  <c r="CS116" i="41"/>
  <c r="CR116" i="41"/>
  <c r="CQ116" i="41"/>
  <c r="CP116" i="41"/>
  <c r="CO116" i="41"/>
  <c r="CN116" i="41"/>
  <c r="CM116" i="41"/>
  <c r="CL116" i="41"/>
  <c r="CK116" i="41"/>
  <c r="CJ116" i="41"/>
  <c r="CI116" i="41"/>
  <c r="CH116" i="41"/>
  <c r="CG116" i="41"/>
  <c r="CF116" i="41"/>
  <c r="CE116" i="41"/>
  <c r="CD116" i="41"/>
  <c r="CC116" i="41"/>
  <c r="CB116" i="41" a="1"/>
  <c r="CB116" i="41" s="1"/>
  <c r="CA116" i="41" a="1"/>
  <c r="CA116" i="41" s="1"/>
  <c r="BZ116" i="41"/>
  <c r="BY116" i="41"/>
  <c r="BX116" i="41"/>
  <c r="BW116" i="41"/>
  <c r="BV116" i="41"/>
  <c r="BU116" i="41"/>
  <c r="BT116" i="41"/>
  <c r="BS116" i="41"/>
  <c r="BR116" i="41"/>
  <c r="BQ116" i="41"/>
  <c r="BP116" i="41"/>
  <c r="BO116" i="41"/>
  <c r="BN116" i="41"/>
  <c r="BM116" i="41"/>
  <c r="BL116" i="41"/>
  <c r="BK116" i="41"/>
  <c r="BJ116" i="41"/>
  <c r="BI116" i="41"/>
  <c r="BH116" i="41"/>
  <c r="BG116" i="41"/>
  <c r="BF116" i="41"/>
  <c r="BE116" i="41"/>
  <c r="BD116" i="41"/>
  <c r="BC116" i="41"/>
  <c r="BB116" i="41"/>
  <c r="BA116" i="41"/>
  <c r="AZ116" i="41"/>
  <c r="AY116" i="41"/>
  <c r="AX116" i="41"/>
  <c r="AW116" i="41"/>
  <c r="AV116" i="41"/>
  <c r="AU116" i="41"/>
  <c r="AT116" i="41"/>
  <c r="AS116" i="41"/>
  <c r="AR116" i="41"/>
  <c r="AQ116" i="41"/>
  <c r="AP116" i="41"/>
  <c r="AO116" i="41"/>
  <c r="AN116" i="41"/>
  <c r="AM116" i="41"/>
  <c r="AL116" i="41"/>
  <c r="AK116" i="41"/>
  <c r="AJ116" i="41"/>
  <c r="AI116" i="41"/>
  <c r="AH116" i="41"/>
  <c r="AG116" i="41"/>
  <c r="AF116" i="41"/>
  <c r="AE116" i="41"/>
  <c r="AD116" i="41"/>
  <c r="AC116" i="41"/>
  <c r="AB116" i="41"/>
  <c r="AA116" i="41"/>
  <c r="Z116" i="41"/>
  <c r="Y116" i="41"/>
  <c r="X116" i="41"/>
  <c r="W116" i="41"/>
  <c r="V116" i="41"/>
  <c r="U116" i="41"/>
  <c r="T116" i="41"/>
  <c r="S116" i="41"/>
  <c r="R116" i="41"/>
  <c r="Q116" i="41"/>
  <c r="P116" i="41"/>
  <c r="O116" i="41"/>
  <c r="N116" i="41"/>
  <c r="M116" i="41"/>
  <c r="L116" i="41"/>
  <c r="K116" i="41"/>
  <c r="J116" i="41"/>
  <c r="I116" i="41"/>
  <c r="H116" i="41"/>
  <c r="G116" i="41"/>
  <c r="F116" i="41"/>
  <c r="DI115" i="41"/>
  <c r="DH115" i="41"/>
  <c r="DG115" i="41"/>
  <c r="DF115" i="41"/>
  <c r="DE115" i="41"/>
  <c r="DD115" i="41"/>
  <c r="DC115" i="41"/>
  <c r="DB115" i="41"/>
  <c r="DA115" i="41"/>
  <c r="CZ115" i="41"/>
  <c r="CY115" i="41"/>
  <c r="CX115" i="41"/>
  <c r="CW115" i="41"/>
  <c r="CV115" i="41"/>
  <c r="CU115" i="41"/>
  <c r="CT115" i="41"/>
  <c r="CS115" i="41"/>
  <c r="CR115" i="41"/>
  <c r="CQ115" i="41"/>
  <c r="CP115" i="41"/>
  <c r="CO115" i="41"/>
  <c r="CN115" i="41"/>
  <c r="CM115" i="41"/>
  <c r="CL115" i="41"/>
  <c r="CK115" i="41"/>
  <c r="CJ115" i="41"/>
  <c r="CI115" i="41"/>
  <c r="CH115" i="41"/>
  <c r="CG115" i="41"/>
  <c r="CF115" i="41"/>
  <c r="CE115" i="41"/>
  <c r="CD115" i="41"/>
  <c r="CC115" i="41"/>
  <c r="CB115" i="41" a="1"/>
  <c r="CB115" i="41" s="1"/>
  <c r="CA115" i="41" a="1"/>
  <c r="CA115" i="41" s="1"/>
  <c r="BZ115" i="41"/>
  <c r="BY115" i="41"/>
  <c r="BX115" i="41"/>
  <c r="BW115" i="41"/>
  <c r="BV115" i="41"/>
  <c r="BU115" i="41"/>
  <c r="BT115" i="41"/>
  <c r="BS115" i="41"/>
  <c r="BR115" i="41"/>
  <c r="BQ115" i="41"/>
  <c r="BP115" i="41"/>
  <c r="BO115" i="41"/>
  <c r="BN115" i="41"/>
  <c r="BM115" i="41"/>
  <c r="BL115" i="41"/>
  <c r="BK115" i="41"/>
  <c r="BJ115" i="41"/>
  <c r="BI115" i="41"/>
  <c r="BH115" i="41"/>
  <c r="BG115" i="41"/>
  <c r="BF115" i="41"/>
  <c r="BE115" i="41"/>
  <c r="BD115" i="41"/>
  <c r="BC115" i="41"/>
  <c r="BB115" i="41"/>
  <c r="BA115" i="41"/>
  <c r="AZ115" i="41"/>
  <c r="AY115" i="41"/>
  <c r="AX115" i="41"/>
  <c r="AW115" i="41"/>
  <c r="AV115" i="41"/>
  <c r="AU115" i="41"/>
  <c r="AT115" i="41"/>
  <c r="AS115" i="41"/>
  <c r="AR115" i="41"/>
  <c r="AQ115" i="41"/>
  <c r="AP115" i="41"/>
  <c r="AO115" i="41"/>
  <c r="AN115" i="41"/>
  <c r="AM115" i="41"/>
  <c r="AL115" i="41"/>
  <c r="AK115" i="41"/>
  <c r="AJ115" i="41"/>
  <c r="AI115" i="41"/>
  <c r="AH115" i="41"/>
  <c r="AG115" i="41"/>
  <c r="AF115" i="41"/>
  <c r="AE115" i="41"/>
  <c r="AD115" i="41"/>
  <c r="AC115" i="41"/>
  <c r="AB115" i="41"/>
  <c r="AA115" i="41"/>
  <c r="Z115" i="41"/>
  <c r="Y115" i="41"/>
  <c r="X115" i="41"/>
  <c r="W115" i="41"/>
  <c r="V115" i="41"/>
  <c r="U115" i="41"/>
  <c r="T115" i="41"/>
  <c r="S115" i="41"/>
  <c r="R115" i="41"/>
  <c r="Q115" i="41"/>
  <c r="P115" i="41"/>
  <c r="O115" i="41"/>
  <c r="N115" i="41"/>
  <c r="M115" i="41"/>
  <c r="L115" i="41"/>
  <c r="K115" i="41"/>
  <c r="J115" i="41"/>
  <c r="I115" i="41"/>
  <c r="H115" i="41"/>
  <c r="G115" i="41"/>
  <c r="F115" i="41"/>
  <c r="DI114" i="41"/>
  <c r="DH114" i="41"/>
  <c r="DG114" i="41"/>
  <c r="DF114" i="41"/>
  <c r="DE114" i="41"/>
  <c r="DD114" i="41"/>
  <c r="DC114" i="41"/>
  <c r="DB114" i="41"/>
  <c r="DA114" i="41"/>
  <c r="CZ114" i="41"/>
  <c r="CY114" i="41"/>
  <c r="CX114" i="41"/>
  <c r="CW114" i="41"/>
  <c r="CV114" i="41"/>
  <c r="CU114" i="41"/>
  <c r="CT114" i="41"/>
  <c r="CS114" i="41"/>
  <c r="CR114" i="41"/>
  <c r="CQ114" i="41"/>
  <c r="CP114" i="41"/>
  <c r="CO114" i="41"/>
  <c r="CN114" i="41"/>
  <c r="CM114" i="41"/>
  <c r="CL114" i="41"/>
  <c r="CK114" i="41"/>
  <c r="CJ114" i="41"/>
  <c r="CI114" i="41"/>
  <c r="CH114" i="41"/>
  <c r="CG114" i="41"/>
  <c r="CF114" i="41"/>
  <c r="CE114" i="41"/>
  <c r="CD114" i="41"/>
  <c r="CC114" i="41"/>
  <c r="CB114" i="41" a="1"/>
  <c r="CB114" i="41" s="1"/>
  <c r="CA114" i="41" a="1"/>
  <c r="CA114" i="41" s="1"/>
  <c r="BZ114" i="41"/>
  <c r="BY114" i="41"/>
  <c r="BX114" i="41"/>
  <c r="BW114" i="41"/>
  <c r="BV114" i="41"/>
  <c r="BU114" i="41"/>
  <c r="BT114" i="41"/>
  <c r="BS114" i="41"/>
  <c r="BR114" i="41"/>
  <c r="BQ114" i="41"/>
  <c r="BP114" i="41"/>
  <c r="BO114" i="41"/>
  <c r="BN114" i="41"/>
  <c r="BM114" i="41"/>
  <c r="BL114" i="41"/>
  <c r="BK114" i="41"/>
  <c r="BJ114" i="41"/>
  <c r="BI114" i="41"/>
  <c r="BH114" i="41"/>
  <c r="BG114" i="41"/>
  <c r="BF114" i="41"/>
  <c r="BE114" i="41"/>
  <c r="BD114" i="41"/>
  <c r="BC114" i="41"/>
  <c r="BB114" i="41"/>
  <c r="BA114" i="41"/>
  <c r="AZ114" i="41"/>
  <c r="AY114" i="41"/>
  <c r="AX114" i="41"/>
  <c r="AW114" i="41"/>
  <c r="AV114" i="41"/>
  <c r="AU114" i="41"/>
  <c r="AT114" i="41"/>
  <c r="AS114" i="41"/>
  <c r="AR114" i="41"/>
  <c r="AQ114" i="41"/>
  <c r="AP114" i="41"/>
  <c r="AO114" i="41"/>
  <c r="AN114" i="41"/>
  <c r="AM114" i="41"/>
  <c r="AL114" i="41"/>
  <c r="AK114" i="41"/>
  <c r="AJ114" i="41"/>
  <c r="AI114" i="41"/>
  <c r="AH114" i="41"/>
  <c r="AG114" i="41"/>
  <c r="AF114" i="41"/>
  <c r="AE114" i="41"/>
  <c r="AD114" i="41"/>
  <c r="AC114" i="41"/>
  <c r="AB114" i="41"/>
  <c r="AA114" i="41"/>
  <c r="Z114" i="41"/>
  <c r="Y114" i="41"/>
  <c r="X114" i="41"/>
  <c r="W114" i="41"/>
  <c r="V114" i="41"/>
  <c r="U114" i="41"/>
  <c r="T114" i="41"/>
  <c r="S114" i="41"/>
  <c r="R114" i="41"/>
  <c r="Q114" i="41"/>
  <c r="P114" i="41"/>
  <c r="O114" i="41"/>
  <c r="N114" i="41"/>
  <c r="M114" i="41"/>
  <c r="L114" i="41"/>
  <c r="K114" i="41"/>
  <c r="J114" i="41"/>
  <c r="I114" i="41"/>
  <c r="H114" i="41"/>
  <c r="G114" i="41"/>
  <c r="F114" i="41"/>
  <c r="DI113" i="41"/>
  <c r="DH113" i="41"/>
  <c r="DG113" i="41"/>
  <c r="DF113" i="41"/>
  <c r="DE113" i="41"/>
  <c r="DD113" i="41"/>
  <c r="DC113" i="41"/>
  <c r="DB113" i="41"/>
  <c r="DA113" i="41"/>
  <c r="CZ113" i="41"/>
  <c r="CY113" i="41"/>
  <c r="CX113" i="41"/>
  <c r="CW113" i="41"/>
  <c r="CV113" i="41"/>
  <c r="CU113" i="41"/>
  <c r="CT113" i="41"/>
  <c r="CS113" i="41"/>
  <c r="CR113" i="41"/>
  <c r="CQ113" i="41"/>
  <c r="CP113" i="41"/>
  <c r="CO113" i="41"/>
  <c r="CN113" i="41"/>
  <c r="CM113" i="41"/>
  <c r="CL113" i="41"/>
  <c r="CK113" i="41"/>
  <c r="CJ113" i="41"/>
  <c r="CI113" i="41"/>
  <c r="CH113" i="41"/>
  <c r="CG113" i="41"/>
  <c r="CF113" i="41"/>
  <c r="CE113" i="41"/>
  <c r="CD113" i="41"/>
  <c r="CC113" i="41"/>
  <c r="CB113" i="41" a="1"/>
  <c r="CB113" i="41" s="1"/>
  <c r="CA113" i="41" a="1"/>
  <c r="CA113" i="41" s="1"/>
  <c r="BZ113" i="41"/>
  <c r="BY113" i="41"/>
  <c r="BX113" i="41"/>
  <c r="BW113" i="41"/>
  <c r="BV113" i="41"/>
  <c r="BU113" i="41"/>
  <c r="BT113" i="41"/>
  <c r="BS113" i="41"/>
  <c r="BR113" i="41"/>
  <c r="BQ113" i="41"/>
  <c r="BP113" i="41"/>
  <c r="BO113" i="41"/>
  <c r="BN113" i="41"/>
  <c r="BM113" i="41"/>
  <c r="BL113" i="41"/>
  <c r="BK113" i="41"/>
  <c r="BJ113" i="41"/>
  <c r="BI113" i="41"/>
  <c r="BH113" i="41"/>
  <c r="BG113" i="41"/>
  <c r="BF113" i="41"/>
  <c r="BE113" i="41"/>
  <c r="BD113" i="41"/>
  <c r="BC113" i="41"/>
  <c r="BB113" i="41"/>
  <c r="BA113" i="41"/>
  <c r="AZ113" i="41"/>
  <c r="AY113" i="41"/>
  <c r="AX113" i="41"/>
  <c r="AW113" i="41"/>
  <c r="AV113" i="41"/>
  <c r="AU113" i="41"/>
  <c r="AT113" i="41"/>
  <c r="AS113" i="41"/>
  <c r="AR113" i="41"/>
  <c r="AQ113" i="41"/>
  <c r="AP113" i="41"/>
  <c r="AO113" i="41"/>
  <c r="AN113" i="41"/>
  <c r="AM113" i="41"/>
  <c r="AL113" i="41"/>
  <c r="AK113" i="41"/>
  <c r="AJ113" i="41"/>
  <c r="AI113" i="41"/>
  <c r="AH113" i="41"/>
  <c r="AG113" i="41"/>
  <c r="AF113" i="41"/>
  <c r="AE113" i="41"/>
  <c r="AD113" i="41"/>
  <c r="AC113" i="41"/>
  <c r="AB113" i="41"/>
  <c r="AA113" i="41"/>
  <c r="Z113" i="41"/>
  <c r="Y113" i="41"/>
  <c r="X113" i="41"/>
  <c r="W113" i="41"/>
  <c r="V113" i="41"/>
  <c r="U113" i="41"/>
  <c r="T113" i="41"/>
  <c r="S113" i="41"/>
  <c r="R113" i="41"/>
  <c r="Q113" i="41"/>
  <c r="P113" i="41"/>
  <c r="O113" i="41"/>
  <c r="N113" i="41"/>
  <c r="M113" i="41"/>
  <c r="L113" i="41"/>
  <c r="K113" i="41"/>
  <c r="J113" i="41"/>
  <c r="I113" i="41"/>
  <c r="H113" i="41"/>
  <c r="G113" i="41"/>
  <c r="F113" i="41"/>
  <c r="DI112" i="41"/>
  <c r="DH112" i="41"/>
  <c r="DG112" i="41"/>
  <c r="DF112" i="41"/>
  <c r="DE112" i="41"/>
  <c r="DD112" i="41"/>
  <c r="DC112" i="41"/>
  <c r="DB112" i="41"/>
  <c r="DA112" i="41"/>
  <c r="CZ112" i="41"/>
  <c r="CY112" i="41"/>
  <c r="CX112" i="41"/>
  <c r="CW112" i="41"/>
  <c r="CV112" i="41"/>
  <c r="CU112" i="41"/>
  <c r="CT112" i="41"/>
  <c r="CS112" i="41"/>
  <c r="CR112" i="41"/>
  <c r="CQ112" i="41"/>
  <c r="CP112" i="41"/>
  <c r="CO112" i="41"/>
  <c r="CN112" i="41"/>
  <c r="CM112" i="41"/>
  <c r="CL112" i="41"/>
  <c r="CK112" i="41"/>
  <c r="CJ112" i="41"/>
  <c r="CI112" i="41"/>
  <c r="CH112" i="41"/>
  <c r="CG112" i="41"/>
  <c r="CF112" i="41"/>
  <c r="CE112" i="41"/>
  <c r="CD112" i="41"/>
  <c r="CC112" i="41"/>
  <c r="CB112" i="41" a="1"/>
  <c r="CB112" i="41" s="1"/>
  <c r="CA112" i="41" a="1"/>
  <c r="CA112" i="41" s="1"/>
  <c r="BZ112" i="41"/>
  <c r="BY112" i="41"/>
  <c r="BX112" i="41"/>
  <c r="BW112" i="41"/>
  <c r="BV112" i="41"/>
  <c r="BU112" i="41"/>
  <c r="BT112" i="41"/>
  <c r="BS112" i="41"/>
  <c r="BR112" i="41"/>
  <c r="BQ112" i="41"/>
  <c r="BP112" i="41"/>
  <c r="BO112" i="41"/>
  <c r="BN112" i="41"/>
  <c r="BM112" i="41"/>
  <c r="BL112" i="41"/>
  <c r="BK112" i="41"/>
  <c r="BJ112" i="41"/>
  <c r="BI112" i="41"/>
  <c r="BH112" i="41"/>
  <c r="BG112" i="41"/>
  <c r="BF112" i="41"/>
  <c r="BE112" i="41"/>
  <c r="BD112" i="41"/>
  <c r="BC112" i="41"/>
  <c r="BB112" i="41"/>
  <c r="BA112" i="41"/>
  <c r="AZ112" i="41"/>
  <c r="AY112" i="41"/>
  <c r="AX112" i="41"/>
  <c r="AW112" i="41"/>
  <c r="AV112" i="41"/>
  <c r="AU112" i="41"/>
  <c r="AT112" i="41"/>
  <c r="AS112" i="41"/>
  <c r="AR112" i="41"/>
  <c r="AQ112" i="41"/>
  <c r="AP112" i="41"/>
  <c r="AO112" i="41"/>
  <c r="AN112" i="41"/>
  <c r="AM112" i="41"/>
  <c r="AL112" i="41"/>
  <c r="AK112" i="41"/>
  <c r="AJ112" i="41"/>
  <c r="AI112" i="41"/>
  <c r="AH112" i="41"/>
  <c r="AG112" i="41"/>
  <c r="AF112" i="41"/>
  <c r="AE112" i="41"/>
  <c r="AD112" i="41"/>
  <c r="AC112" i="41"/>
  <c r="AB112" i="41"/>
  <c r="AA112" i="41"/>
  <c r="Z112" i="41"/>
  <c r="Y112" i="41"/>
  <c r="X112" i="41"/>
  <c r="W112" i="41"/>
  <c r="V112" i="41"/>
  <c r="U112" i="41"/>
  <c r="T112" i="41"/>
  <c r="S112" i="41"/>
  <c r="R112" i="41"/>
  <c r="Q112" i="41"/>
  <c r="P112" i="41"/>
  <c r="O112" i="41"/>
  <c r="N112" i="41"/>
  <c r="M112" i="41"/>
  <c r="L112" i="41"/>
  <c r="K112" i="41"/>
  <c r="J112" i="41"/>
  <c r="I112" i="41"/>
  <c r="H112" i="41"/>
  <c r="G112" i="41"/>
  <c r="F112" i="41"/>
  <c r="DI111" i="41"/>
  <c r="DH111" i="41"/>
  <c r="DG111" i="41"/>
  <c r="DF111" i="41"/>
  <c r="DE111" i="41"/>
  <c r="DD111" i="41"/>
  <c r="DC111" i="41"/>
  <c r="DB111" i="41"/>
  <c r="DA111" i="41"/>
  <c r="CZ111" i="41"/>
  <c r="CY111" i="41"/>
  <c r="CX111" i="41"/>
  <c r="CW111" i="41"/>
  <c r="CV111" i="41"/>
  <c r="CU111" i="41"/>
  <c r="CT111" i="41"/>
  <c r="CS111" i="41"/>
  <c r="CR111" i="41"/>
  <c r="CQ111" i="41"/>
  <c r="CP111" i="41"/>
  <c r="CO111" i="41"/>
  <c r="CN111" i="41"/>
  <c r="CM111" i="41"/>
  <c r="CL111" i="41"/>
  <c r="CK111" i="41"/>
  <c r="CJ111" i="41"/>
  <c r="CI111" i="41"/>
  <c r="CH111" i="41"/>
  <c r="CG111" i="41"/>
  <c r="CF111" i="41"/>
  <c r="CE111" i="41"/>
  <c r="CD111" i="41"/>
  <c r="CC111" i="41"/>
  <c r="CB111" i="41" a="1"/>
  <c r="CB111" i="41" s="1"/>
  <c r="CA111" i="41" a="1"/>
  <c r="CA111" i="41" s="1"/>
  <c r="BZ111" i="41"/>
  <c r="BY111" i="41"/>
  <c r="BX111" i="41"/>
  <c r="BW111" i="41"/>
  <c r="BV111" i="41"/>
  <c r="BU111" i="41"/>
  <c r="BT111" i="41"/>
  <c r="BS111" i="41"/>
  <c r="BR111" i="41"/>
  <c r="BQ111" i="41"/>
  <c r="BP111" i="41"/>
  <c r="BO111" i="41"/>
  <c r="BN111" i="41"/>
  <c r="BM111" i="41"/>
  <c r="BL111" i="41"/>
  <c r="BK111" i="41"/>
  <c r="BJ111" i="41"/>
  <c r="BI111" i="41"/>
  <c r="BH111" i="41"/>
  <c r="BG111" i="41"/>
  <c r="BF111" i="41"/>
  <c r="BE111" i="41"/>
  <c r="BD111" i="41"/>
  <c r="BC111" i="41"/>
  <c r="BB111" i="41"/>
  <c r="BA111" i="41"/>
  <c r="AZ111" i="41"/>
  <c r="AY111" i="41"/>
  <c r="AX111" i="41"/>
  <c r="AW111" i="41"/>
  <c r="AV111" i="41"/>
  <c r="AU111" i="41"/>
  <c r="AT111" i="41"/>
  <c r="AS111" i="41"/>
  <c r="AR111" i="41"/>
  <c r="AQ111" i="41"/>
  <c r="AP111" i="41"/>
  <c r="AO111" i="41"/>
  <c r="AN111" i="41"/>
  <c r="AM111" i="41"/>
  <c r="AL111" i="41"/>
  <c r="AK111" i="41"/>
  <c r="AJ111" i="41"/>
  <c r="AI111" i="41"/>
  <c r="AH111" i="41"/>
  <c r="AG111" i="41"/>
  <c r="AF111" i="41"/>
  <c r="AE111" i="41"/>
  <c r="AD111" i="41"/>
  <c r="AC111" i="41"/>
  <c r="AB111" i="41"/>
  <c r="AA111" i="41"/>
  <c r="Z111" i="41"/>
  <c r="Y111" i="41"/>
  <c r="X111" i="41"/>
  <c r="W111" i="41"/>
  <c r="V111" i="41"/>
  <c r="U111" i="41"/>
  <c r="T111" i="41"/>
  <c r="S111" i="41"/>
  <c r="R111" i="41"/>
  <c r="Q111" i="41"/>
  <c r="P111" i="41"/>
  <c r="O111" i="41"/>
  <c r="N111" i="41"/>
  <c r="M111" i="41"/>
  <c r="L111" i="41"/>
  <c r="K111" i="41"/>
  <c r="J111" i="41"/>
  <c r="I111" i="41"/>
  <c r="H111" i="41"/>
  <c r="G111" i="41"/>
  <c r="F111" i="41"/>
  <c r="DI110" i="41"/>
  <c r="DH110" i="41"/>
  <c r="DG110" i="41"/>
  <c r="DF110" i="41"/>
  <c r="DE110" i="41"/>
  <c r="DD110" i="41"/>
  <c r="DC110" i="41"/>
  <c r="DB110" i="41"/>
  <c r="DA110" i="41"/>
  <c r="CZ110" i="41"/>
  <c r="CY110" i="41"/>
  <c r="CX110" i="41"/>
  <c r="CW110" i="41"/>
  <c r="CV110" i="41"/>
  <c r="CU110" i="41"/>
  <c r="CT110" i="41"/>
  <c r="CS110" i="41"/>
  <c r="CR110" i="41"/>
  <c r="CQ110" i="41"/>
  <c r="CP110" i="41"/>
  <c r="CO110" i="41"/>
  <c r="CN110" i="41"/>
  <c r="CM110" i="41"/>
  <c r="CL110" i="41"/>
  <c r="CK110" i="41"/>
  <c r="CJ110" i="41"/>
  <c r="CI110" i="41"/>
  <c r="CH110" i="41"/>
  <c r="CG110" i="41"/>
  <c r="CF110" i="41"/>
  <c r="CE110" i="41"/>
  <c r="CD110" i="41"/>
  <c r="CC110" i="41"/>
  <c r="CB110" i="41" a="1"/>
  <c r="CB110" i="41" s="1"/>
  <c r="CA110" i="41" a="1"/>
  <c r="CA110" i="41" s="1"/>
  <c r="BZ110" i="41"/>
  <c r="BY110" i="41"/>
  <c r="BX110" i="41"/>
  <c r="BW110" i="41"/>
  <c r="BV110" i="41"/>
  <c r="BU110" i="41"/>
  <c r="BT110" i="41"/>
  <c r="BS110" i="41"/>
  <c r="BR110" i="41"/>
  <c r="BQ110" i="41"/>
  <c r="BP110" i="41"/>
  <c r="BO110" i="41"/>
  <c r="BN110" i="41"/>
  <c r="BM110" i="41"/>
  <c r="BL110" i="41"/>
  <c r="BK110" i="41"/>
  <c r="BJ110" i="41"/>
  <c r="BI110" i="41"/>
  <c r="BH110" i="41"/>
  <c r="BG110" i="41"/>
  <c r="BF110" i="41"/>
  <c r="BE110" i="41"/>
  <c r="BD110" i="41"/>
  <c r="BC110" i="41"/>
  <c r="BB110" i="41"/>
  <c r="BA110" i="41"/>
  <c r="AZ110" i="41"/>
  <c r="AY110" i="41"/>
  <c r="AX110" i="41"/>
  <c r="AW110" i="41"/>
  <c r="AV110" i="41"/>
  <c r="AU110" i="41"/>
  <c r="AT110" i="41"/>
  <c r="AS110" i="41"/>
  <c r="AR110" i="41"/>
  <c r="AQ110" i="41"/>
  <c r="AP110" i="41"/>
  <c r="AO110" i="41"/>
  <c r="AN110" i="41"/>
  <c r="AM110" i="41"/>
  <c r="AL110" i="41"/>
  <c r="AK110" i="41"/>
  <c r="AJ110" i="41"/>
  <c r="AI110" i="41"/>
  <c r="AH110" i="41"/>
  <c r="AG110" i="41"/>
  <c r="AF110" i="41"/>
  <c r="AE110" i="41"/>
  <c r="AD110" i="41"/>
  <c r="AC110" i="41"/>
  <c r="AB110" i="41"/>
  <c r="AA110" i="41"/>
  <c r="Z110" i="41"/>
  <c r="Y110" i="41"/>
  <c r="X110" i="41"/>
  <c r="W110" i="41"/>
  <c r="V110" i="41"/>
  <c r="U110" i="41"/>
  <c r="T110" i="41"/>
  <c r="S110" i="41"/>
  <c r="R110" i="41"/>
  <c r="Q110" i="41"/>
  <c r="P110" i="41"/>
  <c r="O110" i="41"/>
  <c r="N110" i="41"/>
  <c r="M110" i="41"/>
  <c r="L110" i="41"/>
  <c r="K110" i="41"/>
  <c r="J110" i="41"/>
  <c r="I110" i="41"/>
  <c r="H110" i="41"/>
  <c r="G110" i="41"/>
  <c r="F110" i="41"/>
  <c r="DI109" i="41"/>
  <c r="DH109" i="41"/>
  <c r="DG109" i="41"/>
  <c r="DF109" i="41"/>
  <c r="DE109" i="41"/>
  <c r="DD109" i="41"/>
  <c r="DC109" i="41"/>
  <c r="DB109" i="41"/>
  <c r="DA109" i="41"/>
  <c r="CZ109" i="41"/>
  <c r="CY109" i="41"/>
  <c r="CX109" i="41"/>
  <c r="CW109" i="41"/>
  <c r="CV109" i="41"/>
  <c r="CU109" i="41"/>
  <c r="CT109" i="41"/>
  <c r="CS109" i="41"/>
  <c r="CR109" i="41"/>
  <c r="CQ109" i="41"/>
  <c r="CP109" i="41"/>
  <c r="CO109" i="41"/>
  <c r="CN109" i="41"/>
  <c r="CM109" i="41"/>
  <c r="CL109" i="41"/>
  <c r="CK109" i="41"/>
  <c r="CJ109" i="41"/>
  <c r="CI109" i="41"/>
  <c r="CH109" i="41"/>
  <c r="CG109" i="41"/>
  <c r="CF109" i="41"/>
  <c r="CE109" i="41"/>
  <c r="CD109" i="41"/>
  <c r="CC109" i="41"/>
  <c r="CB109" i="41" a="1"/>
  <c r="CB109" i="41" s="1"/>
  <c r="CA109" i="41" a="1"/>
  <c r="CA109" i="41" s="1"/>
  <c r="BZ109" i="41"/>
  <c r="BY109" i="41"/>
  <c r="BX109" i="41"/>
  <c r="BW109" i="41"/>
  <c r="BV109" i="41"/>
  <c r="BU109" i="41"/>
  <c r="BT109" i="41"/>
  <c r="BS109" i="41"/>
  <c r="BR109" i="41"/>
  <c r="BQ109" i="41"/>
  <c r="BP109" i="41"/>
  <c r="BO109" i="41"/>
  <c r="BN109" i="41"/>
  <c r="BM109" i="41"/>
  <c r="BL109" i="41"/>
  <c r="BK109" i="41"/>
  <c r="BJ109" i="41"/>
  <c r="BI109" i="41"/>
  <c r="BH109" i="41"/>
  <c r="BG109" i="41"/>
  <c r="BF109" i="41"/>
  <c r="BE109" i="41"/>
  <c r="BD109" i="41"/>
  <c r="BC109" i="41"/>
  <c r="BB109" i="41"/>
  <c r="BA109" i="41"/>
  <c r="AZ109" i="41"/>
  <c r="AY109" i="41"/>
  <c r="AX109" i="41"/>
  <c r="AW109" i="41"/>
  <c r="AV109" i="41"/>
  <c r="AU109" i="41"/>
  <c r="AT109" i="41"/>
  <c r="AS109" i="41"/>
  <c r="AR109" i="41"/>
  <c r="AQ109" i="41"/>
  <c r="AP109" i="41"/>
  <c r="AO109" i="41"/>
  <c r="AN109" i="41"/>
  <c r="AM109" i="41"/>
  <c r="AL109" i="41"/>
  <c r="AK109" i="41"/>
  <c r="AJ109" i="41"/>
  <c r="AI109" i="41"/>
  <c r="AH109" i="41"/>
  <c r="AG109" i="41"/>
  <c r="AF109" i="41"/>
  <c r="AE109" i="41"/>
  <c r="AD109" i="41"/>
  <c r="AC109" i="41"/>
  <c r="AB109" i="41"/>
  <c r="AA109" i="41"/>
  <c r="Z109" i="41"/>
  <c r="Y109" i="41"/>
  <c r="X109" i="41"/>
  <c r="W109" i="41"/>
  <c r="V109" i="41"/>
  <c r="U109" i="41"/>
  <c r="T109" i="41"/>
  <c r="S109" i="41"/>
  <c r="R109" i="41"/>
  <c r="Q109" i="41"/>
  <c r="P109" i="41"/>
  <c r="O109" i="41"/>
  <c r="N109" i="41"/>
  <c r="M109" i="41"/>
  <c r="L109" i="41"/>
  <c r="K109" i="41"/>
  <c r="J109" i="41"/>
  <c r="I109" i="41"/>
  <c r="H109" i="41"/>
  <c r="G109" i="41"/>
  <c r="F109" i="41"/>
  <c r="DI108" i="41"/>
  <c r="DH108" i="41"/>
  <c r="DG108" i="41"/>
  <c r="DF108" i="41"/>
  <c r="DE108" i="41"/>
  <c r="DD108" i="41"/>
  <c r="DC108" i="41"/>
  <c r="DB108" i="41"/>
  <c r="DA108" i="41"/>
  <c r="CZ108" i="41"/>
  <c r="CY108" i="41"/>
  <c r="CX108" i="41"/>
  <c r="CW108" i="41"/>
  <c r="CV108" i="41"/>
  <c r="CU108" i="41"/>
  <c r="CT108" i="41"/>
  <c r="CS108" i="41"/>
  <c r="CR108" i="41"/>
  <c r="CQ108" i="41"/>
  <c r="CP108" i="41"/>
  <c r="CO108" i="41"/>
  <c r="CN108" i="41"/>
  <c r="CM108" i="41"/>
  <c r="CL108" i="41"/>
  <c r="CK108" i="41"/>
  <c r="CJ108" i="41"/>
  <c r="CI108" i="41"/>
  <c r="CH108" i="41"/>
  <c r="CG108" i="41"/>
  <c r="CF108" i="41"/>
  <c r="CE108" i="41"/>
  <c r="CD108" i="41"/>
  <c r="CC108" i="41"/>
  <c r="CB108" i="41" a="1"/>
  <c r="CB108" i="41" s="1"/>
  <c r="CA108" i="41" a="1"/>
  <c r="CA108" i="41" s="1"/>
  <c r="BZ108" i="41"/>
  <c r="BY108" i="41"/>
  <c r="BX108" i="41"/>
  <c r="BW108" i="41"/>
  <c r="BV108" i="41"/>
  <c r="BU108" i="41"/>
  <c r="BT108" i="41"/>
  <c r="BS108" i="41"/>
  <c r="BR108" i="41"/>
  <c r="BQ108" i="41"/>
  <c r="BP108" i="41"/>
  <c r="BO108" i="41"/>
  <c r="BN108" i="41"/>
  <c r="BM108" i="41"/>
  <c r="BL108" i="41"/>
  <c r="BK108" i="41"/>
  <c r="BJ108" i="41"/>
  <c r="BI108" i="41"/>
  <c r="BH108" i="41"/>
  <c r="BG108" i="41"/>
  <c r="BF108" i="41"/>
  <c r="BE108" i="41"/>
  <c r="BD108" i="41"/>
  <c r="BC108" i="41"/>
  <c r="BB108" i="41"/>
  <c r="BA108" i="41"/>
  <c r="AZ108" i="41"/>
  <c r="AY108" i="41"/>
  <c r="AX108" i="41"/>
  <c r="AW108" i="41"/>
  <c r="AV108" i="41"/>
  <c r="AU108" i="41"/>
  <c r="AT108" i="41"/>
  <c r="AS108" i="41"/>
  <c r="AR108" i="41"/>
  <c r="AQ108" i="41"/>
  <c r="AP108" i="41"/>
  <c r="AO108" i="41"/>
  <c r="AN108" i="41"/>
  <c r="AM108" i="41"/>
  <c r="AL108" i="41"/>
  <c r="AK108" i="41"/>
  <c r="AJ108" i="41"/>
  <c r="AI108" i="41"/>
  <c r="AH108" i="41"/>
  <c r="AG108" i="41"/>
  <c r="AF108" i="41"/>
  <c r="AE108" i="41"/>
  <c r="AD108" i="41"/>
  <c r="AC108" i="41"/>
  <c r="AB108" i="41"/>
  <c r="AA108" i="41"/>
  <c r="Z108" i="41"/>
  <c r="Y108" i="41"/>
  <c r="X108" i="41"/>
  <c r="W108" i="41"/>
  <c r="V108" i="41"/>
  <c r="U108" i="41"/>
  <c r="T108" i="41"/>
  <c r="S108" i="41"/>
  <c r="R108" i="41"/>
  <c r="Q108" i="41"/>
  <c r="P108" i="41"/>
  <c r="O108" i="41"/>
  <c r="N108" i="41"/>
  <c r="M108" i="41"/>
  <c r="L108" i="41"/>
  <c r="K108" i="41"/>
  <c r="J108" i="41"/>
  <c r="I108" i="41"/>
  <c r="H108" i="41"/>
  <c r="G108" i="41"/>
  <c r="F108" i="41"/>
  <c r="DI107" i="41"/>
  <c r="DH107" i="41"/>
  <c r="DG107" i="41"/>
  <c r="DF107" i="41"/>
  <c r="DE107" i="41"/>
  <c r="DD107" i="41"/>
  <c r="DC107" i="41"/>
  <c r="DB107" i="41"/>
  <c r="DA107" i="41"/>
  <c r="CZ107" i="41"/>
  <c r="CY107" i="41"/>
  <c r="CX107" i="41"/>
  <c r="CW107" i="41"/>
  <c r="CV107" i="41"/>
  <c r="CU107" i="41"/>
  <c r="CT107" i="41"/>
  <c r="CS107" i="41"/>
  <c r="CR107" i="41"/>
  <c r="CQ107" i="41"/>
  <c r="CP107" i="41"/>
  <c r="CO107" i="41"/>
  <c r="CN107" i="41"/>
  <c r="CM107" i="41"/>
  <c r="CL107" i="41"/>
  <c r="CK107" i="41"/>
  <c r="CJ107" i="41"/>
  <c r="CI107" i="41"/>
  <c r="CH107" i="41"/>
  <c r="CG107" i="41"/>
  <c r="CF107" i="41"/>
  <c r="CE107" i="41"/>
  <c r="CD107" i="41"/>
  <c r="CC107" i="41"/>
  <c r="CB107" i="41" a="1"/>
  <c r="CB107" i="41" s="1"/>
  <c r="CA107" i="41" a="1"/>
  <c r="CA107" i="41" s="1"/>
  <c r="BZ107" i="41"/>
  <c r="BY107" i="41"/>
  <c r="BX107" i="41"/>
  <c r="BW107" i="41"/>
  <c r="BV107" i="41"/>
  <c r="BU107" i="41"/>
  <c r="BT107" i="41"/>
  <c r="BS107" i="41"/>
  <c r="BR107" i="41"/>
  <c r="BQ107" i="41"/>
  <c r="BP107" i="41"/>
  <c r="BO107" i="41"/>
  <c r="BN107" i="41"/>
  <c r="BM107" i="41"/>
  <c r="BL107" i="41"/>
  <c r="BK107" i="41"/>
  <c r="BJ107" i="41"/>
  <c r="BI107" i="41"/>
  <c r="BH107" i="41"/>
  <c r="BG107" i="41"/>
  <c r="BF107" i="41"/>
  <c r="BE107" i="41"/>
  <c r="BD107" i="41"/>
  <c r="BC107" i="41"/>
  <c r="BB107" i="41"/>
  <c r="BA107" i="41"/>
  <c r="AZ107" i="41"/>
  <c r="AY107" i="41"/>
  <c r="AX107" i="41"/>
  <c r="AW107" i="41"/>
  <c r="AV107" i="41"/>
  <c r="AU107" i="41"/>
  <c r="AT107" i="41"/>
  <c r="AS107" i="41"/>
  <c r="AR107" i="41"/>
  <c r="AQ107" i="41"/>
  <c r="AP107" i="41"/>
  <c r="AO107" i="41"/>
  <c r="AN107" i="41"/>
  <c r="AM107" i="41"/>
  <c r="AL107" i="41"/>
  <c r="AK107" i="41"/>
  <c r="AJ107" i="41"/>
  <c r="AI107" i="41"/>
  <c r="AH107" i="41"/>
  <c r="AG107" i="41"/>
  <c r="AF107" i="41"/>
  <c r="AE107" i="41"/>
  <c r="AD107" i="41"/>
  <c r="AC107" i="41"/>
  <c r="AB107" i="41"/>
  <c r="AA107" i="41"/>
  <c r="Z107" i="41"/>
  <c r="Y107" i="41"/>
  <c r="X107" i="41"/>
  <c r="W107" i="41"/>
  <c r="V107" i="41"/>
  <c r="U107" i="41"/>
  <c r="T107" i="41"/>
  <c r="S107" i="41"/>
  <c r="R107" i="41"/>
  <c r="Q107" i="41"/>
  <c r="P107" i="41"/>
  <c r="O107" i="41"/>
  <c r="N107" i="41"/>
  <c r="M107" i="41"/>
  <c r="L107" i="41"/>
  <c r="K107" i="41"/>
  <c r="J107" i="41"/>
  <c r="I107" i="41"/>
  <c r="H107" i="41"/>
  <c r="G107" i="41"/>
  <c r="F107" i="41"/>
  <c r="DI106" i="41"/>
  <c r="DH106" i="41"/>
  <c r="DG106" i="41"/>
  <c r="DF106" i="41"/>
  <c r="DE106" i="41"/>
  <c r="DD106" i="41"/>
  <c r="DC106" i="41"/>
  <c r="DB106" i="41"/>
  <c r="DA106" i="41"/>
  <c r="CZ106" i="41"/>
  <c r="CY106" i="41"/>
  <c r="CX106" i="41"/>
  <c r="CW106" i="41"/>
  <c r="CV106" i="41"/>
  <c r="CU106" i="41"/>
  <c r="CT106" i="41"/>
  <c r="CS106" i="41"/>
  <c r="CR106" i="41"/>
  <c r="CQ106" i="41"/>
  <c r="CP106" i="41"/>
  <c r="CO106" i="41"/>
  <c r="CN106" i="41"/>
  <c r="CM106" i="41"/>
  <c r="CL106" i="41"/>
  <c r="CK106" i="41"/>
  <c r="CJ106" i="41"/>
  <c r="CI106" i="41"/>
  <c r="CH106" i="41"/>
  <c r="CG106" i="41"/>
  <c r="CF106" i="41"/>
  <c r="CE106" i="41"/>
  <c r="CD106" i="41"/>
  <c r="CC106" i="41"/>
  <c r="CB106" i="41" a="1"/>
  <c r="CB106" i="41" s="1"/>
  <c r="CA106" i="41" a="1"/>
  <c r="CA106" i="41" s="1"/>
  <c r="BZ106" i="41"/>
  <c r="BY106" i="41"/>
  <c r="BX106" i="41"/>
  <c r="BW106" i="41"/>
  <c r="BV106" i="41"/>
  <c r="BU106" i="41"/>
  <c r="BT106" i="41"/>
  <c r="BS106" i="41"/>
  <c r="BR106" i="41"/>
  <c r="BQ106" i="41"/>
  <c r="BP106" i="41"/>
  <c r="BO106" i="41"/>
  <c r="BN106" i="41"/>
  <c r="BM106" i="41"/>
  <c r="BL106" i="41"/>
  <c r="BK106" i="41"/>
  <c r="BJ106" i="41"/>
  <c r="BI106" i="41"/>
  <c r="BH106" i="41"/>
  <c r="BG106" i="41"/>
  <c r="BF106" i="41"/>
  <c r="BE106" i="41"/>
  <c r="BD106" i="41"/>
  <c r="BC106" i="41"/>
  <c r="BB106" i="41"/>
  <c r="BA106" i="41"/>
  <c r="AZ106" i="41"/>
  <c r="AY106" i="41"/>
  <c r="AX106" i="41"/>
  <c r="AW106" i="41"/>
  <c r="AV106" i="41"/>
  <c r="AU106" i="41"/>
  <c r="AT106" i="41"/>
  <c r="AS106" i="41"/>
  <c r="AR106" i="41"/>
  <c r="AQ106" i="41"/>
  <c r="AP106" i="41"/>
  <c r="AO106" i="41"/>
  <c r="AN106" i="41"/>
  <c r="AM106" i="41"/>
  <c r="AL106" i="41"/>
  <c r="AK106" i="41"/>
  <c r="AJ106" i="41"/>
  <c r="AI106" i="41"/>
  <c r="AH106" i="41"/>
  <c r="AG106" i="41"/>
  <c r="AF106" i="41"/>
  <c r="AE106" i="41"/>
  <c r="AD106" i="41"/>
  <c r="AC106" i="41"/>
  <c r="AB106" i="41"/>
  <c r="AA106" i="41"/>
  <c r="Z106" i="41"/>
  <c r="Y106" i="41"/>
  <c r="X106" i="41"/>
  <c r="W106" i="41"/>
  <c r="V106" i="41"/>
  <c r="U106" i="41"/>
  <c r="T106" i="41"/>
  <c r="S106" i="41"/>
  <c r="R106" i="41"/>
  <c r="Q106" i="41"/>
  <c r="P106" i="41"/>
  <c r="O106" i="41"/>
  <c r="N106" i="41"/>
  <c r="M106" i="41"/>
  <c r="L106" i="41"/>
  <c r="K106" i="41"/>
  <c r="J106" i="41"/>
  <c r="I106" i="41"/>
  <c r="H106" i="41"/>
  <c r="G106" i="41"/>
  <c r="F106" i="41"/>
  <c r="DI105" i="41"/>
  <c r="DH105" i="41"/>
  <c r="DG105" i="41"/>
  <c r="DF105" i="41"/>
  <c r="DE105" i="41"/>
  <c r="DD105" i="41"/>
  <c r="DC105" i="41"/>
  <c r="DB105" i="41"/>
  <c r="DA105" i="41"/>
  <c r="CZ105" i="41"/>
  <c r="CY105" i="41"/>
  <c r="CX105" i="41"/>
  <c r="CW105" i="41"/>
  <c r="CV105" i="41"/>
  <c r="CU105" i="41"/>
  <c r="CT105" i="41"/>
  <c r="CS105" i="41"/>
  <c r="CR105" i="41"/>
  <c r="CQ105" i="41"/>
  <c r="CP105" i="41"/>
  <c r="CO105" i="41"/>
  <c r="CN105" i="41"/>
  <c r="CM105" i="41"/>
  <c r="CL105" i="41"/>
  <c r="CK105" i="41"/>
  <c r="CJ105" i="41"/>
  <c r="CI105" i="41"/>
  <c r="CH105" i="41"/>
  <c r="CG105" i="41"/>
  <c r="CF105" i="41"/>
  <c r="CE105" i="41"/>
  <c r="CD105" i="41"/>
  <c r="CC105" i="41"/>
  <c r="CB105" i="41" a="1"/>
  <c r="CB105" i="41" s="1"/>
  <c r="CA105" i="41" a="1"/>
  <c r="CA105" i="41" s="1"/>
  <c r="BZ105" i="41"/>
  <c r="BY105" i="41"/>
  <c r="BX105" i="41"/>
  <c r="BW105" i="41"/>
  <c r="BV105" i="41"/>
  <c r="BU105" i="41"/>
  <c r="BT105" i="41"/>
  <c r="BS105" i="41"/>
  <c r="BR105" i="41"/>
  <c r="BQ105" i="41"/>
  <c r="BP105" i="41"/>
  <c r="BO105" i="41"/>
  <c r="BN105" i="41"/>
  <c r="BM105" i="41"/>
  <c r="BL105" i="41"/>
  <c r="BK105" i="41"/>
  <c r="BJ105" i="41"/>
  <c r="BI105" i="41"/>
  <c r="BH105" i="41"/>
  <c r="BG105" i="41"/>
  <c r="BF105" i="41"/>
  <c r="BE105" i="41"/>
  <c r="BD105" i="41"/>
  <c r="BC105" i="41"/>
  <c r="BB105" i="41"/>
  <c r="BA105" i="41"/>
  <c r="AZ105" i="41"/>
  <c r="AY105" i="41"/>
  <c r="AX105" i="41"/>
  <c r="AW105" i="41"/>
  <c r="AV105" i="41"/>
  <c r="AU105" i="41"/>
  <c r="AT105" i="41"/>
  <c r="AS105" i="41"/>
  <c r="AR105" i="41"/>
  <c r="AQ105" i="41"/>
  <c r="AP105" i="41"/>
  <c r="AO105" i="41"/>
  <c r="AN105" i="41"/>
  <c r="AM105" i="41"/>
  <c r="AL105" i="41"/>
  <c r="AK105" i="41"/>
  <c r="AJ105" i="41"/>
  <c r="AI105" i="41"/>
  <c r="AH105" i="41"/>
  <c r="AG105" i="41"/>
  <c r="AF105" i="41"/>
  <c r="AE105" i="41"/>
  <c r="AD105" i="41"/>
  <c r="AC105" i="41"/>
  <c r="AB105" i="41"/>
  <c r="AA105" i="41"/>
  <c r="Z105" i="41"/>
  <c r="Y105" i="41"/>
  <c r="X105" i="41"/>
  <c r="W105" i="41"/>
  <c r="V105" i="41"/>
  <c r="U105" i="41"/>
  <c r="T105" i="41"/>
  <c r="S105" i="41"/>
  <c r="R105" i="41"/>
  <c r="Q105" i="41"/>
  <c r="P105" i="41"/>
  <c r="O105" i="41"/>
  <c r="N105" i="41"/>
  <c r="M105" i="41"/>
  <c r="L105" i="41"/>
  <c r="K105" i="41"/>
  <c r="J105" i="41"/>
  <c r="I105" i="41"/>
  <c r="H105" i="41"/>
  <c r="G105" i="41"/>
  <c r="F105" i="41"/>
  <c r="DI104" i="41"/>
  <c r="DH104" i="41"/>
  <c r="DG104" i="41"/>
  <c r="DF104" i="41"/>
  <c r="DE104" i="41"/>
  <c r="DD104" i="41"/>
  <c r="DC104" i="41"/>
  <c r="DB104" i="41"/>
  <c r="DA104" i="41"/>
  <c r="CZ104" i="41"/>
  <c r="CY104" i="41"/>
  <c r="CX104" i="41"/>
  <c r="CW104" i="41"/>
  <c r="CV104" i="41"/>
  <c r="CU104" i="41"/>
  <c r="CT104" i="41"/>
  <c r="CS104" i="41"/>
  <c r="CR104" i="41"/>
  <c r="CQ104" i="41"/>
  <c r="CP104" i="41"/>
  <c r="CO104" i="41"/>
  <c r="CN104" i="41"/>
  <c r="CM104" i="41"/>
  <c r="CL104" i="41"/>
  <c r="CK104" i="41"/>
  <c r="CJ104" i="41"/>
  <c r="CI104" i="41"/>
  <c r="CH104" i="41"/>
  <c r="CG104" i="41"/>
  <c r="CF104" i="41"/>
  <c r="CE104" i="41"/>
  <c r="CD104" i="41"/>
  <c r="CC104" i="41"/>
  <c r="CB104" i="41" a="1"/>
  <c r="CB104" i="41" s="1"/>
  <c r="CA104" i="41" a="1"/>
  <c r="CA104" i="41" s="1"/>
  <c r="BZ104" i="41"/>
  <c r="BY104" i="41"/>
  <c r="BX104" i="41"/>
  <c r="BW104" i="41"/>
  <c r="BV104" i="41"/>
  <c r="BU104" i="41"/>
  <c r="BT104" i="41"/>
  <c r="BS104" i="41"/>
  <c r="BR104" i="41"/>
  <c r="BQ104" i="41"/>
  <c r="BP104" i="41"/>
  <c r="BO104" i="41"/>
  <c r="BN104" i="41"/>
  <c r="BM104" i="41"/>
  <c r="BL104" i="41"/>
  <c r="BK104" i="41"/>
  <c r="BJ104" i="41"/>
  <c r="BI104" i="41"/>
  <c r="BH104" i="41"/>
  <c r="BG104" i="41"/>
  <c r="BF104" i="41"/>
  <c r="BE104" i="41"/>
  <c r="BD104" i="41"/>
  <c r="BC104" i="41"/>
  <c r="BB104" i="41"/>
  <c r="BA104" i="41"/>
  <c r="AZ104" i="41"/>
  <c r="AY104" i="41"/>
  <c r="AX104" i="41"/>
  <c r="AW104" i="41"/>
  <c r="AV104" i="41"/>
  <c r="AU104" i="41"/>
  <c r="AT104" i="41"/>
  <c r="AS104" i="41"/>
  <c r="AR104" i="41"/>
  <c r="AQ104" i="41"/>
  <c r="AP104" i="41"/>
  <c r="AO104" i="41"/>
  <c r="AN104" i="41"/>
  <c r="AM104" i="41"/>
  <c r="AL104" i="41"/>
  <c r="AK104" i="41"/>
  <c r="AJ104" i="41"/>
  <c r="AI104" i="41"/>
  <c r="AH104" i="41"/>
  <c r="AG104" i="41"/>
  <c r="AF104" i="41"/>
  <c r="AE104" i="41"/>
  <c r="AD104" i="41"/>
  <c r="AC104" i="41"/>
  <c r="AB104" i="41"/>
  <c r="AA104" i="41"/>
  <c r="Z104" i="41"/>
  <c r="Y104" i="41"/>
  <c r="X104" i="41"/>
  <c r="W104" i="41"/>
  <c r="V104" i="41"/>
  <c r="U104" i="41"/>
  <c r="T104" i="41"/>
  <c r="S104" i="41"/>
  <c r="R104" i="41"/>
  <c r="Q104" i="41"/>
  <c r="P104" i="41"/>
  <c r="O104" i="41"/>
  <c r="N104" i="41"/>
  <c r="M104" i="41"/>
  <c r="L104" i="41"/>
  <c r="K104" i="41"/>
  <c r="J104" i="41"/>
  <c r="I104" i="41"/>
  <c r="H104" i="41"/>
  <c r="G104" i="41"/>
  <c r="F104" i="41"/>
  <c r="DI103" i="41"/>
  <c r="DH103" i="41"/>
  <c r="DG103" i="41"/>
  <c r="DF103" i="41"/>
  <c r="DE103" i="41"/>
  <c r="DD103" i="41"/>
  <c r="DC103" i="41"/>
  <c r="DB103" i="41"/>
  <c r="DA103" i="41"/>
  <c r="CZ103" i="41"/>
  <c r="CY103" i="41"/>
  <c r="CX103" i="41"/>
  <c r="CW103" i="41"/>
  <c r="CV103" i="41"/>
  <c r="CU103" i="41"/>
  <c r="CT103" i="41"/>
  <c r="CS103" i="41"/>
  <c r="CR103" i="41"/>
  <c r="CQ103" i="41"/>
  <c r="CP103" i="41"/>
  <c r="CO103" i="41"/>
  <c r="CN103" i="41"/>
  <c r="CM103" i="41"/>
  <c r="CL103" i="41"/>
  <c r="CK103" i="41"/>
  <c r="CJ103" i="41"/>
  <c r="CI103" i="41"/>
  <c r="CH103" i="41"/>
  <c r="CG103" i="41"/>
  <c r="CF103" i="41"/>
  <c r="CE103" i="41"/>
  <c r="CD103" i="41"/>
  <c r="CC103" i="41"/>
  <c r="CB103" i="41" a="1"/>
  <c r="CB103" i="41" s="1"/>
  <c r="CA103" i="41" a="1"/>
  <c r="CA103" i="41" s="1"/>
  <c r="BZ103" i="41"/>
  <c r="BY103" i="41"/>
  <c r="BX103" i="41"/>
  <c r="BW103" i="41"/>
  <c r="BV103" i="41"/>
  <c r="BU103" i="41"/>
  <c r="BT103" i="41"/>
  <c r="BS103" i="41"/>
  <c r="BR103" i="41"/>
  <c r="BQ103" i="41"/>
  <c r="BP103" i="41"/>
  <c r="BO103" i="41"/>
  <c r="BN103" i="41"/>
  <c r="BM103" i="41"/>
  <c r="BL103" i="41"/>
  <c r="BK103" i="41"/>
  <c r="BJ103" i="41"/>
  <c r="BI103" i="41"/>
  <c r="BH103" i="41"/>
  <c r="BG103" i="41"/>
  <c r="BF103" i="41"/>
  <c r="BE103" i="41"/>
  <c r="BD103" i="41"/>
  <c r="BC103" i="41"/>
  <c r="BB103" i="41"/>
  <c r="BA103" i="41"/>
  <c r="AZ103" i="41"/>
  <c r="AY103" i="41"/>
  <c r="AX103" i="41"/>
  <c r="AW103" i="41"/>
  <c r="AV103" i="41"/>
  <c r="AU103" i="41"/>
  <c r="AT103" i="41"/>
  <c r="AS103" i="41"/>
  <c r="AR103" i="41"/>
  <c r="AQ103" i="41"/>
  <c r="AP103" i="41"/>
  <c r="AO103" i="41"/>
  <c r="AN103" i="41"/>
  <c r="AM103" i="41"/>
  <c r="AL103" i="41"/>
  <c r="AK103" i="41"/>
  <c r="AJ103" i="41"/>
  <c r="AI103" i="41"/>
  <c r="AH103" i="41"/>
  <c r="AG103" i="41"/>
  <c r="AF103" i="41"/>
  <c r="AE103" i="41"/>
  <c r="AD103" i="41"/>
  <c r="AC103" i="41"/>
  <c r="AB103" i="41"/>
  <c r="AA103" i="41"/>
  <c r="Z103" i="41"/>
  <c r="Y103" i="41"/>
  <c r="X103" i="41"/>
  <c r="W103" i="41"/>
  <c r="V103" i="41"/>
  <c r="U103" i="41"/>
  <c r="T103" i="41"/>
  <c r="S103" i="41"/>
  <c r="R103" i="41"/>
  <c r="Q103" i="41"/>
  <c r="P103" i="41"/>
  <c r="O103" i="41"/>
  <c r="N103" i="41"/>
  <c r="M103" i="41"/>
  <c r="L103" i="41"/>
  <c r="K103" i="41"/>
  <c r="J103" i="41"/>
  <c r="I103" i="41"/>
  <c r="H103" i="41"/>
  <c r="G103" i="41"/>
  <c r="F103" i="41"/>
  <c r="DI102" i="41"/>
  <c r="DH102" i="41"/>
  <c r="DG102" i="41"/>
  <c r="DF102" i="41"/>
  <c r="DE102" i="41"/>
  <c r="DD102" i="41"/>
  <c r="DC102" i="41"/>
  <c r="DB102" i="41"/>
  <c r="DA102" i="41"/>
  <c r="CZ102" i="41"/>
  <c r="CY102" i="41"/>
  <c r="CX102" i="41"/>
  <c r="CW102" i="41"/>
  <c r="CV102" i="41"/>
  <c r="CU102" i="41"/>
  <c r="CT102" i="41"/>
  <c r="CS102" i="41"/>
  <c r="CR102" i="41"/>
  <c r="CQ102" i="41"/>
  <c r="CP102" i="41"/>
  <c r="CO102" i="41"/>
  <c r="CN102" i="41"/>
  <c r="CM102" i="41"/>
  <c r="CL102" i="41"/>
  <c r="CK102" i="41"/>
  <c r="CJ102" i="41"/>
  <c r="CI102" i="41"/>
  <c r="CH102" i="41"/>
  <c r="CG102" i="41"/>
  <c r="CF102" i="41"/>
  <c r="CE102" i="41"/>
  <c r="CD102" i="41"/>
  <c r="CC102" i="41"/>
  <c r="CB102" i="41" a="1"/>
  <c r="CB102" i="41" s="1"/>
  <c r="CA102" i="41" a="1"/>
  <c r="CA102" i="41" s="1"/>
  <c r="BZ102" i="41"/>
  <c r="BY102" i="41"/>
  <c r="BX102" i="41"/>
  <c r="BW102" i="41"/>
  <c r="BV102" i="41"/>
  <c r="BU102" i="41"/>
  <c r="BT102" i="41"/>
  <c r="BS102" i="41"/>
  <c r="BR102" i="41"/>
  <c r="BQ102" i="41"/>
  <c r="BP102" i="41"/>
  <c r="BO102" i="41"/>
  <c r="BN102" i="41"/>
  <c r="BM102" i="41"/>
  <c r="BL102" i="41"/>
  <c r="BK102" i="41"/>
  <c r="BJ102" i="41"/>
  <c r="BI102" i="41"/>
  <c r="BH102" i="41"/>
  <c r="BG102" i="41"/>
  <c r="BF102" i="41"/>
  <c r="BE102" i="41"/>
  <c r="BD102" i="41"/>
  <c r="BC102" i="41"/>
  <c r="BB102" i="41"/>
  <c r="BA102" i="41"/>
  <c r="AZ102" i="41"/>
  <c r="AY102" i="41"/>
  <c r="AX102" i="41"/>
  <c r="AW102" i="41"/>
  <c r="AV102" i="41"/>
  <c r="AU102" i="41"/>
  <c r="AT102" i="41"/>
  <c r="AS102" i="41"/>
  <c r="AR102" i="41"/>
  <c r="AQ102" i="41"/>
  <c r="AP102" i="41"/>
  <c r="AO102" i="41"/>
  <c r="AN102" i="41"/>
  <c r="AM102" i="41"/>
  <c r="AL102" i="41"/>
  <c r="AK102" i="41"/>
  <c r="AJ102" i="41"/>
  <c r="AI102" i="41"/>
  <c r="AH102" i="41"/>
  <c r="AG102" i="41"/>
  <c r="AF102" i="41"/>
  <c r="AE102" i="41"/>
  <c r="AD102" i="41"/>
  <c r="AC102" i="41"/>
  <c r="AB102" i="41"/>
  <c r="AA102" i="41"/>
  <c r="Z102" i="41"/>
  <c r="Y102" i="41"/>
  <c r="X102" i="41"/>
  <c r="W102" i="41"/>
  <c r="V102" i="41"/>
  <c r="U102" i="41"/>
  <c r="T102" i="41"/>
  <c r="S102" i="41"/>
  <c r="R102" i="41"/>
  <c r="Q102" i="41"/>
  <c r="P102" i="41"/>
  <c r="O102" i="41"/>
  <c r="N102" i="41"/>
  <c r="M102" i="41"/>
  <c r="L102" i="41"/>
  <c r="K102" i="41"/>
  <c r="J102" i="41"/>
  <c r="I102" i="41"/>
  <c r="H102" i="41"/>
  <c r="G102" i="41"/>
  <c r="F102" i="41"/>
  <c r="DI101" i="41"/>
  <c r="DH101" i="41"/>
  <c r="DG101" i="41"/>
  <c r="DF101" i="41"/>
  <c r="DE101" i="41"/>
  <c r="DD101" i="41"/>
  <c r="DC101" i="41"/>
  <c r="DB101" i="41"/>
  <c r="DA101" i="41"/>
  <c r="CZ101" i="41"/>
  <c r="CY101" i="41"/>
  <c r="CX101" i="41"/>
  <c r="CW101" i="41"/>
  <c r="CV101" i="41"/>
  <c r="CU101" i="41"/>
  <c r="CT101" i="41"/>
  <c r="CS101" i="41"/>
  <c r="CR101" i="41"/>
  <c r="CQ101" i="41"/>
  <c r="CP101" i="41"/>
  <c r="CO101" i="41"/>
  <c r="CN101" i="41"/>
  <c r="CM101" i="41"/>
  <c r="CL101" i="41"/>
  <c r="CK101" i="41"/>
  <c r="CJ101" i="41"/>
  <c r="CI101" i="41"/>
  <c r="CH101" i="41"/>
  <c r="CG101" i="41"/>
  <c r="CF101" i="41"/>
  <c r="CE101" i="41"/>
  <c r="CD101" i="41"/>
  <c r="CC101" i="41"/>
  <c r="CB101" i="41" a="1"/>
  <c r="CB101" i="41" s="1"/>
  <c r="CA101" i="41" a="1"/>
  <c r="CA101" i="41" s="1"/>
  <c r="BZ101" i="41"/>
  <c r="BY101" i="41"/>
  <c r="BX101" i="41"/>
  <c r="BW101" i="41"/>
  <c r="BV101" i="41"/>
  <c r="BU101" i="41"/>
  <c r="BT101" i="41"/>
  <c r="BS101" i="41"/>
  <c r="BR101" i="41"/>
  <c r="BQ101" i="41"/>
  <c r="BP101" i="41"/>
  <c r="BO101" i="41"/>
  <c r="BN101" i="41"/>
  <c r="BM101" i="41"/>
  <c r="BL101" i="41"/>
  <c r="BK101" i="41"/>
  <c r="BJ101" i="41"/>
  <c r="BI101" i="41"/>
  <c r="BH101" i="41"/>
  <c r="BG101" i="41"/>
  <c r="BF101" i="41"/>
  <c r="BE101" i="41"/>
  <c r="BD101" i="41"/>
  <c r="BC101" i="41"/>
  <c r="BB101" i="41"/>
  <c r="BA101" i="41"/>
  <c r="AZ101" i="41"/>
  <c r="AY101" i="41"/>
  <c r="AX101" i="41"/>
  <c r="AW101" i="41"/>
  <c r="AV101" i="41"/>
  <c r="AU101" i="41"/>
  <c r="AT101" i="41"/>
  <c r="AS101" i="41"/>
  <c r="AR101" i="41"/>
  <c r="AQ101" i="41"/>
  <c r="AP101" i="41"/>
  <c r="AO101" i="41"/>
  <c r="AN101" i="41"/>
  <c r="AM101" i="41"/>
  <c r="AL101" i="41"/>
  <c r="AK101" i="41"/>
  <c r="AJ101" i="41"/>
  <c r="AI101" i="41"/>
  <c r="AH101" i="41"/>
  <c r="AG101" i="41"/>
  <c r="AF101" i="41"/>
  <c r="AE101" i="41"/>
  <c r="AD101" i="41"/>
  <c r="AC101" i="41"/>
  <c r="AB101" i="41"/>
  <c r="AA101" i="41"/>
  <c r="Z101" i="41"/>
  <c r="Y101" i="41"/>
  <c r="X101" i="41"/>
  <c r="W101" i="41"/>
  <c r="V101" i="41"/>
  <c r="U101" i="41"/>
  <c r="T101" i="41"/>
  <c r="S101" i="41"/>
  <c r="R101" i="41"/>
  <c r="Q101" i="41"/>
  <c r="P101" i="41"/>
  <c r="O101" i="41"/>
  <c r="N101" i="41"/>
  <c r="M101" i="41"/>
  <c r="L101" i="41"/>
  <c r="K101" i="41"/>
  <c r="J101" i="41"/>
  <c r="I101" i="41"/>
  <c r="H101" i="41"/>
  <c r="G101" i="41"/>
  <c r="F101" i="41"/>
  <c r="DI100" i="41"/>
  <c r="DH100" i="41"/>
  <c r="DG100" i="41"/>
  <c r="DF100" i="41"/>
  <c r="DE100" i="41"/>
  <c r="DD100" i="41"/>
  <c r="DC100" i="41"/>
  <c r="DB100" i="41"/>
  <c r="DA100" i="41"/>
  <c r="CZ100" i="41"/>
  <c r="CY100" i="41"/>
  <c r="CX100" i="41"/>
  <c r="CW100" i="41"/>
  <c r="CV100" i="41"/>
  <c r="CU100" i="41"/>
  <c r="CT100" i="41"/>
  <c r="CS100" i="41"/>
  <c r="CR100" i="41"/>
  <c r="CQ100" i="41"/>
  <c r="CP100" i="41"/>
  <c r="CO100" i="41"/>
  <c r="CN100" i="41"/>
  <c r="CM100" i="41"/>
  <c r="CL100" i="41"/>
  <c r="CK100" i="41"/>
  <c r="CJ100" i="41"/>
  <c r="CI100" i="41"/>
  <c r="CH100" i="41"/>
  <c r="CG100" i="41"/>
  <c r="CF100" i="41"/>
  <c r="CE100" i="41"/>
  <c r="CD100" i="41"/>
  <c r="CC100" i="41"/>
  <c r="CB100" i="41" a="1"/>
  <c r="CB100" i="41" s="1"/>
  <c r="CA100" i="41" a="1"/>
  <c r="CA100" i="41" s="1"/>
  <c r="BZ100" i="41"/>
  <c r="BY100" i="41"/>
  <c r="BX100" i="41"/>
  <c r="BW100" i="41"/>
  <c r="BV100" i="41"/>
  <c r="BU100" i="41"/>
  <c r="BT100" i="41"/>
  <c r="BS100" i="41"/>
  <c r="BR100" i="41"/>
  <c r="BQ100" i="41"/>
  <c r="BP100" i="41"/>
  <c r="BO100" i="41"/>
  <c r="BN100" i="41"/>
  <c r="BM100" i="41"/>
  <c r="BL100" i="41"/>
  <c r="BK100" i="41"/>
  <c r="BJ100" i="41"/>
  <c r="BI100" i="41"/>
  <c r="BH100" i="41"/>
  <c r="BG100" i="41"/>
  <c r="BF100" i="41"/>
  <c r="BE100" i="41"/>
  <c r="BD100" i="41"/>
  <c r="BC100" i="41"/>
  <c r="BB100" i="41"/>
  <c r="BA100" i="41"/>
  <c r="AZ100" i="41"/>
  <c r="AY100" i="41"/>
  <c r="AX100" i="41"/>
  <c r="AW100" i="41"/>
  <c r="AV100" i="41"/>
  <c r="AU100" i="41"/>
  <c r="AT100" i="41"/>
  <c r="AS100" i="41"/>
  <c r="AR100" i="41"/>
  <c r="AQ100" i="41"/>
  <c r="AP100" i="41"/>
  <c r="AO100" i="41"/>
  <c r="AN100" i="41"/>
  <c r="AM100" i="41"/>
  <c r="AL100" i="41"/>
  <c r="AK100" i="41"/>
  <c r="AJ100" i="41"/>
  <c r="AI100" i="41"/>
  <c r="AH100" i="41"/>
  <c r="AG100" i="41"/>
  <c r="AF100" i="41"/>
  <c r="AE100" i="41"/>
  <c r="AD100" i="41"/>
  <c r="AC100" i="41"/>
  <c r="AB100" i="41"/>
  <c r="AA100" i="41"/>
  <c r="Z100" i="41"/>
  <c r="Y100" i="41"/>
  <c r="X100" i="41"/>
  <c r="W100" i="41"/>
  <c r="V100" i="41"/>
  <c r="U100" i="41"/>
  <c r="T100" i="41"/>
  <c r="S100" i="41"/>
  <c r="R100" i="41"/>
  <c r="Q100" i="41"/>
  <c r="P100" i="41"/>
  <c r="O100" i="41"/>
  <c r="N100" i="41"/>
  <c r="M100" i="41"/>
  <c r="L100" i="41"/>
  <c r="K100" i="41"/>
  <c r="J100" i="41"/>
  <c r="I100" i="41"/>
  <c r="H100" i="41"/>
  <c r="G100" i="41"/>
  <c r="F100" i="41"/>
  <c r="DI99" i="41"/>
  <c r="DH99" i="41"/>
  <c r="DG99" i="41"/>
  <c r="DF99" i="41"/>
  <c r="DE99" i="41"/>
  <c r="DD99" i="41"/>
  <c r="DC99" i="41"/>
  <c r="DB99" i="41"/>
  <c r="DA99" i="41"/>
  <c r="CZ99" i="41"/>
  <c r="CY99" i="41"/>
  <c r="CX99" i="41"/>
  <c r="CW99" i="41"/>
  <c r="CV99" i="41"/>
  <c r="CU99" i="41"/>
  <c r="CT99" i="41"/>
  <c r="CS99" i="41"/>
  <c r="CR99" i="41"/>
  <c r="CQ99" i="41"/>
  <c r="CP99" i="41"/>
  <c r="CO99" i="41"/>
  <c r="CN99" i="41"/>
  <c r="CM99" i="41"/>
  <c r="CL99" i="41"/>
  <c r="CK99" i="41"/>
  <c r="CJ99" i="41"/>
  <c r="CI99" i="41"/>
  <c r="CH99" i="41"/>
  <c r="CG99" i="41"/>
  <c r="CF99" i="41"/>
  <c r="CE99" i="41"/>
  <c r="CD99" i="41"/>
  <c r="CC99" i="41"/>
  <c r="CB99" i="41" a="1"/>
  <c r="CB99" i="41" s="1"/>
  <c r="CA99" i="41" a="1"/>
  <c r="CA99" i="41" s="1"/>
  <c r="BZ99" i="41"/>
  <c r="BY99" i="41"/>
  <c r="BX99" i="41"/>
  <c r="BW99" i="41"/>
  <c r="BV99" i="41"/>
  <c r="BU99" i="41"/>
  <c r="BT99" i="41"/>
  <c r="BS99" i="41"/>
  <c r="BR99" i="41"/>
  <c r="BQ99" i="41"/>
  <c r="BP99" i="41"/>
  <c r="BO99" i="41"/>
  <c r="BN99" i="41"/>
  <c r="BM99" i="41"/>
  <c r="BL99" i="41"/>
  <c r="BK99" i="41"/>
  <c r="BJ99" i="41"/>
  <c r="BI99" i="41"/>
  <c r="BH99" i="41"/>
  <c r="BG99" i="41"/>
  <c r="BF99" i="41"/>
  <c r="BE99" i="41"/>
  <c r="BD99" i="41"/>
  <c r="BC99" i="41"/>
  <c r="BB99" i="41"/>
  <c r="BA99" i="41"/>
  <c r="AZ99" i="41"/>
  <c r="AY99" i="41"/>
  <c r="AX99" i="41"/>
  <c r="AW99" i="41"/>
  <c r="AV99" i="41"/>
  <c r="AU99" i="41"/>
  <c r="AT99" i="41"/>
  <c r="AS99" i="41"/>
  <c r="AR99" i="41"/>
  <c r="AQ99" i="41"/>
  <c r="AP99" i="41"/>
  <c r="AO99" i="41"/>
  <c r="AN99" i="41"/>
  <c r="AM99" i="41"/>
  <c r="AL99" i="41"/>
  <c r="AK99" i="41"/>
  <c r="AJ99" i="41"/>
  <c r="AI99" i="41"/>
  <c r="AH99" i="41"/>
  <c r="AG99" i="41"/>
  <c r="AF99" i="41"/>
  <c r="AE99" i="41"/>
  <c r="AD99" i="41"/>
  <c r="AC99" i="41"/>
  <c r="AB99" i="41"/>
  <c r="AA99" i="41"/>
  <c r="Z99" i="41"/>
  <c r="Y99" i="41"/>
  <c r="X99" i="41"/>
  <c r="W99" i="41"/>
  <c r="V99" i="41"/>
  <c r="U99" i="41"/>
  <c r="T99" i="41"/>
  <c r="S99" i="41"/>
  <c r="R99" i="41"/>
  <c r="Q99" i="41"/>
  <c r="P99" i="41"/>
  <c r="O99" i="41"/>
  <c r="N99" i="41"/>
  <c r="M99" i="41"/>
  <c r="L99" i="41"/>
  <c r="K99" i="41"/>
  <c r="J99" i="41"/>
  <c r="I99" i="41"/>
  <c r="H99" i="41"/>
  <c r="G99" i="41"/>
  <c r="F99" i="41"/>
  <c r="DI98" i="41"/>
  <c r="DH98" i="41"/>
  <c r="DG98" i="41"/>
  <c r="DF98" i="41"/>
  <c r="DE98" i="41"/>
  <c r="DD98" i="41"/>
  <c r="DC98" i="41"/>
  <c r="DB98" i="41"/>
  <c r="DA98" i="41"/>
  <c r="CZ98" i="41"/>
  <c r="CY98" i="41"/>
  <c r="CX98" i="41"/>
  <c r="CW98" i="41"/>
  <c r="CV98" i="41"/>
  <c r="CU98" i="41"/>
  <c r="CT98" i="41"/>
  <c r="CS98" i="41"/>
  <c r="CR98" i="41"/>
  <c r="CQ98" i="41"/>
  <c r="CP98" i="41"/>
  <c r="CO98" i="41"/>
  <c r="CN98" i="41"/>
  <c r="CM98" i="41"/>
  <c r="CL98" i="41"/>
  <c r="CK98" i="41"/>
  <c r="CJ98" i="41"/>
  <c r="CI98" i="41"/>
  <c r="CH98" i="41"/>
  <c r="CG98" i="41"/>
  <c r="CF98" i="41"/>
  <c r="CE98" i="41"/>
  <c r="CD98" i="41"/>
  <c r="CC98" i="41"/>
  <c r="CB98" i="41" a="1"/>
  <c r="CB98" i="41" s="1"/>
  <c r="CA98" i="41" a="1"/>
  <c r="CA98" i="41" s="1"/>
  <c r="BZ98" i="41"/>
  <c r="BY98" i="41"/>
  <c r="BX98" i="41"/>
  <c r="BW98" i="41"/>
  <c r="BV98" i="41"/>
  <c r="BU98" i="41"/>
  <c r="BT98" i="41"/>
  <c r="BS98" i="41"/>
  <c r="BR98" i="41"/>
  <c r="BQ98" i="41"/>
  <c r="BP98" i="41"/>
  <c r="BO98" i="41"/>
  <c r="BN98" i="41"/>
  <c r="BM98" i="41"/>
  <c r="BL98" i="41"/>
  <c r="BK98" i="41"/>
  <c r="BJ98" i="41"/>
  <c r="BI98" i="41"/>
  <c r="BH98" i="41"/>
  <c r="BG98" i="41"/>
  <c r="BF98" i="41"/>
  <c r="BE98" i="41"/>
  <c r="BD98" i="41"/>
  <c r="BC98" i="41"/>
  <c r="BB98" i="41"/>
  <c r="BA98" i="41"/>
  <c r="AZ98" i="41"/>
  <c r="AY98" i="41"/>
  <c r="AX98" i="41"/>
  <c r="AW98" i="41"/>
  <c r="AV98" i="41"/>
  <c r="AU98" i="41"/>
  <c r="AT98" i="41"/>
  <c r="AS98" i="41"/>
  <c r="AR98" i="41"/>
  <c r="AQ98" i="41"/>
  <c r="AP98" i="41"/>
  <c r="AO98" i="41"/>
  <c r="AN98" i="41"/>
  <c r="AM98" i="41"/>
  <c r="AL98" i="41"/>
  <c r="AK98" i="41"/>
  <c r="AJ98" i="41"/>
  <c r="AI98" i="41"/>
  <c r="AH98" i="41"/>
  <c r="AG98" i="41"/>
  <c r="AF98" i="41"/>
  <c r="AE98" i="41"/>
  <c r="AD98" i="41"/>
  <c r="AC98" i="41"/>
  <c r="AB98" i="41"/>
  <c r="AA98" i="41"/>
  <c r="Z98" i="41"/>
  <c r="Y98" i="41"/>
  <c r="X98" i="41"/>
  <c r="W98" i="41"/>
  <c r="V98" i="41"/>
  <c r="U98" i="41"/>
  <c r="T98" i="41"/>
  <c r="S98" i="41"/>
  <c r="R98" i="41"/>
  <c r="Q98" i="41"/>
  <c r="P98" i="41"/>
  <c r="O98" i="41"/>
  <c r="N98" i="41"/>
  <c r="M98" i="41"/>
  <c r="L98" i="41"/>
  <c r="K98" i="41"/>
  <c r="J98" i="41"/>
  <c r="I98" i="41"/>
  <c r="H98" i="41"/>
  <c r="G98" i="41"/>
  <c r="F98" i="41"/>
  <c r="DI97" i="41"/>
  <c r="DH97" i="41"/>
  <c r="DG97" i="41"/>
  <c r="DF97" i="41"/>
  <c r="DE97" i="41"/>
  <c r="DD97" i="41"/>
  <c r="DC97" i="41"/>
  <c r="DB97" i="41"/>
  <c r="DA97" i="41"/>
  <c r="CZ97" i="41"/>
  <c r="CY97" i="41"/>
  <c r="CX97" i="41"/>
  <c r="CW97" i="41"/>
  <c r="CV97" i="41"/>
  <c r="CU97" i="41"/>
  <c r="CT97" i="41"/>
  <c r="CS97" i="41"/>
  <c r="CR97" i="41"/>
  <c r="CQ97" i="41"/>
  <c r="CP97" i="41"/>
  <c r="CO97" i="41"/>
  <c r="CN97" i="41"/>
  <c r="CM97" i="41"/>
  <c r="CL97" i="41"/>
  <c r="CK97" i="41"/>
  <c r="CJ97" i="41"/>
  <c r="CI97" i="41"/>
  <c r="CH97" i="41"/>
  <c r="CG97" i="41"/>
  <c r="CF97" i="41"/>
  <c r="CE97" i="41"/>
  <c r="CD97" i="41"/>
  <c r="CC97" i="41"/>
  <c r="CB97" i="41" a="1"/>
  <c r="CB97" i="41" s="1"/>
  <c r="CA97" i="41" a="1"/>
  <c r="CA97" i="41" s="1"/>
  <c r="BZ97" i="41"/>
  <c r="BY97" i="41"/>
  <c r="BX97" i="41"/>
  <c r="BW97" i="41"/>
  <c r="BV97" i="41"/>
  <c r="BU97" i="41"/>
  <c r="BT97" i="41"/>
  <c r="BS97" i="41"/>
  <c r="BR97" i="41"/>
  <c r="BQ97" i="41"/>
  <c r="BP97" i="41"/>
  <c r="BO97" i="41"/>
  <c r="BN97" i="41"/>
  <c r="BM97" i="41"/>
  <c r="BL97" i="41"/>
  <c r="BK97" i="41"/>
  <c r="BJ97" i="41"/>
  <c r="BI97" i="41"/>
  <c r="BH97" i="41"/>
  <c r="BG97" i="41"/>
  <c r="BF97" i="41"/>
  <c r="BE97" i="41"/>
  <c r="BD97" i="41"/>
  <c r="BC97" i="41"/>
  <c r="BB97" i="41"/>
  <c r="BA97" i="41"/>
  <c r="AZ97" i="41"/>
  <c r="AY97" i="41"/>
  <c r="AX97" i="41"/>
  <c r="AW97" i="41"/>
  <c r="AV97" i="41"/>
  <c r="AU97" i="41"/>
  <c r="AT97" i="41"/>
  <c r="AS97" i="41"/>
  <c r="AR97" i="41"/>
  <c r="AQ97" i="41"/>
  <c r="AP97" i="41"/>
  <c r="AO97" i="41"/>
  <c r="AN97" i="41"/>
  <c r="AM97" i="41"/>
  <c r="AL97" i="41"/>
  <c r="AK97" i="41"/>
  <c r="AJ97" i="41"/>
  <c r="AI97" i="41"/>
  <c r="AH97" i="41"/>
  <c r="AG97" i="41"/>
  <c r="AF97" i="41"/>
  <c r="AE97" i="41"/>
  <c r="AD97" i="41"/>
  <c r="AC97" i="41"/>
  <c r="AB97" i="41"/>
  <c r="AA97" i="41"/>
  <c r="Z97" i="41"/>
  <c r="Y97" i="41"/>
  <c r="X97" i="41"/>
  <c r="W97" i="41"/>
  <c r="V97" i="41"/>
  <c r="U97" i="41"/>
  <c r="T97" i="41"/>
  <c r="S97" i="41"/>
  <c r="R97" i="41"/>
  <c r="Q97" i="41"/>
  <c r="P97" i="41"/>
  <c r="O97" i="41"/>
  <c r="N97" i="41"/>
  <c r="M97" i="41"/>
  <c r="L97" i="41"/>
  <c r="K97" i="41"/>
  <c r="J97" i="41"/>
  <c r="I97" i="41"/>
  <c r="H97" i="41"/>
  <c r="G97" i="41"/>
  <c r="F97" i="41"/>
  <c r="DI96" i="41"/>
  <c r="DH96" i="41"/>
  <c r="DG96" i="41"/>
  <c r="DF96" i="41"/>
  <c r="DE96" i="41"/>
  <c r="DD96" i="41"/>
  <c r="DC96" i="41"/>
  <c r="DB96" i="41"/>
  <c r="DA96" i="41"/>
  <c r="CZ96" i="41"/>
  <c r="CY96" i="41"/>
  <c r="CX96" i="41"/>
  <c r="CW96" i="41"/>
  <c r="CV96" i="41"/>
  <c r="CU96" i="41"/>
  <c r="CT96" i="41"/>
  <c r="CS96" i="41"/>
  <c r="CR96" i="41"/>
  <c r="CQ96" i="41"/>
  <c r="CP96" i="41"/>
  <c r="CO96" i="41"/>
  <c r="CN96" i="41"/>
  <c r="CM96" i="41"/>
  <c r="CL96" i="41"/>
  <c r="CK96" i="41"/>
  <c r="CJ96" i="41"/>
  <c r="CI96" i="41"/>
  <c r="CH96" i="41"/>
  <c r="CG96" i="41"/>
  <c r="CF96" i="41"/>
  <c r="CE96" i="41"/>
  <c r="CD96" i="41"/>
  <c r="CC96" i="41"/>
  <c r="CB96" i="41" a="1"/>
  <c r="CB96" i="41" s="1"/>
  <c r="CA96" i="41" a="1"/>
  <c r="CA96" i="41" s="1"/>
  <c r="BZ96" i="41"/>
  <c r="BY96" i="41"/>
  <c r="BX96" i="41"/>
  <c r="BW96" i="41"/>
  <c r="BV96" i="41"/>
  <c r="BU96" i="41"/>
  <c r="BT96" i="41"/>
  <c r="BS96" i="41"/>
  <c r="BR96" i="41"/>
  <c r="BQ96" i="41"/>
  <c r="BP96" i="41"/>
  <c r="BO96" i="41"/>
  <c r="BN96" i="41"/>
  <c r="BM96" i="41"/>
  <c r="BL96" i="41"/>
  <c r="BK96" i="41"/>
  <c r="BJ96" i="41"/>
  <c r="BI96" i="41"/>
  <c r="BH96" i="41"/>
  <c r="BG96" i="41"/>
  <c r="BF96" i="41"/>
  <c r="BE96" i="41"/>
  <c r="BD96" i="41"/>
  <c r="BC96" i="41"/>
  <c r="BB96" i="41"/>
  <c r="BA96" i="41"/>
  <c r="AZ96" i="41"/>
  <c r="AY96" i="41"/>
  <c r="AX96" i="41"/>
  <c r="AW96" i="41"/>
  <c r="AV96" i="41"/>
  <c r="AU96" i="41"/>
  <c r="AT96" i="41"/>
  <c r="AS96" i="41"/>
  <c r="AR96" i="41"/>
  <c r="AQ96" i="41"/>
  <c r="AP96" i="41"/>
  <c r="AO96" i="41"/>
  <c r="AN96" i="41"/>
  <c r="AM96" i="41"/>
  <c r="AL96" i="41"/>
  <c r="AK96" i="41"/>
  <c r="AJ96" i="41"/>
  <c r="AI96" i="41"/>
  <c r="AH96" i="41"/>
  <c r="AG96" i="41"/>
  <c r="AF96" i="41"/>
  <c r="AE96" i="41"/>
  <c r="AD96" i="41"/>
  <c r="AC96" i="41"/>
  <c r="AB96" i="41"/>
  <c r="AA96" i="41"/>
  <c r="Z96" i="41"/>
  <c r="Y96" i="41"/>
  <c r="X96" i="41"/>
  <c r="W96" i="41"/>
  <c r="V96" i="41"/>
  <c r="U96" i="41"/>
  <c r="T96" i="41"/>
  <c r="S96" i="41"/>
  <c r="R96" i="41"/>
  <c r="Q96" i="41"/>
  <c r="P96" i="41"/>
  <c r="O96" i="41"/>
  <c r="N96" i="41"/>
  <c r="M96" i="41"/>
  <c r="L96" i="41"/>
  <c r="K96" i="41"/>
  <c r="J96" i="41"/>
  <c r="I96" i="41"/>
  <c r="H96" i="41"/>
  <c r="G96" i="41"/>
  <c r="F96" i="41"/>
  <c r="DI95" i="41"/>
  <c r="DH95" i="41"/>
  <c r="DG95" i="41"/>
  <c r="DF95" i="41"/>
  <c r="DE95" i="41"/>
  <c r="DD95" i="41"/>
  <c r="DC95" i="41"/>
  <c r="DB95" i="41"/>
  <c r="DA95" i="41"/>
  <c r="CZ95" i="41"/>
  <c r="CY95" i="41"/>
  <c r="CX95" i="41"/>
  <c r="CW95" i="41"/>
  <c r="CV95" i="41"/>
  <c r="CU95" i="41"/>
  <c r="CT95" i="41"/>
  <c r="CS95" i="41"/>
  <c r="CR95" i="41"/>
  <c r="CQ95" i="41"/>
  <c r="CP95" i="41"/>
  <c r="CO95" i="41"/>
  <c r="CN95" i="41"/>
  <c r="CM95" i="41"/>
  <c r="CL95" i="41"/>
  <c r="CK95" i="41"/>
  <c r="CJ95" i="41"/>
  <c r="CI95" i="41"/>
  <c r="CH95" i="41"/>
  <c r="CG95" i="41"/>
  <c r="CF95" i="41"/>
  <c r="CE95" i="41"/>
  <c r="CD95" i="41"/>
  <c r="CC95" i="41"/>
  <c r="CB95" i="41" a="1"/>
  <c r="CB95" i="41" s="1"/>
  <c r="CA95" i="41" a="1"/>
  <c r="CA95" i="41" s="1"/>
  <c r="BZ95" i="41"/>
  <c r="BY95" i="41"/>
  <c r="BX95" i="41"/>
  <c r="BW95" i="41"/>
  <c r="BV95" i="41"/>
  <c r="BU95" i="41"/>
  <c r="BT95" i="41"/>
  <c r="BS95" i="41"/>
  <c r="BR95" i="41"/>
  <c r="BQ95" i="41"/>
  <c r="BP95" i="41"/>
  <c r="BO95" i="41"/>
  <c r="BN95" i="41"/>
  <c r="BM95" i="41"/>
  <c r="BL95" i="41"/>
  <c r="BK95" i="41"/>
  <c r="BJ95" i="41"/>
  <c r="BI95" i="41"/>
  <c r="BH95" i="41"/>
  <c r="BG95" i="41"/>
  <c r="BF95" i="41"/>
  <c r="BE95" i="41"/>
  <c r="BD95" i="41"/>
  <c r="BC95" i="41"/>
  <c r="BB95" i="41"/>
  <c r="BA95" i="41"/>
  <c r="AZ95" i="41"/>
  <c r="AY95" i="41"/>
  <c r="AX95" i="41"/>
  <c r="AW95" i="41"/>
  <c r="AV95" i="41"/>
  <c r="AU95" i="41"/>
  <c r="AT95" i="41"/>
  <c r="AS95" i="41"/>
  <c r="AR95" i="41"/>
  <c r="AQ95" i="41"/>
  <c r="AP95" i="41"/>
  <c r="AO95" i="41"/>
  <c r="AN95" i="41"/>
  <c r="AM95" i="41"/>
  <c r="AL95" i="41"/>
  <c r="AK95" i="41"/>
  <c r="AJ95" i="41"/>
  <c r="AI95" i="41"/>
  <c r="AH95" i="41"/>
  <c r="AG95" i="41"/>
  <c r="AF95" i="41"/>
  <c r="AE95" i="41"/>
  <c r="AD95" i="41"/>
  <c r="AC95" i="41"/>
  <c r="AB95" i="41"/>
  <c r="AA95" i="41"/>
  <c r="Z95" i="41"/>
  <c r="Y95" i="41"/>
  <c r="X95" i="41"/>
  <c r="W95" i="41"/>
  <c r="V95" i="41"/>
  <c r="U95" i="41"/>
  <c r="T95" i="41"/>
  <c r="S95" i="41"/>
  <c r="R95" i="41"/>
  <c r="Q95" i="41"/>
  <c r="P95" i="41"/>
  <c r="O95" i="41"/>
  <c r="N95" i="41"/>
  <c r="M95" i="41"/>
  <c r="L95" i="41"/>
  <c r="K95" i="41"/>
  <c r="J95" i="41"/>
  <c r="I95" i="41"/>
  <c r="H95" i="41"/>
  <c r="G95" i="41"/>
  <c r="F95" i="41"/>
  <c r="DI94" i="41"/>
  <c r="DH94" i="41"/>
  <c r="DG94" i="41"/>
  <c r="DF94" i="41"/>
  <c r="DE94" i="41"/>
  <c r="DD94" i="41"/>
  <c r="DC94" i="41"/>
  <c r="DB94" i="41"/>
  <c r="DA94" i="41"/>
  <c r="CZ94" i="41"/>
  <c r="CY94" i="41"/>
  <c r="CX94" i="41"/>
  <c r="CW94" i="41"/>
  <c r="CV94" i="41"/>
  <c r="CU94" i="41"/>
  <c r="CT94" i="41"/>
  <c r="CS94" i="41"/>
  <c r="CR94" i="41"/>
  <c r="CQ94" i="41"/>
  <c r="CP94" i="41"/>
  <c r="CO94" i="41"/>
  <c r="CN94" i="41"/>
  <c r="CM94" i="41"/>
  <c r="CL94" i="41"/>
  <c r="CK94" i="41"/>
  <c r="CJ94" i="41"/>
  <c r="CI94" i="41"/>
  <c r="CH94" i="41"/>
  <c r="CG94" i="41"/>
  <c r="CF94" i="41"/>
  <c r="CE94" i="41"/>
  <c r="CD94" i="41"/>
  <c r="CC94" i="41"/>
  <c r="CB94" i="41" a="1"/>
  <c r="CB94" i="41" s="1"/>
  <c r="CA94" i="41" a="1"/>
  <c r="CA94" i="41" s="1"/>
  <c r="BZ94" i="41"/>
  <c r="BY94" i="41"/>
  <c r="BX94" i="41"/>
  <c r="BW94" i="41"/>
  <c r="BV94" i="41"/>
  <c r="BU94" i="41"/>
  <c r="BT94" i="41"/>
  <c r="BS94" i="41"/>
  <c r="BR94" i="41"/>
  <c r="BQ94" i="41"/>
  <c r="BP94" i="41"/>
  <c r="BO94" i="41"/>
  <c r="BN94" i="41"/>
  <c r="BM94" i="41"/>
  <c r="BL94" i="41"/>
  <c r="BK94" i="41"/>
  <c r="BJ94" i="41"/>
  <c r="BI94" i="41"/>
  <c r="BH94" i="41"/>
  <c r="BG94" i="41"/>
  <c r="BF94" i="41"/>
  <c r="BE94" i="41"/>
  <c r="BD94" i="41"/>
  <c r="BC94" i="41"/>
  <c r="BB94" i="41"/>
  <c r="BA94" i="41"/>
  <c r="AZ94" i="41"/>
  <c r="AY94" i="41"/>
  <c r="AX94" i="41"/>
  <c r="AW94" i="41"/>
  <c r="AV94" i="41"/>
  <c r="AU94" i="41"/>
  <c r="AT94" i="41"/>
  <c r="AS94" i="41"/>
  <c r="AR94" i="41"/>
  <c r="AQ94" i="41"/>
  <c r="AP94" i="41"/>
  <c r="AO94" i="41"/>
  <c r="AN94" i="41"/>
  <c r="AM94" i="41"/>
  <c r="AL94" i="41"/>
  <c r="AK94" i="41"/>
  <c r="AJ94" i="41"/>
  <c r="AI94" i="41"/>
  <c r="AH94" i="41"/>
  <c r="AG94" i="41"/>
  <c r="AF94" i="41"/>
  <c r="AE94" i="41"/>
  <c r="AD94" i="41"/>
  <c r="AC94" i="41"/>
  <c r="AB94" i="41"/>
  <c r="AA94" i="41"/>
  <c r="Z94" i="41"/>
  <c r="Y94" i="41"/>
  <c r="X94" i="41"/>
  <c r="W94" i="41"/>
  <c r="V94" i="41"/>
  <c r="U94" i="41"/>
  <c r="T94" i="41"/>
  <c r="S94" i="41"/>
  <c r="R94" i="41"/>
  <c r="Q94" i="41"/>
  <c r="P94" i="41"/>
  <c r="O94" i="41"/>
  <c r="N94" i="41"/>
  <c r="M94" i="41"/>
  <c r="L94" i="41"/>
  <c r="K94" i="41"/>
  <c r="J94" i="41"/>
  <c r="I94" i="41"/>
  <c r="H94" i="41"/>
  <c r="G94" i="41"/>
  <c r="F94" i="41"/>
  <c r="DI93" i="41"/>
  <c r="DH93" i="41"/>
  <c r="DG93" i="41"/>
  <c r="DF93" i="41"/>
  <c r="DE93" i="41"/>
  <c r="DD93" i="41"/>
  <c r="DC93" i="41"/>
  <c r="DB93" i="41"/>
  <c r="DA93" i="41"/>
  <c r="CZ93" i="41"/>
  <c r="CY93" i="41"/>
  <c r="CX93" i="41"/>
  <c r="CW93" i="41"/>
  <c r="CV93" i="41"/>
  <c r="CU93" i="41"/>
  <c r="CT93" i="41"/>
  <c r="CS93" i="41"/>
  <c r="CR93" i="41"/>
  <c r="CQ93" i="41"/>
  <c r="CP93" i="41"/>
  <c r="CO93" i="41"/>
  <c r="CN93" i="41"/>
  <c r="CM93" i="41"/>
  <c r="CL93" i="41"/>
  <c r="CK93" i="41"/>
  <c r="CJ93" i="41"/>
  <c r="CI93" i="41"/>
  <c r="CH93" i="41"/>
  <c r="CG93" i="41"/>
  <c r="CF93" i="41"/>
  <c r="CE93" i="41"/>
  <c r="CD93" i="41"/>
  <c r="CC93" i="41"/>
  <c r="CB93" i="41" a="1"/>
  <c r="CB93" i="41" s="1"/>
  <c r="CA93" i="41" a="1"/>
  <c r="CA93" i="41" s="1"/>
  <c r="BZ93" i="41"/>
  <c r="BY93" i="41"/>
  <c r="BX93" i="41"/>
  <c r="BW93" i="41"/>
  <c r="BV93" i="41"/>
  <c r="BU93" i="41"/>
  <c r="BT93" i="41"/>
  <c r="BS93" i="41"/>
  <c r="BR93" i="41"/>
  <c r="BQ93" i="41"/>
  <c r="BP93" i="41"/>
  <c r="BO93" i="41"/>
  <c r="BN93" i="41"/>
  <c r="BM93" i="41"/>
  <c r="BL93" i="41"/>
  <c r="BK93" i="41"/>
  <c r="BJ93" i="41"/>
  <c r="BI93" i="41"/>
  <c r="BH93" i="41"/>
  <c r="BG93" i="41"/>
  <c r="BF93" i="41"/>
  <c r="BE93" i="41"/>
  <c r="BD93" i="41"/>
  <c r="BC93" i="41"/>
  <c r="BB93" i="41"/>
  <c r="BA93" i="41"/>
  <c r="AZ93" i="41"/>
  <c r="AY93" i="41"/>
  <c r="AX93" i="41"/>
  <c r="AW93" i="41"/>
  <c r="AV93" i="41"/>
  <c r="AU93" i="41"/>
  <c r="AT93" i="41"/>
  <c r="AS93" i="41"/>
  <c r="AR93" i="41"/>
  <c r="AQ93" i="41"/>
  <c r="AP93" i="41"/>
  <c r="AO93" i="41"/>
  <c r="AN93" i="41"/>
  <c r="AM93" i="41"/>
  <c r="AL93" i="41"/>
  <c r="AK93" i="41"/>
  <c r="AJ93" i="41"/>
  <c r="AI93" i="41"/>
  <c r="AH93" i="41"/>
  <c r="AG93" i="41"/>
  <c r="AF93" i="41"/>
  <c r="AE93" i="41"/>
  <c r="AD93" i="41"/>
  <c r="AC93" i="41"/>
  <c r="AB93" i="41"/>
  <c r="AA93" i="41"/>
  <c r="Z93" i="41"/>
  <c r="Y93" i="41"/>
  <c r="X93" i="41"/>
  <c r="W93" i="41"/>
  <c r="V93" i="41"/>
  <c r="U93" i="41"/>
  <c r="T93" i="41"/>
  <c r="S93" i="41"/>
  <c r="R93" i="41"/>
  <c r="Q93" i="41"/>
  <c r="P93" i="41"/>
  <c r="O93" i="41"/>
  <c r="N93" i="41"/>
  <c r="M93" i="41"/>
  <c r="L93" i="41"/>
  <c r="K93" i="41"/>
  <c r="J93" i="41"/>
  <c r="I93" i="41"/>
  <c r="H93" i="41"/>
  <c r="G93" i="41"/>
  <c r="F93" i="41"/>
  <c r="DI92" i="41"/>
  <c r="DH92" i="41"/>
  <c r="DG92" i="41"/>
  <c r="DF92" i="41"/>
  <c r="DE92" i="41"/>
  <c r="DD92" i="41"/>
  <c r="DC92" i="41"/>
  <c r="DB92" i="41"/>
  <c r="DA92" i="41"/>
  <c r="CZ92" i="41"/>
  <c r="CY92" i="41"/>
  <c r="CX92" i="41"/>
  <c r="CW92" i="41"/>
  <c r="CV92" i="41"/>
  <c r="CU92" i="41"/>
  <c r="CT92" i="41"/>
  <c r="CS92" i="41"/>
  <c r="CR92" i="41"/>
  <c r="CQ92" i="41"/>
  <c r="CP92" i="41"/>
  <c r="CO92" i="41"/>
  <c r="CN92" i="41"/>
  <c r="CM92" i="41"/>
  <c r="CL92" i="41"/>
  <c r="CK92" i="41"/>
  <c r="CJ92" i="41"/>
  <c r="CI92" i="41"/>
  <c r="CH92" i="41"/>
  <c r="CG92" i="41"/>
  <c r="CF92" i="41"/>
  <c r="CE92" i="41"/>
  <c r="CD92" i="41"/>
  <c r="CC92" i="41"/>
  <c r="CB92" i="41" a="1"/>
  <c r="CB92" i="41" s="1"/>
  <c r="CA92" i="41" a="1"/>
  <c r="CA92" i="41" s="1"/>
  <c r="BZ92" i="41"/>
  <c r="BY92" i="41"/>
  <c r="BX92" i="41"/>
  <c r="BW92" i="41"/>
  <c r="BV92" i="41"/>
  <c r="BU92" i="41"/>
  <c r="BT92" i="41"/>
  <c r="BS92" i="41"/>
  <c r="BR92" i="41"/>
  <c r="BQ92" i="41"/>
  <c r="BP92" i="41"/>
  <c r="BO92" i="41"/>
  <c r="BN92" i="41"/>
  <c r="BM92" i="41"/>
  <c r="BL92" i="41"/>
  <c r="BK92" i="41"/>
  <c r="BJ92" i="41"/>
  <c r="BI92" i="41"/>
  <c r="BH92" i="41"/>
  <c r="BG92" i="41"/>
  <c r="BF92" i="41"/>
  <c r="BE92" i="41"/>
  <c r="BD92" i="41"/>
  <c r="BC92" i="41"/>
  <c r="BB92" i="41"/>
  <c r="BA92" i="41"/>
  <c r="AZ92" i="41"/>
  <c r="AY92" i="41"/>
  <c r="AX92" i="41"/>
  <c r="AW92" i="41"/>
  <c r="AV92" i="41"/>
  <c r="AU92" i="41"/>
  <c r="AT92" i="41"/>
  <c r="AS92" i="41"/>
  <c r="AR92" i="41"/>
  <c r="AQ92" i="41"/>
  <c r="AP92" i="41"/>
  <c r="AO92" i="41"/>
  <c r="AN92" i="41"/>
  <c r="AM92" i="41"/>
  <c r="AL92" i="41"/>
  <c r="AK92" i="41"/>
  <c r="AJ92" i="41"/>
  <c r="AI92" i="41"/>
  <c r="AH92" i="41"/>
  <c r="AG92" i="41"/>
  <c r="AF92" i="41"/>
  <c r="AE92" i="41"/>
  <c r="AD92" i="41"/>
  <c r="AC92" i="41"/>
  <c r="AB92" i="41"/>
  <c r="AA92" i="41"/>
  <c r="Z92" i="41"/>
  <c r="Y92" i="41"/>
  <c r="X92" i="41"/>
  <c r="W92" i="41"/>
  <c r="V92" i="41"/>
  <c r="U92" i="41"/>
  <c r="T92" i="41"/>
  <c r="S92" i="41"/>
  <c r="R92" i="41"/>
  <c r="Q92" i="41"/>
  <c r="P92" i="41"/>
  <c r="O92" i="41"/>
  <c r="N92" i="41"/>
  <c r="M92" i="41"/>
  <c r="L92" i="41"/>
  <c r="K92" i="41"/>
  <c r="J92" i="41"/>
  <c r="I92" i="41"/>
  <c r="H92" i="41"/>
  <c r="G92" i="41"/>
  <c r="F92" i="41"/>
  <c r="DI91" i="41"/>
  <c r="DH91" i="41"/>
  <c r="DG91" i="41"/>
  <c r="DF91" i="41"/>
  <c r="DE91" i="41"/>
  <c r="DD91" i="41"/>
  <c r="DC91" i="41"/>
  <c r="DB91" i="41"/>
  <c r="DA91" i="41"/>
  <c r="CZ91" i="41"/>
  <c r="CY91" i="41"/>
  <c r="CX91" i="41"/>
  <c r="CW91" i="41"/>
  <c r="CV91" i="41"/>
  <c r="CU91" i="41"/>
  <c r="CT91" i="41"/>
  <c r="CS91" i="41"/>
  <c r="CR91" i="41"/>
  <c r="CQ91" i="41"/>
  <c r="CP91" i="41"/>
  <c r="CO91" i="41"/>
  <c r="CN91" i="41"/>
  <c r="CM91" i="41"/>
  <c r="CL91" i="41"/>
  <c r="CK91" i="41"/>
  <c r="CJ91" i="41"/>
  <c r="CI91" i="41"/>
  <c r="CH91" i="41"/>
  <c r="CG91" i="41"/>
  <c r="CF91" i="41"/>
  <c r="CE91" i="41"/>
  <c r="CD91" i="41"/>
  <c r="CC91" i="41"/>
  <c r="CB91" i="41" a="1"/>
  <c r="CB91" i="41" s="1"/>
  <c r="CA91" i="41" a="1"/>
  <c r="CA91" i="41" s="1"/>
  <c r="BZ91" i="41"/>
  <c r="BY91" i="41"/>
  <c r="BX91" i="41"/>
  <c r="BW91" i="41"/>
  <c r="BV91" i="41"/>
  <c r="BU91" i="41"/>
  <c r="BT91" i="41"/>
  <c r="BS91" i="41"/>
  <c r="BR91" i="41"/>
  <c r="BQ91" i="41"/>
  <c r="BP91" i="41"/>
  <c r="BO91" i="41"/>
  <c r="BN91" i="41"/>
  <c r="BM91" i="41"/>
  <c r="BL91" i="41"/>
  <c r="BK91" i="41"/>
  <c r="BJ91" i="41"/>
  <c r="BI91" i="41"/>
  <c r="BH91" i="41"/>
  <c r="BG91" i="41"/>
  <c r="BF91" i="41"/>
  <c r="BE91" i="41"/>
  <c r="BD91" i="41"/>
  <c r="BC91" i="41"/>
  <c r="BB91" i="41"/>
  <c r="BA91" i="41"/>
  <c r="AZ91" i="41"/>
  <c r="AY91" i="41"/>
  <c r="AX91" i="41"/>
  <c r="AW91" i="41"/>
  <c r="AV91" i="41"/>
  <c r="AU91" i="41"/>
  <c r="AT91" i="41"/>
  <c r="AS91" i="41"/>
  <c r="AR91" i="41"/>
  <c r="AQ91" i="41"/>
  <c r="AP91" i="41"/>
  <c r="AO91" i="41"/>
  <c r="AN91" i="41"/>
  <c r="AM91" i="41"/>
  <c r="AL91" i="41"/>
  <c r="AK91" i="41"/>
  <c r="AJ91" i="41"/>
  <c r="AI91" i="41"/>
  <c r="AH91" i="41"/>
  <c r="AG91" i="41"/>
  <c r="AF91" i="41"/>
  <c r="AE91" i="41"/>
  <c r="AD91" i="41"/>
  <c r="AC91" i="41"/>
  <c r="AB91" i="41"/>
  <c r="AA91" i="41"/>
  <c r="Z91" i="41"/>
  <c r="Y91" i="41"/>
  <c r="X91" i="41"/>
  <c r="W91" i="41"/>
  <c r="V91" i="41"/>
  <c r="U91" i="41"/>
  <c r="T91" i="41"/>
  <c r="S91" i="41"/>
  <c r="R91" i="41"/>
  <c r="Q91" i="41"/>
  <c r="P91" i="41"/>
  <c r="O91" i="41"/>
  <c r="N91" i="41"/>
  <c r="M91" i="41"/>
  <c r="L91" i="41"/>
  <c r="K91" i="41"/>
  <c r="J91" i="41"/>
  <c r="I91" i="41"/>
  <c r="H91" i="41"/>
  <c r="G91" i="41"/>
  <c r="F91" i="41"/>
  <c r="DI90" i="41"/>
  <c r="DH90" i="41"/>
  <c r="DG90" i="41"/>
  <c r="DF90" i="41"/>
  <c r="DE90" i="41"/>
  <c r="DD90" i="41"/>
  <c r="DC90" i="41"/>
  <c r="DB90" i="41"/>
  <c r="DA90" i="41"/>
  <c r="CZ90" i="41"/>
  <c r="CY90" i="41"/>
  <c r="CX90" i="41"/>
  <c r="CW90" i="41"/>
  <c r="CV90" i="41"/>
  <c r="CU90" i="41"/>
  <c r="CT90" i="41"/>
  <c r="CS90" i="41"/>
  <c r="CR90" i="41"/>
  <c r="CQ90" i="41"/>
  <c r="CP90" i="41"/>
  <c r="CO90" i="41"/>
  <c r="CN90" i="41"/>
  <c r="CM90" i="41"/>
  <c r="CL90" i="41"/>
  <c r="CK90" i="41"/>
  <c r="CJ90" i="41"/>
  <c r="CI90" i="41"/>
  <c r="CH90" i="41"/>
  <c r="CG90" i="41"/>
  <c r="CF90" i="41"/>
  <c r="CE90" i="41"/>
  <c r="CD90" i="41"/>
  <c r="CC90" i="41"/>
  <c r="CB90" i="41" a="1"/>
  <c r="CB90" i="41" s="1"/>
  <c r="CA90" i="41" a="1"/>
  <c r="CA90" i="41" s="1"/>
  <c r="BZ90" i="41"/>
  <c r="BY90" i="41"/>
  <c r="BX90" i="41"/>
  <c r="BW90" i="41"/>
  <c r="BV90" i="41"/>
  <c r="BU90" i="41"/>
  <c r="BT90" i="41"/>
  <c r="BS90" i="41"/>
  <c r="BR90" i="41"/>
  <c r="BQ90" i="41"/>
  <c r="BP90" i="41"/>
  <c r="BO90" i="41"/>
  <c r="BN90" i="41"/>
  <c r="BM90" i="41"/>
  <c r="BL90" i="41"/>
  <c r="BK90" i="41"/>
  <c r="BJ90" i="41"/>
  <c r="BI90" i="41"/>
  <c r="BH90" i="41"/>
  <c r="BG90" i="41"/>
  <c r="BF90" i="41"/>
  <c r="BE90" i="41"/>
  <c r="BD90" i="41"/>
  <c r="BC90" i="41"/>
  <c r="BB90" i="41"/>
  <c r="BA90" i="41"/>
  <c r="AZ90" i="41"/>
  <c r="AY90" i="41"/>
  <c r="AX90" i="41"/>
  <c r="AW90" i="41"/>
  <c r="AV90" i="41"/>
  <c r="AU90" i="41"/>
  <c r="AT90" i="41"/>
  <c r="AS90" i="41"/>
  <c r="AR90" i="41"/>
  <c r="AQ90" i="41"/>
  <c r="AP90" i="41"/>
  <c r="AO90" i="41"/>
  <c r="AN90" i="41"/>
  <c r="AM90" i="41"/>
  <c r="AL90" i="41"/>
  <c r="AK90" i="41"/>
  <c r="AJ90" i="41"/>
  <c r="AI90" i="41"/>
  <c r="AH90" i="41"/>
  <c r="AG90" i="41"/>
  <c r="AF90" i="41"/>
  <c r="AE90" i="41"/>
  <c r="AD90" i="41"/>
  <c r="AC90" i="41"/>
  <c r="AB90" i="41"/>
  <c r="AA90" i="41"/>
  <c r="Z90" i="41"/>
  <c r="Y90" i="41"/>
  <c r="X90" i="41"/>
  <c r="W90" i="41"/>
  <c r="V90" i="41"/>
  <c r="U90" i="41"/>
  <c r="T90" i="41"/>
  <c r="S90" i="41"/>
  <c r="R90" i="41"/>
  <c r="Q90" i="41"/>
  <c r="P90" i="41"/>
  <c r="O90" i="41"/>
  <c r="N90" i="41"/>
  <c r="M90" i="41"/>
  <c r="L90" i="41"/>
  <c r="K90" i="41"/>
  <c r="J90" i="41"/>
  <c r="I90" i="41"/>
  <c r="H90" i="41"/>
  <c r="G90" i="41"/>
  <c r="F90" i="41"/>
  <c r="DI89" i="41"/>
  <c r="DH89" i="41"/>
  <c r="DG89" i="41"/>
  <c r="DF89" i="41"/>
  <c r="DE89" i="41"/>
  <c r="DD89" i="41"/>
  <c r="DC89" i="41"/>
  <c r="DB89" i="41"/>
  <c r="DA89" i="41"/>
  <c r="CZ89" i="41"/>
  <c r="CY89" i="41"/>
  <c r="CX89" i="41"/>
  <c r="CW89" i="41"/>
  <c r="CV89" i="41"/>
  <c r="CU89" i="41"/>
  <c r="CT89" i="41"/>
  <c r="CS89" i="41"/>
  <c r="CR89" i="41"/>
  <c r="CQ89" i="41"/>
  <c r="CP89" i="41"/>
  <c r="CO89" i="41"/>
  <c r="CN89" i="41"/>
  <c r="CM89" i="41"/>
  <c r="CL89" i="41"/>
  <c r="CK89" i="41"/>
  <c r="CJ89" i="41"/>
  <c r="CI89" i="41"/>
  <c r="CH89" i="41"/>
  <c r="CG89" i="41"/>
  <c r="CF89" i="41"/>
  <c r="CE89" i="41"/>
  <c r="CD89" i="41"/>
  <c r="CC89" i="41"/>
  <c r="CB89" i="41" a="1"/>
  <c r="CB89" i="41" s="1"/>
  <c r="CA89" i="41" a="1"/>
  <c r="CA89" i="41" s="1"/>
  <c r="BZ89" i="41"/>
  <c r="BY89" i="41"/>
  <c r="BX89" i="41"/>
  <c r="BW89" i="41"/>
  <c r="BV89" i="41"/>
  <c r="BU89" i="41"/>
  <c r="BT89" i="41"/>
  <c r="BS89" i="41"/>
  <c r="BR89" i="41"/>
  <c r="BQ89" i="41"/>
  <c r="BP89" i="41"/>
  <c r="BO89" i="41"/>
  <c r="BN89" i="41"/>
  <c r="BM89" i="41"/>
  <c r="BL89" i="41"/>
  <c r="BK89" i="41"/>
  <c r="BJ89" i="41"/>
  <c r="BI89" i="41"/>
  <c r="BH89" i="41"/>
  <c r="BG89" i="41"/>
  <c r="BF89" i="41"/>
  <c r="BE89" i="41"/>
  <c r="BD89" i="41"/>
  <c r="BC89" i="41"/>
  <c r="BB89" i="41"/>
  <c r="BA89" i="41"/>
  <c r="AZ89" i="41"/>
  <c r="AY89" i="41"/>
  <c r="AX89" i="41"/>
  <c r="AW89" i="41"/>
  <c r="AV89" i="41"/>
  <c r="AU89" i="41"/>
  <c r="AT89" i="41"/>
  <c r="AS89" i="41"/>
  <c r="AR89" i="41"/>
  <c r="AQ89" i="41"/>
  <c r="AP89" i="41"/>
  <c r="AO89" i="41"/>
  <c r="AN89" i="41"/>
  <c r="AM89" i="41"/>
  <c r="AL89" i="41"/>
  <c r="AK89" i="41"/>
  <c r="AJ89" i="41"/>
  <c r="AI89" i="41"/>
  <c r="AH89" i="41"/>
  <c r="AG89" i="41"/>
  <c r="AF89" i="41"/>
  <c r="AE89" i="41"/>
  <c r="AD89" i="41"/>
  <c r="AC89" i="41"/>
  <c r="AB89" i="41"/>
  <c r="AA89" i="41"/>
  <c r="Z89" i="41"/>
  <c r="Y89" i="41"/>
  <c r="X89" i="41"/>
  <c r="W89" i="41"/>
  <c r="V89" i="41"/>
  <c r="U89" i="41"/>
  <c r="T89" i="41"/>
  <c r="S89" i="41"/>
  <c r="R89" i="41"/>
  <c r="Q89" i="41"/>
  <c r="P89" i="41"/>
  <c r="O89" i="41"/>
  <c r="N89" i="41"/>
  <c r="M89" i="41"/>
  <c r="L89" i="41"/>
  <c r="K89" i="41"/>
  <c r="J89" i="41"/>
  <c r="I89" i="41"/>
  <c r="H89" i="41"/>
  <c r="G89" i="41"/>
  <c r="F89" i="41"/>
  <c r="DI88" i="41"/>
  <c r="DH88" i="41"/>
  <c r="DG88" i="41"/>
  <c r="DF88" i="41"/>
  <c r="DE88" i="41"/>
  <c r="DD88" i="41"/>
  <c r="DC88" i="41"/>
  <c r="DB88" i="41"/>
  <c r="DA88" i="41"/>
  <c r="CZ88" i="41"/>
  <c r="CY88" i="41"/>
  <c r="CX88" i="41"/>
  <c r="CW88" i="41"/>
  <c r="CV88" i="41"/>
  <c r="CU88" i="41"/>
  <c r="CT88" i="41"/>
  <c r="CS88" i="41"/>
  <c r="CR88" i="41"/>
  <c r="CQ88" i="41"/>
  <c r="CP88" i="41"/>
  <c r="CO88" i="41"/>
  <c r="CN88" i="41"/>
  <c r="CM88" i="41"/>
  <c r="CL88" i="41"/>
  <c r="CK88" i="41"/>
  <c r="CJ88" i="41"/>
  <c r="CI88" i="41"/>
  <c r="CH88" i="41"/>
  <c r="CG88" i="41"/>
  <c r="CF88" i="41"/>
  <c r="CE88" i="41"/>
  <c r="CD88" i="41"/>
  <c r="CC88" i="41"/>
  <c r="CB88" i="41" a="1"/>
  <c r="CB88" i="41" s="1"/>
  <c r="CA88" i="41" a="1"/>
  <c r="CA88" i="41" s="1"/>
  <c r="BZ88" i="41"/>
  <c r="BY88" i="41"/>
  <c r="BX88" i="41"/>
  <c r="BW88" i="41"/>
  <c r="BV88" i="41"/>
  <c r="BU88" i="41"/>
  <c r="BT88" i="41"/>
  <c r="BS88" i="41"/>
  <c r="BR88" i="41"/>
  <c r="BQ88" i="41"/>
  <c r="BP88" i="41"/>
  <c r="BO88" i="41"/>
  <c r="BN88" i="41"/>
  <c r="BM88" i="41"/>
  <c r="BL88" i="41"/>
  <c r="BK88" i="41"/>
  <c r="BJ88" i="41"/>
  <c r="BI88" i="41"/>
  <c r="BH88" i="41"/>
  <c r="BG88" i="41"/>
  <c r="BF88" i="41"/>
  <c r="BE88" i="41"/>
  <c r="BD88" i="41"/>
  <c r="BC88" i="41"/>
  <c r="BB88" i="41"/>
  <c r="BA88" i="41"/>
  <c r="AZ88" i="41"/>
  <c r="AY88" i="41"/>
  <c r="AX88" i="41"/>
  <c r="AW88" i="41"/>
  <c r="AV88" i="41"/>
  <c r="AU88" i="41"/>
  <c r="AT88" i="41"/>
  <c r="AS88" i="41"/>
  <c r="AR88" i="41"/>
  <c r="AQ88" i="41"/>
  <c r="AP88" i="41"/>
  <c r="AO88" i="41"/>
  <c r="AN88" i="41"/>
  <c r="AM88" i="41"/>
  <c r="AL88" i="41"/>
  <c r="AK88" i="41"/>
  <c r="AJ88" i="41"/>
  <c r="AI88" i="41"/>
  <c r="AH88" i="41"/>
  <c r="AG88" i="41"/>
  <c r="AF88" i="41"/>
  <c r="AE88" i="41"/>
  <c r="AD88" i="41"/>
  <c r="AC88" i="41"/>
  <c r="AB88" i="41"/>
  <c r="AA88" i="41"/>
  <c r="Z88" i="41"/>
  <c r="Y88" i="41"/>
  <c r="X88" i="41"/>
  <c r="W88" i="41"/>
  <c r="V88" i="41"/>
  <c r="U88" i="41"/>
  <c r="T88" i="41"/>
  <c r="S88" i="41"/>
  <c r="R88" i="41"/>
  <c r="Q88" i="41"/>
  <c r="P88" i="41"/>
  <c r="O88" i="41"/>
  <c r="N88" i="41"/>
  <c r="M88" i="41"/>
  <c r="L88" i="41"/>
  <c r="K88" i="41"/>
  <c r="J88" i="41"/>
  <c r="I88" i="41"/>
  <c r="H88" i="41"/>
  <c r="G88" i="41"/>
  <c r="F88" i="41"/>
  <c r="DI87" i="41"/>
  <c r="DH87" i="41"/>
  <c r="DG87" i="41"/>
  <c r="DF87" i="41"/>
  <c r="DE87" i="41"/>
  <c r="DD87" i="41"/>
  <c r="DC87" i="41"/>
  <c r="DB87" i="41"/>
  <c r="DA87" i="41"/>
  <c r="CZ87" i="41"/>
  <c r="CY87" i="41"/>
  <c r="CX87" i="41"/>
  <c r="CW87" i="41"/>
  <c r="CV87" i="41"/>
  <c r="CU87" i="41"/>
  <c r="CT87" i="41"/>
  <c r="CS87" i="41"/>
  <c r="CR87" i="41"/>
  <c r="CQ87" i="41"/>
  <c r="CP87" i="41"/>
  <c r="CO87" i="41"/>
  <c r="CN87" i="41"/>
  <c r="CM87" i="41"/>
  <c r="CL87" i="41"/>
  <c r="CK87" i="41"/>
  <c r="CJ87" i="41"/>
  <c r="CI87" i="41"/>
  <c r="CH87" i="41"/>
  <c r="CG87" i="41"/>
  <c r="CF87" i="41"/>
  <c r="CE87" i="41"/>
  <c r="CD87" i="41"/>
  <c r="CC87" i="41"/>
  <c r="CB87" i="41" a="1"/>
  <c r="CB87" i="41" s="1"/>
  <c r="CA87" i="41" a="1"/>
  <c r="CA87" i="41" s="1"/>
  <c r="BZ87" i="41"/>
  <c r="BY87" i="41"/>
  <c r="BX87" i="41"/>
  <c r="BW87" i="41"/>
  <c r="BV87" i="41"/>
  <c r="BU87" i="41"/>
  <c r="BT87" i="41"/>
  <c r="BS87" i="41"/>
  <c r="BR87" i="41"/>
  <c r="BQ87" i="41"/>
  <c r="BP87" i="41"/>
  <c r="BO87" i="41"/>
  <c r="BN87" i="41"/>
  <c r="BM87" i="41"/>
  <c r="BL87" i="41"/>
  <c r="BK87" i="41"/>
  <c r="BJ87" i="41"/>
  <c r="BI87" i="41"/>
  <c r="BH87" i="41"/>
  <c r="BG87" i="41"/>
  <c r="BF87" i="41"/>
  <c r="BE87" i="41"/>
  <c r="BD87" i="41"/>
  <c r="BC87" i="41"/>
  <c r="BB87" i="41"/>
  <c r="BA87" i="41"/>
  <c r="AZ87" i="41"/>
  <c r="AY87" i="41"/>
  <c r="AX87" i="41"/>
  <c r="AW87" i="41"/>
  <c r="AV87" i="41"/>
  <c r="AU87" i="41"/>
  <c r="AT87" i="41"/>
  <c r="AS87" i="41"/>
  <c r="AR87" i="41"/>
  <c r="AQ87" i="41"/>
  <c r="AP87" i="41"/>
  <c r="AO87" i="41"/>
  <c r="AN87" i="41"/>
  <c r="AM87" i="41"/>
  <c r="AL87" i="41"/>
  <c r="AK87" i="41"/>
  <c r="AJ87" i="41"/>
  <c r="AI87" i="41"/>
  <c r="AH87" i="41"/>
  <c r="AG87" i="41"/>
  <c r="AF87" i="41"/>
  <c r="AE87" i="41"/>
  <c r="AD87" i="41"/>
  <c r="AC87" i="41"/>
  <c r="AB87" i="41"/>
  <c r="AA87" i="41"/>
  <c r="Z87" i="41"/>
  <c r="Y87" i="41"/>
  <c r="X87" i="41"/>
  <c r="W87" i="41"/>
  <c r="V87" i="41"/>
  <c r="U87" i="41"/>
  <c r="T87" i="41"/>
  <c r="S87" i="41"/>
  <c r="R87" i="41"/>
  <c r="Q87" i="41"/>
  <c r="P87" i="41"/>
  <c r="O87" i="41"/>
  <c r="N87" i="41"/>
  <c r="M87" i="41"/>
  <c r="L87" i="41"/>
  <c r="K87" i="41"/>
  <c r="J87" i="41"/>
  <c r="I87" i="41"/>
  <c r="H87" i="41"/>
  <c r="G87" i="41"/>
  <c r="F87" i="41"/>
  <c r="DI86" i="41"/>
  <c r="DH86" i="41"/>
  <c r="DG86" i="41"/>
  <c r="DF86" i="41"/>
  <c r="DE86" i="41"/>
  <c r="DD86" i="41"/>
  <c r="DC86" i="41"/>
  <c r="DB86" i="41"/>
  <c r="DA86" i="41"/>
  <c r="CZ86" i="41"/>
  <c r="CY86" i="41"/>
  <c r="CX86" i="41"/>
  <c r="CW86" i="41"/>
  <c r="CV86" i="41"/>
  <c r="CU86" i="41"/>
  <c r="CT86" i="41"/>
  <c r="CS86" i="41"/>
  <c r="CR86" i="41"/>
  <c r="CQ86" i="41"/>
  <c r="CP86" i="41"/>
  <c r="CO86" i="41"/>
  <c r="CN86" i="41"/>
  <c r="CM86" i="41"/>
  <c r="CL86" i="41"/>
  <c r="CK86" i="41"/>
  <c r="CJ86" i="41"/>
  <c r="CI86" i="41"/>
  <c r="CH86" i="41"/>
  <c r="CG86" i="41"/>
  <c r="CF86" i="41"/>
  <c r="CE86" i="41"/>
  <c r="CD86" i="41"/>
  <c r="CC86" i="41"/>
  <c r="CB86" i="41" a="1"/>
  <c r="CB86" i="41" s="1"/>
  <c r="CA86" i="41" a="1"/>
  <c r="CA86" i="41" s="1"/>
  <c r="BZ86" i="41"/>
  <c r="BY86" i="41"/>
  <c r="BX86" i="41"/>
  <c r="BW86" i="41"/>
  <c r="BV86" i="41"/>
  <c r="BU86" i="41"/>
  <c r="BT86" i="41"/>
  <c r="BS86" i="41"/>
  <c r="BR86" i="41"/>
  <c r="BQ86" i="41"/>
  <c r="BP86" i="41"/>
  <c r="BO86" i="41"/>
  <c r="BN86" i="41"/>
  <c r="BM86" i="41"/>
  <c r="BL86" i="41"/>
  <c r="BK86" i="41"/>
  <c r="BJ86" i="41"/>
  <c r="BI86" i="41"/>
  <c r="BH86" i="41"/>
  <c r="BG86" i="41"/>
  <c r="BF86" i="41"/>
  <c r="BE86" i="41"/>
  <c r="BD86" i="41"/>
  <c r="BC86" i="41"/>
  <c r="BB86" i="41"/>
  <c r="BA86" i="41"/>
  <c r="AZ86" i="41"/>
  <c r="AY86" i="41"/>
  <c r="AX86" i="41"/>
  <c r="AW86" i="41"/>
  <c r="AV86" i="41"/>
  <c r="AU86" i="41"/>
  <c r="AT86" i="41"/>
  <c r="AS86" i="41"/>
  <c r="AR86" i="41"/>
  <c r="AQ86" i="41"/>
  <c r="AP86" i="41"/>
  <c r="AO86" i="41"/>
  <c r="AN86" i="41"/>
  <c r="AM86" i="41"/>
  <c r="AL86" i="41"/>
  <c r="AK86" i="41"/>
  <c r="AJ86" i="41"/>
  <c r="AI86" i="41"/>
  <c r="AH86" i="41"/>
  <c r="AG86" i="41"/>
  <c r="AF86" i="41"/>
  <c r="AE86" i="41"/>
  <c r="AD86" i="41"/>
  <c r="AC86" i="41"/>
  <c r="AB86" i="41"/>
  <c r="AA86" i="41"/>
  <c r="Z86" i="41"/>
  <c r="Y86" i="41"/>
  <c r="X86" i="41"/>
  <c r="W86" i="41"/>
  <c r="V86" i="41"/>
  <c r="U86" i="41"/>
  <c r="T86" i="41"/>
  <c r="S86" i="41"/>
  <c r="R86" i="41"/>
  <c r="Q86" i="41"/>
  <c r="P86" i="41"/>
  <c r="O86" i="41"/>
  <c r="N86" i="41"/>
  <c r="M86" i="41"/>
  <c r="L86" i="41"/>
  <c r="K86" i="41"/>
  <c r="J86" i="41"/>
  <c r="I86" i="41"/>
  <c r="H86" i="41"/>
  <c r="G86" i="41"/>
  <c r="F86" i="41"/>
  <c r="DI85" i="41"/>
  <c r="DH85" i="41"/>
  <c r="DG85" i="41"/>
  <c r="DF85" i="41"/>
  <c r="DE85" i="41"/>
  <c r="DD85" i="41"/>
  <c r="DC85" i="41"/>
  <c r="DB85" i="41"/>
  <c r="DA85" i="41"/>
  <c r="CZ85" i="41"/>
  <c r="CY85" i="41"/>
  <c r="CX85" i="41"/>
  <c r="CW85" i="41"/>
  <c r="CV85" i="41"/>
  <c r="CU85" i="41"/>
  <c r="CT85" i="41"/>
  <c r="CS85" i="41"/>
  <c r="CR85" i="41"/>
  <c r="CQ85" i="41"/>
  <c r="CP85" i="41"/>
  <c r="CO85" i="41"/>
  <c r="CN85" i="41"/>
  <c r="CM85" i="41"/>
  <c r="CL85" i="41"/>
  <c r="CK85" i="41"/>
  <c r="CJ85" i="41"/>
  <c r="CI85" i="41"/>
  <c r="CH85" i="41"/>
  <c r="CG85" i="41"/>
  <c r="CF85" i="41"/>
  <c r="CE85" i="41"/>
  <c r="CD85" i="41"/>
  <c r="CC85" i="41"/>
  <c r="CB85" i="41" a="1"/>
  <c r="CB85" i="41" s="1"/>
  <c r="CA85" i="41" a="1"/>
  <c r="CA85" i="41" s="1"/>
  <c r="BZ85" i="41"/>
  <c r="BY85" i="41"/>
  <c r="BX85" i="41"/>
  <c r="BW85" i="41"/>
  <c r="BV85" i="41"/>
  <c r="BU85" i="41"/>
  <c r="BT85" i="41"/>
  <c r="BS85" i="41"/>
  <c r="BR85" i="41"/>
  <c r="BQ85" i="41"/>
  <c r="BP85" i="41"/>
  <c r="BO85" i="41"/>
  <c r="BN85" i="41"/>
  <c r="BM85" i="41"/>
  <c r="BL85" i="41"/>
  <c r="BK85" i="41"/>
  <c r="BJ85" i="41"/>
  <c r="BI85" i="41"/>
  <c r="BH85" i="41"/>
  <c r="BG85" i="41"/>
  <c r="BF85" i="41"/>
  <c r="BE85" i="41"/>
  <c r="BD85" i="41"/>
  <c r="BC85" i="41"/>
  <c r="BB85" i="41"/>
  <c r="BA85" i="41"/>
  <c r="AZ85" i="41"/>
  <c r="AY85" i="41"/>
  <c r="AX85" i="41"/>
  <c r="AW85" i="41"/>
  <c r="AV85" i="41"/>
  <c r="AU85" i="41"/>
  <c r="AT85" i="41"/>
  <c r="AS85" i="41"/>
  <c r="AR85" i="41"/>
  <c r="AQ85" i="41"/>
  <c r="AP85" i="41"/>
  <c r="AO85" i="41"/>
  <c r="AN85" i="41"/>
  <c r="AM85" i="41"/>
  <c r="AL85" i="41"/>
  <c r="AK85" i="41"/>
  <c r="AJ85" i="41"/>
  <c r="AI85" i="41"/>
  <c r="AH85" i="41"/>
  <c r="AG85" i="41"/>
  <c r="AF85" i="41"/>
  <c r="AE85" i="41"/>
  <c r="AD85" i="41"/>
  <c r="AC85" i="41"/>
  <c r="AB85" i="41"/>
  <c r="AA85" i="41"/>
  <c r="Z85" i="41"/>
  <c r="Y85" i="41"/>
  <c r="X85" i="41"/>
  <c r="W85" i="41"/>
  <c r="V85" i="41"/>
  <c r="U85" i="41"/>
  <c r="T85" i="41"/>
  <c r="S85" i="41"/>
  <c r="R85" i="41"/>
  <c r="Q85" i="41"/>
  <c r="P85" i="41"/>
  <c r="O85" i="41"/>
  <c r="N85" i="41"/>
  <c r="M85" i="41"/>
  <c r="L85" i="41"/>
  <c r="K85" i="41"/>
  <c r="J85" i="41"/>
  <c r="I85" i="41"/>
  <c r="H85" i="41"/>
  <c r="G85" i="41"/>
  <c r="F85" i="41"/>
  <c r="DI84" i="41"/>
  <c r="DH84" i="41"/>
  <c r="DG84" i="41"/>
  <c r="DF84" i="41"/>
  <c r="DE84" i="41"/>
  <c r="DD84" i="41"/>
  <c r="DC84" i="41"/>
  <c r="DB84" i="41"/>
  <c r="DA84" i="41"/>
  <c r="CZ84" i="41"/>
  <c r="CY84" i="41"/>
  <c r="CX84" i="41"/>
  <c r="CW84" i="41"/>
  <c r="CV84" i="41"/>
  <c r="CU84" i="41"/>
  <c r="CT84" i="41"/>
  <c r="CS84" i="41"/>
  <c r="CR84" i="41"/>
  <c r="CQ84" i="41"/>
  <c r="CP84" i="41"/>
  <c r="CO84" i="41"/>
  <c r="CN84" i="41"/>
  <c r="CM84" i="41"/>
  <c r="CL84" i="41"/>
  <c r="CK84" i="41"/>
  <c r="CJ84" i="41"/>
  <c r="CI84" i="41"/>
  <c r="CH84" i="41"/>
  <c r="CG84" i="41"/>
  <c r="CF84" i="41"/>
  <c r="CE84" i="41"/>
  <c r="CD84" i="41"/>
  <c r="CC84" i="41"/>
  <c r="CB84" i="41" a="1"/>
  <c r="CB84" i="41" s="1"/>
  <c r="CA84" i="41" a="1"/>
  <c r="CA84" i="41" s="1"/>
  <c r="BZ84" i="41"/>
  <c r="BY84" i="41"/>
  <c r="BX84" i="41"/>
  <c r="BW84" i="41"/>
  <c r="BV84" i="41"/>
  <c r="BU84" i="41"/>
  <c r="BT84" i="41"/>
  <c r="BS84" i="41"/>
  <c r="BR84" i="41"/>
  <c r="BQ84" i="41"/>
  <c r="BP84" i="41"/>
  <c r="BO84" i="41"/>
  <c r="BN84" i="41"/>
  <c r="BM84" i="41"/>
  <c r="BL84" i="41"/>
  <c r="BK84" i="41"/>
  <c r="BJ84" i="41"/>
  <c r="BI84" i="41"/>
  <c r="BH84" i="41"/>
  <c r="BG84" i="41"/>
  <c r="BF84" i="41"/>
  <c r="BE84" i="41"/>
  <c r="BD84" i="41"/>
  <c r="BC84" i="41"/>
  <c r="BB84" i="41"/>
  <c r="BA84" i="41"/>
  <c r="AZ84" i="41"/>
  <c r="AY84" i="41"/>
  <c r="AX84" i="41"/>
  <c r="AW84" i="41"/>
  <c r="AV84" i="41"/>
  <c r="AU84" i="41"/>
  <c r="AT84" i="41"/>
  <c r="AS84" i="41"/>
  <c r="AR84" i="41"/>
  <c r="AQ84" i="41"/>
  <c r="AP84" i="41"/>
  <c r="AO84" i="41"/>
  <c r="AN84" i="41"/>
  <c r="AM84" i="41"/>
  <c r="AL84" i="41"/>
  <c r="AK84" i="41"/>
  <c r="AJ84" i="41"/>
  <c r="AI84" i="41"/>
  <c r="AH84" i="41"/>
  <c r="AG84" i="41"/>
  <c r="AF84" i="41"/>
  <c r="AE84" i="41"/>
  <c r="AD84" i="41"/>
  <c r="AC84" i="41"/>
  <c r="AB84" i="41"/>
  <c r="AA84" i="41"/>
  <c r="Z84" i="41"/>
  <c r="Y84" i="41"/>
  <c r="X84" i="41"/>
  <c r="W84" i="41"/>
  <c r="V84" i="41"/>
  <c r="U84" i="41"/>
  <c r="T84" i="41"/>
  <c r="S84" i="41"/>
  <c r="R84" i="41"/>
  <c r="Q84" i="41"/>
  <c r="P84" i="41"/>
  <c r="O84" i="41"/>
  <c r="N84" i="41"/>
  <c r="M84" i="41"/>
  <c r="L84" i="41"/>
  <c r="K84" i="41"/>
  <c r="J84" i="41"/>
  <c r="I84" i="41"/>
  <c r="H84" i="41"/>
  <c r="G84" i="41"/>
  <c r="F84" i="41"/>
  <c r="DI83" i="41"/>
  <c r="DH83" i="41"/>
  <c r="DG83" i="41"/>
  <c r="DF83" i="41"/>
  <c r="DE83" i="41"/>
  <c r="DD83" i="41"/>
  <c r="DC83" i="41"/>
  <c r="DB83" i="41"/>
  <c r="DA83" i="41"/>
  <c r="CZ83" i="41"/>
  <c r="CY83" i="41"/>
  <c r="CX83" i="41"/>
  <c r="CW83" i="41"/>
  <c r="CV83" i="41"/>
  <c r="CU83" i="41"/>
  <c r="CT83" i="41"/>
  <c r="CS83" i="41"/>
  <c r="CR83" i="41"/>
  <c r="CQ83" i="41"/>
  <c r="CP83" i="41"/>
  <c r="CO83" i="41"/>
  <c r="CN83" i="41"/>
  <c r="CM83" i="41"/>
  <c r="CL83" i="41"/>
  <c r="CK83" i="41"/>
  <c r="CJ83" i="41"/>
  <c r="CI83" i="41"/>
  <c r="CH83" i="41"/>
  <c r="CG83" i="41"/>
  <c r="CF83" i="41"/>
  <c r="CE83" i="41"/>
  <c r="CD83" i="41"/>
  <c r="CC83" i="41"/>
  <c r="CB83" i="41" a="1"/>
  <c r="CB83" i="41" s="1"/>
  <c r="CA83" i="41" a="1"/>
  <c r="CA83" i="41" s="1"/>
  <c r="BZ83" i="41"/>
  <c r="BY83" i="41"/>
  <c r="BX83" i="41"/>
  <c r="BW83" i="41"/>
  <c r="BV83" i="41"/>
  <c r="BU83" i="41"/>
  <c r="BT83" i="41"/>
  <c r="BS83" i="41"/>
  <c r="BR83" i="41"/>
  <c r="BQ83" i="41"/>
  <c r="BP83" i="41"/>
  <c r="BO83" i="41"/>
  <c r="BN83" i="41"/>
  <c r="BM83" i="41"/>
  <c r="BL83" i="41"/>
  <c r="BK83" i="41"/>
  <c r="BJ83" i="41"/>
  <c r="BI83" i="41"/>
  <c r="BH83" i="41"/>
  <c r="BG83" i="41"/>
  <c r="BF83" i="41"/>
  <c r="BE83" i="41"/>
  <c r="BD83" i="41"/>
  <c r="BC83" i="41"/>
  <c r="BB83" i="41"/>
  <c r="BA83" i="41"/>
  <c r="AZ83" i="41"/>
  <c r="AY83" i="41"/>
  <c r="AX83" i="41"/>
  <c r="AW83" i="41"/>
  <c r="AV83" i="41"/>
  <c r="AU83" i="41"/>
  <c r="AT83" i="41"/>
  <c r="AS83" i="41"/>
  <c r="AR83" i="41"/>
  <c r="AQ83" i="41"/>
  <c r="AP83" i="41"/>
  <c r="AO83" i="41"/>
  <c r="AN83" i="41"/>
  <c r="AM83" i="41"/>
  <c r="AL83" i="41"/>
  <c r="AK83" i="41"/>
  <c r="AJ83" i="41"/>
  <c r="AI83" i="41"/>
  <c r="AH83" i="41"/>
  <c r="AG83" i="41"/>
  <c r="AF83" i="41"/>
  <c r="AE83" i="41"/>
  <c r="AD83" i="41"/>
  <c r="AC83" i="41"/>
  <c r="AB83" i="41"/>
  <c r="AA83" i="41"/>
  <c r="Z83" i="41"/>
  <c r="Y83" i="41"/>
  <c r="X83" i="41"/>
  <c r="W83" i="41"/>
  <c r="V83" i="41"/>
  <c r="U83" i="41"/>
  <c r="T83" i="41"/>
  <c r="S83" i="41"/>
  <c r="R83" i="41"/>
  <c r="Q83" i="41"/>
  <c r="P83" i="41"/>
  <c r="O83" i="41"/>
  <c r="N83" i="41"/>
  <c r="M83" i="41"/>
  <c r="L83" i="41"/>
  <c r="K83" i="41"/>
  <c r="J83" i="41"/>
  <c r="I83" i="41"/>
  <c r="H83" i="41"/>
  <c r="G83" i="41"/>
  <c r="F83" i="41"/>
  <c r="DI82" i="41"/>
  <c r="DH82" i="41"/>
  <c r="DG82" i="41"/>
  <c r="DF82" i="41"/>
  <c r="DE82" i="41"/>
  <c r="DD82" i="41"/>
  <c r="DC82" i="41"/>
  <c r="DB82" i="41"/>
  <c r="DA82" i="41"/>
  <c r="CZ82" i="41"/>
  <c r="CY82" i="41"/>
  <c r="CX82" i="41"/>
  <c r="CW82" i="41"/>
  <c r="CV82" i="41"/>
  <c r="CU82" i="41"/>
  <c r="CT82" i="41"/>
  <c r="CS82" i="41"/>
  <c r="CR82" i="41"/>
  <c r="CQ82" i="41"/>
  <c r="CP82" i="41"/>
  <c r="CO82" i="41"/>
  <c r="CN82" i="41"/>
  <c r="CM82" i="41"/>
  <c r="CL82" i="41"/>
  <c r="CK82" i="41"/>
  <c r="CJ82" i="41"/>
  <c r="CI82" i="41"/>
  <c r="CH82" i="41"/>
  <c r="CG82" i="41"/>
  <c r="CF82" i="41"/>
  <c r="CE82" i="41"/>
  <c r="CD82" i="41"/>
  <c r="CC82" i="41"/>
  <c r="CB82" i="41" a="1"/>
  <c r="CB82" i="41" s="1"/>
  <c r="CA82" i="41" a="1"/>
  <c r="CA82" i="41" s="1"/>
  <c r="BZ82" i="41"/>
  <c r="BY82" i="41"/>
  <c r="BX82" i="41"/>
  <c r="BW82" i="41"/>
  <c r="BV82" i="41"/>
  <c r="BU82" i="41"/>
  <c r="BT82" i="41"/>
  <c r="BS82" i="41"/>
  <c r="BR82" i="41"/>
  <c r="BQ82" i="41"/>
  <c r="BP82" i="41"/>
  <c r="BO82" i="41"/>
  <c r="BN82" i="41"/>
  <c r="BM82" i="41"/>
  <c r="BL82" i="41"/>
  <c r="BK82" i="41"/>
  <c r="BJ82" i="41"/>
  <c r="BI82" i="41"/>
  <c r="BH82" i="41"/>
  <c r="BG82" i="41"/>
  <c r="BF82" i="41"/>
  <c r="BE82" i="41"/>
  <c r="BD82" i="41"/>
  <c r="BC82" i="41"/>
  <c r="BB82" i="41"/>
  <c r="BA82" i="41"/>
  <c r="AZ82" i="41"/>
  <c r="AY82" i="41"/>
  <c r="AX82" i="41"/>
  <c r="AW82" i="41"/>
  <c r="AV82" i="41"/>
  <c r="AU82" i="41"/>
  <c r="AT82" i="41"/>
  <c r="AS82" i="41"/>
  <c r="AR82" i="41"/>
  <c r="AQ82" i="41"/>
  <c r="AP82" i="41"/>
  <c r="AO82" i="41"/>
  <c r="AN82" i="41"/>
  <c r="AM82" i="41"/>
  <c r="AL82" i="41"/>
  <c r="AK82" i="41"/>
  <c r="AJ82" i="41"/>
  <c r="AI82" i="41"/>
  <c r="AH82" i="41"/>
  <c r="AG82" i="41"/>
  <c r="AF82" i="41"/>
  <c r="AE82" i="41"/>
  <c r="AD82" i="41"/>
  <c r="AC82" i="41"/>
  <c r="AB82" i="41"/>
  <c r="AA82" i="41"/>
  <c r="Z82" i="41"/>
  <c r="Y82" i="41"/>
  <c r="X82" i="41"/>
  <c r="W82" i="41"/>
  <c r="V82" i="41"/>
  <c r="U82" i="41"/>
  <c r="T82" i="41"/>
  <c r="S82" i="41"/>
  <c r="R82" i="41"/>
  <c r="Q82" i="41"/>
  <c r="P82" i="41"/>
  <c r="O82" i="41"/>
  <c r="N82" i="41"/>
  <c r="M82" i="41"/>
  <c r="L82" i="41"/>
  <c r="K82" i="41"/>
  <c r="J82" i="41"/>
  <c r="I82" i="41"/>
  <c r="H82" i="41"/>
  <c r="G82" i="41"/>
  <c r="F82" i="41"/>
  <c r="DI81" i="41"/>
  <c r="DH81" i="41"/>
  <c r="DG81" i="41"/>
  <c r="DF81" i="41"/>
  <c r="DE81" i="41"/>
  <c r="DD81" i="41"/>
  <c r="DC81" i="41"/>
  <c r="DB81" i="41"/>
  <c r="DA81" i="41"/>
  <c r="CZ81" i="41"/>
  <c r="CY81" i="41"/>
  <c r="CX81" i="41"/>
  <c r="CW81" i="41"/>
  <c r="CV81" i="41"/>
  <c r="CU81" i="41"/>
  <c r="CT81" i="41"/>
  <c r="CS81" i="41"/>
  <c r="CR81" i="41"/>
  <c r="CQ81" i="41"/>
  <c r="CP81" i="41"/>
  <c r="CO81" i="41"/>
  <c r="CN81" i="41"/>
  <c r="CM81" i="41"/>
  <c r="CL81" i="41"/>
  <c r="CK81" i="41"/>
  <c r="CJ81" i="41"/>
  <c r="CI81" i="41"/>
  <c r="CH81" i="41"/>
  <c r="CG81" i="41"/>
  <c r="CF81" i="41"/>
  <c r="CE81" i="41"/>
  <c r="CD81" i="41"/>
  <c r="CC81" i="41"/>
  <c r="CB81" i="41" a="1"/>
  <c r="CB81" i="41" s="1"/>
  <c r="CA81" i="41" a="1"/>
  <c r="CA81" i="41" s="1"/>
  <c r="BZ81" i="41"/>
  <c r="BY81" i="41"/>
  <c r="BX81" i="41"/>
  <c r="BW81" i="41"/>
  <c r="BV81" i="41"/>
  <c r="BU81" i="41"/>
  <c r="BT81" i="41"/>
  <c r="BS81" i="41"/>
  <c r="BR81" i="41"/>
  <c r="BQ81" i="41"/>
  <c r="BP81" i="41"/>
  <c r="BO81" i="41"/>
  <c r="BN81" i="41"/>
  <c r="BM81" i="41"/>
  <c r="BL81" i="41"/>
  <c r="BK81" i="41"/>
  <c r="BJ81" i="41"/>
  <c r="BI81" i="41"/>
  <c r="BH81" i="41"/>
  <c r="BG81" i="41"/>
  <c r="BF81" i="41"/>
  <c r="BE81" i="41"/>
  <c r="BD81" i="41"/>
  <c r="BC81" i="41"/>
  <c r="BB81" i="41"/>
  <c r="BA81" i="41"/>
  <c r="AZ81" i="41"/>
  <c r="AY81" i="41"/>
  <c r="AX81" i="41"/>
  <c r="AW81" i="41"/>
  <c r="AV81" i="41"/>
  <c r="AU81" i="41"/>
  <c r="AT81" i="41"/>
  <c r="AS81" i="41"/>
  <c r="AR81" i="41"/>
  <c r="AQ81" i="41"/>
  <c r="AP81" i="41"/>
  <c r="AO81" i="41"/>
  <c r="AN81" i="41"/>
  <c r="AM81" i="41"/>
  <c r="AL81" i="41"/>
  <c r="AK81" i="41"/>
  <c r="AJ81" i="41"/>
  <c r="AI81" i="41"/>
  <c r="AH81" i="41"/>
  <c r="AG81" i="41"/>
  <c r="AF81" i="41"/>
  <c r="AE81" i="41"/>
  <c r="AD81" i="41"/>
  <c r="AC81" i="41"/>
  <c r="AB81" i="41"/>
  <c r="AA81" i="41"/>
  <c r="Z81" i="41"/>
  <c r="Y81" i="41"/>
  <c r="X81" i="41"/>
  <c r="W81" i="41"/>
  <c r="V81" i="41"/>
  <c r="U81" i="41"/>
  <c r="T81" i="41"/>
  <c r="S81" i="41"/>
  <c r="R81" i="41"/>
  <c r="Q81" i="41"/>
  <c r="P81" i="41"/>
  <c r="O81" i="41"/>
  <c r="N81" i="41"/>
  <c r="M81" i="41"/>
  <c r="L81" i="41"/>
  <c r="K81" i="41"/>
  <c r="J81" i="41"/>
  <c r="I81" i="41"/>
  <c r="H81" i="41"/>
  <c r="G81" i="41"/>
  <c r="F81" i="41"/>
  <c r="DI80" i="41"/>
  <c r="DH80" i="41"/>
  <c r="DG80" i="41"/>
  <c r="DF80" i="41"/>
  <c r="DE80" i="41"/>
  <c r="DD80" i="41"/>
  <c r="DC80" i="41"/>
  <c r="DB80" i="41"/>
  <c r="DA80" i="41"/>
  <c r="CZ80" i="41"/>
  <c r="CY80" i="41"/>
  <c r="CX80" i="41"/>
  <c r="CW80" i="41"/>
  <c r="CV80" i="41"/>
  <c r="CU80" i="41"/>
  <c r="CT80" i="41"/>
  <c r="CS80" i="41"/>
  <c r="CR80" i="41"/>
  <c r="CQ80" i="41"/>
  <c r="CP80" i="41"/>
  <c r="CO80" i="41"/>
  <c r="CN80" i="41"/>
  <c r="CM80" i="41"/>
  <c r="CL80" i="41"/>
  <c r="CK80" i="41"/>
  <c r="CJ80" i="41"/>
  <c r="CI80" i="41"/>
  <c r="CH80" i="41"/>
  <c r="CG80" i="41"/>
  <c r="CF80" i="41"/>
  <c r="CE80" i="41"/>
  <c r="CD80" i="41"/>
  <c r="CC80" i="41"/>
  <c r="CB80" i="41" a="1"/>
  <c r="CB80" i="41" s="1"/>
  <c r="CA80" i="41" a="1"/>
  <c r="CA80" i="41" s="1"/>
  <c r="BZ80" i="41"/>
  <c r="BY80" i="41"/>
  <c r="BX80" i="41"/>
  <c r="BW80" i="41"/>
  <c r="BV80" i="41"/>
  <c r="BU80" i="41"/>
  <c r="BT80" i="41"/>
  <c r="BS80" i="41"/>
  <c r="BR80" i="41"/>
  <c r="BQ80" i="41"/>
  <c r="BP80" i="41"/>
  <c r="BO80" i="41"/>
  <c r="BN80" i="41"/>
  <c r="BM80" i="41"/>
  <c r="BL80" i="41"/>
  <c r="BK80" i="41"/>
  <c r="BJ80" i="41"/>
  <c r="BI80" i="41"/>
  <c r="BH80" i="41"/>
  <c r="BG80" i="41"/>
  <c r="BF80" i="41"/>
  <c r="BE80" i="41"/>
  <c r="BD80" i="41"/>
  <c r="BC80" i="41"/>
  <c r="BB80" i="41"/>
  <c r="BA80" i="41"/>
  <c r="AZ80" i="41"/>
  <c r="AY80" i="41"/>
  <c r="AX80" i="41"/>
  <c r="AW80" i="41"/>
  <c r="AV80" i="41"/>
  <c r="AU80" i="41"/>
  <c r="AT80" i="41"/>
  <c r="AS80" i="41"/>
  <c r="AR80" i="41"/>
  <c r="AQ80" i="41"/>
  <c r="AP80" i="41"/>
  <c r="AO80" i="41"/>
  <c r="AN80" i="41"/>
  <c r="AM80" i="41"/>
  <c r="AL80" i="41"/>
  <c r="AK80" i="41"/>
  <c r="AJ80" i="41"/>
  <c r="AI80" i="41"/>
  <c r="AH80" i="41"/>
  <c r="AG80" i="41"/>
  <c r="AF80" i="41"/>
  <c r="AE80" i="41"/>
  <c r="AD80" i="41"/>
  <c r="AC80" i="41"/>
  <c r="AB80" i="41"/>
  <c r="AA80" i="41"/>
  <c r="Z80" i="41"/>
  <c r="Y80" i="41"/>
  <c r="X80" i="41"/>
  <c r="W80" i="41"/>
  <c r="V80" i="41"/>
  <c r="U80" i="41"/>
  <c r="T80" i="41"/>
  <c r="S80" i="41"/>
  <c r="R80" i="41"/>
  <c r="Q80" i="41"/>
  <c r="P80" i="41"/>
  <c r="O80" i="41"/>
  <c r="N80" i="41"/>
  <c r="M80" i="41"/>
  <c r="L80" i="41"/>
  <c r="K80" i="41"/>
  <c r="J80" i="41"/>
  <c r="I80" i="41"/>
  <c r="H80" i="41"/>
  <c r="G80" i="41"/>
  <c r="F80" i="41"/>
  <c r="DI79" i="41"/>
  <c r="DH79" i="41"/>
  <c r="DG79" i="41"/>
  <c r="DF79" i="41"/>
  <c r="DE79" i="41"/>
  <c r="DD79" i="41"/>
  <c r="DC79" i="41"/>
  <c r="DB79" i="41"/>
  <c r="DA79" i="41"/>
  <c r="CZ79" i="41"/>
  <c r="CY79" i="41"/>
  <c r="CX79" i="41"/>
  <c r="CW79" i="41"/>
  <c r="CV79" i="41"/>
  <c r="CU79" i="41"/>
  <c r="CT79" i="41"/>
  <c r="CS79" i="41"/>
  <c r="CR79" i="41"/>
  <c r="CQ79" i="41"/>
  <c r="CP79" i="41"/>
  <c r="CO79" i="41"/>
  <c r="CN79" i="41"/>
  <c r="CM79" i="41"/>
  <c r="CL79" i="41"/>
  <c r="CK79" i="41"/>
  <c r="CJ79" i="41"/>
  <c r="CI79" i="41"/>
  <c r="CH79" i="41"/>
  <c r="CG79" i="41"/>
  <c r="CF79" i="41"/>
  <c r="CE79" i="41"/>
  <c r="CD79" i="41"/>
  <c r="CC79" i="41"/>
  <c r="CB79" i="41" a="1"/>
  <c r="CB79" i="41" s="1"/>
  <c r="CA79" i="41" a="1"/>
  <c r="CA79" i="41" s="1"/>
  <c r="BZ79" i="41"/>
  <c r="BY79" i="41"/>
  <c r="BX79" i="41"/>
  <c r="BW79" i="41"/>
  <c r="BV79" i="41"/>
  <c r="BU79" i="41"/>
  <c r="BT79" i="41"/>
  <c r="BS79" i="41"/>
  <c r="BR79" i="41"/>
  <c r="BQ79" i="41"/>
  <c r="BP79" i="41"/>
  <c r="BO79" i="41"/>
  <c r="BN79" i="41"/>
  <c r="BM79" i="41"/>
  <c r="BL79" i="41"/>
  <c r="BK79" i="41"/>
  <c r="BJ79" i="41"/>
  <c r="BI79" i="41"/>
  <c r="BH79" i="41"/>
  <c r="BG79" i="41"/>
  <c r="BF79" i="41"/>
  <c r="BE79" i="41"/>
  <c r="BD79" i="41"/>
  <c r="BC79" i="41"/>
  <c r="BB79" i="41"/>
  <c r="BA79" i="41"/>
  <c r="AZ79" i="41"/>
  <c r="AY79" i="41"/>
  <c r="AX79" i="41"/>
  <c r="AW79" i="41"/>
  <c r="AV79" i="41"/>
  <c r="AU79" i="41"/>
  <c r="AT79" i="41"/>
  <c r="AS79" i="41"/>
  <c r="AR79" i="41"/>
  <c r="AQ79" i="41"/>
  <c r="AP79" i="41"/>
  <c r="AO79" i="41"/>
  <c r="AN79" i="41"/>
  <c r="AM79" i="41"/>
  <c r="AL79" i="41"/>
  <c r="AK79" i="41"/>
  <c r="AJ79" i="41"/>
  <c r="AI79" i="41"/>
  <c r="AH79" i="41"/>
  <c r="AG79" i="41"/>
  <c r="AF79" i="41"/>
  <c r="AE79" i="41"/>
  <c r="AD79" i="41"/>
  <c r="AC79" i="41"/>
  <c r="AB79" i="41"/>
  <c r="AA79" i="41"/>
  <c r="Z79" i="41"/>
  <c r="Y79" i="41"/>
  <c r="X79" i="41"/>
  <c r="W79" i="41"/>
  <c r="V79" i="41"/>
  <c r="U79" i="41"/>
  <c r="T79" i="41"/>
  <c r="S79" i="41"/>
  <c r="R79" i="41"/>
  <c r="Q79" i="41"/>
  <c r="P79" i="41"/>
  <c r="O79" i="41"/>
  <c r="N79" i="41"/>
  <c r="M79" i="41"/>
  <c r="L79" i="41"/>
  <c r="K79" i="41"/>
  <c r="J79" i="41"/>
  <c r="I79" i="41"/>
  <c r="H79" i="41"/>
  <c r="G79" i="41"/>
  <c r="F79" i="41"/>
  <c r="DI78" i="41"/>
  <c r="DH78" i="41"/>
  <c r="DG78" i="41"/>
  <c r="DF78" i="41"/>
  <c r="DE78" i="41"/>
  <c r="DD78" i="41"/>
  <c r="DC78" i="41"/>
  <c r="DB78" i="41"/>
  <c r="DA78" i="41"/>
  <c r="CZ78" i="41"/>
  <c r="CY78" i="41"/>
  <c r="CX78" i="41"/>
  <c r="CW78" i="41"/>
  <c r="CV78" i="41"/>
  <c r="CU78" i="41"/>
  <c r="CT78" i="41"/>
  <c r="CS78" i="41"/>
  <c r="CR78" i="41"/>
  <c r="CQ78" i="41"/>
  <c r="CP78" i="41"/>
  <c r="CO78" i="41"/>
  <c r="CN78" i="41"/>
  <c r="CM78" i="41"/>
  <c r="CL78" i="41"/>
  <c r="CK78" i="41"/>
  <c r="CJ78" i="41"/>
  <c r="CI78" i="41"/>
  <c r="CH78" i="41"/>
  <c r="CG78" i="41"/>
  <c r="CF78" i="41"/>
  <c r="CE78" i="41"/>
  <c r="CD78" i="41"/>
  <c r="CC78" i="41"/>
  <c r="CB78" i="41" a="1"/>
  <c r="CB78" i="41" s="1"/>
  <c r="CA78" i="41" a="1"/>
  <c r="CA78" i="41" s="1"/>
  <c r="BZ78" i="41"/>
  <c r="BY78" i="41"/>
  <c r="BX78" i="41"/>
  <c r="BW78" i="41"/>
  <c r="BV78" i="41"/>
  <c r="BU78" i="41"/>
  <c r="BT78" i="41"/>
  <c r="BS78" i="41"/>
  <c r="BR78" i="41"/>
  <c r="BQ78" i="41"/>
  <c r="BP78" i="41"/>
  <c r="BO78" i="41"/>
  <c r="BN78" i="41"/>
  <c r="BM78" i="41"/>
  <c r="BL78" i="41"/>
  <c r="BK78" i="41"/>
  <c r="BJ78" i="41"/>
  <c r="BI78" i="41"/>
  <c r="BH78" i="41"/>
  <c r="BG78" i="41"/>
  <c r="BF78" i="41"/>
  <c r="BE78" i="41"/>
  <c r="BD78" i="41"/>
  <c r="BC78" i="41"/>
  <c r="BB78" i="41"/>
  <c r="BA78" i="41"/>
  <c r="AZ78" i="41"/>
  <c r="AY78" i="41"/>
  <c r="AX78" i="41"/>
  <c r="AW78" i="41"/>
  <c r="AV78" i="41"/>
  <c r="AU78" i="41"/>
  <c r="AT78" i="41"/>
  <c r="AS78" i="41"/>
  <c r="AR78" i="41"/>
  <c r="AQ78" i="41"/>
  <c r="AP78" i="41"/>
  <c r="AO78" i="41"/>
  <c r="AN78" i="41"/>
  <c r="AM78" i="41"/>
  <c r="AL78" i="41"/>
  <c r="AK78" i="41"/>
  <c r="AJ78" i="41"/>
  <c r="AI78" i="41"/>
  <c r="AH78" i="41"/>
  <c r="AG78" i="41"/>
  <c r="AF78" i="41"/>
  <c r="AE78" i="41"/>
  <c r="AD78" i="41"/>
  <c r="AC78" i="41"/>
  <c r="AB78" i="41"/>
  <c r="AA78" i="41"/>
  <c r="Z78" i="41"/>
  <c r="Y78" i="41"/>
  <c r="X78" i="41"/>
  <c r="W78" i="41"/>
  <c r="V78" i="41"/>
  <c r="U78" i="41"/>
  <c r="T78" i="41"/>
  <c r="S78" i="41"/>
  <c r="R78" i="41"/>
  <c r="Q78" i="41"/>
  <c r="P78" i="41"/>
  <c r="O78" i="41"/>
  <c r="N78" i="41"/>
  <c r="M78" i="41"/>
  <c r="L78" i="41"/>
  <c r="K78" i="41"/>
  <c r="J78" i="41"/>
  <c r="I78" i="41"/>
  <c r="H78" i="41"/>
  <c r="G78" i="41"/>
  <c r="F78" i="41"/>
  <c r="DI77" i="41"/>
  <c r="DH77" i="41"/>
  <c r="DG77" i="41"/>
  <c r="DF77" i="41"/>
  <c r="DE77" i="41"/>
  <c r="DD77" i="41"/>
  <c r="DC77" i="41"/>
  <c r="DB77" i="41"/>
  <c r="DA77" i="41"/>
  <c r="CZ77" i="41"/>
  <c r="CY77" i="41"/>
  <c r="CX77" i="41"/>
  <c r="CW77" i="41"/>
  <c r="CV77" i="41"/>
  <c r="CU77" i="41"/>
  <c r="CT77" i="41"/>
  <c r="CS77" i="41"/>
  <c r="CR77" i="41"/>
  <c r="CQ77" i="41"/>
  <c r="CP77" i="41"/>
  <c r="CO77" i="41"/>
  <c r="CN77" i="41"/>
  <c r="CM77" i="41"/>
  <c r="CL77" i="41"/>
  <c r="CK77" i="41"/>
  <c r="CJ77" i="41"/>
  <c r="CI77" i="41"/>
  <c r="CH77" i="41"/>
  <c r="CG77" i="41"/>
  <c r="CF77" i="41"/>
  <c r="CE77" i="41"/>
  <c r="CD77" i="41"/>
  <c r="CC77" i="41"/>
  <c r="CB77" i="41" a="1"/>
  <c r="CB77" i="41" s="1"/>
  <c r="CA77" i="41" a="1"/>
  <c r="CA77" i="41" s="1"/>
  <c r="BZ77" i="41"/>
  <c r="BY77" i="41"/>
  <c r="BX77" i="41"/>
  <c r="BW77" i="41"/>
  <c r="BV77" i="41"/>
  <c r="BU77" i="41"/>
  <c r="BT77" i="41"/>
  <c r="BS77" i="41"/>
  <c r="BR77" i="41"/>
  <c r="BQ77" i="41"/>
  <c r="BP77" i="41"/>
  <c r="BO77" i="41"/>
  <c r="BN77" i="41"/>
  <c r="BM77" i="41"/>
  <c r="BL77" i="41"/>
  <c r="BK77" i="41"/>
  <c r="BJ77" i="41"/>
  <c r="BI77" i="41"/>
  <c r="BH77" i="41"/>
  <c r="BG77" i="41"/>
  <c r="BF77" i="41"/>
  <c r="BE77" i="41"/>
  <c r="BD77" i="41"/>
  <c r="BC77" i="41"/>
  <c r="BB77" i="41"/>
  <c r="BA77" i="41"/>
  <c r="AZ77" i="41"/>
  <c r="AY77" i="41"/>
  <c r="AX77" i="41"/>
  <c r="AW77" i="41"/>
  <c r="AV77" i="41"/>
  <c r="AU77" i="41"/>
  <c r="AT77" i="41"/>
  <c r="AS77" i="41"/>
  <c r="AR77" i="41"/>
  <c r="AQ77" i="41"/>
  <c r="AP77" i="41"/>
  <c r="AO77" i="41"/>
  <c r="AN77" i="41"/>
  <c r="AM77" i="41"/>
  <c r="AL77" i="41"/>
  <c r="AK77" i="41"/>
  <c r="AJ77" i="41"/>
  <c r="AI77" i="41"/>
  <c r="AH77" i="41"/>
  <c r="AG77" i="41"/>
  <c r="AF77" i="41"/>
  <c r="AE77" i="41"/>
  <c r="AD77" i="41"/>
  <c r="AC77" i="41"/>
  <c r="AB77" i="41"/>
  <c r="AA77" i="41"/>
  <c r="Z77" i="41"/>
  <c r="Y77" i="41"/>
  <c r="X77" i="41"/>
  <c r="W77" i="41"/>
  <c r="V77" i="41"/>
  <c r="U77" i="41"/>
  <c r="T77" i="41"/>
  <c r="S77" i="41"/>
  <c r="R77" i="41"/>
  <c r="Q77" i="41"/>
  <c r="P77" i="41"/>
  <c r="O77" i="41"/>
  <c r="N77" i="41"/>
  <c r="M77" i="41"/>
  <c r="L77" i="41"/>
  <c r="K77" i="41"/>
  <c r="J77" i="41"/>
  <c r="I77" i="41"/>
  <c r="H77" i="41"/>
  <c r="G77" i="41"/>
  <c r="F77" i="41"/>
  <c r="DI76" i="41"/>
  <c r="DH76" i="41"/>
  <c r="DG76" i="41"/>
  <c r="DF76" i="41"/>
  <c r="DE76" i="41"/>
  <c r="DD76" i="41"/>
  <c r="DC76" i="41"/>
  <c r="DB76" i="41"/>
  <c r="DA76" i="41"/>
  <c r="CZ76" i="41"/>
  <c r="CY76" i="41"/>
  <c r="CX76" i="41"/>
  <c r="CW76" i="41"/>
  <c r="CV76" i="41"/>
  <c r="CU76" i="41"/>
  <c r="CT76" i="41"/>
  <c r="CS76" i="41"/>
  <c r="CR76" i="41"/>
  <c r="CQ76" i="41"/>
  <c r="CP76" i="41"/>
  <c r="CO76" i="41"/>
  <c r="CN76" i="41"/>
  <c r="CM76" i="41"/>
  <c r="CL76" i="41"/>
  <c r="CK76" i="41"/>
  <c r="CJ76" i="41"/>
  <c r="CI76" i="41"/>
  <c r="CH76" i="41"/>
  <c r="CG76" i="41"/>
  <c r="CF76" i="41"/>
  <c r="CE76" i="41"/>
  <c r="CD76" i="41"/>
  <c r="CC76" i="41"/>
  <c r="CB76" i="41" a="1"/>
  <c r="CB76" i="41" s="1"/>
  <c r="CA76" i="41" a="1"/>
  <c r="CA76" i="41" s="1"/>
  <c r="BZ76" i="41"/>
  <c r="BY76" i="41"/>
  <c r="BX76" i="41"/>
  <c r="BW76" i="41"/>
  <c r="BV76" i="41"/>
  <c r="BU76" i="41"/>
  <c r="BT76" i="41"/>
  <c r="BS76" i="41"/>
  <c r="BR76" i="41"/>
  <c r="BQ76" i="41"/>
  <c r="BP76" i="41"/>
  <c r="BO76" i="41"/>
  <c r="BN76" i="41"/>
  <c r="BM76" i="41"/>
  <c r="BL76" i="41"/>
  <c r="BK76" i="41"/>
  <c r="BJ76" i="41"/>
  <c r="BI76" i="41"/>
  <c r="BH76" i="41"/>
  <c r="BG76" i="41"/>
  <c r="BF76" i="41"/>
  <c r="BE76" i="41"/>
  <c r="BD76" i="41"/>
  <c r="BC76" i="41"/>
  <c r="BB76" i="41"/>
  <c r="BA76" i="41"/>
  <c r="AZ76" i="41"/>
  <c r="AY76" i="41"/>
  <c r="AX76" i="41"/>
  <c r="AW76" i="41"/>
  <c r="AV76" i="41"/>
  <c r="AU76" i="41"/>
  <c r="AT76" i="41"/>
  <c r="AS76" i="41"/>
  <c r="AR76" i="41"/>
  <c r="AQ76" i="41"/>
  <c r="AP76" i="41"/>
  <c r="AO76" i="41"/>
  <c r="AN76" i="41"/>
  <c r="AM76" i="41"/>
  <c r="AL76" i="41"/>
  <c r="AK76" i="41"/>
  <c r="AJ76" i="41"/>
  <c r="AI76" i="41"/>
  <c r="AH76" i="41"/>
  <c r="AG76" i="41"/>
  <c r="AF76" i="41"/>
  <c r="AE76" i="41"/>
  <c r="AD76" i="41"/>
  <c r="AC76" i="41"/>
  <c r="AB76" i="41"/>
  <c r="AA76" i="41"/>
  <c r="Z76" i="41"/>
  <c r="Y76" i="41"/>
  <c r="X76" i="41"/>
  <c r="W76" i="41"/>
  <c r="V76" i="41"/>
  <c r="U76" i="41"/>
  <c r="T76" i="41"/>
  <c r="S76" i="41"/>
  <c r="R76" i="41"/>
  <c r="Q76" i="41"/>
  <c r="P76" i="41"/>
  <c r="O76" i="41"/>
  <c r="N76" i="41"/>
  <c r="M76" i="41"/>
  <c r="L76" i="41"/>
  <c r="K76" i="41"/>
  <c r="J76" i="41"/>
  <c r="I76" i="41"/>
  <c r="H76" i="41"/>
  <c r="G76" i="41"/>
  <c r="F76" i="41"/>
  <c r="DI75" i="41"/>
  <c r="DH75" i="41"/>
  <c r="DG75" i="41"/>
  <c r="DF75" i="41"/>
  <c r="DE75" i="41"/>
  <c r="DD75" i="41"/>
  <c r="DC75" i="41"/>
  <c r="DB75" i="41"/>
  <c r="DA75" i="41"/>
  <c r="CZ75" i="41"/>
  <c r="CY75" i="41"/>
  <c r="CX75" i="41"/>
  <c r="CW75" i="41"/>
  <c r="CV75" i="41"/>
  <c r="CU75" i="41"/>
  <c r="CT75" i="41"/>
  <c r="CS75" i="41"/>
  <c r="CR75" i="41"/>
  <c r="CQ75" i="41"/>
  <c r="CP75" i="41"/>
  <c r="CO75" i="41"/>
  <c r="CN75" i="41"/>
  <c r="CM75" i="41"/>
  <c r="CL75" i="41"/>
  <c r="CK75" i="41"/>
  <c r="CJ75" i="41"/>
  <c r="CI75" i="41"/>
  <c r="CH75" i="41"/>
  <c r="CG75" i="41"/>
  <c r="CF75" i="41"/>
  <c r="CE75" i="41"/>
  <c r="CD75" i="41"/>
  <c r="CC75" i="41"/>
  <c r="CB75" i="41" a="1"/>
  <c r="CB75" i="41" s="1"/>
  <c r="CA75" i="41" a="1"/>
  <c r="CA75" i="41" s="1"/>
  <c r="BZ75" i="41"/>
  <c r="BY75" i="41"/>
  <c r="BX75" i="41"/>
  <c r="BW75" i="41"/>
  <c r="BV75" i="41"/>
  <c r="BU75" i="41"/>
  <c r="BT75" i="41"/>
  <c r="BS75" i="41"/>
  <c r="BR75" i="41"/>
  <c r="BQ75" i="41"/>
  <c r="BP75" i="41"/>
  <c r="BO75" i="41"/>
  <c r="BN75" i="41"/>
  <c r="BM75" i="41"/>
  <c r="BL75" i="41"/>
  <c r="BK75" i="41"/>
  <c r="BJ75" i="41"/>
  <c r="BI75" i="41"/>
  <c r="BH75" i="41"/>
  <c r="BG75" i="41"/>
  <c r="BF75" i="41"/>
  <c r="BE75" i="41"/>
  <c r="BD75" i="41"/>
  <c r="BC75" i="41"/>
  <c r="BB75" i="41"/>
  <c r="BA75" i="41"/>
  <c r="AZ75" i="41"/>
  <c r="AY75" i="41"/>
  <c r="AX75" i="41"/>
  <c r="AW75" i="41"/>
  <c r="AV75" i="41"/>
  <c r="AU75" i="41"/>
  <c r="AT75" i="41"/>
  <c r="AS75" i="41"/>
  <c r="AR75" i="41"/>
  <c r="AQ75" i="41"/>
  <c r="AP75" i="41"/>
  <c r="AO75" i="41"/>
  <c r="AN75" i="41"/>
  <c r="AM75" i="41"/>
  <c r="AL75" i="41"/>
  <c r="AK75" i="41"/>
  <c r="AJ75" i="41"/>
  <c r="AI75" i="41"/>
  <c r="AH75" i="41"/>
  <c r="AG75" i="41"/>
  <c r="AF75" i="41"/>
  <c r="AE75" i="41"/>
  <c r="AD75" i="41"/>
  <c r="AC75" i="41"/>
  <c r="AB75" i="41"/>
  <c r="AA75" i="41"/>
  <c r="Z75" i="41"/>
  <c r="Y75" i="41"/>
  <c r="X75" i="41"/>
  <c r="W75" i="41"/>
  <c r="V75" i="41"/>
  <c r="U75" i="41"/>
  <c r="T75" i="41"/>
  <c r="S75" i="41"/>
  <c r="R75" i="41"/>
  <c r="Q75" i="41"/>
  <c r="P75" i="41"/>
  <c r="O75" i="41"/>
  <c r="N75" i="41"/>
  <c r="M75" i="41"/>
  <c r="L75" i="41"/>
  <c r="K75" i="41"/>
  <c r="J75" i="41"/>
  <c r="I75" i="41"/>
  <c r="H75" i="41"/>
  <c r="G75" i="41"/>
  <c r="F75" i="41"/>
  <c r="DI74" i="41"/>
  <c r="DH74" i="41"/>
  <c r="DG74" i="41"/>
  <c r="DF74" i="41"/>
  <c r="DE74" i="41"/>
  <c r="DD74" i="41"/>
  <c r="DC74" i="41"/>
  <c r="DB74" i="41"/>
  <c r="DA74" i="41"/>
  <c r="CZ74" i="41"/>
  <c r="CY74" i="41"/>
  <c r="CX74" i="41"/>
  <c r="CW74" i="41"/>
  <c r="CV74" i="41"/>
  <c r="CU74" i="41"/>
  <c r="CT74" i="41"/>
  <c r="CS74" i="41"/>
  <c r="CR74" i="41"/>
  <c r="CQ74" i="41"/>
  <c r="CP74" i="41"/>
  <c r="CO74" i="41"/>
  <c r="CN74" i="41"/>
  <c r="CM74" i="41"/>
  <c r="CL74" i="41"/>
  <c r="CK74" i="41"/>
  <c r="CJ74" i="41"/>
  <c r="CI74" i="41"/>
  <c r="CH74" i="41"/>
  <c r="CG74" i="41"/>
  <c r="CF74" i="41"/>
  <c r="CE74" i="41"/>
  <c r="CD74" i="41"/>
  <c r="CC74" i="41"/>
  <c r="CB74" i="41" a="1"/>
  <c r="CB74" i="41" s="1"/>
  <c r="CA74" i="41" a="1"/>
  <c r="CA74" i="41" s="1"/>
  <c r="BZ74" i="41"/>
  <c r="BY74" i="41"/>
  <c r="BX74" i="41"/>
  <c r="BW74" i="41"/>
  <c r="BV74" i="41"/>
  <c r="BU74" i="41"/>
  <c r="BT74" i="41"/>
  <c r="BS74" i="41"/>
  <c r="BR74" i="41"/>
  <c r="BQ74" i="41"/>
  <c r="BP74" i="41"/>
  <c r="BO74" i="41"/>
  <c r="BN74" i="41"/>
  <c r="BM74" i="41"/>
  <c r="BL74" i="41"/>
  <c r="BK74" i="41"/>
  <c r="BJ74" i="41"/>
  <c r="BI74" i="41"/>
  <c r="BH74" i="41"/>
  <c r="BG74" i="41"/>
  <c r="BF74" i="41"/>
  <c r="BE74" i="41"/>
  <c r="BD74" i="41"/>
  <c r="BC74" i="41"/>
  <c r="BB74" i="41"/>
  <c r="BA74" i="41"/>
  <c r="AZ74" i="41"/>
  <c r="AY74" i="41"/>
  <c r="AX74" i="41"/>
  <c r="AW74" i="41"/>
  <c r="AV74" i="41"/>
  <c r="AU74" i="41"/>
  <c r="AT74" i="41"/>
  <c r="AS74" i="41"/>
  <c r="AR74" i="41"/>
  <c r="AQ74" i="41"/>
  <c r="AP74" i="41"/>
  <c r="AO74" i="41"/>
  <c r="AN74" i="41"/>
  <c r="AM74" i="41"/>
  <c r="AL74" i="41"/>
  <c r="AK74" i="41"/>
  <c r="AJ74" i="41"/>
  <c r="AI74" i="41"/>
  <c r="AH74" i="41"/>
  <c r="AG74" i="41"/>
  <c r="AF74" i="41"/>
  <c r="AE74" i="41"/>
  <c r="AD74" i="41"/>
  <c r="AC74" i="41"/>
  <c r="AB74" i="41"/>
  <c r="AA74" i="41"/>
  <c r="Z74" i="41"/>
  <c r="Y74" i="41"/>
  <c r="X74" i="41"/>
  <c r="W74" i="41"/>
  <c r="V74" i="41"/>
  <c r="U74" i="41"/>
  <c r="T74" i="41"/>
  <c r="S74" i="41"/>
  <c r="R74" i="41"/>
  <c r="Q74" i="41"/>
  <c r="P74" i="41"/>
  <c r="O74" i="41"/>
  <c r="N74" i="41"/>
  <c r="M74" i="41"/>
  <c r="L74" i="41"/>
  <c r="K74" i="41"/>
  <c r="J74" i="41"/>
  <c r="I74" i="41"/>
  <c r="H74" i="41"/>
  <c r="G74" i="41"/>
  <c r="F74" i="41"/>
  <c r="DI73" i="41"/>
  <c r="DH73" i="41"/>
  <c r="DG73" i="41"/>
  <c r="DF73" i="41"/>
  <c r="DE73" i="41"/>
  <c r="DD73" i="41"/>
  <c r="DC73" i="41"/>
  <c r="DB73" i="41"/>
  <c r="DA73" i="41"/>
  <c r="CZ73" i="41"/>
  <c r="CY73" i="41"/>
  <c r="CX73" i="41"/>
  <c r="CW73" i="41"/>
  <c r="CV73" i="41"/>
  <c r="CU73" i="41"/>
  <c r="CT73" i="41"/>
  <c r="CS73" i="41"/>
  <c r="CR73" i="41"/>
  <c r="CQ73" i="41"/>
  <c r="CP73" i="41"/>
  <c r="CO73" i="41"/>
  <c r="CN73" i="41"/>
  <c r="CM73" i="41"/>
  <c r="CL73" i="41"/>
  <c r="CK73" i="41"/>
  <c r="CJ73" i="41"/>
  <c r="CI73" i="41"/>
  <c r="CH73" i="41"/>
  <c r="CG73" i="41"/>
  <c r="CF73" i="41"/>
  <c r="CE73" i="41"/>
  <c r="CD73" i="41"/>
  <c r="CC73" i="41"/>
  <c r="CB73" i="41" a="1"/>
  <c r="CB73" i="41" s="1"/>
  <c r="CA73" i="41" a="1"/>
  <c r="CA73" i="41" s="1"/>
  <c r="BZ73" i="41"/>
  <c r="BY73" i="41"/>
  <c r="BX73" i="41"/>
  <c r="BW73" i="41"/>
  <c r="BV73" i="41"/>
  <c r="BU73" i="41"/>
  <c r="BT73" i="41"/>
  <c r="BS73" i="41"/>
  <c r="BR73" i="41"/>
  <c r="BQ73" i="41"/>
  <c r="BP73" i="41"/>
  <c r="BO73" i="41"/>
  <c r="BN73" i="41"/>
  <c r="BM73" i="41"/>
  <c r="BL73" i="41"/>
  <c r="BK73" i="41"/>
  <c r="BJ73" i="41"/>
  <c r="BI73" i="41"/>
  <c r="BH73" i="41"/>
  <c r="BG73" i="41"/>
  <c r="BF73" i="41"/>
  <c r="BE73" i="41"/>
  <c r="BD73" i="41"/>
  <c r="BC73" i="41"/>
  <c r="BB73" i="41"/>
  <c r="BA73" i="41"/>
  <c r="AZ73" i="41"/>
  <c r="AY73" i="41"/>
  <c r="AX73" i="41"/>
  <c r="AW73" i="41"/>
  <c r="AV73" i="41"/>
  <c r="AU73" i="41"/>
  <c r="AT73" i="41"/>
  <c r="AS73" i="41"/>
  <c r="AR73" i="41"/>
  <c r="AQ73" i="41"/>
  <c r="AP73" i="41"/>
  <c r="AO73" i="41"/>
  <c r="AN73" i="41"/>
  <c r="AM73" i="41"/>
  <c r="AL73" i="41"/>
  <c r="AK73" i="41"/>
  <c r="AJ73" i="41"/>
  <c r="AI73" i="41"/>
  <c r="AH73" i="41"/>
  <c r="AG73" i="41"/>
  <c r="AF73" i="41"/>
  <c r="AE73" i="41"/>
  <c r="AD73" i="41"/>
  <c r="AC73" i="41"/>
  <c r="AB73" i="41"/>
  <c r="AA73" i="41"/>
  <c r="Z73" i="41"/>
  <c r="Y73" i="41"/>
  <c r="X73" i="41"/>
  <c r="W73" i="41"/>
  <c r="V73" i="41"/>
  <c r="U73" i="41"/>
  <c r="T73" i="41"/>
  <c r="S73" i="41"/>
  <c r="R73" i="41"/>
  <c r="Q73" i="41"/>
  <c r="P73" i="41"/>
  <c r="O73" i="41"/>
  <c r="N73" i="41"/>
  <c r="M73" i="41"/>
  <c r="L73" i="41"/>
  <c r="K73" i="41"/>
  <c r="J73" i="41"/>
  <c r="I73" i="41"/>
  <c r="H73" i="41"/>
  <c r="G73" i="41"/>
  <c r="F73" i="41"/>
  <c r="DI72" i="41"/>
  <c r="DH72" i="41"/>
  <c r="DG72" i="41"/>
  <c r="DF72" i="41"/>
  <c r="DE72" i="41"/>
  <c r="DD72" i="41"/>
  <c r="DC72" i="41"/>
  <c r="DB72" i="41"/>
  <c r="DA72" i="41"/>
  <c r="CZ72" i="41"/>
  <c r="CY72" i="41"/>
  <c r="CX72" i="41"/>
  <c r="CW72" i="41"/>
  <c r="CV72" i="41"/>
  <c r="CU72" i="41"/>
  <c r="CT72" i="41"/>
  <c r="CS72" i="41"/>
  <c r="CR72" i="41"/>
  <c r="CQ72" i="41"/>
  <c r="CP72" i="41"/>
  <c r="CO72" i="41"/>
  <c r="CN72" i="41"/>
  <c r="CM72" i="41"/>
  <c r="CL72" i="41"/>
  <c r="CK72" i="41"/>
  <c r="CJ72" i="41"/>
  <c r="CI72" i="41"/>
  <c r="CH72" i="41"/>
  <c r="CG72" i="41"/>
  <c r="CF72" i="41"/>
  <c r="CE72" i="41"/>
  <c r="CD72" i="41"/>
  <c r="CC72" i="41"/>
  <c r="CB72" i="41" a="1"/>
  <c r="CB72" i="41" s="1"/>
  <c r="CA72" i="41" a="1"/>
  <c r="CA72" i="41" s="1"/>
  <c r="BZ72" i="41"/>
  <c r="BY72" i="41"/>
  <c r="BX72" i="41"/>
  <c r="BW72" i="41"/>
  <c r="BV72" i="41"/>
  <c r="BU72" i="41"/>
  <c r="BT72" i="41"/>
  <c r="BS72" i="41"/>
  <c r="BR72" i="41"/>
  <c r="BQ72" i="41"/>
  <c r="BP72" i="41"/>
  <c r="BO72" i="41"/>
  <c r="BN72" i="41"/>
  <c r="BM72" i="41"/>
  <c r="BL72" i="41"/>
  <c r="BK72" i="41"/>
  <c r="BJ72" i="41"/>
  <c r="BI72" i="41"/>
  <c r="BH72" i="41"/>
  <c r="BG72" i="41"/>
  <c r="BF72" i="41"/>
  <c r="BE72" i="41"/>
  <c r="BD72" i="41"/>
  <c r="BC72" i="41"/>
  <c r="BB72" i="41"/>
  <c r="BA72" i="41"/>
  <c r="AZ72" i="41"/>
  <c r="AY72" i="41"/>
  <c r="AX72" i="41"/>
  <c r="AW72" i="41"/>
  <c r="AV72" i="41"/>
  <c r="AU72" i="41"/>
  <c r="AT72" i="41"/>
  <c r="AS72" i="41"/>
  <c r="AR72" i="41"/>
  <c r="AQ72" i="41"/>
  <c r="AP72" i="41"/>
  <c r="AO72" i="41"/>
  <c r="AN72" i="41"/>
  <c r="AM72" i="41"/>
  <c r="AL72" i="41"/>
  <c r="AK72" i="41"/>
  <c r="AJ72" i="41"/>
  <c r="AI72" i="41"/>
  <c r="AH72" i="41"/>
  <c r="AG72" i="41"/>
  <c r="AF72" i="41"/>
  <c r="AE72" i="41"/>
  <c r="AD72" i="41"/>
  <c r="AC72" i="41"/>
  <c r="AB72" i="41"/>
  <c r="AA72" i="41"/>
  <c r="Z72" i="41"/>
  <c r="Y72" i="41"/>
  <c r="X72" i="41"/>
  <c r="W72" i="41"/>
  <c r="V72" i="41"/>
  <c r="U72" i="41"/>
  <c r="T72" i="41"/>
  <c r="S72" i="41"/>
  <c r="R72" i="41"/>
  <c r="Q72" i="41"/>
  <c r="P72" i="41"/>
  <c r="O72" i="41"/>
  <c r="N72" i="41"/>
  <c r="M72" i="41"/>
  <c r="L72" i="41"/>
  <c r="K72" i="41"/>
  <c r="J72" i="41"/>
  <c r="I72" i="41"/>
  <c r="H72" i="41"/>
  <c r="G72" i="41"/>
  <c r="F72" i="41"/>
  <c r="DI71" i="41"/>
  <c r="DH71" i="41"/>
  <c r="DG71" i="41"/>
  <c r="DF71" i="41"/>
  <c r="DE71" i="41"/>
  <c r="DD71" i="41"/>
  <c r="DC71" i="41"/>
  <c r="DB71" i="41"/>
  <c r="DA71" i="41"/>
  <c r="CZ71" i="41"/>
  <c r="CY71" i="41"/>
  <c r="CX71" i="41"/>
  <c r="CW71" i="41"/>
  <c r="CV71" i="41"/>
  <c r="CU71" i="41"/>
  <c r="CT71" i="41"/>
  <c r="CS71" i="41"/>
  <c r="CR71" i="41"/>
  <c r="CQ71" i="41"/>
  <c r="CP71" i="41"/>
  <c r="CO71" i="41"/>
  <c r="CN71" i="41"/>
  <c r="CM71" i="41"/>
  <c r="CL71" i="41"/>
  <c r="CK71" i="41"/>
  <c r="CJ71" i="41"/>
  <c r="CI71" i="41"/>
  <c r="CH71" i="41"/>
  <c r="CG71" i="41"/>
  <c r="CF71" i="41"/>
  <c r="CE71" i="41"/>
  <c r="CD71" i="41"/>
  <c r="CC71" i="41"/>
  <c r="CB71" i="41" a="1"/>
  <c r="CB71" i="41" s="1"/>
  <c r="CA71" i="41" a="1"/>
  <c r="CA71" i="41" s="1"/>
  <c r="BZ71" i="41"/>
  <c r="BY71" i="41"/>
  <c r="BX71" i="41"/>
  <c r="BW71" i="41"/>
  <c r="BV71" i="41"/>
  <c r="BU71" i="41"/>
  <c r="BT71" i="41"/>
  <c r="BS71" i="41"/>
  <c r="BR71" i="41"/>
  <c r="BQ71" i="41"/>
  <c r="BP71" i="41"/>
  <c r="BO71" i="41"/>
  <c r="BN71" i="41"/>
  <c r="BM71" i="41"/>
  <c r="BL71" i="41"/>
  <c r="BK71" i="41"/>
  <c r="BJ71" i="41"/>
  <c r="BI71" i="41"/>
  <c r="BH71" i="41"/>
  <c r="BG71" i="41"/>
  <c r="BF71" i="41"/>
  <c r="BE71" i="41"/>
  <c r="BD71" i="41"/>
  <c r="BC71" i="41"/>
  <c r="BB71" i="41"/>
  <c r="BA71" i="41"/>
  <c r="AZ71" i="41"/>
  <c r="AY71" i="41"/>
  <c r="AX71" i="41"/>
  <c r="AW71" i="41"/>
  <c r="AV71" i="41"/>
  <c r="AU71" i="41"/>
  <c r="AT71" i="41"/>
  <c r="AS71" i="41"/>
  <c r="AR71" i="41"/>
  <c r="AQ71" i="41"/>
  <c r="AP71" i="41"/>
  <c r="AO71" i="41"/>
  <c r="AN71" i="41"/>
  <c r="AM71" i="41"/>
  <c r="AL71" i="41"/>
  <c r="AK71" i="41"/>
  <c r="AJ71" i="41"/>
  <c r="AI71" i="41"/>
  <c r="AH71" i="41"/>
  <c r="AG71" i="41"/>
  <c r="AF71" i="41"/>
  <c r="AE71" i="41"/>
  <c r="AD71" i="41"/>
  <c r="AC71" i="41"/>
  <c r="AB71" i="41"/>
  <c r="AA71" i="41"/>
  <c r="Z71" i="41"/>
  <c r="Y71" i="41"/>
  <c r="X71" i="41"/>
  <c r="W71" i="41"/>
  <c r="V71" i="41"/>
  <c r="U71" i="41"/>
  <c r="T71" i="41"/>
  <c r="S71" i="41"/>
  <c r="R71" i="41"/>
  <c r="Q71" i="41"/>
  <c r="P71" i="41"/>
  <c r="O71" i="41"/>
  <c r="N71" i="41"/>
  <c r="M71" i="41"/>
  <c r="L71" i="41"/>
  <c r="K71" i="41"/>
  <c r="J71" i="41"/>
  <c r="I71" i="41"/>
  <c r="H71" i="41"/>
  <c r="G71" i="41"/>
  <c r="F71" i="41"/>
  <c r="DI70" i="41"/>
  <c r="DH70" i="41"/>
  <c r="DG70" i="41"/>
  <c r="DF70" i="41"/>
  <c r="DE70" i="41"/>
  <c r="DD70" i="41"/>
  <c r="DC70" i="41"/>
  <c r="DB70" i="41"/>
  <c r="DA70" i="41"/>
  <c r="CZ70" i="41"/>
  <c r="CY70" i="41"/>
  <c r="CX70" i="41"/>
  <c r="CW70" i="41"/>
  <c r="CV70" i="41"/>
  <c r="CU70" i="41"/>
  <c r="CT70" i="41"/>
  <c r="CS70" i="41"/>
  <c r="CR70" i="41"/>
  <c r="CQ70" i="41"/>
  <c r="CP70" i="41"/>
  <c r="CO70" i="41"/>
  <c r="CN70" i="41"/>
  <c r="CM70" i="41"/>
  <c r="CL70" i="41"/>
  <c r="CK70" i="41"/>
  <c r="CJ70" i="41"/>
  <c r="CI70" i="41"/>
  <c r="CH70" i="41"/>
  <c r="CG70" i="41"/>
  <c r="CF70" i="41"/>
  <c r="CE70" i="41"/>
  <c r="CD70" i="41"/>
  <c r="CC70" i="41"/>
  <c r="CB70" i="41" a="1"/>
  <c r="CB70" i="41" s="1"/>
  <c r="CA70" i="41" a="1"/>
  <c r="CA70" i="41" s="1"/>
  <c r="BZ70" i="41"/>
  <c r="BY70" i="41"/>
  <c r="BX70" i="41"/>
  <c r="BW70" i="41"/>
  <c r="BV70" i="41"/>
  <c r="BU70" i="41"/>
  <c r="BT70" i="41"/>
  <c r="BS70" i="41"/>
  <c r="BR70" i="41"/>
  <c r="BQ70" i="41"/>
  <c r="BP70" i="41"/>
  <c r="BO70" i="41"/>
  <c r="BN70" i="41"/>
  <c r="BM70" i="41"/>
  <c r="BL70" i="41"/>
  <c r="BK70" i="41"/>
  <c r="BJ70" i="41"/>
  <c r="BI70" i="41"/>
  <c r="BH70" i="41"/>
  <c r="BG70" i="41"/>
  <c r="BF70" i="41"/>
  <c r="BE70" i="41"/>
  <c r="BD70" i="41"/>
  <c r="BC70" i="41"/>
  <c r="BB70" i="41"/>
  <c r="BA70" i="41"/>
  <c r="AZ70" i="41"/>
  <c r="AY70" i="41"/>
  <c r="AX70" i="41"/>
  <c r="AW70" i="41"/>
  <c r="AV70" i="41"/>
  <c r="AU70" i="41"/>
  <c r="AT70" i="41"/>
  <c r="AS70" i="41"/>
  <c r="AR70" i="41"/>
  <c r="AQ70" i="41"/>
  <c r="AP70" i="41"/>
  <c r="AO70" i="41"/>
  <c r="AN70" i="41"/>
  <c r="AM70" i="41"/>
  <c r="AL70" i="41"/>
  <c r="AK70" i="41"/>
  <c r="AJ70" i="41"/>
  <c r="AI70" i="41"/>
  <c r="AH70" i="41"/>
  <c r="AG70" i="41"/>
  <c r="AF70" i="41"/>
  <c r="AE70" i="41"/>
  <c r="AD70" i="41"/>
  <c r="AC70" i="41"/>
  <c r="AB70" i="41"/>
  <c r="AA70" i="41"/>
  <c r="Z70" i="41"/>
  <c r="Y70" i="41"/>
  <c r="X70" i="41"/>
  <c r="W70" i="41"/>
  <c r="V70" i="41"/>
  <c r="U70" i="41"/>
  <c r="T70" i="41"/>
  <c r="S70" i="41"/>
  <c r="R70" i="41"/>
  <c r="Q70" i="41"/>
  <c r="P70" i="41"/>
  <c r="O70" i="41"/>
  <c r="N70" i="41"/>
  <c r="M70" i="41"/>
  <c r="L70" i="41"/>
  <c r="K70" i="41"/>
  <c r="J70" i="41"/>
  <c r="I70" i="41"/>
  <c r="H70" i="41"/>
  <c r="G70" i="41"/>
  <c r="F70" i="41"/>
  <c r="DI69" i="41"/>
  <c r="DH69" i="41"/>
  <c r="DG69" i="41"/>
  <c r="DF69" i="41"/>
  <c r="DE69" i="41"/>
  <c r="DD69" i="41"/>
  <c r="DC69" i="41"/>
  <c r="DB69" i="41"/>
  <c r="DA69" i="41"/>
  <c r="CZ69" i="41"/>
  <c r="CY69" i="41"/>
  <c r="CX69" i="41"/>
  <c r="CW69" i="41"/>
  <c r="CV69" i="41"/>
  <c r="CU69" i="41"/>
  <c r="CT69" i="41"/>
  <c r="CS69" i="41"/>
  <c r="CR69" i="41"/>
  <c r="CQ69" i="41"/>
  <c r="CP69" i="41"/>
  <c r="CO69" i="41"/>
  <c r="CN69" i="41"/>
  <c r="CM69" i="41"/>
  <c r="CL69" i="41"/>
  <c r="CK69" i="41"/>
  <c r="CJ69" i="41"/>
  <c r="CI69" i="41"/>
  <c r="CH69" i="41"/>
  <c r="CG69" i="41"/>
  <c r="CF69" i="41"/>
  <c r="CE69" i="41"/>
  <c r="CD69" i="41"/>
  <c r="CC69" i="41"/>
  <c r="CB69" i="41" a="1"/>
  <c r="CB69" i="41" s="1"/>
  <c r="CA69" i="41" a="1"/>
  <c r="CA69" i="41" s="1"/>
  <c r="BZ69" i="41"/>
  <c r="BY69" i="41"/>
  <c r="BX69" i="41"/>
  <c r="BW69" i="41"/>
  <c r="BV69" i="41"/>
  <c r="BU69" i="41"/>
  <c r="BT69" i="41"/>
  <c r="BS69" i="41"/>
  <c r="BR69" i="41"/>
  <c r="BQ69" i="41"/>
  <c r="BP69" i="41"/>
  <c r="BO69" i="41"/>
  <c r="BN69" i="41"/>
  <c r="BM69" i="41"/>
  <c r="BL69" i="41"/>
  <c r="BK69" i="41"/>
  <c r="BJ69" i="41"/>
  <c r="BI69" i="41"/>
  <c r="BH69" i="41"/>
  <c r="BG69" i="41"/>
  <c r="BF69" i="41"/>
  <c r="BE69" i="41"/>
  <c r="BD69" i="41"/>
  <c r="BC69" i="41"/>
  <c r="BB69" i="41"/>
  <c r="BA69" i="41"/>
  <c r="AZ69" i="41"/>
  <c r="AY69" i="41"/>
  <c r="AX69" i="41"/>
  <c r="AW69" i="41"/>
  <c r="AV69" i="41"/>
  <c r="AU69" i="41"/>
  <c r="AT69" i="41"/>
  <c r="AS69" i="41"/>
  <c r="AR69" i="41"/>
  <c r="AQ69" i="41"/>
  <c r="AP69" i="41"/>
  <c r="AO69" i="41"/>
  <c r="AN69" i="41"/>
  <c r="AM69" i="41"/>
  <c r="AL69" i="41"/>
  <c r="AK69" i="41"/>
  <c r="AJ69" i="41"/>
  <c r="AI69" i="41"/>
  <c r="AH69" i="41"/>
  <c r="AG69" i="41"/>
  <c r="AF69" i="41"/>
  <c r="AE69" i="41"/>
  <c r="AD69" i="41"/>
  <c r="AC69" i="41"/>
  <c r="AB69" i="41"/>
  <c r="AA69" i="41"/>
  <c r="Z69" i="41"/>
  <c r="Y69" i="41"/>
  <c r="X69" i="41"/>
  <c r="W69" i="41"/>
  <c r="V69" i="41"/>
  <c r="U69" i="41"/>
  <c r="T69" i="41"/>
  <c r="S69" i="41"/>
  <c r="R69" i="41"/>
  <c r="Q69" i="41"/>
  <c r="P69" i="41"/>
  <c r="O69" i="41"/>
  <c r="N69" i="41"/>
  <c r="M69" i="41"/>
  <c r="L69" i="41"/>
  <c r="K69" i="41"/>
  <c r="J69" i="41"/>
  <c r="I69" i="41"/>
  <c r="H69" i="41"/>
  <c r="G69" i="41"/>
  <c r="F69" i="41"/>
  <c r="DI68" i="41"/>
  <c r="DH68" i="41"/>
  <c r="DG68" i="41"/>
  <c r="DF68" i="41"/>
  <c r="DE68" i="41"/>
  <c r="DD68" i="41"/>
  <c r="DC68" i="41"/>
  <c r="DB68" i="41"/>
  <c r="DA68" i="41"/>
  <c r="CZ68" i="41"/>
  <c r="CY68" i="41"/>
  <c r="CX68" i="41"/>
  <c r="CW68" i="41"/>
  <c r="CV68" i="41"/>
  <c r="CU68" i="41"/>
  <c r="CT68" i="41"/>
  <c r="CS68" i="41"/>
  <c r="CR68" i="41"/>
  <c r="CQ68" i="41"/>
  <c r="CP68" i="41"/>
  <c r="CO68" i="41"/>
  <c r="CN68" i="41"/>
  <c r="CM68" i="41"/>
  <c r="CL68" i="41"/>
  <c r="CK68" i="41"/>
  <c r="CJ68" i="41"/>
  <c r="CI68" i="41"/>
  <c r="CH68" i="41"/>
  <c r="CG68" i="41"/>
  <c r="CF68" i="41"/>
  <c r="CE68" i="41"/>
  <c r="CD68" i="41"/>
  <c r="CC68" i="41"/>
  <c r="CB68" i="41" a="1"/>
  <c r="CB68" i="41" s="1"/>
  <c r="CA68" i="41" a="1"/>
  <c r="CA68" i="41" s="1"/>
  <c r="BZ68" i="41"/>
  <c r="BY68" i="41"/>
  <c r="BX68" i="41"/>
  <c r="BW68" i="41"/>
  <c r="BV68" i="41"/>
  <c r="BU68" i="41"/>
  <c r="BT68" i="41"/>
  <c r="BS68" i="41"/>
  <c r="BR68" i="41"/>
  <c r="BQ68" i="41"/>
  <c r="BP68" i="41"/>
  <c r="BO68" i="41"/>
  <c r="BN68" i="41"/>
  <c r="BM68" i="41"/>
  <c r="BL68" i="41"/>
  <c r="BK68" i="41"/>
  <c r="BJ68" i="41"/>
  <c r="BI68" i="41"/>
  <c r="BH68" i="41"/>
  <c r="BG68" i="41"/>
  <c r="BF68" i="41"/>
  <c r="BE68" i="41"/>
  <c r="BD68" i="41"/>
  <c r="BC68" i="41"/>
  <c r="BB68" i="41"/>
  <c r="BA68" i="41"/>
  <c r="AZ68" i="41"/>
  <c r="AY68" i="41"/>
  <c r="AX68" i="41"/>
  <c r="AW68" i="41"/>
  <c r="AV68" i="41"/>
  <c r="AU68" i="41"/>
  <c r="AT68" i="41"/>
  <c r="AS68" i="41"/>
  <c r="AR68" i="41"/>
  <c r="AQ68" i="41"/>
  <c r="AP68" i="41"/>
  <c r="AO68" i="41"/>
  <c r="AN68" i="41"/>
  <c r="AM68" i="41"/>
  <c r="AL68" i="41"/>
  <c r="AK68" i="41"/>
  <c r="AJ68" i="41"/>
  <c r="AI68" i="41"/>
  <c r="AH68" i="41"/>
  <c r="AG68" i="41"/>
  <c r="AF68" i="41"/>
  <c r="AE68" i="41"/>
  <c r="AD68" i="41"/>
  <c r="AC68" i="41"/>
  <c r="AB68" i="41"/>
  <c r="AA68" i="41"/>
  <c r="Z68" i="41"/>
  <c r="Y68" i="41"/>
  <c r="X68" i="41"/>
  <c r="W68" i="41"/>
  <c r="V68" i="41"/>
  <c r="U68" i="41"/>
  <c r="T68" i="41"/>
  <c r="S68" i="41"/>
  <c r="R68" i="41"/>
  <c r="Q68" i="41"/>
  <c r="P68" i="41"/>
  <c r="O68" i="41"/>
  <c r="N68" i="41"/>
  <c r="M68" i="41"/>
  <c r="L68" i="41"/>
  <c r="K68" i="41"/>
  <c r="J68" i="41"/>
  <c r="I68" i="41"/>
  <c r="H68" i="41"/>
  <c r="G68" i="41"/>
  <c r="F68" i="41"/>
  <c r="DI67" i="41"/>
  <c r="DH67" i="41"/>
  <c r="DG67" i="41"/>
  <c r="DF67" i="41"/>
  <c r="DE67" i="41"/>
  <c r="DD67" i="41"/>
  <c r="DC67" i="41"/>
  <c r="DB67" i="41"/>
  <c r="DA67" i="41"/>
  <c r="CZ67" i="41"/>
  <c r="CY67" i="41"/>
  <c r="CX67" i="41"/>
  <c r="CW67" i="41"/>
  <c r="CV67" i="41"/>
  <c r="CU67" i="41"/>
  <c r="CT67" i="41"/>
  <c r="CS67" i="41"/>
  <c r="CR67" i="41"/>
  <c r="CQ67" i="41"/>
  <c r="CP67" i="41"/>
  <c r="CO67" i="41"/>
  <c r="CN67" i="41"/>
  <c r="CM67" i="41"/>
  <c r="CL67" i="41"/>
  <c r="CK67" i="41"/>
  <c r="CJ67" i="41"/>
  <c r="CI67" i="41"/>
  <c r="CH67" i="41"/>
  <c r="CG67" i="41"/>
  <c r="CF67" i="41"/>
  <c r="CE67" i="41"/>
  <c r="CD67" i="41"/>
  <c r="CC67" i="41"/>
  <c r="CB67" i="41" a="1"/>
  <c r="CB67" i="41" s="1"/>
  <c r="CA67" i="41" a="1"/>
  <c r="CA67" i="41" s="1"/>
  <c r="BZ67" i="41"/>
  <c r="BY67" i="41"/>
  <c r="BX67" i="41"/>
  <c r="BW67" i="41"/>
  <c r="BV67" i="41"/>
  <c r="BU67" i="41"/>
  <c r="BT67" i="41"/>
  <c r="BS67" i="41"/>
  <c r="BR67" i="41"/>
  <c r="BQ67" i="41"/>
  <c r="BP67" i="41"/>
  <c r="BO67" i="41"/>
  <c r="BN67" i="41"/>
  <c r="BM67" i="41"/>
  <c r="BL67" i="41"/>
  <c r="BK67" i="41"/>
  <c r="BJ67" i="41"/>
  <c r="BI67" i="41"/>
  <c r="BH67" i="41"/>
  <c r="BG67" i="41"/>
  <c r="BF67" i="41"/>
  <c r="BE67" i="41"/>
  <c r="BD67" i="41"/>
  <c r="BC67" i="41"/>
  <c r="BB67" i="41"/>
  <c r="BA67" i="41"/>
  <c r="AZ67" i="41"/>
  <c r="AY67" i="41"/>
  <c r="AX67" i="41"/>
  <c r="AW67" i="41"/>
  <c r="AV67" i="41"/>
  <c r="AU67" i="41"/>
  <c r="AT67" i="41"/>
  <c r="AS67" i="41"/>
  <c r="AR67" i="41"/>
  <c r="AQ67" i="41"/>
  <c r="AP67" i="41"/>
  <c r="AO67" i="41"/>
  <c r="AN67" i="41"/>
  <c r="AM67" i="41"/>
  <c r="AL67" i="41"/>
  <c r="AK67" i="41"/>
  <c r="AJ67" i="41"/>
  <c r="AI67" i="41"/>
  <c r="AH67" i="41"/>
  <c r="AG67" i="41"/>
  <c r="AF67" i="41"/>
  <c r="AE67" i="41"/>
  <c r="AD67" i="41"/>
  <c r="AC67" i="41"/>
  <c r="AB67" i="41"/>
  <c r="AA67" i="41"/>
  <c r="Z67" i="41"/>
  <c r="Y67" i="41"/>
  <c r="X67" i="41"/>
  <c r="W67" i="41"/>
  <c r="V67" i="41"/>
  <c r="U67" i="41"/>
  <c r="T67" i="41"/>
  <c r="S67" i="41"/>
  <c r="R67" i="41"/>
  <c r="Q67" i="41"/>
  <c r="P67" i="41"/>
  <c r="O67" i="41"/>
  <c r="N67" i="41"/>
  <c r="M67" i="41"/>
  <c r="L67" i="41"/>
  <c r="K67" i="41"/>
  <c r="J67" i="41"/>
  <c r="I67" i="41"/>
  <c r="H67" i="41"/>
  <c r="G67" i="41"/>
  <c r="F67" i="41"/>
  <c r="DI66" i="41"/>
  <c r="DH66" i="41"/>
  <c r="DG66" i="41"/>
  <c r="DF66" i="41"/>
  <c r="DE66" i="41"/>
  <c r="DD66" i="41"/>
  <c r="DC66" i="41"/>
  <c r="DB66" i="41"/>
  <c r="DA66" i="41"/>
  <c r="CZ66" i="41"/>
  <c r="CY66" i="41"/>
  <c r="CX66" i="41"/>
  <c r="CW66" i="41"/>
  <c r="CV66" i="41"/>
  <c r="CU66" i="41"/>
  <c r="CT66" i="41"/>
  <c r="CS66" i="41"/>
  <c r="CR66" i="41"/>
  <c r="CQ66" i="41"/>
  <c r="CP66" i="41"/>
  <c r="CO66" i="41"/>
  <c r="CN66" i="41"/>
  <c r="CM66" i="41"/>
  <c r="CL66" i="41"/>
  <c r="CK66" i="41"/>
  <c r="CJ66" i="41"/>
  <c r="CI66" i="41"/>
  <c r="CH66" i="41"/>
  <c r="CG66" i="41"/>
  <c r="CF66" i="41"/>
  <c r="CE66" i="41"/>
  <c r="CD66" i="41"/>
  <c r="CC66" i="41"/>
  <c r="CB66" i="41" a="1"/>
  <c r="CB66" i="41" s="1"/>
  <c r="CA66" i="41" a="1"/>
  <c r="CA66" i="41" s="1"/>
  <c r="BZ66" i="41"/>
  <c r="BY66" i="41"/>
  <c r="BX66" i="41"/>
  <c r="BW66" i="41"/>
  <c r="BV66" i="41"/>
  <c r="BU66" i="41"/>
  <c r="BT66" i="41"/>
  <c r="BS66" i="41"/>
  <c r="BR66" i="41"/>
  <c r="BQ66" i="41"/>
  <c r="BP66" i="41"/>
  <c r="BO66" i="41"/>
  <c r="BN66" i="41"/>
  <c r="BM66" i="41"/>
  <c r="BL66" i="41"/>
  <c r="BK66" i="41"/>
  <c r="BJ66" i="41"/>
  <c r="BI66" i="41"/>
  <c r="BH66" i="41"/>
  <c r="BG66" i="41"/>
  <c r="BF66" i="41"/>
  <c r="BE66" i="41"/>
  <c r="BD66" i="41"/>
  <c r="BC66" i="41"/>
  <c r="BB66" i="41"/>
  <c r="BA66" i="41"/>
  <c r="AZ66" i="41"/>
  <c r="AY66" i="41"/>
  <c r="AX66" i="41"/>
  <c r="AW66" i="41"/>
  <c r="AV66" i="41"/>
  <c r="AU66" i="41"/>
  <c r="AT66" i="41"/>
  <c r="AS66" i="41"/>
  <c r="AR66" i="41"/>
  <c r="AQ66" i="41"/>
  <c r="AP66" i="41"/>
  <c r="AO66" i="41"/>
  <c r="AN66" i="41"/>
  <c r="AM66" i="41"/>
  <c r="AL66" i="41"/>
  <c r="AK66" i="41"/>
  <c r="AJ66" i="41"/>
  <c r="AI66" i="41"/>
  <c r="AH66" i="41"/>
  <c r="AG66" i="41"/>
  <c r="AF66" i="41"/>
  <c r="AE66" i="41"/>
  <c r="AD66" i="41"/>
  <c r="AC66" i="41"/>
  <c r="AB66" i="41"/>
  <c r="AA66" i="41"/>
  <c r="Z66" i="41"/>
  <c r="Y66" i="41"/>
  <c r="X66" i="41"/>
  <c r="W66" i="41"/>
  <c r="V66" i="41"/>
  <c r="U66" i="41"/>
  <c r="T66" i="41"/>
  <c r="S66" i="41"/>
  <c r="R66" i="41"/>
  <c r="Q66" i="41"/>
  <c r="P66" i="41"/>
  <c r="O66" i="41"/>
  <c r="N66" i="41"/>
  <c r="M66" i="41"/>
  <c r="L66" i="41"/>
  <c r="K66" i="41"/>
  <c r="J66" i="41"/>
  <c r="I66" i="41"/>
  <c r="H66" i="41"/>
  <c r="G66" i="41"/>
  <c r="F66" i="41"/>
  <c r="DI65" i="41"/>
  <c r="DH65" i="41"/>
  <c r="DG65" i="41"/>
  <c r="DF65" i="41"/>
  <c r="DE65" i="41"/>
  <c r="DD65" i="41"/>
  <c r="DC65" i="41"/>
  <c r="DB65" i="41"/>
  <c r="DA65" i="41"/>
  <c r="CZ65" i="41"/>
  <c r="CY65" i="41"/>
  <c r="CX65" i="41"/>
  <c r="CW65" i="41"/>
  <c r="CV65" i="41"/>
  <c r="CU65" i="41"/>
  <c r="CT65" i="41"/>
  <c r="CS65" i="41"/>
  <c r="CR65" i="41"/>
  <c r="CQ65" i="41"/>
  <c r="CP65" i="41"/>
  <c r="CO65" i="41"/>
  <c r="CN65" i="41"/>
  <c r="CM65" i="41"/>
  <c r="CL65" i="41"/>
  <c r="CK65" i="41"/>
  <c r="CJ65" i="41"/>
  <c r="CI65" i="41"/>
  <c r="CH65" i="41"/>
  <c r="CG65" i="41"/>
  <c r="CF65" i="41"/>
  <c r="CE65" i="41"/>
  <c r="CD65" i="41"/>
  <c r="CC65" i="41"/>
  <c r="CB65" i="41" a="1"/>
  <c r="CB65" i="41" s="1"/>
  <c r="CA65" i="41" a="1"/>
  <c r="CA65" i="41" s="1"/>
  <c r="BZ65" i="41"/>
  <c r="BY65" i="41"/>
  <c r="BX65" i="41"/>
  <c r="BW65" i="41"/>
  <c r="BV65" i="41"/>
  <c r="BU65" i="41"/>
  <c r="BT65" i="41"/>
  <c r="BS65" i="41"/>
  <c r="BR65" i="41"/>
  <c r="BQ65" i="41"/>
  <c r="BP65" i="41"/>
  <c r="BO65" i="41"/>
  <c r="BN65" i="41"/>
  <c r="BM65" i="41"/>
  <c r="BL65" i="41"/>
  <c r="BK65" i="41"/>
  <c r="BJ65" i="41"/>
  <c r="BI65" i="41"/>
  <c r="BH65" i="41"/>
  <c r="BG65" i="41"/>
  <c r="BF65" i="41"/>
  <c r="BE65" i="41"/>
  <c r="BD65" i="41"/>
  <c r="BC65" i="41"/>
  <c r="BB65" i="41"/>
  <c r="BA65" i="41"/>
  <c r="AZ65" i="41"/>
  <c r="AY65" i="41"/>
  <c r="AX65" i="41"/>
  <c r="AW65" i="41"/>
  <c r="AV65" i="41"/>
  <c r="AU65" i="41"/>
  <c r="AT65" i="41"/>
  <c r="AS65" i="41"/>
  <c r="AR65" i="41"/>
  <c r="AQ65" i="41"/>
  <c r="AP65" i="41"/>
  <c r="AO65" i="41"/>
  <c r="AN65" i="41"/>
  <c r="AM65" i="41"/>
  <c r="AL65" i="41"/>
  <c r="AK65" i="41"/>
  <c r="AJ65" i="41"/>
  <c r="AI65" i="41"/>
  <c r="AH65" i="41"/>
  <c r="AG65" i="41"/>
  <c r="AF65" i="41"/>
  <c r="AE65" i="41"/>
  <c r="AD65" i="41"/>
  <c r="AC65" i="41"/>
  <c r="AB65" i="41"/>
  <c r="AA65" i="41"/>
  <c r="Z65" i="41"/>
  <c r="Y65" i="41"/>
  <c r="X65" i="41"/>
  <c r="W65" i="41"/>
  <c r="V65" i="41"/>
  <c r="U65" i="41"/>
  <c r="T65" i="41"/>
  <c r="S65" i="41"/>
  <c r="R65" i="41"/>
  <c r="Q65" i="41"/>
  <c r="P65" i="41"/>
  <c r="O65" i="41"/>
  <c r="N65" i="41"/>
  <c r="M65" i="41"/>
  <c r="L65" i="41"/>
  <c r="K65" i="41"/>
  <c r="J65" i="41"/>
  <c r="I65" i="41"/>
  <c r="H65" i="41"/>
  <c r="G65" i="41"/>
  <c r="F65" i="41"/>
  <c r="DI64" i="41"/>
  <c r="DH64" i="41"/>
  <c r="DG64" i="41"/>
  <c r="DF64" i="41"/>
  <c r="DE64" i="41"/>
  <c r="DD64" i="41"/>
  <c r="DC64" i="41"/>
  <c r="DB64" i="41"/>
  <c r="DA64" i="41"/>
  <c r="CZ64" i="41"/>
  <c r="CY64" i="41"/>
  <c r="CX64" i="41"/>
  <c r="CW64" i="41"/>
  <c r="CV64" i="41"/>
  <c r="CU64" i="41"/>
  <c r="CT64" i="41"/>
  <c r="CS64" i="41"/>
  <c r="CR64" i="41"/>
  <c r="CQ64" i="41"/>
  <c r="CP64" i="41"/>
  <c r="CO64" i="41"/>
  <c r="CN64" i="41"/>
  <c r="CM64" i="41"/>
  <c r="CL64" i="41"/>
  <c r="CK64" i="41"/>
  <c r="CJ64" i="41"/>
  <c r="CI64" i="41"/>
  <c r="CH64" i="41"/>
  <c r="CG64" i="41"/>
  <c r="CF64" i="41"/>
  <c r="CE64" i="41"/>
  <c r="CD64" i="41"/>
  <c r="CC64" i="41"/>
  <c r="CB64" i="41" a="1"/>
  <c r="CB64" i="41" s="1"/>
  <c r="CA64" i="41" a="1"/>
  <c r="CA64" i="41" s="1"/>
  <c r="BZ64" i="41"/>
  <c r="BY64" i="41"/>
  <c r="BX64" i="41"/>
  <c r="BW64" i="41"/>
  <c r="BV64" i="41"/>
  <c r="BU64" i="41"/>
  <c r="BT64" i="41"/>
  <c r="BS64" i="41"/>
  <c r="BR64" i="41"/>
  <c r="BQ64" i="41"/>
  <c r="BP64" i="41"/>
  <c r="BO64" i="41"/>
  <c r="BN64" i="41"/>
  <c r="BM64" i="41"/>
  <c r="BL64" i="41"/>
  <c r="BK64" i="41"/>
  <c r="BJ64" i="41"/>
  <c r="BI64" i="41"/>
  <c r="BH64" i="41"/>
  <c r="BG64" i="41"/>
  <c r="BF64" i="41"/>
  <c r="BE64" i="41"/>
  <c r="BD64" i="41"/>
  <c r="BC64" i="41"/>
  <c r="BB64" i="41"/>
  <c r="BA64" i="41"/>
  <c r="AZ64" i="41"/>
  <c r="AY64" i="41"/>
  <c r="AX64" i="41"/>
  <c r="AW64" i="41"/>
  <c r="AV64" i="41"/>
  <c r="AU64" i="41"/>
  <c r="AT64" i="41"/>
  <c r="AS64" i="41"/>
  <c r="AR64" i="41"/>
  <c r="AQ64" i="41"/>
  <c r="AP64" i="41"/>
  <c r="AO64" i="41"/>
  <c r="AN64" i="41"/>
  <c r="AM64" i="41"/>
  <c r="AL64" i="41"/>
  <c r="AK64" i="41"/>
  <c r="AJ64" i="41"/>
  <c r="AI64" i="41"/>
  <c r="AH64" i="41"/>
  <c r="AG64" i="41"/>
  <c r="AF64" i="41"/>
  <c r="AE64" i="41"/>
  <c r="AD64" i="41"/>
  <c r="AC64" i="41"/>
  <c r="AB64" i="41"/>
  <c r="AA64" i="41"/>
  <c r="Z64" i="41"/>
  <c r="Y64" i="41"/>
  <c r="X64" i="41"/>
  <c r="W64" i="41"/>
  <c r="V64" i="41"/>
  <c r="U64" i="41"/>
  <c r="T64" i="41"/>
  <c r="S64" i="41"/>
  <c r="R64" i="41"/>
  <c r="Q64" i="41"/>
  <c r="P64" i="41"/>
  <c r="O64" i="41"/>
  <c r="N64" i="41"/>
  <c r="M64" i="41"/>
  <c r="L64" i="41"/>
  <c r="K64" i="41"/>
  <c r="J64" i="41"/>
  <c r="I64" i="41"/>
  <c r="H64" i="41"/>
  <c r="G64" i="41"/>
  <c r="F64" i="41"/>
  <c r="DI63" i="41"/>
  <c r="DH63" i="41"/>
  <c r="DG63" i="41"/>
  <c r="DF63" i="41"/>
  <c r="DE63" i="41"/>
  <c r="DD63" i="41"/>
  <c r="DC63" i="41"/>
  <c r="DB63" i="41"/>
  <c r="DA63" i="41"/>
  <c r="CZ63" i="41"/>
  <c r="CY63" i="41"/>
  <c r="CX63" i="41"/>
  <c r="CW63" i="41"/>
  <c r="CV63" i="41"/>
  <c r="CU63" i="41"/>
  <c r="CT63" i="41"/>
  <c r="CS63" i="41"/>
  <c r="CR63" i="41"/>
  <c r="CQ63" i="41"/>
  <c r="CP63" i="41"/>
  <c r="CO63" i="41"/>
  <c r="CN63" i="41"/>
  <c r="CM63" i="41"/>
  <c r="CL63" i="41"/>
  <c r="CK63" i="41"/>
  <c r="CJ63" i="41"/>
  <c r="CI63" i="41"/>
  <c r="CH63" i="41"/>
  <c r="CG63" i="41"/>
  <c r="CF63" i="41"/>
  <c r="CE63" i="41"/>
  <c r="CD63" i="41"/>
  <c r="CC63" i="41"/>
  <c r="CB63" i="41" a="1"/>
  <c r="CB63" i="41" s="1"/>
  <c r="CA63" i="41" a="1"/>
  <c r="CA63" i="41" s="1"/>
  <c r="BZ63" i="41"/>
  <c r="BY63" i="41"/>
  <c r="BX63" i="41"/>
  <c r="BW63" i="41"/>
  <c r="BV63" i="41"/>
  <c r="BU63" i="41"/>
  <c r="BT63" i="41"/>
  <c r="BS63" i="41"/>
  <c r="BR63" i="41"/>
  <c r="BQ63" i="41"/>
  <c r="BP63" i="41"/>
  <c r="BO63" i="41"/>
  <c r="BN63" i="41"/>
  <c r="BM63" i="41"/>
  <c r="BL63" i="41"/>
  <c r="BK63" i="41"/>
  <c r="BJ63" i="41"/>
  <c r="BI63" i="41"/>
  <c r="BH63" i="41"/>
  <c r="BG63" i="41"/>
  <c r="BF63" i="41"/>
  <c r="BE63" i="41"/>
  <c r="BD63" i="41"/>
  <c r="BC63" i="41"/>
  <c r="BB63" i="41"/>
  <c r="BA63" i="41"/>
  <c r="AZ63" i="41"/>
  <c r="AY63" i="41"/>
  <c r="AX63" i="41"/>
  <c r="AW63" i="41"/>
  <c r="AV63" i="41"/>
  <c r="AU63" i="41"/>
  <c r="AT63" i="41"/>
  <c r="AS63" i="41"/>
  <c r="AR63" i="41"/>
  <c r="AQ63" i="41"/>
  <c r="AP63" i="41"/>
  <c r="AO63" i="41"/>
  <c r="AN63" i="41"/>
  <c r="AM63" i="41"/>
  <c r="AL63" i="41"/>
  <c r="AK63" i="41"/>
  <c r="AJ63" i="41"/>
  <c r="AI63" i="41"/>
  <c r="AH63" i="41"/>
  <c r="AG63" i="41"/>
  <c r="AF63" i="41"/>
  <c r="AE63" i="41"/>
  <c r="AD63" i="41"/>
  <c r="AC63" i="41"/>
  <c r="AB63" i="41"/>
  <c r="AA63" i="41"/>
  <c r="Z63" i="41"/>
  <c r="Y63" i="41"/>
  <c r="X63" i="41"/>
  <c r="W63" i="41"/>
  <c r="V63" i="41"/>
  <c r="U63" i="41"/>
  <c r="T63" i="41"/>
  <c r="S63" i="41"/>
  <c r="R63" i="41"/>
  <c r="Q63" i="41"/>
  <c r="P63" i="41"/>
  <c r="O63" i="41"/>
  <c r="N63" i="41"/>
  <c r="M63" i="41"/>
  <c r="L63" i="41"/>
  <c r="K63" i="41"/>
  <c r="J63" i="41"/>
  <c r="I63" i="41"/>
  <c r="H63" i="41"/>
  <c r="G63" i="41"/>
  <c r="F63" i="41"/>
  <c r="DI62" i="41"/>
  <c r="DH62" i="41"/>
  <c r="DG62" i="41"/>
  <c r="DF62" i="41"/>
  <c r="DE62" i="41"/>
  <c r="DD62" i="41"/>
  <c r="DC62" i="41"/>
  <c r="DB62" i="41"/>
  <c r="DA62" i="41"/>
  <c r="CZ62" i="41"/>
  <c r="CY62" i="41"/>
  <c r="CX62" i="41"/>
  <c r="CW62" i="41"/>
  <c r="CV62" i="41"/>
  <c r="CU62" i="41"/>
  <c r="CT62" i="41"/>
  <c r="CS62" i="41"/>
  <c r="CR62" i="41"/>
  <c r="CQ62" i="41"/>
  <c r="CP62" i="41"/>
  <c r="CO62" i="41"/>
  <c r="CN62" i="41"/>
  <c r="CM62" i="41"/>
  <c r="CL62" i="41"/>
  <c r="CK62" i="41"/>
  <c r="CJ62" i="41"/>
  <c r="CI62" i="41"/>
  <c r="CH62" i="41"/>
  <c r="CG62" i="41"/>
  <c r="CF62" i="41"/>
  <c r="CE62" i="41"/>
  <c r="CD62" i="41"/>
  <c r="CC62" i="41"/>
  <c r="CB62" i="41" a="1"/>
  <c r="CB62" i="41" s="1"/>
  <c r="CA62" i="41" a="1"/>
  <c r="CA62" i="41" s="1"/>
  <c r="BZ62" i="41"/>
  <c r="BY62" i="41"/>
  <c r="BX62" i="41"/>
  <c r="BW62" i="41"/>
  <c r="BV62" i="41"/>
  <c r="BU62" i="41"/>
  <c r="BT62" i="41"/>
  <c r="BS62" i="41"/>
  <c r="BR62" i="41"/>
  <c r="BQ62" i="41"/>
  <c r="BP62" i="41"/>
  <c r="BO62" i="41"/>
  <c r="BN62" i="41"/>
  <c r="BM62" i="41"/>
  <c r="BL62" i="41"/>
  <c r="BK62" i="41"/>
  <c r="BJ62" i="41"/>
  <c r="BI62" i="41"/>
  <c r="BH62" i="41"/>
  <c r="BG62" i="41"/>
  <c r="BF62" i="41"/>
  <c r="BE62" i="41"/>
  <c r="BD62" i="41"/>
  <c r="BC62" i="41"/>
  <c r="BB62" i="41"/>
  <c r="BA62" i="41"/>
  <c r="AZ62" i="41"/>
  <c r="AY62" i="41"/>
  <c r="AX62" i="41"/>
  <c r="AW62" i="41"/>
  <c r="AV62" i="41"/>
  <c r="AU62" i="41"/>
  <c r="AT62" i="41"/>
  <c r="AS62" i="41"/>
  <c r="AR62" i="41"/>
  <c r="AQ62" i="41"/>
  <c r="AP62" i="41"/>
  <c r="AO62" i="41"/>
  <c r="AN62" i="41"/>
  <c r="AM62" i="41"/>
  <c r="AL62" i="41"/>
  <c r="AK62" i="41"/>
  <c r="AJ62" i="41"/>
  <c r="AI62" i="41"/>
  <c r="AH62" i="41"/>
  <c r="AG62" i="41"/>
  <c r="AF62" i="41"/>
  <c r="AE62" i="41"/>
  <c r="AD62" i="41"/>
  <c r="AC62" i="41"/>
  <c r="AB62" i="41"/>
  <c r="AA62" i="41"/>
  <c r="Z62" i="41"/>
  <c r="Y62" i="41"/>
  <c r="X62" i="41"/>
  <c r="W62" i="41"/>
  <c r="V62" i="41"/>
  <c r="U62" i="41"/>
  <c r="T62" i="41"/>
  <c r="S62" i="41"/>
  <c r="R62" i="41"/>
  <c r="Q62" i="41"/>
  <c r="P62" i="41"/>
  <c r="O62" i="41"/>
  <c r="N62" i="41"/>
  <c r="M62" i="41"/>
  <c r="L62" i="41"/>
  <c r="K62" i="41"/>
  <c r="J62" i="41"/>
  <c r="I62" i="41"/>
  <c r="H62" i="41"/>
  <c r="G62" i="41"/>
  <c r="F62" i="41"/>
  <c r="DI61" i="41"/>
  <c r="DH61" i="41"/>
  <c r="DG61" i="41"/>
  <c r="DF61" i="41"/>
  <c r="DE61" i="41"/>
  <c r="DD61" i="41"/>
  <c r="DC61" i="41"/>
  <c r="DB61" i="41"/>
  <c r="DA61" i="41"/>
  <c r="CZ61" i="41"/>
  <c r="CY61" i="41"/>
  <c r="CX61" i="41"/>
  <c r="CW61" i="41"/>
  <c r="CV61" i="41"/>
  <c r="CU61" i="41"/>
  <c r="CT61" i="41"/>
  <c r="CS61" i="41"/>
  <c r="CR61" i="41"/>
  <c r="CQ61" i="41"/>
  <c r="CP61" i="41"/>
  <c r="CO61" i="41"/>
  <c r="CN61" i="41"/>
  <c r="CM61" i="41"/>
  <c r="CL61" i="41"/>
  <c r="CK61" i="41"/>
  <c r="CJ61" i="41"/>
  <c r="CI61" i="41"/>
  <c r="CH61" i="41"/>
  <c r="CG61" i="41"/>
  <c r="CF61" i="41"/>
  <c r="CE61" i="41"/>
  <c r="CD61" i="41"/>
  <c r="CC61" i="41"/>
  <c r="CB61" i="41" a="1"/>
  <c r="CB61" i="41" s="1"/>
  <c r="CA61" i="41" a="1"/>
  <c r="CA61" i="41" s="1"/>
  <c r="BZ61" i="41"/>
  <c r="BY61" i="41"/>
  <c r="BX61" i="41"/>
  <c r="BW61" i="41"/>
  <c r="BV61" i="41"/>
  <c r="BU61" i="41"/>
  <c r="BT61" i="41"/>
  <c r="BS61" i="41"/>
  <c r="BR61" i="41"/>
  <c r="BQ61" i="41"/>
  <c r="BP61" i="41"/>
  <c r="BO61" i="41"/>
  <c r="BN61" i="41"/>
  <c r="BM61" i="41"/>
  <c r="BL61" i="41"/>
  <c r="BK61" i="41"/>
  <c r="BJ61" i="41"/>
  <c r="BI61" i="41"/>
  <c r="BH61" i="41"/>
  <c r="BG61" i="41"/>
  <c r="BF61" i="41"/>
  <c r="BE61" i="41"/>
  <c r="BD61" i="41"/>
  <c r="BC61" i="41"/>
  <c r="BB61" i="41"/>
  <c r="BA61" i="41"/>
  <c r="AZ61" i="41"/>
  <c r="AY61" i="41"/>
  <c r="AX61" i="41"/>
  <c r="AW61" i="41"/>
  <c r="AV61" i="41"/>
  <c r="AU61" i="41"/>
  <c r="AT61" i="41"/>
  <c r="AS61" i="41"/>
  <c r="AR61" i="41"/>
  <c r="AQ61" i="41"/>
  <c r="AP61" i="41"/>
  <c r="AO61" i="41"/>
  <c r="AN61" i="41"/>
  <c r="AM61" i="41"/>
  <c r="AL61" i="41"/>
  <c r="AK61" i="41"/>
  <c r="AJ61" i="41"/>
  <c r="AI61" i="41"/>
  <c r="AH61" i="41"/>
  <c r="AG61" i="41"/>
  <c r="AF61" i="41"/>
  <c r="AE61" i="41"/>
  <c r="AD61" i="41"/>
  <c r="AC61" i="41"/>
  <c r="AB61" i="41"/>
  <c r="AA61" i="41"/>
  <c r="Z61" i="41"/>
  <c r="Y61" i="41"/>
  <c r="X61" i="41"/>
  <c r="W61" i="41"/>
  <c r="V61" i="41"/>
  <c r="U61" i="41"/>
  <c r="T61" i="41"/>
  <c r="S61" i="41"/>
  <c r="R61" i="41"/>
  <c r="Q61" i="41"/>
  <c r="P61" i="41"/>
  <c r="O61" i="41"/>
  <c r="N61" i="41"/>
  <c r="M61" i="41"/>
  <c r="L61" i="41"/>
  <c r="K61" i="41"/>
  <c r="J61" i="41"/>
  <c r="I61" i="41"/>
  <c r="H61" i="41"/>
  <c r="G61" i="41"/>
  <c r="F61" i="41"/>
  <c r="DI60" i="41"/>
  <c r="DH60" i="41"/>
  <c r="DG60" i="41"/>
  <c r="DF60" i="41"/>
  <c r="DE60" i="41"/>
  <c r="DD60" i="41"/>
  <c r="DC60" i="41"/>
  <c r="DB60" i="41"/>
  <c r="DA60" i="41"/>
  <c r="CZ60" i="41"/>
  <c r="CY60" i="41"/>
  <c r="CX60" i="41"/>
  <c r="CW60" i="41"/>
  <c r="CV60" i="41"/>
  <c r="CU60" i="41"/>
  <c r="CT60" i="41"/>
  <c r="CS60" i="41"/>
  <c r="CR60" i="41"/>
  <c r="CQ60" i="41"/>
  <c r="CP60" i="41"/>
  <c r="CO60" i="41"/>
  <c r="CN60" i="41"/>
  <c r="CM60" i="41"/>
  <c r="CL60" i="41"/>
  <c r="CK60" i="41"/>
  <c r="CJ60" i="41"/>
  <c r="CI60" i="41"/>
  <c r="CH60" i="41"/>
  <c r="CG60" i="41"/>
  <c r="CF60" i="41"/>
  <c r="CE60" i="41"/>
  <c r="CD60" i="41"/>
  <c r="CC60" i="41"/>
  <c r="CB60" i="41" a="1"/>
  <c r="CB60" i="41" s="1"/>
  <c r="CA60" i="41" a="1"/>
  <c r="CA60" i="41" s="1"/>
  <c r="BZ60" i="41"/>
  <c r="BY60" i="41"/>
  <c r="BX60" i="41"/>
  <c r="BW60" i="41"/>
  <c r="BV60" i="41"/>
  <c r="BU60" i="41"/>
  <c r="BT60" i="41"/>
  <c r="BS60" i="41"/>
  <c r="BR60" i="41"/>
  <c r="BQ60" i="41"/>
  <c r="BP60" i="41"/>
  <c r="BO60" i="41"/>
  <c r="BN60" i="41"/>
  <c r="BM60" i="41"/>
  <c r="BL60" i="41"/>
  <c r="BK60" i="41"/>
  <c r="BJ60" i="41"/>
  <c r="BI60" i="41"/>
  <c r="BH60" i="41"/>
  <c r="BG60" i="41"/>
  <c r="BF60" i="41"/>
  <c r="BE60" i="41"/>
  <c r="BD60" i="41"/>
  <c r="BC60" i="41"/>
  <c r="BB60" i="41"/>
  <c r="BA60" i="41"/>
  <c r="AZ60" i="41"/>
  <c r="AY60" i="41"/>
  <c r="AX60" i="41"/>
  <c r="AW60" i="41"/>
  <c r="AV60" i="41"/>
  <c r="AU60" i="41"/>
  <c r="AT60" i="41"/>
  <c r="AS60" i="41"/>
  <c r="AR60" i="41"/>
  <c r="AQ60" i="41"/>
  <c r="AP60" i="41"/>
  <c r="AO60" i="41"/>
  <c r="AN60" i="41"/>
  <c r="AM60" i="41"/>
  <c r="AL60" i="41"/>
  <c r="AK60" i="41"/>
  <c r="AJ60" i="41"/>
  <c r="AI60" i="41"/>
  <c r="AH60" i="41"/>
  <c r="AG60" i="41"/>
  <c r="AF60" i="41"/>
  <c r="AE60" i="41"/>
  <c r="AD60" i="41"/>
  <c r="AC60" i="41"/>
  <c r="AB60" i="41"/>
  <c r="AA60" i="41"/>
  <c r="Z60" i="41"/>
  <c r="Y60" i="41"/>
  <c r="X60" i="41"/>
  <c r="W60" i="41"/>
  <c r="V60" i="41"/>
  <c r="U60" i="41"/>
  <c r="T60" i="41"/>
  <c r="S60" i="41"/>
  <c r="R60" i="41"/>
  <c r="Q60" i="41"/>
  <c r="P60" i="41"/>
  <c r="O60" i="41"/>
  <c r="N60" i="41"/>
  <c r="M60" i="41"/>
  <c r="L60" i="41"/>
  <c r="K60" i="41"/>
  <c r="J60" i="41"/>
  <c r="I60" i="41"/>
  <c r="H60" i="41"/>
  <c r="G60" i="41"/>
  <c r="F60" i="41"/>
  <c r="DI59" i="41"/>
  <c r="DH59" i="41"/>
  <c r="DG59" i="41"/>
  <c r="DF59" i="41"/>
  <c r="DE59" i="41"/>
  <c r="DD59" i="41"/>
  <c r="DC59" i="41"/>
  <c r="DB59" i="41"/>
  <c r="DA59" i="41"/>
  <c r="CZ59" i="41"/>
  <c r="CY59" i="41"/>
  <c r="CX59" i="41"/>
  <c r="CW59" i="41"/>
  <c r="CV59" i="41"/>
  <c r="CU59" i="41"/>
  <c r="CT59" i="41"/>
  <c r="CS59" i="41"/>
  <c r="CR59" i="41"/>
  <c r="CQ59" i="41"/>
  <c r="CP59" i="41"/>
  <c r="CO59" i="41"/>
  <c r="CN59" i="41"/>
  <c r="CM59" i="41"/>
  <c r="CL59" i="41"/>
  <c r="CK59" i="41"/>
  <c r="CJ59" i="41"/>
  <c r="CI59" i="41"/>
  <c r="CH59" i="41"/>
  <c r="CG59" i="41"/>
  <c r="CF59" i="41"/>
  <c r="CE59" i="41"/>
  <c r="CD59" i="41"/>
  <c r="CC59" i="41"/>
  <c r="CB59" i="41" a="1"/>
  <c r="CB59" i="41" s="1"/>
  <c r="CA59" i="41" a="1"/>
  <c r="CA59" i="41" s="1"/>
  <c r="BZ59" i="41"/>
  <c r="BY59" i="41"/>
  <c r="BX59" i="41"/>
  <c r="BW59" i="41"/>
  <c r="BV59" i="41"/>
  <c r="BU59" i="41"/>
  <c r="BT59" i="41"/>
  <c r="BS59" i="41"/>
  <c r="BR59" i="41"/>
  <c r="BQ59" i="41"/>
  <c r="BP59" i="41"/>
  <c r="BO59" i="41"/>
  <c r="BN59" i="41"/>
  <c r="BM59" i="41"/>
  <c r="BL59" i="41"/>
  <c r="BK59" i="41"/>
  <c r="BJ59" i="41"/>
  <c r="BI59" i="41"/>
  <c r="BH59" i="41"/>
  <c r="BG59" i="41"/>
  <c r="BF59" i="41"/>
  <c r="BE59" i="41"/>
  <c r="BD59" i="41"/>
  <c r="BC59" i="41"/>
  <c r="BB59" i="41"/>
  <c r="BA59" i="41"/>
  <c r="AZ59" i="41"/>
  <c r="AY59" i="41"/>
  <c r="AX59" i="41"/>
  <c r="AW59" i="41"/>
  <c r="AV59" i="41"/>
  <c r="AU59" i="41"/>
  <c r="AT59" i="41"/>
  <c r="AS59" i="41"/>
  <c r="AR59" i="41"/>
  <c r="AQ59" i="41"/>
  <c r="AP59" i="41"/>
  <c r="AO59" i="41"/>
  <c r="AN59" i="41"/>
  <c r="AM59" i="41"/>
  <c r="AL59" i="41"/>
  <c r="AK59" i="41"/>
  <c r="AJ59" i="41"/>
  <c r="AI59" i="41"/>
  <c r="AH59" i="41"/>
  <c r="AG59" i="41"/>
  <c r="AF59" i="41"/>
  <c r="AE59" i="41"/>
  <c r="AD59" i="41"/>
  <c r="AC59" i="41"/>
  <c r="AB59" i="41"/>
  <c r="AA59" i="41"/>
  <c r="Z59" i="41"/>
  <c r="Y59" i="41"/>
  <c r="X59" i="41"/>
  <c r="W59" i="41"/>
  <c r="V59" i="41"/>
  <c r="U59" i="41"/>
  <c r="T59" i="41"/>
  <c r="S59" i="41"/>
  <c r="R59" i="41"/>
  <c r="Q59" i="41"/>
  <c r="P59" i="41"/>
  <c r="O59" i="41"/>
  <c r="N59" i="41"/>
  <c r="M59" i="41"/>
  <c r="L59" i="41"/>
  <c r="K59" i="41"/>
  <c r="J59" i="41"/>
  <c r="I59" i="41"/>
  <c r="H59" i="41"/>
  <c r="G59" i="41"/>
  <c r="F59" i="41"/>
  <c r="DI58" i="41"/>
  <c r="DH58" i="41"/>
  <c r="DG58" i="41"/>
  <c r="DF58" i="41"/>
  <c r="DE58" i="41"/>
  <c r="DD58" i="41"/>
  <c r="DC58" i="41"/>
  <c r="DB58" i="41"/>
  <c r="DA58" i="41"/>
  <c r="CZ58" i="41"/>
  <c r="CY58" i="41"/>
  <c r="CX58" i="41"/>
  <c r="CW58" i="41"/>
  <c r="CV58" i="41"/>
  <c r="CU58" i="41"/>
  <c r="CT58" i="41"/>
  <c r="CS58" i="41"/>
  <c r="CR58" i="41"/>
  <c r="CQ58" i="41"/>
  <c r="CP58" i="41"/>
  <c r="CO58" i="41"/>
  <c r="CN58" i="41"/>
  <c r="CM58" i="41"/>
  <c r="CL58" i="41"/>
  <c r="CK58" i="41"/>
  <c r="CJ58" i="41"/>
  <c r="CI58" i="41"/>
  <c r="CH58" i="41"/>
  <c r="CG58" i="41"/>
  <c r="CF58" i="41"/>
  <c r="CE58" i="41"/>
  <c r="CD58" i="41"/>
  <c r="CC58" i="41"/>
  <c r="CB58" i="41" a="1"/>
  <c r="CB58" i="41" s="1"/>
  <c r="CA58" i="41" a="1"/>
  <c r="CA58" i="41" s="1"/>
  <c r="BZ58" i="41"/>
  <c r="BY58" i="41"/>
  <c r="BX58" i="41"/>
  <c r="BW58" i="41"/>
  <c r="BV58" i="41"/>
  <c r="BU58" i="41"/>
  <c r="BT58" i="41"/>
  <c r="BS58" i="41"/>
  <c r="BR58" i="41"/>
  <c r="BQ58" i="41"/>
  <c r="BP58" i="41"/>
  <c r="BO58" i="41"/>
  <c r="BN58" i="41"/>
  <c r="BM58" i="41"/>
  <c r="BL58" i="41"/>
  <c r="BK58" i="41"/>
  <c r="BJ58" i="41"/>
  <c r="BI58" i="41"/>
  <c r="BH58" i="41"/>
  <c r="BG58" i="41"/>
  <c r="BF58" i="41"/>
  <c r="BE58" i="41"/>
  <c r="BD58" i="41"/>
  <c r="BC58" i="41"/>
  <c r="BB58" i="41"/>
  <c r="BA58" i="41"/>
  <c r="AZ58" i="41"/>
  <c r="AY58" i="41"/>
  <c r="AX58" i="41"/>
  <c r="AW58" i="41"/>
  <c r="AV58" i="41"/>
  <c r="AU58" i="41"/>
  <c r="AT58" i="41"/>
  <c r="AS58" i="41"/>
  <c r="AR58" i="41"/>
  <c r="AQ58" i="41"/>
  <c r="AP58" i="41"/>
  <c r="AO58" i="41"/>
  <c r="AN58" i="41"/>
  <c r="AM58" i="41"/>
  <c r="AL58" i="41"/>
  <c r="AK58" i="41"/>
  <c r="AJ58" i="41"/>
  <c r="AI58" i="41"/>
  <c r="AH58" i="41"/>
  <c r="AG58" i="41"/>
  <c r="AF58" i="41"/>
  <c r="AE58" i="41"/>
  <c r="AD58" i="41"/>
  <c r="AC58" i="41"/>
  <c r="AB58" i="41"/>
  <c r="AA58" i="41"/>
  <c r="Z58" i="41"/>
  <c r="Y58" i="41"/>
  <c r="X58" i="41"/>
  <c r="W58" i="41"/>
  <c r="V58" i="41"/>
  <c r="U58" i="41"/>
  <c r="T58" i="41"/>
  <c r="S58" i="41"/>
  <c r="R58" i="41"/>
  <c r="Q58" i="41"/>
  <c r="P58" i="41"/>
  <c r="O58" i="41"/>
  <c r="N58" i="41"/>
  <c r="M58" i="41"/>
  <c r="L58" i="41"/>
  <c r="K58" i="41"/>
  <c r="J58" i="41"/>
  <c r="I58" i="41"/>
  <c r="H58" i="41"/>
  <c r="G58" i="41"/>
  <c r="F58" i="41"/>
  <c r="DI57" i="41"/>
  <c r="DH57" i="41"/>
  <c r="DG57" i="41"/>
  <c r="DF57" i="41"/>
  <c r="DE57" i="41"/>
  <c r="DD57" i="41"/>
  <c r="DC57" i="41"/>
  <c r="DB57" i="41"/>
  <c r="DA57" i="41"/>
  <c r="CZ57" i="41"/>
  <c r="CY57" i="41"/>
  <c r="CX57" i="41"/>
  <c r="CW57" i="41"/>
  <c r="CV57" i="41"/>
  <c r="CU57" i="41"/>
  <c r="CT57" i="41"/>
  <c r="CS57" i="41"/>
  <c r="CR57" i="41"/>
  <c r="CQ57" i="41"/>
  <c r="CP57" i="41"/>
  <c r="CO57" i="41"/>
  <c r="CN57" i="41"/>
  <c r="CM57" i="41"/>
  <c r="CL57" i="41"/>
  <c r="CK57" i="41"/>
  <c r="CJ57" i="41"/>
  <c r="CI57" i="41"/>
  <c r="CH57" i="41"/>
  <c r="CG57" i="41"/>
  <c r="CF57" i="41"/>
  <c r="CE57" i="41"/>
  <c r="CD57" i="41"/>
  <c r="CC57" i="41"/>
  <c r="CB57" i="41" a="1"/>
  <c r="CB57" i="41" s="1"/>
  <c r="CA57" i="41" a="1"/>
  <c r="CA57" i="41" s="1"/>
  <c r="BZ57" i="41"/>
  <c r="BY57" i="41"/>
  <c r="BX57" i="41"/>
  <c r="BW57" i="41"/>
  <c r="BV57" i="41"/>
  <c r="BU57" i="41"/>
  <c r="BT57" i="41"/>
  <c r="BS57" i="41"/>
  <c r="BR57" i="41"/>
  <c r="BQ57" i="41"/>
  <c r="BP57" i="41"/>
  <c r="BO57" i="41"/>
  <c r="BN57" i="41"/>
  <c r="BM57" i="41"/>
  <c r="BL57" i="41"/>
  <c r="BK57" i="41"/>
  <c r="BJ57" i="41"/>
  <c r="BI57" i="41"/>
  <c r="BH57" i="41"/>
  <c r="BG57" i="41"/>
  <c r="BF57" i="41"/>
  <c r="BE57" i="41"/>
  <c r="BD57" i="41"/>
  <c r="BC57" i="41"/>
  <c r="BB57" i="41"/>
  <c r="BA57" i="41"/>
  <c r="AZ57" i="41"/>
  <c r="AY57" i="41"/>
  <c r="AX57" i="41"/>
  <c r="AW57" i="41"/>
  <c r="AV57" i="41"/>
  <c r="AU57" i="41"/>
  <c r="AT57" i="41"/>
  <c r="AS57" i="41"/>
  <c r="AR57" i="41"/>
  <c r="AQ57" i="41"/>
  <c r="AP57" i="41"/>
  <c r="AO57" i="41"/>
  <c r="AN57" i="41"/>
  <c r="AM57" i="41"/>
  <c r="AL57" i="41"/>
  <c r="AK57" i="41"/>
  <c r="AJ57" i="41"/>
  <c r="AI57" i="41"/>
  <c r="AH57" i="41"/>
  <c r="AG57" i="41"/>
  <c r="AF57" i="41"/>
  <c r="AE57" i="41"/>
  <c r="AD57" i="41"/>
  <c r="AC57" i="41"/>
  <c r="AB57" i="41"/>
  <c r="AA57" i="41"/>
  <c r="Z57" i="41"/>
  <c r="Y57" i="41"/>
  <c r="X57" i="41"/>
  <c r="W57" i="41"/>
  <c r="V57" i="41"/>
  <c r="U57" i="41"/>
  <c r="T57" i="41"/>
  <c r="S57" i="41"/>
  <c r="R57" i="41"/>
  <c r="Q57" i="41"/>
  <c r="P57" i="41"/>
  <c r="O57" i="41"/>
  <c r="N57" i="41"/>
  <c r="M57" i="41"/>
  <c r="L57" i="41"/>
  <c r="K57" i="41"/>
  <c r="J57" i="41"/>
  <c r="I57" i="41"/>
  <c r="H57" i="41"/>
  <c r="G57" i="41"/>
  <c r="F57" i="41"/>
  <c r="DI56" i="41"/>
  <c r="DH56" i="41"/>
  <c r="DG56" i="41"/>
  <c r="DF56" i="41"/>
  <c r="DE56" i="41"/>
  <c r="DD56" i="41"/>
  <c r="DC56" i="41"/>
  <c r="DB56" i="41"/>
  <c r="DA56" i="41"/>
  <c r="CZ56" i="41"/>
  <c r="CY56" i="41"/>
  <c r="CX56" i="41"/>
  <c r="CW56" i="41"/>
  <c r="CV56" i="41"/>
  <c r="CU56" i="41"/>
  <c r="CT56" i="41"/>
  <c r="CS56" i="41"/>
  <c r="CR56" i="41"/>
  <c r="CQ56" i="41"/>
  <c r="CP56" i="41"/>
  <c r="CO56" i="41"/>
  <c r="CN56" i="41"/>
  <c r="CM56" i="41"/>
  <c r="CL56" i="41"/>
  <c r="CK56" i="41"/>
  <c r="CJ56" i="41"/>
  <c r="CI56" i="41"/>
  <c r="CH56" i="41"/>
  <c r="CG56" i="41"/>
  <c r="CF56" i="41"/>
  <c r="CE56" i="41"/>
  <c r="CD56" i="41"/>
  <c r="CC56" i="41"/>
  <c r="CB56" i="41" a="1"/>
  <c r="CB56" i="41" s="1"/>
  <c r="CA56" i="41" a="1"/>
  <c r="CA56" i="41" s="1"/>
  <c r="BZ56" i="41"/>
  <c r="BY56" i="41"/>
  <c r="BX56" i="41"/>
  <c r="BW56" i="41"/>
  <c r="BV56" i="41"/>
  <c r="BU56" i="41"/>
  <c r="BT56" i="41"/>
  <c r="BS56" i="41"/>
  <c r="BR56" i="41"/>
  <c r="BQ56" i="41"/>
  <c r="BP56" i="41"/>
  <c r="BO56" i="41"/>
  <c r="BN56" i="41"/>
  <c r="BM56" i="41"/>
  <c r="BL56" i="41"/>
  <c r="BK56" i="41"/>
  <c r="BJ56" i="41"/>
  <c r="BI56" i="41"/>
  <c r="BH56" i="41"/>
  <c r="BG56" i="41"/>
  <c r="BF56" i="41"/>
  <c r="BE56" i="41"/>
  <c r="BD56" i="41"/>
  <c r="BC56" i="41"/>
  <c r="BB56" i="41"/>
  <c r="BA56" i="41"/>
  <c r="AZ56" i="41"/>
  <c r="AY56" i="41"/>
  <c r="AX56" i="41"/>
  <c r="AW56" i="41"/>
  <c r="AV56" i="41"/>
  <c r="AU56" i="41"/>
  <c r="AT56" i="41"/>
  <c r="AS56" i="41"/>
  <c r="AR56" i="41"/>
  <c r="AQ56" i="41"/>
  <c r="AP56" i="41"/>
  <c r="AO56" i="41"/>
  <c r="AN56" i="41"/>
  <c r="AM56" i="41"/>
  <c r="AL56" i="41"/>
  <c r="AK56" i="41"/>
  <c r="AJ56" i="41"/>
  <c r="AI56" i="41"/>
  <c r="AH56" i="41"/>
  <c r="AG56" i="41"/>
  <c r="AF56" i="41"/>
  <c r="AE56" i="41"/>
  <c r="AD56" i="41"/>
  <c r="AC56" i="41"/>
  <c r="AB56" i="41"/>
  <c r="AA56" i="41"/>
  <c r="Z56" i="41"/>
  <c r="Y56" i="41"/>
  <c r="X56" i="41"/>
  <c r="W56" i="41"/>
  <c r="V56" i="41"/>
  <c r="U56" i="41"/>
  <c r="T56" i="41"/>
  <c r="S56" i="41"/>
  <c r="R56" i="41"/>
  <c r="Q56" i="41"/>
  <c r="P56" i="41"/>
  <c r="O56" i="41"/>
  <c r="N56" i="41"/>
  <c r="M56" i="41"/>
  <c r="L56" i="41"/>
  <c r="K56" i="41"/>
  <c r="J56" i="41"/>
  <c r="I56" i="41"/>
  <c r="H56" i="41"/>
  <c r="G56" i="41"/>
  <c r="F56" i="41"/>
  <c r="DI55" i="41"/>
  <c r="DH55" i="41"/>
  <c r="DG55" i="41"/>
  <c r="DF55" i="41"/>
  <c r="DE55" i="41"/>
  <c r="DD55" i="41"/>
  <c r="DC55" i="41"/>
  <c r="DB55" i="41"/>
  <c r="DA55" i="41"/>
  <c r="CZ55" i="41"/>
  <c r="CY55" i="41"/>
  <c r="CX55" i="41"/>
  <c r="CW55" i="41"/>
  <c r="CV55" i="41"/>
  <c r="CU55" i="41"/>
  <c r="CT55" i="41"/>
  <c r="CS55" i="41"/>
  <c r="CR55" i="41"/>
  <c r="CQ55" i="41"/>
  <c r="CP55" i="41"/>
  <c r="CO55" i="41"/>
  <c r="CN55" i="41"/>
  <c r="CM55" i="41"/>
  <c r="CL55" i="41"/>
  <c r="CK55" i="41"/>
  <c r="CJ55" i="41"/>
  <c r="CI55" i="41"/>
  <c r="CH55" i="41"/>
  <c r="CG55" i="41"/>
  <c r="CF55" i="41"/>
  <c r="CE55" i="41"/>
  <c r="CD55" i="41"/>
  <c r="CC55" i="41"/>
  <c r="CB55" i="41" a="1"/>
  <c r="CB55" i="41" s="1"/>
  <c r="CA55" i="41" a="1"/>
  <c r="CA55" i="41" s="1"/>
  <c r="BZ55" i="41"/>
  <c r="BY55" i="41"/>
  <c r="BX55" i="41"/>
  <c r="BW55" i="41"/>
  <c r="BV55" i="41"/>
  <c r="BU55" i="41"/>
  <c r="BT55" i="41"/>
  <c r="BS55" i="41"/>
  <c r="BR55" i="41"/>
  <c r="BQ55" i="41"/>
  <c r="BP55" i="41"/>
  <c r="BO55" i="41"/>
  <c r="BN55" i="41"/>
  <c r="BM55" i="41"/>
  <c r="BL55" i="41"/>
  <c r="BK55" i="41"/>
  <c r="BJ55" i="41"/>
  <c r="BI55" i="41"/>
  <c r="BH55" i="41"/>
  <c r="BG55" i="41"/>
  <c r="BF55" i="41"/>
  <c r="BE55" i="41"/>
  <c r="BD55" i="41"/>
  <c r="BC55" i="41"/>
  <c r="BB55" i="41"/>
  <c r="BA55" i="41"/>
  <c r="AZ55" i="41"/>
  <c r="AY55" i="41"/>
  <c r="AX55" i="41"/>
  <c r="AW55" i="41"/>
  <c r="AV55" i="41"/>
  <c r="AU55" i="41"/>
  <c r="AT55" i="41"/>
  <c r="AS55" i="41"/>
  <c r="AR55" i="41"/>
  <c r="AQ55" i="41"/>
  <c r="AP55" i="41"/>
  <c r="AO55" i="41"/>
  <c r="AN55" i="41"/>
  <c r="AM55" i="41"/>
  <c r="AL55" i="41"/>
  <c r="AK55" i="41"/>
  <c r="AJ55" i="41"/>
  <c r="AI55" i="41"/>
  <c r="AH55" i="41"/>
  <c r="AG55" i="41"/>
  <c r="AF55" i="41"/>
  <c r="AE55" i="41"/>
  <c r="AD55" i="41"/>
  <c r="AC55" i="41"/>
  <c r="AB55" i="41"/>
  <c r="AA55" i="41"/>
  <c r="Z55" i="41"/>
  <c r="Y55" i="41"/>
  <c r="X55" i="41"/>
  <c r="W55" i="41"/>
  <c r="V55" i="41"/>
  <c r="U55" i="41"/>
  <c r="T55" i="41"/>
  <c r="S55" i="41"/>
  <c r="R55" i="41"/>
  <c r="Q55" i="41"/>
  <c r="P55" i="41"/>
  <c r="O55" i="41"/>
  <c r="N55" i="41"/>
  <c r="M55" i="41"/>
  <c r="L55" i="41"/>
  <c r="K55" i="41"/>
  <c r="J55" i="41"/>
  <c r="I55" i="41"/>
  <c r="H55" i="41"/>
  <c r="G55" i="41"/>
  <c r="F55" i="41"/>
  <c r="DI54" i="41"/>
  <c r="DH54" i="41"/>
  <c r="DG54" i="41"/>
  <c r="DF54" i="41"/>
  <c r="DE54" i="41"/>
  <c r="DD54" i="41"/>
  <c r="DC54" i="41"/>
  <c r="DB54" i="41"/>
  <c r="DA54" i="41"/>
  <c r="CZ54" i="41"/>
  <c r="CY54" i="41"/>
  <c r="CX54" i="41"/>
  <c r="CW54" i="41"/>
  <c r="CV54" i="41"/>
  <c r="CU54" i="41"/>
  <c r="CT54" i="41"/>
  <c r="CS54" i="41"/>
  <c r="CR54" i="41"/>
  <c r="CQ54" i="41"/>
  <c r="CP54" i="41"/>
  <c r="CO54" i="41"/>
  <c r="CN54" i="41"/>
  <c r="CM54" i="41"/>
  <c r="CL54" i="41"/>
  <c r="CK54" i="41"/>
  <c r="CJ54" i="41"/>
  <c r="CI54" i="41"/>
  <c r="CH54" i="41"/>
  <c r="CG54" i="41"/>
  <c r="CF54" i="41"/>
  <c r="CE54" i="41"/>
  <c r="CD54" i="41"/>
  <c r="CC54" i="41"/>
  <c r="CB54" i="41" a="1"/>
  <c r="CB54" i="41" s="1"/>
  <c r="CA54" i="41" a="1"/>
  <c r="CA54" i="41" s="1"/>
  <c r="BZ54" i="41"/>
  <c r="BY54" i="41"/>
  <c r="BX54" i="41"/>
  <c r="BW54" i="41"/>
  <c r="BV54" i="41"/>
  <c r="BU54" i="41"/>
  <c r="BT54" i="41"/>
  <c r="BS54" i="41"/>
  <c r="BR54" i="41"/>
  <c r="BQ54" i="41"/>
  <c r="BP54" i="41"/>
  <c r="BO54" i="41"/>
  <c r="BN54" i="41"/>
  <c r="BM54" i="41"/>
  <c r="BL54" i="41"/>
  <c r="BK54" i="41"/>
  <c r="BJ54" i="41"/>
  <c r="BI54" i="41"/>
  <c r="BH54" i="41"/>
  <c r="BG54" i="41"/>
  <c r="BF54" i="41"/>
  <c r="BE54" i="41"/>
  <c r="BD54" i="41"/>
  <c r="BC54" i="41"/>
  <c r="BB54" i="41"/>
  <c r="BA54" i="41"/>
  <c r="AZ54" i="41"/>
  <c r="AY54" i="41"/>
  <c r="AX54" i="41"/>
  <c r="AW54" i="41"/>
  <c r="AV54" i="41"/>
  <c r="AU54" i="41"/>
  <c r="AT54" i="41"/>
  <c r="AS54" i="41"/>
  <c r="AR54" i="41"/>
  <c r="AQ54" i="41"/>
  <c r="AP54" i="41"/>
  <c r="AO54" i="41"/>
  <c r="AN54" i="41"/>
  <c r="AM54" i="41"/>
  <c r="AL54" i="41"/>
  <c r="AK54" i="41"/>
  <c r="AJ54" i="41"/>
  <c r="AI54" i="41"/>
  <c r="AH54" i="41"/>
  <c r="AG54" i="41"/>
  <c r="AF54" i="41"/>
  <c r="AE54" i="41"/>
  <c r="AD54" i="41"/>
  <c r="AC54" i="41"/>
  <c r="AB54" i="41"/>
  <c r="AA54" i="41"/>
  <c r="Z54" i="41"/>
  <c r="Y54" i="41"/>
  <c r="X54" i="41"/>
  <c r="W54" i="41"/>
  <c r="V54" i="41"/>
  <c r="U54" i="41"/>
  <c r="T54" i="41"/>
  <c r="S54" i="41"/>
  <c r="R54" i="41"/>
  <c r="Q54" i="41"/>
  <c r="P54" i="41"/>
  <c r="O54" i="41"/>
  <c r="N54" i="41"/>
  <c r="M54" i="41"/>
  <c r="L54" i="41"/>
  <c r="K54" i="41"/>
  <c r="J54" i="41"/>
  <c r="I54" i="41"/>
  <c r="H54" i="41"/>
  <c r="G54" i="41"/>
  <c r="F54" i="41"/>
  <c r="DI53" i="41"/>
  <c r="DH53" i="41"/>
  <c r="DG53" i="41"/>
  <c r="DF53" i="41"/>
  <c r="DE53" i="41"/>
  <c r="DD53" i="41"/>
  <c r="DC53" i="41"/>
  <c r="DB53" i="41"/>
  <c r="DA53" i="41"/>
  <c r="CZ53" i="41"/>
  <c r="CY53" i="41"/>
  <c r="CX53" i="41"/>
  <c r="CW53" i="41"/>
  <c r="CV53" i="41"/>
  <c r="CU53" i="41"/>
  <c r="CT53" i="41"/>
  <c r="CS53" i="41"/>
  <c r="CR53" i="41"/>
  <c r="CQ53" i="41"/>
  <c r="CP53" i="41"/>
  <c r="CO53" i="41"/>
  <c r="CN53" i="41"/>
  <c r="CM53" i="41"/>
  <c r="CL53" i="41"/>
  <c r="CK53" i="41"/>
  <c r="CJ53" i="41"/>
  <c r="CI53" i="41"/>
  <c r="CH53" i="41"/>
  <c r="CG53" i="41"/>
  <c r="CF53" i="41"/>
  <c r="CE53" i="41"/>
  <c r="CD53" i="41"/>
  <c r="CC53" i="41"/>
  <c r="CB53" i="41" a="1"/>
  <c r="CB53" i="41" s="1"/>
  <c r="CA53" i="41" a="1"/>
  <c r="CA53" i="41" s="1"/>
  <c r="BZ53" i="41"/>
  <c r="BY53" i="41"/>
  <c r="BX53" i="41"/>
  <c r="BW53" i="41"/>
  <c r="BV53" i="41"/>
  <c r="BU53" i="41"/>
  <c r="BT53" i="41"/>
  <c r="BS53" i="41"/>
  <c r="BR53" i="41"/>
  <c r="BQ53" i="41"/>
  <c r="BP53" i="41"/>
  <c r="BO53" i="41"/>
  <c r="BN53" i="41"/>
  <c r="BM53" i="41"/>
  <c r="BL53" i="41"/>
  <c r="BK53" i="41"/>
  <c r="BJ53" i="41"/>
  <c r="BI53" i="41"/>
  <c r="BH53" i="41"/>
  <c r="BG53" i="41"/>
  <c r="BF53" i="41"/>
  <c r="BE53" i="41"/>
  <c r="BD53" i="41"/>
  <c r="BC53" i="41"/>
  <c r="BB53" i="41"/>
  <c r="BA53" i="41"/>
  <c r="AZ53" i="41"/>
  <c r="AY53" i="41"/>
  <c r="AX53" i="41"/>
  <c r="AW53" i="41"/>
  <c r="AV53" i="41"/>
  <c r="AU53" i="41"/>
  <c r="AT53" i="41"/>
  <c r="AS53" i="41"/>
  <c r="AR53" i="41"/>
  <c r="AQ53" i="41"/>
  <c r="AP53" i="41"/>
  <c r="AO53" i="41"/>
  <c r="AN53" i="41"/>
  <c r="AM53" i="41"/>
  <c r="AL53" i="41"/>
  <c r="AK53" i="41"/>
  <c r="AJ53" i="41"/>
  <c r="AI53" i="41"/>
  <c r="AH53" i="41"/>
  <c r="AG53" i="41"/>
  <c r="AF53" i="41"/>
  <c r="AE53" i="41"/>
  <c r="AD53" i="41"/>
  <c r="AC53" i="41"/>
  <c r="AB53" i="41"/>
  <c r="AA53" i="41"/>
  <c r="Z53" i="41"/>
  <c r="Y53" i="41"/>
  <c r="X53" i="41"/>
  <c r="W53" i="41"/>
  <c r="V53" i="41"/>
  <c r="U53" i="41"/>
  <c r="T53" i="41"/>
  <c r="S53" i="41"/>
  <c r="R53" i="41"/>
  <c r="Q53" i="41"/>
  <c r="P53" i="41"/>
  <c r="O53" i="41"/>
  <c r="N53" i="41"/>
  <c r="M53" i="41"/>
  <c r="L53" i="41"/>
  <c r="K53" i="41"/>
  <c r="J53" i="41"/>
  <c r="I53" i="41"/>
  <c r="H53" i="41"/>
  <c r="G53" i="41"/>
  <c r="F53" i="41"/>
  <c r="DI52" i="41"/>
  <c r="DH52" i="41"/>
  <c r="DG52" i="41"/>
  <c r="DF52" i="41"/>
  <c r="DE52" i="41"/>
  <c r="DD52" i="41"/>
  <c r="DC52" i="41"/>
  <c r="DB52" i="41"/>
  <c r="DA52" i="41"/>
  <c r="CZ52" i="41"/>
  <c r="CY52" i="41"/>
  <c r="CX52" i="41"/>
  <c r="CW52" i="41"/>
  <c r="CV52" i="41"/>
  <c r="CU52" i="41"/>
  <c r="CT52" i="41"/>
  <c r="CS52" i="41"/>
  <c r="CR52" i="41"/>
  <c r="CQ52" i="41"/>
  <c r="CP52" i="41"/>
  <c r="CO52" i="41"/>
  <c r="CN52" i="41"/>
  <c r="CM52" i="41"/>
  <c r="CL52" i="41"/>
  <c r="CK52" i="41"/>
  <c r="CJ52" i="41"/>
  <c r="CI52" i="41"/>
  <c r="CH52" i="41"/>
  <c r="CG52" i="41"/>
  <c r="CF52" i="41"/>
  <c r="CE52" i="41"/>
  <c r="CD52" i="41"/>
  <c r="CC52" i="41"/>
  <c r="CB52" i="41" a="1"/>
  <c r="CB52" i="41" s="1"/>
  <c r="CA52" i="41" a="1"/>
  <c r="CA52" i="41" s="1"/>
  <c r="BZ52" i="41"/>
  <c r="BY52" i="41"/>
  <c r="BX52" i="41"/>
  <c r="BW52" i="41"/>
  <c r="BV52" i="41"/>
  <c r="BU52" i="41"/>
  <c r="BT52" i="41"/>
  <c r="BS52" i="41"/>
  <c r="BR52" i="41"/>
  <c r="BQ52" i="41"/>
  <c r="BP52" i="41"/>
  <c r="BO52" i="41"/>
  <c r="BN52" i="41"/>
  <c r="BM52" i="41"/>
  <c r="BL52" i="41"/>
  <c r="BK52" i="41"/>
  <c r="BJ52" i="41"/>
  <c r="BI52" i="41"/>
  <c r="BH52" i="41"/>
  <c r="BG52" i="41"/>
  <c r="BF52" i="41"/>
  <c r="BE52" i="41"/>
  <c r="BD52" i="41"/>
  <c r="BC52" i="41"/>
  <c r="BB52" i="41"/>
  <c r="BA52" i="41"/>
  <c r="AZ52" i="41"/>
  <c r="AY52" i="41"/>
  <c r="AX52" i="41"/>
  <c r="AW52" i="41"/>
  <c r="AV52" i="41"/>
  <c r="AU52" i="41"/>
  <c r="AT52" i="41"/>
  <c r="AS52" i="41"/>
  <c r="AR52" i="41"/>
  <c r="AQ52" i="41"/>
  <c r="AP52" i="41"/>
  <c r="AO52" i="41"/>
  <c r="AN52" i="41"/>
  <c r="AM52" i="41"/>
  <c r="AL52" i="41"/>
  <c r="AK52" i="41"/>
  <c r="AJ52" i="41"/>
  <c r="AI52" i="41"/>
  <c r="AH52" i="41"/>
  <c r="AG52" i="41"/>
  <c r="AF52" i="41"/>
  <c r="AE52" i="41"/>
  <c r="AD52" i="41"/>
  <c r="AC52" i="41"/>
  <c r="AB52" i="41"/>
  <c r="AA52" i="41"/>
  <c r="Z52" i="41"/>
  <c r="Y52" i="41"/>
  <c r="X52" i="41"/>
  <c r="W52" i="41"/>
  <c r="V52" i="41"/>
  <c r="U52" i="41"/>
  <c r="T52" i="41"/>
  <c r="S52" i="41"/>
  <c r="R52" i="41"/>
  <c r="Q52" i="41"/>
  <c r="P52" i="41"/>
  <c r="O52" i="41"/>
  <c r="N52" i="41"/>
  <c r="M52" i="41"/>
  <c r="L52" i="41"/>
  <c r="K52" i="41"/>
  <c r="J52" i="41"/>
  <c r="I52" i="41"/>
  <c r="H52" i="41"/>
  <c r="G52" i="41"/>
  <c r="F52" i="41"/>
  <c r="DI51" i="41"/>
  <c r="DH51" i="41"/>
  <c r="DG51" i="41"/>
  <c r="DF51" i="41"/>
  <c r="DE51" i="41"/>
  <c r="DD51" i="41"/>
  <c r="DC51" i="41"/>
  <c r="DB51" i="41"/>
  <c r="DA51" i="41"/>
  <c r="CZ51" i="41"/>
  <c r="CY51" i="41"/>
  <c r="CX51" i="41"/>
  <c r="CW51" i="41"/>
  <c r="CV51" i="41"/>
  <c r="CU51" i="41"/>
  <c r="CT51" i="41"/>
  <c r="CS51" i="41"/>
  <c r="CR51" i="41"/>
  <c r="CQ51" i="41"/>
  <c r="CP51" i="41"/>
  <c r="CO51" i="41"/>
  <c r="CN51" i="41"/>
  <c r="CM51" i="41"/>
  <c r="CL51" i="41"/>
  <c r="CK51" i="41"/>
  <c r="CJ51" i="41"/>
  <c r="CI51" i="41"/>
  <c r="CH51" i="41"/>
  <c r="CG51" i="41"/>
  <c r="CF51" i="41"/>
  <c r="CE51" i="41"/>
  <c r="CD51" i="41"/>
  <c r="CC51" i="41"/>
  <c r="CB51" i="41" a="1"/>
  <c r="CB51" i="41" s="1"/>
  <c r="CA51" i="41" a="1"/>
  <c r="CA51" i="41" s="1"/>
  <c r="BZ51" i="41"/>
  <c r="BY51" i="41"/>
  <c r="BX51" i="41"/>
  <c r="BW51" i="41"/>
  <c r="BV51" i="41"/>
  <c r="BU51" i="41"/>
  <c r="BT51" i="41"/>
  <c r="BS51" i="41"/>
  <c r="BR51" i="41"/>
  <c r="BQ51" i="41"/>
  <c r="BP51" i="41"/>
  <c r="BO51" i="41"/>
  <c r="BN51" i="41"/>
  <c r="BM51" i="41"/>
  <c r="BL51" i="41"/>
  <c r="BK51" i="41"/>
  <c r="BJ51" i="41"/>
  <c r="BI51" i="41"/>
  <c r="BH51" i="41"/>
  <c r="BG51" i="41"/>
  <c r="BF51" i="41"/>
  <c r="BE51" i="41"/>
  <c r="BD51" i="41"/>
  <c r="BC51" i="41"/>
  <c r="BB51" i="41"/>
  <c r="BA51" i="41"/>
  <c r="AZ51" i="41"/>
  <c r="AY51" i="41"/>
  <c r="AX51" i="41"/>
  <c r="AW51" i="41"/>
  <c r="AV51" i="41"/>
  <c r="AU51" i="41"/>
  <c r="AT51" i="41"/>
  <c r="AS51" i="41"/>
  <c r="AR51" i="41"/>
  <c r="AQ51" i="41"/>
  <c r="AP51" i="41"/>
  <c r="AO51" i="41"/>
  <c r="AN51" i="41"/>
  <c r="AM51" i="41"/>
  <c r="AL51" i="41"/>
  <c r="AK51" i="41"/>
  <c r="AJ51" i="41"/>
  <c r="AI51" i="41"/>
  <c r="AH51" i="41"/>
  <c r="AG51" i="41"/>
  <c r="AF51" i="41"/>
  <c r="AE51" i="41"/>
  <c r="AD51" i="41"/>
  <c r="AC51" i="41"/>
  <c r="AB51" i="41"/>
  <c r="AA51" i="41"/>
  <c r="Z51" i="41"/>
  <c r="Y51" i="41"/>
  <c r="X51" i="41"/>
  <c r="W51" i="41"/>
  <c r="V51" i="41"/>
  <c r="U51" i="41"/>
  <c r="T51" i="41"/>
  <c r="S51" i="41"/>
  <c r="R51" i="41"/>
  <c r="Q51" i="41"/>
  <c r="P51" i="41"/>
  <c r="O51" i="41"/>
  <c r="N51" i="41"/>
  <c r="M51" i="41"/>
  <c r="L51" i="41"/>
  <c r="K51" i="41"/>
  <c r="J51" i="41"/>
  <c r="I51" i="41"/>
  <c r="H51" i="41"/>
  <c r="G51" i="41"/>
  <c r="F51" i="41"/>
  <c r="DI50" i="41"/>
  <c r="DH50" i="41"/>
  <c r="DG50" i="41"/>
  <c r="DF50" i="41"/>
  <c r="DE50" i="41"/>
  <c r="DD50" i="41"/>
  <c r="DC50" i="41"/>
  <c r="DB50" i="41"/>
  <c r="DA50" i="41"/>
  <c r="CZ50" i="41"/>
  <c r="CY50" i="41"/>
  <c r="CX50" i="41"/>
  <c r="CW50" i="41"/>
  <c r="CV50" i="41"/>
  <c r="CU50" i="41"/>
  <c r="CT50" i="41"/>
  <c r="CS50" i="41"/>
  <c r="CR50" i="41"/>
  <c r="CQ50" i="41"/>
  <c r="CP50" i="41"/>
  <c r="CO50" i="41"/>
  <c r="CN50" i="41"/>
  <c r="CM50" i="41"/>
  <c r="CL50" i="41"/>
  <c r="CK50" i="41"/>
  <c r="CJ50" i="41"/>
  <c r="CI50" i="41"/>
  <c r="CH50" i="41"/>
  <c r="CG50" i="41"/>
  <c r="CF50" i="41"/>
  <c r="CE50" i="41"/>
  <c r="CD50" i="41"/>
  <c r="CC50" i="41"/>
  <c r="CB50" i="41" a="1"/>
  <c r="CB50" i="41" s="1"/>
  <c r="CA50" i="41" a="1"/>
  <c r="CA50" i="41" s="1"/>
  <c r="BZ50" i="41"/>
  <c r="BY50" i="41"/>
  <c r="BX50" i="41"/>
  <c r="BW50" i="41"/>
  <c r="BV50" i="41"/>
  <c r="BU50" i="41"/>
  <c r="BT50" i="41"/>
  <c r="BS50" i="41"/>
  <c r="BR50" i="41"/>
  <c r="BQ50" i="41"/>
  <c r="BP50" i="41"/>
  <c r="BO50" i="41"/>
  <c r="BN50" i="41"/>
  <c r="BM50" i="41"/>
  <c r="BL50" i="41"/>
  <c r="BK50" i="41"/>
  <c r="BJ50" i="41"/>
  <c r="BI50" i="41"/>
  <c r="BH50" i="41"/>
  <c r="BG50" i="41"/>
  <c r="BF50" i="41"/>
  <c r="BE50" i="41"/>
  <c r="BD50" i="41"/>
  <c r="BC50" i="41"/>
  <c r="BB50" i="41"/>
  <c r="BA50" i="41"/>
  <c r="AZ50" i="41"/>
  <c r="AY50" i="41"/>
  <c r="AX50" i="41"/>
  <c r="AW50" i="41"/>
  <c r="AV50" i="41"/>
  <c r="AU50" i="41"/>
  <c r="AT50" i="41"/>
  <c r="AS50" i="41"/>
  <c r="AR50" i="41"/>
  <c r="AQ50" i="41"/>
  <c r="AP50" i="41"/>
  <c r="AO50" i="41"/>
  <c r="AN50" i="41"/>
  <c r="AM50" i="41"/>
  <c r="AL50" i="41"/>
  <c r="AK50" i="41"/>
  <c r="AJ50" i="41"/>
  <c r="AI50" i="41"/>
  <c r="AH50" i="41"/>
  <c r="AG50" i="41"/>
  <c r="AF50" i="41"/>
  <c r="AE50" i="41"/>
  <c r="AD50" i="41"/>
  <c r="AC50" i="41"/>
  <c r="AB50" i="41"/>
  <c r="AA50" i="41"/>
  <c r="Z50" i="41"/>
  <c r="Y50" i="41"/>
  <c r="X50" i="41"/>
  <c r="W50" i="41"/>
  <c r="V50" i="41"/>
  <c r="U50" i="41"/>
  <c r="T50" i="41"/>
  <c r="S50" i="41"/>
  <c r="R50" i="41"/>
  <c r="Q50" i="41"/>
  <c r="P50" i="41"/>
  <c r="O50" i="41"/>
  <c r="N50" i="41"/>
  <c r="M50" i="41"/>
  <c r="L50" i="41"/>
  <c r="K50" i="41"/>
  <c r="J50" i="41"/>
  <c r="I50" i="41"/>
  <c r="H50" i="41"/>
  <c r="G50" i="41"/>
  <c r="F50" i="41"/>
  <c r="DI49" i="41"/>
  <c r="DH49" i="41"/>
  <c r="DG49" i="41"/>
  <c r="DF49" i="41"/>
  <c r="DE49" i="41"/>
  <c r="DD49" i="41"/>
  <c r="DC49" i="41"/>
  <c r="DB49" i="41"/>
  <c r="DA49" i="41"/>
  <c r="CZ49" i="41"/>
  <c r="CY49" i="41"/>
  <c r="CX49" i="41"/>
  <c r="CW49" i="41"/>
  <c r="CV49" i="41"/>
  <c r="CU49" i="41"/>
  <c r="CT49" i="41"/>
  <c r="CS49" i="41"/>
  <c r="CR49" i="41"/>
  <c r="CQ49" i="41"/>
  <c r="CP49" i="41"/>
  <c r="CO49" i="41"/>
  <c r="CN49" i="41"/>
  <c r="CM49" i="41"/>
  <c r="CL49" i="41"/>
  <c r="CK49" i="41"/>
  <c r="CJ49" i="41"/>
  <c r="CI49" i="41"/>
  <c r="CH49" i="41"/>
  <c r="CG49" i="41"/>
  <c r="CF49" i="41"/>
  <c r="CE49" i="41"/>
  <c r="CD49" i="41"/>
  <c r="CC49" i="41"/>
  <c r="CB49" i="41" a="1"/>
  <c r="CB49" i="41" s="1"/>
  <c r="CA49" i="41" a="1"/>
  <c r="CA49" i="41" s="1"/>
  <c r="BZ49" i="41"/>
  <c r="BY49" i="41"/>
  <c r="BX49" i="41"/>
  <c r="BW49" i="41"/>
  <c r="BV49" i="41"/>
  <c r="BU49" i="41"/>
  <c r="BT49" i="41"/>
  <c r="BS49" i="41"/>
  <c r="BR49" i="41"/>
  <c r="BQ49" i="41"/>
  <c r="BP49" i="41"/>
  <c r="BO49" i="41"/>
  <c r="BN49" i="41"/>
  <c r="BM49" i="41"/>
  <c r="BL49" i="41"/>
  <c r="BK49" i="41"/>
  <c r="BJ49" i="41"/>
  <c r="BI49" i="41"/>
  <c r="BH49" i="41"/>
  <c r="BG49" i="41"/>
  <c r="BF49" i="41"/>
  <c r="BE49" i="41"/>
  <c r="BD49" i="41"/>
  <c r="BC49" i="41"/>
  <c r="BB49" i="41"/>
  <c r="BA49" i="41"/>
  <c r="AZ49" i="41"/>
  <c r="AY49" i="41"/>
  <c r="AX49" i="41"/>
  <c r="AW49" i="41"/>
  <c r="AV49" i="41"/>
  <c r="AU49" i="41"/>
  <c r="AT49" i="41"/>
  <c r="AS49" i="41"/>
  <c r="AR49" i="41"/>
  <c r="AQ49" i="41"/>
  <c r="AP49" i="41"/>
  <c r="AO49" i="41"/>
  <c r="AN49" i="41"/>
  <c r="AM49" i="41"/>
  <c r="AL49" i="41"/>
  <c r="AK49" i="41"/>
  <c r="AJ49" i="41"/>
  <c r="AI49" i="41"/>
  <c r="AH49" i="41"/>
  <c r="AG49" i="41"/>
  <c r="AF49" i="41"/>
  <c r="AE49" i="41"/>
  <c r="AD49" i="41"/>
  <c r="AC49" i="41"/>
  <c r="AB49" i="41"/>
  <c r="AA49" i="41"/>
  <c r="Z49" i="41"/>
  <c r="Y49" i="41"/>
  <c r="X49" i="41"/>
  <c r="W49" i="41"/>
  <c r="V49" i="41"/>
  <c r="U49" i="41"/>
  <c r="T49" i="41"/>
  <c r="S49" i="41"/>
  <c r="R49" i="41"/>
  <c r="Q49" i="41"/>
  <c r="P49" i="41"/>
  <c r="O49" i="41"/>
  <c r="N49" i="41"/>
  <c r="M49" i="41"/>
  <c r="L49" i="41"/>
  <c r="K49" i="41"/>
  <c r="J49" i="41"/>
  <c r="I49" i="41"/>
  <c r="H49" i="41"/>
  <c r="G49" i="41"/>
  <c r="F49" i="41"/>
  <c r="DI48" i="41"/>
  <c r="DH48" i="41"/>
  <c r="DG48" i="41"/>
  <c r="DF48" i="41"/>
  <c r="DE48" i="41"/>
  <c r="DD48" i="41"/>
  <c r="DC48" i="41"/>
  <c r="DB48" i="41"/>
  <c r="DA48" i="41"/>
  <c r="CZ48" i="41"/>
  <c r="CY48" i="41"/>
  <c r="CX48" i="41"/>
  <c r="CW48" i="41"/>
  <c r="CV48" i="41"/>
  <c r="CU48" i="41"/>
  <c r="CT48" i="41"/>
  <c r="CS48" i="41"/>
  <c r="CR48" i="41"/>
  <c r="CQ48" i="41"/>
  <c r="CP48" i="41"/>
  <c r="CO48" i="41"/>
  <c r="CN48" i="41"/>
  <c r="CM48" i="41"/>
  <c r="CL48" i="41"/>
  <c r="CK48" i="41"/>
  <c r="CJ48" i="41"/>
  <c r="CI48" i="41"/>
  <c r="CH48" i="41"/>
  <c r="CG48" i="41"/>
  <c r="CF48" i="41"/>
  <c r="CE48" i="41"/>
  <c r="CD48" i="41"/>
  <c r="CC48" i="41"/>
  <c r="CB48" i="41" a="1"/>
  <c r="CB48" i="41" s="1"/>
  <c r="CA48" i="41" a="1"/>
  <c r="CA48" i="41" s="1"/>
  <c r="BZ48" i="41"/>
  <c r="BY48" i="41"/>
  <c r="BX48" i="41"/>
  <c r="BW48" i="41"/>
  <c r="BV48" i="41"/>
  <c r="BU48" i="41"/>
  <c r="BT48" i="41"/>
  <c r="BS48" i="41"/>
  <c r="BR48" i="41"/>
  <c r="BQ48" i="41"/>
  <c r="BP48" i="41"/>
  <c r="BO48" i="41"/>
  <c r="BN48" i="41"/>
  <c r="BM48" i="41"/>
  <c r="BL48" i="41"/>
  <c r="BK48" i="41"/>
  <c r="BJ48" i="41"/>
  <c r="BI48" i="41"/>
  <c r="BH48" i="41"/>
  <c r="BG48" i="41"/>
  <c r="BF48" i="41"/>
  <c r="BE48" i="41"/>
  <c r="BD48" i="41"/>
  <c r="BC48" i="41"/>
  <c r="BB48" i="41"/>
  <c r="BA48" i="41"/>
  <c r="AZ48" i="41"/>
  <c r="AY48" i="41"/>
  <c r="AX48" i="41"/>
  <c r="AW48" i="41"/>
  <c r="AV48" i="41"/>
  <c r="AU48" i="41"/>
  <c r="AT48" i="41"/>
  <c r="AS48" i="41"/>
  <c r="AR48" i="41"/>
  <c r="AQ48" i="41"/>
  <c r="AP48" i="41"/>
  <c r="AO48" i="41"/>
  <c r="AN48" i="41"/>
  <c r="AM48" i="41"/>
  <c r="AL48" i="41"/>
  <c r="AK48" i="41"/>
  <c r="AJ48" i="41"/>
  <c r="AI48" i="41"/>
  <c r="AH48" i="41"/>
  <c r="AG48" i="41"/>
  <c r="AF48" i="41"/>
  <c r="AE48" i="41"/>
  <c r="AD48" i="41"/>
  <c r="AC48" i="41"/>
  <c r="AB48" i="41"/>
  <c r="AA48" i="41"/>
  <c r="Z48" i="41"/>
  <c r="Y48" i="41"/>
  <c r="X48" i="41"/>
  <c r="W48" i="41"/>
  <c r="V48" i="41"/>
  <c r="U48" i="41"/>
  <c r="T48" i="41"/>
  <c r="S48" i="41"/>
  <c r="R48" i="41"/>
  <c r="Q48" i="41"/>
  <c r="P48" i="41"/>
  <c r="O48" i="41"/>
  <c r="N48" i="41"/>
  <c r="M48" i="41"/>
  <c r="L48" i="41"/>
  <c r="K48" i="41"/>
  <c r="J48" i="41"/>
  <c r="I48" i="41"/>
  <c r="H48" i="41"/>
  <c r="G48" i="41"/>
  <c r="F48" i="41"/>
  <c r="DI47" i="41"/>
  <c r="DH47" i="41"/>
  <c r="DG47" i="41"/>
  <c r="DF47" i="41"/>
  <c r="DE47" i="41"/>
  <c r="DD47" i="41"/>
  <c r="DC47" i="41"/>
  <c r="DB47" i="41"/>
  <c r="DA47" i="41"/>
  <c r="CZ47" i="41"/>
  <c r="CY47" i="41"/>
  <c r="CX47" i="41"/>
  <c r="CW47" i="41"/>
  <c r="CV47" i="41"/>
  <c r="CU47" i="41"/>
  <c r="CT47" i="41"/>
  <c r="CS47" i="41"/>
  <c r="CR47" i="41"/>
  <c r="CQ47" i="41"/>
  <c r="CP47" i="41"/>
  <c r="CO47" i="41"/>
  <c r="CN47" i="41"/>
  <c r="CM47" i="41"/>
  <c r="CL47" i="41"/>
  <c r="CK47" i="41"/>
  <c r="CJ47" i="41"/>
  <c r="CI47" i="41"/>
  <c r="CH47" i="41"/>
  <c r="CG47" i="41"/>
  <c r="CF47" i="41"/>
  <c r="CE47" i="41"/>
  <c r="CD47" i="41"/>
  <c r="CC47" i="41"/>
  <c r="CB47" i="41" a="1"/>
  <c r="CB47" i="41" s="1"/>
  <c r="CA47" i="41" a="1"/>
  <c r="CA47" i="41" s="1"/>
  <c r="BZ47" i="41"/>
  <c r="BY47" i="41"/>
  <c r="BX47" i="41"/>
  <c r="BW47" i="41"/>
  <c r="BV47" i="41"/>
  <c r="BU47" i="41"/>
  <c r="BT47" i="41"/>
  <c r="BS47" i="41"/>
  <c r="BR47" i="41"/>
  <c r="BQ47" i="41"/>
  <c r="BP47" i="41"/>
  <c r="BO47" i="41"/>
  <c r="BN47" i="41"/>
  <c r="BM47" i="41"/>
  <c r="BL47" i="41"/>
  <c r="BK47" i="41"/>
  <c r="BJ47" i="41"/>
  <c r="BI47" i="41"/>
  <c r="BH47" i="41"/>
  <c r="BG47" i="41"/>
  <c r="BF47" i="41"/>
  <c r="BE47" i="41"/>
  <c r="BD47" i="41"/>
  <c r="BC47" i="41"/>
  <c r="BB47" i="41"/>
  <c r="BA47" i="41"/>
  <c r="AZ47" i="41"/>
  <c r="AY47" i="41"/>
  <c r="AX47" i="41"/>
  <c r="AW47" i="41"/>
  <c r="AV47" i="41"/>
  <c r="AU47" i="41"/>
  <c r="AT47" i="41"/>
  <c r="AS47" i="41"/>
  <c r="AR47" i="41"/>
  <c r="AQ47" i="41"/>
  <c r="AP47" i="41"/>
  <c r="AO47" i="41"/>
  <c r="AN47" i="41"/>
  <c r="AM47" i="41"/>
  <c r="AL47" i="41"/>
  <c r="AK47" i="41"/>
  <c r="AJ47" i="41"/>
  <c r="AI47" i="41"/>
  <c r="AH47" i="41"/>
  <c r="AG47" i="41"/>
  <c r="AF47" i="41"/>
  <c r="AE47" i="41"/>
  <c r="AD47" i="41"/>
  <c r="AC47" i="41"/>
  <c r="AB47" i="41"/>
  <c r="AA47" i="41"/>
  <c r="Z47" i="41"/>
  <c r="Y47" i="41"/>
  <c r="X47" i="41"/>
  <c r="W47" i="41"/>
  <c r="V47" i="41"/>
  <c r="U47" i="41"/>
  <c r="T47" i="41"/>
  <c r="S47" i="41"/>
  <c r="R47" i="41"/>
  <c r="Q47" i="41"/>
  <c r="P47" i="41"/>
  <c r="O47" i="41"/>
  <c r="N47" i="41"/>
  <c r="M47" i="41"/>
  <c r="L47" i="41"/>
  <c r="K47" i="41"/>
  <c r="J47" i="41"/>
  <c r="I47" i="41"/>
  <c r="H47" i="41"/>
  <c r="G47" i="41"/>
  <c r="F47" i="41"/>
  <c r="DI46" i="41"/>
  <c r="DH46" i="41"/>
  <c r="DG46" i="41"/>
  <c r="DF46" i="41"/>
  <c r="DE46" i="41"/>
  <c r="DD46" i="41"/>
  <c r="DC46" i="41"/>
  <c r="DB46" i="41"/>
  <c r="DA46" i="41"/>
  <c r="CZ46" i="41"/>
  <c r="CY46" i="41"/>
  <c r="CX46" i="41"/>
  <c r="CW46" i="41"/>
  <c r="CV46" i="41"/>
  <c r="CU46" i="41"/>
  <c r="CT46" i="41"/>
  <c r="CS46" i="41"/>
  <c r="CR46" i="41"/>
  <c r="CQ46" i="41"/>
  <c r="CP46" i="41"/>
  <c r="CO46" i="41"/>
  <c r="CN46" i="41"/>
  <c r="CM46" i="41"/>
  <c r="CL46" i="41"/>
  <c r="CK46" i="41"/>
  <c r="CJ46" i="41"/>
  <c r="CI46" i="41"/>
  <c r="CH46" i="41"/>
  <c r="CG46" i="41"/>
  <c r="CF46" i="41"/>
  <c r="CE46" i="41"/>
  <c r="CD46" i="41"/>
  <c r="CC46" i="41"/>
  <c r="CB46" i="41" a="1"/>
  <c r="CB46" i="41" s="1"/>
  <c r="CA46" i="41" a="1"/>
  <c r="CA46" i="41" s="1"/>
  <c r="BZ46" i="41"/>
  <c r="BY46" i="41"/>
  <c r="BX46" i="41"/>
  <c r="BW46" i="41"/>
  <c r="BV46" i="41"/>
  <c r="BU46" i="41"/>
  <c r="BT46" i="41"/>
  <c r="BS46" i="41"/>
  <c r="BR46" i="41"/>
  <c r="BQ46" i="41"/>
  <c r="BP46" i="41"/>
  <c r="BO46" i="41"/>
  <c r="BN46" i="41"/>
  <c r="BM46" i="41"/>
  <c r="BL46" i="41"/>
  <c r="BK46" i="41"/>
  <c r="BJ46" i="41"/>
  <c r="BI46" i="41"/>
  <c r="BH46" i="41"/>
  <c r="BG46" i="41"/>
  <c r="BF46" i="41"/>
  <c r="BE46" i="41"/>
  <c r="BD46" i="41"/>
  <c r="BC46" i="41"/>
  <c r="BB46" i="41"/>
  <c r="BA46" i="41"/>
  <c r="AZ46" i="41"/>
  <c r="AY46" i="41"/>
  <c r="AX46" i="41"/>
  <c r="AW46" i="41"/>
  <c r="AV46" i="41"/>
  <c r="AU46" i="41"/>
  <c r="AT46" i="41"/>
  <c r="AS46" i="41"/>
  <c r="AR46" i="41"/>
  <c r="AQ46" i="41"/>
  <c r="AP46" i="41"/>
  <c r="AO46" i="41"/>
  <c r="AN46" i="41"/>
  <c r="AM46" i="41"/>
  <c r="AL46" i="41"/>
  <c r="AK46" i="41"/>
  <c r="AJ46" i="41"/>
  <c r="AI46" i="41"/>
  <c r="AH46" i="41"/>
  <c r="AG46" i="41"/>
  <c r="AF46" i="41"/>
  <c r="AE46" i="41"/>
  <c r="AD46" i="41"/>
  <c r="AC46" i="41"/>
  <c r="AB46" i="41"/>
  <c r="AA46" i="41"/>
  <c r="Z46" i="41"/>
  <c r="Y46" i="41"/>
  <c r="X46" i="41"/>
  <c r="W46" i="41"/>
  <c r="V46" i="41"/>
  <c r="U46" i="41"/>
  <c r="T46" i="41"/>
  <c r="S46" i="41"/>
  <c r="R46" i="41"/>
  <c r="Q46" i="41"/>
  <c r="P46" i="41"/>
  <c r="O46" i="41"/>
  <c r="N46" i="41"/>
  <c r="M46" i="41"/>
  <c r="L46" i="41"/>
  <c r="K46" i="41"/>
  <c r="J46" i="41"/>
  <c r="I46" i="41"/>
  <c r="H46" i="41"/>
  <c r="G46" i="41"/>
  <c r="F46" i="41"/>
  <c r="DI45" i="41"/>
  <c r="DH45" i="41"/>
  <c r="DG45" i="41"/>
  <c r="DF45" i="41"/>
  <c r="DE45" i="41"/>
  <c r="DD45" i="41"/>
  <c r="DC45" i="41"/>
  <c r="DB45" i="41"/>
  <c r="DA45" i="41"/>
  <c r="CZ45" i="41"/>
  <c r="CY45" i="41"/>
  <c r="CX45" i="41"/>
  <c r="CW45" i="41"/>
  <c r="CV45" i="41"/>
  <c r="CU45" i="41"/>
  <c r="CT45" i="41"/>
  <c r="CS45" i="41"/>
  <c r="CR45" i="41"/>
  <c r="CQ45" i="41"/>
  <c r="CP45" i="41"/>
  <c r="CO45" i="41"/>
  <c r="CN45" i="41"/>
  <c r="CM45" i="41"/>
  <c r="CL45" i="41"/>
  <c r="CK45" i="41"/>
  <c r="CJ45" i="41"/>
  <c r="CI45" i="41"/>
  <c r="CH45" i="41"/>
  <c r="CG45" i="41"/>
  <c r="CF45" i="41"/>
  <c r="CE45" i="41"/>
  <c r="CD45" i="41"/>
  <c r="CC45" i="41"/>
  <c r="CB45" i="41" a="1"/>
  <c r="CB45" i="41" s="1"/>
  <c r="CA45" i="41" a="1"/>
  <c r="CA45" i="41" s="1"/>
  <c r="BZ45" i="41"/>
  <c r="BY45" i="41"/>
  <c r="BX45" i="41"/>
  <c r="BW45" i="41"/>
  <c r="BV45" i="41"/>
  <c r="BU45" i="41"/>
  <c r="BT45" i="41"/>
  <c r="BS45" i="41"/>
  <c r="BR45" i="41"/>
  <c r="BQ45" i="41"/>
  <c r="BP45" i="41"/>
  <c r="BO45" i="41"/>
  <c r="BN45" i="41"/>
  <c r="BM45" i="41"/>
  <c r="BL45" i="41"/>
  <c r="BK45" i="41"/>
  <c r="BJ45" i="41"/>
  <c r="BI45" i="41"/>
  <c r="BH45" i="41"/>
  <c r="BG45" i="41"/>
  <c r="BF45" i="41"/>
  <c r="BE45" i="41"/>
  <c r="BD45" i="41"/>
  <c r="BC45" i="41"/>
  <c r="BB45" i="41"/>
  <c r="BA45" i="41"/>
  <c r="AZ45" i="41"/>
  <c r="AY45" i="41"/>
  <c r="AX45" i="41"/>
  <c r="AW45" i="41"/>
  <c r="AV45" i="41"/>
  <c r="AU45" i="41"/>
  <c r="AT45" i="41"/>
  <c r="AS45" i="41"/>
  <c r="AR45" i="41"/>
  <c r="AQ45" i="41"/>
  <c r="AP45" i="41"/>
  <c r="AO45" i="41"/>
  <c r="AN45" i="41"/>
  <c r="AM45" i="41"/>
  <c r="AL45" i="41"/>
  <c r="AK45" i="41"/>
  <c r="AJ45" i="41"/>
  <c r="AI45" i="41"/>
  <c r="AH45" i="41"/>
  <c r="AG45" i="41"/>
  <c r="AF45" i="41"/>
  <c r="AE45" i="41"/>
  <c r="AD45" i="41"/>
  <c r="AC45" i="41"/>
  <c r="AB45" i="41"/>
  <c r="AA45" i="41"/>
  <c r="Z45" i="41"/>
  <c r="Y45" i="41"/>
  <c r="X45" i="41"/>
  <c r="W45" i="41"/>
  <c r="V45" i="41"/>
  <c r="U45" i="41"/>
  <c r="T45" i="41"/>
  <c r="S45" i="41"/>
  <c r="R45" i="41"/>
  <c r="Q45" i="41"/>
  <c r="P45" i="41"/>
  <c r="O45" i="41"/>
  <c r="N45" i="41"/>
  <c r="M45" i="41"/>
  <c r="L45" i="41"/>
  <c r="K45" i="41"/>
  <c r="J45" i="41"/>
  <c r="I45" i="41"/>
  <c r="H45" i="41"/>
  <c r="G45" i="41"/>
  <c r="F45" i="41"/>
  <c r="DI44" i="41"/>
  <c r="DH44" i="41"/>
  <c r="DG44" i="41"/>
  <c r="DF44" i="41"/>
  <c r="DE44" i="41"/>
  <c r="DD44" i="41"/>
  <c r="DC44" i="41"/>
  <c r="DB44" i="41"/>
  <c r="DA44" i="41"/>
  <c r="CZ44" i="41"/>
  <c r="CY44" i="41"/>
  <c r="CX44" i="41"/>
  <c r="CW44" i="41"/>
  <c r="CV44" i="41"/>
  <c r="CU44" i="41"/>
  <c r="CT44" i="41"/>
  <c r="CS44" i="41"/>
  <c r="CR44" i="41"/>
  <c r="CQ44" i="41"/>
  <c r="CP44" i="41"/>
  <c r="CO44" i="41"/>
  <c r="CN44" i="41"/>
  <c r="CM44" i="41"/>
  <c r="CL44" i="41"/>
  <c r="CK44" i="41"/>
  <c r="CJ44" i="41"/>
  <c r="CI44" i="41"/>
  <c r="CH44" i="41"/>
  <c r="CG44" i="41"/>
  <c r="CF44" i="41"/>
  <c r="CE44" i="41"/>
  <c r="CD44" i="41"/>
  <c r="CC44" i="41"/>
  <c r="CB44" i="41" a="1"/>
  <c r="CB44" i="41" s="1"/>
  <c r="CA44" i="41" a="1"/>
  <c r="CA44" i="41" s="1"/>
  <c r="BZ44" i="41"/>
  <c r="BY44" i="41"/>
  <c r="BX44" i="41"/>
  <c r="BW44" i="41"/>
  <c r="BV44" i="41"/>
  <c r="BU44" i="41"/>
  <c r="BT44" i="41"/>
  <c r="BS44" i="41"/>
  <c r="BR44" i="41"/>
  <c r="BQ44" i="41"/>
  <c r="BP44" i="41"/>
  <c r="BO44" i="41"/>
  <c r="BN44" i="41"/>
  <c r="BM44" i="41"/>
  <c r="BL44" i="41"/>
  <c r="BK44" i="41"/>
  <c r="BJ44" i="41"/>
  <c r="BI44" i="41"/>
  <c r="BH44" i="41"/>
  <c r="BG44" i="41"/>
  <c r="BF44" i="41"/>
  <c r="BE44" i="41"/>
  <c r="BD44" i="41"/>
  <c r="BC44" i="41"/>
  <c r="BB44" i="41"/>
  <c r="BA44" i="41"/>
  <c r="AZ44" i="41"/>
  <c r="AY44" i="41"/>
  <c r="AX44" i="41"/>
  <c r="AW44" i="41"/>
  <c r="AV44" i="41"/>
  <c r="AU44" i="41"/>
  <c r="AT44" i="41"/>
  <c r="AS44" i="41"/>
  <c r="AR44" i="41"/>
  <c r="AQ44" i="41"/>
  <c r="AP44" i="41"/>
  <c r="AO44" i="41"/>
  <c r="AN44" i="41"/>
  <c r="AM44" i="41"/>
  <c r="AL44" i="41"/>
  <c r="AK44" i="41"/>
  <c r="AJ44" i="41"/>
  <c r="AI44" i="41"/>
  <c r="AH44" i="41"/>
  <c r="AG44" i="41"/>
  <c r="AF44" i="41"/>
  <c r="AE44" i="41"/>
  <c r="AD44" i="41"/>
  <c r="AC44" i="41"/>
  <c r="AB44" i="41"/>
  <c r="AA44" i="41"/>
  <c r="Z44" i="41"/>
  <c r="Y44" i="41"/>
  <c r="X44" i="41"/>
  <c r="W44" i="41"/>
  <c r="V44" i="41"/>
  <c r="U44" i="41"/>
  <c r="T44" i="41"/>
  <c r="S44" i="41"/>
  <c r="R44" i="41"/>
  <c r="Q44" i="41"/>
  <c r="P44" i="41"/>
  <c r="O44" i="41"/>
  <c r="N44" i="41"/>
  <c r="M44" i="41"/>
  <c r="L44" i="41"/>
  <c r="K44" i="41"/>
  <c r="J44" i="41"/>
  <c r="I44" i="41"/>
  <c r="H44" i="41"/>
  <c r="G44" i="41"/>
  <c r="F44" i="41"/>
  <c r="DI43" i="41"/>
  <c r="DH43" i="41"/>
  <c r="DG43" i="41"/>
  <c r="DF43" i="41"/>
  <c r="DE43" i="41"/>
  <c r="DD43" i="41"/>
  <c r="DC43" i="41"/>
  <c r="DB43" i="41"/>
  <c r="DA43" i="41"/>
  <c r="CZ43" i="41"/>
  <c r="CY43" i="41"/>
  <c r="CX43" i="41"/>
  <c r="CW43" i="41"/>
  <c r="CV43" i="41"/>
  <c r="CU43" i="41"/>
  <c r="CT43" i="41"/>
  <c r="CS43" i="41"/>
  <c r="CR43" i="41"/>
  <c r="CQ43" i="41"/>
  <c r="CP43" i="41"/>
  <c r="CO43" i="41"/>
  <c r="CN43" i="41"/>
  <c r="CM43" i="41"/>
  <c r="CL43" i="41"/>
  <c r="CK43" i="41"/>
  <c r="CJ43" i="41"/>
  <c r="CI43" i="41"/>
  <c r="CH43" i="41"/>
  <c r="CG43" i="41"/>
  <c r="CF43" i="41"/>
  <c r="CE43" i="41"/>
  <c r="CD43" i="41"/>
  <c r="CC43" i="41"/>
  <c r="CB43" i="41" a="1"/>
  <c r="CB43" i="41" s="1"/>
  <c r="CA43" i="41" a="1"/>
  <c r="CA43" i="41" s="1"/>
  <c r="BZ43" i="41"/>
  <c r="BY43" i="41"/>
  <c r="BX43" i="41"/>
  <c r="BW43" i="41"/>
  <c r="BV43" i="41"/>
  <c r="BU43" i="41"/>
  <c r="BT43" i="41"/>
  <c r="BS43" i="41"/>
  <c r="BR43" i="41"/>
  <c r="BQ43" i="41"/>
  <c r="BP43" i="41"/>
  <c r="BO43" i="41"/>
  <c r="BN43" i="41"/>
  <c r="BM43" i="41"/>
  <c r="BL43" i="41"/>
  <c r="BK43" i="41"/>
  <c r="BJ43" i="41"/>
  <c r="BI43" i="41"/>
  <c r="BH43" i="41"/>
  <c r="BG43" i="41"/>
  <c r="BF43" i="41"/>
  <c r="BE43" i="41"/>
  <c r="BD43" i="41"/>
  <c r="BC43" i="41"/>
  <c r="BB43" i="41"/>
  <c r="BA43" i="41"/>
  <c r="AZ43" i="41"/>
  <c r="AY43" i="41"/>
  <c r="AX43" i="41"/>
  <c r="AW43" i="41"/>
  <c r="AV43" i="41"/>
  <c r="AU43" i="41"/>
  <c r="AT43" i="41"/>
  <c r="AS43" i="41"/>
  <c r="AR43" i="41"/>
  <c r="AQ43" i="41"/>
  <c r="AP43" i="41"/>
  <c r="AO43" i="41"/>
  <c r="AN43" i="41"/>
  <c r="AM43" i="41"/>
  <c r="AL43" i="41"/>
  <c r="AK43" i="41"/>
  <c r="AJ43" i="41"/>
  <c r="AI43" i="41"/>
  <c r="AH43" i="41"/>
  <c r="AG43" i="41"/>
  <c r="AF43" i="41"/>
  <c r="AE43" i="41"/>
  <c r="AD43" i="41"/>
  <c r="AC43" i="41"/>
  <c r="AB43" i="41"/>
  <c r="AA43" i="41"/>
  <c r="Z43" i="41"/>
  <c r="Y43" i="41"/>
  <c r="X43" i="41"/>
  <c r="W43" i="41"/>
  <c r="V43" i="41"/>
  <c r="U43" i="41"/>
  <c r="T43" i="41"/>
  <c r="S43" i="41"/>
  <c r="R43" i="41"/>
  <c r="Q43" i="41"/>
  <c r="P43" i="41"/>
  <c r="O43" i="41"/>
  <c r="N43" i="41"/>
  <c r="M43" i="41"/>
  <c r="L43" i="41"/>
  <c r="K43" i="41"/>
  <c r="J43" i="41"/>
  <c r="I43" i="41"/>
  <c r="H43" i="41"/>
  <c r="G43" i="41"/>
  <c r="F43" i="41"/>
  <c r="DI42" i="41"/>
  <c r="DH42" i="41"/>
  <c r="DG42" i="41"/>
  <c r="DF42" i="41"/>
  <c r="DE42" i="41"/>
  <c r="DD42" i="41"/>
  <c r="DC42" i="41"/>
  <c r="DB42" i="41"/>
  <c r="DA42" i="41"/>
  <c r="CZ42" i="41"/>
  <c r="CY42" i="41"/>
  <c r="CX42" i="41"/>
  <c r="CW42" i="41"/>
  <c r="CV42" i="41"/>
  <c r="CU42" i="41"/>
  <c r="CT42" i="41"/>
  <c r="CS42" i="41"/>
  <c r="CR42" i="41"/>
  <c r="CQ42" i="41"/>
  <c r="CP42" i="41"/>
  <c r="CO42" i="41"/>
  <c r="CN42" i="41"/>
  <c r="CM42" i="41"/>
  <c r="CL42" i="41"/>
  <c r="CK42" i="41"/>
  <c r="CJ42" i="41"/>
  <c r="CI42" i="41"/>
  <c r="CH42" i="41"/>
  <c r="CG42" i="41"/>
  <c r="CF42" i="41"/>
  <c r="CE42" i="41"/>
  <c r="CD42" i="41"/>
  <c r="CC42" i="41"/>
  <c r="CB42" i="41" a="1"/>
  <c r="CB42" i="41" s="1"/>
  <c r="CA42" i="41" a="1"/>
  <c r="CA42" i="41" s="1"/>
  <c r="BZ42" i="41"/>
  <c r="BY42" i="41"/>
  <c r="BX42" i="41"/>
  <c r="BW42" i="41"/>
  <c r="BV42" i="41"/>
  <c r="BU42" i="41"/>
  <c r="BT42" i="41"/>
  <c r="BS42" i="41"/>
  <c r="BR42" i="41"/>
  <c r="BQ42" i="41"/>
  <c r="BP42" i="41"/>
  <c r="BO42" i="41"/>
  <c r="BN42" i="41"/>
  <c r="BM42" i="41"/>
  <c r="BL42" i="41"/>
  <c r="BK42" i="41"/>
  <c r="BJ42" i="41"/>
  <c r="BI42" i="41"/>
  <c r="BH42" i="41"/>
  <c r="BG42" i="41"/>
  <c r="BF42" i="41"/>
  <c r="BE42" i="41"/>
  <c r="BD42" i="41"/>
  <c r="BC42" i="41"/>
  <c r="BB42" i="41"/>
  <c r="BA42" i="41"/>
  <c r="AZ42" i="41"/>
  <c r="AY42" i="41"/>
  <c r="AX42" i="41"/>
  <c r="AW42" i="41"/>
  <c r="AV42" i="41"/>
  <c r="AU42" i="41"/>
  <c r="AT42" i="41"/>
  <c r="AS42" i="41"/>
  <c r="AR42" i="41"/>
  <c r="AQ42" i="41"/>
  <c r="AP42" i="41"/>
  <c r="AO42" i="41"/>
  <c r="AN42" i="41"/>
  <c r="AM42" i="41"/>
  <c r="AL42" i="41"/>
  <c r="AK42" i="41"/>
  <c r="AJ42" i="41"/>
  <c r="AI42" i="41"/>
  <c r="AH42" i="41"/>
  <c r="AG42" i="41"/>
  <c r="AF42" i="41"/>
  <c r="AE42" i="41"/>
  <c r="AD42" i="41"/>
  <c r="AC42" i="41"/>
  <c r="AB42" i="41"/>
  <c r="AA42" i="41"/>
  <c r="Z42" i="41"/>
  <c r="Y42" i="41"/>
  <c r="X42" i="41"/>
  <c r="W42" i="41"/>
  <c r="V42" i="41"/>
  <c r="U42" i="41"/>
  <c r="T42" i="41"/>
  <c r="S42" i="41"/>
  <c r="R42" i="41"/>
  <c r="Q42" i="41"/>
  <c r="P42" i="41"/>
  <c r="O42" i="41"/>
  <c r="N42" i="41"/>
  <c r="M42" i="41"/>
  <c r="L42" i="41"/>
  <c r="K42" i="41"/>
  <c r="J42" i="41"/>
  <c r="I42" i="41"/>
  <c r="H42" i="41"/>
  <c r="G42" i="41"/>
  <c r="F42" i="41"/>
  <c r="DI41" i="41"/>
  <c r="DH41" i="41"/>
  <c r="DG41" i="41"/>
  <c r="DF41" i="41"/>
  <c r="DE41" i="41"/>
  <c r="DD41" i="41"/>
  <c r="DC41" i="41"/>
  <c r="DB41" i="41"/>
  <c r="DA41" i="41"/>
  <c r="CZ41" i="41"/>
  <c r="CY41" i="41"/>
  <c r="CX41" i="41"/>
  <c r="CW41" i="41"/>
  <c r="CV41" i="41"/>
  <c r="CU41" i="41"/>
  <c r="CT41" i="41"/>
  <c r="CS41" i="41"/>
  <c r="CR41" i="41"/>
  <c r="CQ41" i="41"/>
  <c r="CP41" i="41"/>
  <c r="CO41" i="41"/>
  <c r="CN41" i="41"/>
  <c r="CM41" i="41"/>
  <c r="CL41" i="41"/>
  <c r="CK41" i="41"/>
  <c r="CJ41" i="41"/>
  <c r="CI41" i="41"/>
  <c r="CH41" i="41"/>
  <c r="CG41" i="41"/>
  <c r="CF41" i="41"/>
  <c r="CE41" i="41"/>
  <c r="CD41" i="41"/>
  <c r="CC41" i="41"/>
  <c r="CB41" i="41" a="1"/>
  <c r="CB41" i="41" s="1"/>
  <c r="CA41" i="41" a="1"/>
  <c r="CA41" i="41" s="1"/>
  <c r="BZ41" i="41"/>
  <c r="BY41" i="41"/>
  <c r="BX41" i="41"/>
  <c r="BW41" i="41"/>
  <c r="BV41" i="41"/>
  <c r="BU41" i="41"/>
  <c r="BT41" i="41"/>
  <c r="BS41" i="41"/>
  <c r="BR41" i="41"/>
  <c r="BQ41" i="41"/>
  <c r="BP41" i="41"/>
  <c r="BO41" i="41"/>
  <c r="BN41" i="41"/>
  <c r="BM41" i="41"/>
  <c r="BL41" i="41"/>
  <c r="BK41" i="41"/>
  <c r="BJ41" i="41"/>
  <c r="BI41" i="41"/>
  <c r="BH41" i="41"/>
  <c r="BG41" i="41"/>
  <c r="BF41" i="41"/>
  <c r="BE41" i="41"/>
  <c r="BD41" i="41"/>
  <c r="BC41" i="41"/>
  <c r="BB41" i="41"/>
  <c r="BA41" i="41"/>
  <c r="AZ41" i="41"/>
  <c r="AY41" i="41"/>
  <c r="AX41" i="41"/>
  <c r="AW41" i="41"/>
  <c r="AV41" i="41"/>
  <c r="AU41" i="41"/>
  <c r="AT41" i="41"/>
  <c r="AS41" i="41"/>
  <c r="AR41" i="41"/>
  <c r="AQ41" i="41"/>
  <c r="AP41" i="41"/>
  <c r="AO41" i="41"/>
  <c r="AN41" i="41"/>
  <c r="AM41" i="41"/>
  <c r="AL41" i="41"/>
  <c r="AK41" i="41"/>
  <c r="AJ41" i="41"/>
  <c r="AI41" i="41"/>
  <c r="AH41" i="41"/>
  <c r="AG41" i="41"/>
  <c r="AF41" i="41"/>
  <c r="AE41" i="41"/>
  <c r="AD41" i="41"/>
  <c r="AC41" i="41"/>
  <c r="AB41" i="41"/>
  <c r="AA41" i="41"/>
  <c r="Z41" i="41"/>
  <c r="Y41" i="41"/>
  <c r="X41" i="41"/>
  <c r="W41" i="41"/>
  <c r="V41" i="41"/>
  <c r="U41" i="41"/>
  <c r="T41" i="41"/>
  <c r="S41" i="41"/>
  <c r="R41" i="41"/>
  <c r="Q41" i="41"/>
  <c r="P41" i="41"/>
  <c r="O41" i="41"/>
  <c r="N41" i="41"/>
  <c r="M41" i="41"/>
  <c r="L41" i="41"/>
  <c r="K41" i="41"/>
  <c r="J41" i="41"/>
  <c r="I41" i="41"/>
  <c r="H41" i="41"/>
  <c r="G41" i="41"/>
  <c r="F41" i="41"/>
  <c r="DI40" i="41"/>
  <c r="DH40" i="41"/>
  <c r="DG40" i="41"/>
  <c r="DF40" i="41"/>
  <c r="DE40" i="41"/>
  <c r="DD40" i="41"/>
  <c r="DC40" i="41"/>
  <c r="DB40" i="41"/>
  <c r="DA40" i="41"/>
  <c r="CZ40" i="41"/>
  <c r="CY40" i="41"/>
  <c r="CX40" i="41"/>
  <c r="CW40" i="41"/>
  <c r="CV40" i="41"/>
  <c r="CU40" i="41"/>
  <c r="CT40" i="41"/>
  <c r="CS40" i="41"/>
  <c r="CR40" i="41"/>
  <c r="CQ40" i="41"/>
  <c r="CP40" i="41"/>
  <c r="CO40" i="41"/>
  <c r="CN40" i="41"/>
  <c r="CM40" i="41"/>
  <c r="CL40" i="41"/>
  <c r="CK40" i="41"/>
  <c r="CJ40" i="41"/>
  <c r="CI40" i="41"/>
  <c r="CH40" i="41"/>
  <c r="CG40" i="41"/>
  <c r="CF40" i="41"/>
  <c r="CE40" i="41"/>
  <c r="CD40" i="41"/>
  <c r="CC40" i="41"/>
  <c r="CB40" i="41" a="1"/>
  <c r="CB40" i="41" s="1"/>
  <c r="CA40" i="41" a="1"/>
  <c r="CA40" i="41" s="1"/>
  <c r="BZ40" i="41"/>
  <c r="BY40" i="41"/>
  <c r="BX40" i="41"/>
  <c r="BW40" i="41"/>
  <c r="BV40" i="41"/>
  <c r="BU40" i="41"/>
  <c r="BT40" i="41"/>
  <c r="BS40" i="41"/>
  <c r="BR40" i="41"/>
  <c r="BQ40" i="41"/>
  <c r="BP40" i="41"/>
  <c r="BO40" i="41"/>
  <c r="BN40" i="41"/>
  <c r="BM40" i="41"/>
  <c r="BL40" i="41"/>
  <c r="BK40" i="41"/>
  <c r="BJ40" i="41"/>
  <c r="BI40" i="41"/>
  <c r="BH40" i="41"/>
  <c r="BG40" i="41"/>
  <c r="BF40" i="41"/>
  <c r="BE40" i="41"/>
  <c r="BD40" i="41"/>
  <c r="BC40" i="41"/>
  <c r="BB40" i="41"/>
  <c r="BA40" i="41"/>
  <c r="AZ40" i="41"/>
  <c r="AY40" i="41"/>
  <c r="AX40" i="41"/>
  <c r="AW40" i="41"/>
  <c r="AV40" i="41"/>
  <c r="AU40" i="41"/>
  <c r="AT40" i="41"/>
  <c r="AS40" i="41"/>
  <c r="AR40" i="41"/>
  <c r="AQ40" i="41"/>
  <c r="AP40" i="41"/>
  <c r="AO40" i="41"/>
  <c r="AN40" i="41"/>
  <c r="AM40" i="41"/>
  <c r="AL40" i="41"/>
  <c r="AK40" i="41"/>
  <c r="AJ40" i="41"/>
  <c r="AI40" i="41"/>
  <c r="AH40" i="41"/>
  <c r="AG40" i="41"/>
  <c r="AF40" i="41"/>
  <c r="AE40" i="41"/>
  <c r="AD40" i="41"/>
  <c r="AC40" i="41"/>
  <c r="AB40" i="41"/>
  <c r="AA40" i="41"/>
  <c r="Z40" i="41"/>
  <c r="Y40" i="41"/>
  <c r="X40" i="41"/>
  <c r="W40" i="41"/>
  <c r="V40" i="41"/>
  <c r="U40" i="41"/>
  <c r="T40" i="41"/>
  <c r="S40" i="41"/>
  <c r="R40" i="41"/>
  <c r="Q40" i="41"/>
  <c r="P40" i="41"/>
  <c r="O40" i="41"/>
  <c r="N40" i="41"/>
  <c r="M40" i="41"/>
  <c r="L40" i="41"/>
  <c r="K40" i="41"/>
  <c r="J40" i="41"/>
  <c r="I40" i="41"/>
  <c r="H40" i="41"/>
  <c r="G40" i="41"/>
  <c r="F40" i="41"/>
  <c r="DI39" i="41"/>
  <c r="DH39" i="41"/>
  <c r="DG39" i="41"/>
  <c r="DF39" i="41"/>
  <c r="DE39" i="41"/>
  <c r="DD39" i="41"/>
  <c r="DC39" i="41"/>
  <c r="DB39" i="41"/>
  <c r="DA39" i="41"/>
  <c r="CZ39" i="41"/>
  <c r="CY39" i="41"/>
  <c r="CX39" i="41"/>
  <c r="CW39" i="41"/>
  <c r="CV39" i="41"/>
  <c r="CU39" i="41"/>
  <c r="CT39" i="41"/>
  <c r="CS39" i="41"/>
  <c r="CR39" i="41"/>
  <c r="CQ39" i="41"/>
  <c r="CP39" i="41"/>
  <c r="CO39" i="41"/>
  <c r="CN39" i="41"/>
  <c r="CM39" i="41"/>
  <c r="CL39" i="41"/>
  <c r="CK39" i="41"/>
  <c r="CJ39" i="41"/>
  <c r="CI39" i="41"/>
  <c r="CH39" i="41"/>
  <c r="CG39" i="41"/>
  <c r="CF39" i="41"/>
  <c r="CE39" i="41"/>
  <c r="CD39" i="41"/>
  <c r="CC39" i="41"/>
  <c r="CB39" i="41" a="1"/>
  <c r="CB39" i="41" s="1"/>
  <c r="CA39" i="41" a="1"/>
  <c r="CA39" i="41" s="1"/>
  <c r="BZ39" i="41"/>
  <c r="BY39" i="41"/>
  <c r="BX39" i="41"/>
  <c r="BW39" i="41"/>
  <c r="BV39" i="41"/>
  <c r="BU39" i="41"/>
  <c r="BT39" i="41"/>
  <c r="BS39" i="41"/>
  <c r="BR39" i="41"/>
  <c r="BQ39" i="41"/>
  <c r="BP39" i="41"/>
  <c r="BO39" i="41"/>
  <c r="BN39" i="41"/>
  <c r="BM39" i="41"/>
  <c r="BL39" i="41"/>
  <c r="BK39" i="41"/>
  <c r="BJ39" i="41"/>
  <c r="BI39" i="41"/>
  <c r="BH39" i="41"/>
  <c r="BG39" i="41"/>
  <c r="BF39" i="41"/>
  <c r="BE39" i="41"/>
  <c r="BD39" i="41"/>
  <c r="BC39" i="41"/>
  <c r="BB39" i="41"/>
  <c r="BA39" i="41"/>
  <c r="AZ39" i="41"/>
  <c r="AY39" i="41"/>
  <c r="AX39" i="41"/>
  <c r="AW39" i="41"/>
  <c r="AV39" i="41"/>
  <c r="AU39" i="41"/>
  <c r="AT39" i="41"/>
  <c r="AS39" i="41"/>
  <c r="AR39" i="41"/>
  <c r="AQ39" i="41"/>
  <c r="AP39" i="41"/>
  <c r="AO39" i="41"/>
  <c r="AN39" i="41"/>
  <c r="AM39" i="41"/>
  <c r="AL39" i="41"/>
  <c r="AK39" i="41"/>
  <c r="AJ39" i="41"/>
  <c r="AI39" i="41"/>
  <c r="AH39" i="41"/>
  <c r="AG39" i="41"/>
  <c r="AF39" i="41"/>
  <c r="AE39" i="41"/>
  <c r="AD39" i="41"/>
  <c r="AC39" i="41"/>
  <c r="AB39" i="41"/>
  <c r="AA39" i="41"/>
  <c r="Z39" i="41"/>
  <c r="Y39" i="41"/>
  <c r="X39" i="41"/>
  <c r="W39" i="41"/>
  <c r="V39" i="41"/>
  <c r="U39" i="41"/>
  <c r="T39" i="41"/>
  <c r="S39" i="41"/>
  <c r="R39" i="41"/>
  <c r="Q39" i="41"/>
  <c r="P39" i="41"/>
  <c r="O39" i="41"/>
  <c r="N39" i="41"/>
  <c r="M39" i="41"/>
  <c r="L39" i="41"/>
  <c r="K39" i="41"/>
  <c r="J39" i="41"/>
  <c r="I39" i="41"/>
  <c r="H39" i="41"/>
  <c r="G39" i="41"/>
  <c r="F39" i="41"/>
  <c r="DI38" i="41"/>
  <c r="DH38" i="41"/>
  <c r="DG38" i="41"/>
  <c r="DF38" i="41"/>
  <c r="DE38" i="41"/>
  <c r="DD38" i="41"/>
  <c r="DC38" i="41"/>
  <c r="DB38" i="41"/>
  <c r="DA38" i="41"/>
  <c r="CZ38" i="41"/>
  <c r="CY38" i="41"/>
  <c r="CX38" i="41"/>
  <c r="CW38" i="41"/>
  <c r="CV38" i="41"/>
  <c r="CU38" i="41"/>
  <c r="CT38" i="41"/>
  <c r="CS38" i="41"/>
  <c r="CR38" i="41"/>
  <c r="CQ38" i="41"/>
  <c r="CP38" i="41"/>
  <c r="CO38" i="41"/>
  <c r="CN38" i="41"/>
  <c r="CM38" i="41"/>
  <c r="CL38" i="41"/>
  <c r="CK38" i="41"/>
  <c r="CJ38" i="41"/>
  <c r="CI38" i="41"/>
  <c r="CH38" i="41"/>
  <c r="CG38" i="41"/>
  <c r="CF38" i="41"/>
  <c r="CE38" i="41"/>
  <c r="CD38" i="41"/>
  <c r="CC38" i="41"/>
  <c r="CB38" i="41" a="1"/>
  <c r="CB38" i="41" s="1"/>
  <c r="CA38" i="41" a="1"/>
  <c r="CA38" i="41" s="1"/>
  <c r="BZ38" i="41"/>
  <c r="BY38" i="41"/>
  <c r="BX38" i="41"/>
  <c r="BW38" i="41"/>
  <c r="BV38" i="41"/>
  <c r="BU38" i="41"/>
  <c r="BT38" i="41"/>
  <c r="BS38" i="41"/>
  <c r="BR38" i="41"/>
  <c r="BQ38" i="41"/>
  <c r="BP38" i="41"/>
  <c r="BO38" i="41"/>
  <c r="BN38" i="41"/>
  <c r="BM38" i="41"/>
  <c r="BL38" i="41"/>
  <c r="BK38" i="41"/>
  <c r="BJ38" i="41"/>
  <c r="BI38" i="41"/>
  <c r="BH38" i="41"/>
  <c r="BG38" i="41"/>
  <c r="BF38" i="41"/>
  <c r="BE38" i="41"/>
  <c r="BD38" i="41"/>
  <c r="BC38" i="41"/>
  <c r="BB38" i="41"/>
  <c r="BA38" i="41"/>
  <c r="AZ38" i="41"/>
  <c r="AY38" i="41"/>
  <c r="AX38" i="41"/>
  <c r="AW38" i="41"/>
  <c r="AV38" i="41"/>
  <c r="AU38" i="41"/>
  <c r="AT38" i="41"/>
  <c r="AS38" i="41"/>
  <c r="AR38" i="41"/>
  <c r="AQ38" i="41"/>
  <c r="AP38" i="41"/>
  <c r="AO38" i="41"/>
  <c r="AN38" i="41"/>
  <c r="AM38" i="41"/>
  <c r="AL38" i="41"/>
  <c r="AK38" i="41"/>
  <c r="AJ38" i="41"/>
  <c r="AI38" i="41"/>
  <c r="AH38" i="41"/>
  <c r="AG38" i="41"/>
  <c r="AF38" i="41"/>
  <c r="AE38" i="41"/>
  <c r="AD38" i="41"/>
  <c r="AC38" i="41"/>
  <c r="AB38" i="41"/>
  <c r="AA38" i="41"/>
  <c r="Z38" i="41"/>
  <c r="Y38" i="41"/>
  <c r="X38" i="41"/>
  <c r="W38" i="41"/>
  <c r="V38" i="41"/>
  <c r="U38" i="41"/>
  <c r="T38" i="41"/>
  <c r="S38" i="41"/>
  <c r="R38" i="41"/>
  <c r="Q38" i="41"/>
  <c r="P38" i="41"/>
  <c r="O38" i="41"/>
  <c r="N38" i="41"/>
  <c r="M38" i="41"/>
  <c r="L38" i="41"/>
  <c r="K38" i="41"/>
  <c r="J38" i="41"/>
  <c r="I38" i="41"/>
  <c r="H38" i="41"/>
  <c r="G38" i="41"/>
  <c r="F38" i="41"/>
  <c r="DI37" i="41"/>
  <c r="DH37" i="41"/>
  <c r="DG37" i="41"/>
  <c r="DF37" i="41"/>
  <c r="DE37" i="41"/>
  <c r="DD37" i="41"/>
  <c r="DC37" i="41"/>
  <c r="DB37" i="41"/>
  <c r="DA37" i="41"/>
  <c r="CZ37" i="41"/>
  <c r="CY37" i="41"/>
  <c r="CX37" i="41"/>
  <c r="CW37" i="41"/>
  <c r="CV37" i="41"/>
  <c r="CU37" i="41"/>
  <c r="CT37" i="41"/>
  <c r="CS37" i="41"/>
  <c r="CR37" i="41"/>
  <c r="CQ37" i="41"/>
  <c r="CP37" i="41"/>
  <c r="CO37" i="41"/>
  <c r="CN37" i="41"/>
  <c r="CM37" i="41"/>
  <c r="CL37" i="41"/>
  <c r="CK37" i="41"/>
  <c r="CJ37" i="41"/>
  <c r="CI37" i="41"/>
  <c r="CH37" i="41"/>
  <c r="CG37" i="41"/>
  <c r="CF37" i="41"/>
  <c r="CE37" i="41"/>
  <c r="CD37" i="41"/>
  <c r="CC37" i="41"/>
  <c r="CB37" i="41" a="1"/>
  <c r="CB37" i="41" s="1"/>
  <c r="CA37" i="41" a="1"/>
  <c r="CA37" i="41" s="1"/>
  <c r="BZ37" i="41"/>
  <c r="BY37" i="41"/>
  <c r="BX37" i="41"/>
  <c r="BW37" i="41"/>
  <c r="BV37" i="41"/>
  <c r="BU37" i="41"/>
  <c r="BT37" i="41"/>
  <c r="BS37" i="41"/>
  <c r="BR37" i="41"/>
  <c r="BQ37" i="41"/>
  <c r="BP37" i="41"/>
  <c r="BO37" i="41"/>
  <c r="BN37" i="41"/>
  <c r="BM37" i="41"/>
  <c r="BL37" i="41"/>
  <c r="BK37" i="41"/>
  <c r="BJ37" i="41"/>
  <c r="BI37" i="41"/>
  <c r="BH37" i="41"/>
  <c r="BG37" i="41"/>
  <c r="BF37" i="41"/>
  <c r="BE37" i="41"/>
  <c r="BD37" i="41"/>
  <c r="BC37" i="41"/>
  <c r="BB37" i="41"/>
  <c r="BA37" i="41"/>
  <c r="AZ37" i="41"/>
  <c r="AY37" i="41"/>
  <c r="AX37" i="41"/>
  <c r="AW37" i="41"/>
  <c r="AV37" i="41"/>
  <c r="AU37" i="41"/>
  <c r="AT37" i="41"/>
  <c r="AS37" i="41"/>
  <c r="AR37" i="41"/>
  <c r="AQ37" i="41"/>
  <c r="AP37" i="41"/>
  <c r="AO37" i="41"/>
  <c r="AN37" i="41"/>
  <c r="AM37" i="41"/>
  <c r="AL37" i="41"/>
  <c r="AK37" i="41"/>
  <c r="AJ37" i="41"/>
  <c r="AI37" i="41"/>
  <c r="AH37" i="41"/>
  <c r="AG37" i="41"/>
  <c r="AF37" i="41"/>
  <c r="AE37" i="41"/>
  <c r="AD37" i="41"/>
  <c r="AC37" i="41"/>
  <c r="AB37" i="41"/>
  <c r="AA37" i="41"/>
  <c r="Z37" i="41"/>
  <c r="Y37" i="41"/>
  <c r="X37" i="41"/>
  <c r="W37" i="41"/>
  <c r="V37" i="41"/>
  <c r="U37" i="41"/>
  <c r="T37" i="41"/>
  <c r="S37" i="41"/>
  <c r="R37" i="41"/>
  <c r="Q37" i="41"/>
  <c r="P37" i="41"/>
  <c r="O37" i="41"/>
  <c r="N37" i="41"/>
  <c r="M37" i="41"/>
  <c r="L37" i="41"/>
  <c r="K37" i="41"/>
  <c r="J37" i="41"/>
  <c r="I37" i="41"/>
  <c r="H37" i="41"/>
  <c r="G37" i="41"/>
  <c r="F37" i="41"/>
  <c r="DI36" i="41"/>
  <c r="DH36" i="41"/>
  <c r="DG36" i="41"/>
  <c r="DF36" i="41"/>
  <c r="DE36" i="41"/>
  <c r="DD36" i="41"/>
  <c r="DC36" i="41"/>
  <c r="DB36" i="41"/>
  <c r="DA36" i="41"/>
  <c r="CZ36" i="41"/>
  <c r="CY36" i="41"/>
  <c r="CX36" i="41"/>
  <c r="CW36" i="41"/>
  <c r="CV36" i="41"/>
  <c r="CU36" i="41"/>
  <c r="CT36" i="41"/>
  <c r="CS36" i="41"/>
  <c r="CR36" i="41"/>
  <c r="CQ36" i="41"/>
  <c r="CP36" i="41"/>
  <c r="CO36" i="41"/>
  <c r="CN36" i="41"/>
  <c r="CM36" i="41"/>
  <c r="CL36" i="41"/>
  <c r="CK36" i="41"/>
  <c r="CJ36" i="41"/>
  <c r="CI36" i="41"/>
  <c r="CH36" i="41"/>
  <c r="CG36" i="41"/>
  <c r="CF36" i="41"/>
  <c r="CE36" i="41"/>
  <c r="CD36" i="41"/>
  <c r="CC36" i="41"/>
  <c r="CB36" i="41" a="1"/>
  <c r="CB36" i="41" s="1"/>
  <c r="CA36" i="41" a="1"/>
  <c r="CA36" i="41" s="1"/>
  <c r="BZ36" i="41"/>
  <c r="BY36" i="41"/>
  <c r="BX36" i="41"/>
  <c r="BW36" i="41"/>
  <c r="BV36" i="41"/>
  <c r="BU36" i="41"/>
  <c r="BT36" i="41"/>
  <c r="BS36" i="41"/>
  <c r="BR36" i="41"/>
  <c r="BQ36" i="41"/>
  <c r="BP36" i="41"/>
  <c r="BO36" i="41"/>
  <c r="BN36" i="41"/>
  <c r="BM36" i="41"/>
  <c r="BL36" i="41"/>
  <c r="BK36" i="41"/>
  <c r="BJ36" i="41"/>
  <c r="BI36" i="41"/>
  <c r="BH36" i="41"/>
  <c r="BG36" i="41"/>
  <c r="BF36" i="41"/>
  <c r="BE36" i="41"/>
  <c r="BD36" i="41"/>
  <c r="BC36" i="41"/>
  <c r="BB36" i="41"/>
  <c r="BA36" i="41"/>
  <c r="AZ36" i="41"/>
  <c r="AY36" i="41"/>
  <c r="AX36" i="41"/>
  <c r="AW36" i="41"/>
  <c r="AV36" i="41"/>
  <c r="AU36" i="41"/>
  <c r="AT36" i="41"/>
  <c r="AS36" i="41"/>
  <c r="AR36" i="41"/>
  <c r="AQ36" i="41"/>
  <c r="AP36" i="41"/>
  <c r="AO36" i="41"/>
  <c r="AN36" i="41"/>
  <c r="AM36" i="41"/>
  <c r="AL36" i="41"/>
  <c r="AK36" i="41"/>
  <c r="AJ36" i="41"/>
  <c r="AI36" i="41"/>
  <c r="AH36" i="41"/>
  <c r="AG36" i="41"/>
  <c r="AF36" i="41"/>
  <c r="AE36" i="41"/>
  <c r="AD36" i="41"/>
  <c r="AC36" i="41"/>
  <c r="AB36" i="41"/>
  <c r="AA36" i="41"/>
  <c r="Z36" i="41"/>
  <c r="Y36" i="41"/>
  <c r="X36" i="41"/>
  <c r="W36" i="41"/>
  <c r="V36" i="41"/>
  <c r="U36" i="41"/>
  <c r="T36" i="41"/>
  <c r="S36" i="41"/>
  <c r="R36" i="41"/>
  <c r="Q36" i="41"/>
  <c r="P36" i="41"/>
  <c r="O36" i="41"/>
  <c r="N36" i="41"/>
  <c r="M36" i="41"/>
  <c r="L36" i="41"/>
  <c r="K36" i="41"/>
  <c r="J36" i="41"/>
  <c r="I36" i="41"/>
  <c r="H36" i="41"/>
  <c r="G36" i="41"/>
  <c r="F36" i="41"/>
  <c r="DI35" i="41"/>
  <c r="DH35" i="41"/>
  <c r="DG35" i="41"/>
  <c r="DF35" i="41"/>
  <c r="DE35" i="41"/>
  <c r="DD35" i="41"/>
  <c r="DC35" i="41"/>
  <c r="DB35" i="41"/>
  <c r="DA35" i="41"/>
  <c r="CZ35" i="41"/>
  <c r="CY35" i="41"/>
  <c r="CX35" i="41"/>
  <c r="CW35" i="41"/>
  <c r="CV35" i="41"/>
  <c r="CU35" i="41"/>
  <c r="CT35" i="41"/>
  <c r="CS35" i="41"/>
  <c r="CR35" i="41"/>
  <c r="CQ35" i="41"/>
  <c r="CP35" i="41"/>
  <c r="CO35" i="41"/>
  <c r="CN35" i="41"/>
  <c r="CM35" i="41"/>
  <c r="CL35" i="41"/>
  <c r="CK35" i="41"/>
  <c r="CJ35" i="41"/>
  <c r="CI35" i="41"/>
  <c r="CH35" i="41"/>
  <c r="CG35" i="41"/>
  <c r="CF35" i="41"/>
  <c r="CE35" i="41"/>
  <c r="CD35" i="41"/>
  <c r="CC35" i="41"/>
  <c r="CB35" i="41" a="1"/>
  <c r="CB35" i="41" s="1"/>
  <c r="CA35" i="41" a="1"/>
  <c r="CA35" i="41" s="1"/>
  <c r="BZ35" i="41"/>
  <c r="BY35" i="41"/>
  <c r="BX35" i="41"/>
  <c r="BW35" i="41"/>
  <c r="BV35" i="41"/>
  <c r="BU35" i="41"/>
  <c r="BT35" i="41"/>
  <c r="BS35" i="41"/>
  <c r="BR35" i="41"/>
  <c r="BQ35" i="41"/>
  <c r="BP35" i="41"/>
  <c r="BO35" i="41"/>
  <c r="BN35" i="41"/>
  <c r="BM35" i="41"/>
  <c r="BL35" i="41"/>
  <c r="BK35" i="41"/>
  <c r="BJ35" i="41"/>
  <c r="BI35" i="41"/>
  <c r="BH35" i="41"/>
  <c r="BG35" i="41"/>
  <c r="BF35" i="41"/>
  <c r="BE35" i="41"/>
  <c r="BD35" i="41"/>
  <c r="BC35" i="41"/>
  <c r="BB35" i="41"/>
  <c r="BA35" i="41"/>
  <c r="AZ35" i="41"/>
  <c r="AY35" i="41"/>
  <c r="AX35" i="41"/>
  <c r="AW35" i="41"/>
  <c r="AV35" i="41"/>
  <c r="AU35" i="41"/>
  <c r="AT35" i="41"/>
  <c r="AS35" i="41"/>
  <c r="AR35" i="41"/>
  <c r="AQ35" i="41"/>
  <c r="AP35" i="41"/>
  <c r="AO35" i="41"/>
  <c r="AN35" i="41"/>
  <c r="AM35" i="41"/>
  <c r="AL35" i="41"/>
  <c r="AK35" i="41"/>
  <c r="AJ35" i="41"/>
  <c r="AI35" i="41"/>
  <c r="AH35" i="41"/>
  <c r="AG35" i="41"/>
  <c r="AF35" i="41"/>
  <c r="AE35" i="41"/>
  <c r="AD35" i="41"/>
  <c r="AC35" i="41"/>
  <c r="AB35" i="41"/>
  <c r="AA35" i="41"/>
  <c r="Z35" i="41"/>
  <c r="Y35" i="41"/>
  <c r="X35" i="41"/>
  <c r="W35" i="41"/>
  <c r="V35" i="41"/>
  <c r="U35" i="41"/>
  <c r="T35" i="41"/>
  <c r="S35" i="41"/>
  <c r="R35" i="41"/>
  <c r="Q35" i="41"/>
  <c r="P35" i="41"/>
  <c r="O35" i="41"/>
  <c r="N35" i="41"/>
  <c r="M35" i="41"/>
  <c r="L35" i="41"/>
  <c r="K35" i="41"/>
  <c r="J35" i="41"/>
  <c r="I35" i="41"/>
  <c r="H35" i="41"/>
  <c r="G35" i="41"/>
  <c r="F35" i="41"/>
  <c r="DI34" i="41"/>
  <c r="DH34" i="41"/>
  <c r="DG34" i="41"/>
  <c r="DF34" i="41"/>
  <c r="DE34" i="41"/>
  <c r="DD34" i="41"/>
  <c r="DC34" i="41"/>
  <c r="DB34" i="41"/>
  <c r="DA34" i="41"/>
  <c r="CZ34" i="41"/>
  <c r="CY34" i="41"/>
  <c r="CX34" i="41"/>
  <c r="CW34" i="41"/>
  <c r="CV34" i="41"/>
  <c r="CU34" i="41"/>
  <c r="CT34" i="41"/>
  <c r="CS34" i="41"/>
  <c r="CR34" i="41"/>
  <c r="CQ34" i="41"/>
  <c r="CP34" i="41"/>
  <c r="CO34" i="41"/>
  <c r="CN34" i="41"/>
  <c r="CM34" i="41"/>
  <c r="CL34" i="41"/>
  <c r="CK34" i="41"/>
  <c r="CJ34" i="41"/>
  <c r="CI34" i="41"/>
  <c r="CH34" i="41"/>
  <c r="CG34" i="41"/>
  <c r="CF34" i="41"/>
  <c r="CE34" i="41"/>
  <c r="CD34" i="41"/>
  <c r="CC34" i="41"/>
  <c r="CB34" i="41" a="1"/>
  <c r="CB34" i="41" s="1"/>
  <c r="CA34" i="41" a="1"/>
  <c r="CA34" i="41" s="1"/>
  <c r="BZ34" i="41"/>
  <c r="BY34" i="41"/>
  <c r="BX34" i="41"/>
  <c r="BW34" i="41"/>
  <c r="BV34" i="41"/>
  <c r="BU34" i="41"/>
  <c r="BT34" i="41"/>
  <c r="BS34" i="41"/>
  <c r="BR34" i="41"/>
  <c r="BQ34" i="41"/>
  <c r="BP34" i="41"/>
  <c r="BO34" i="41"/>
  <c r="BN34" i="41"/>
  <c r="BM34" i="41"/>
  <c r="BL34" i="41"/>
  <c r="BK34" i="41"/>
  <c r="BJ34" i="41"/>
  <c r="BI34" i="41"/>
  <c r="BH34" i="41"/>
  <c r="BG34" i="41"/>
  <c r="BF34" i="41"/>
  <c r="BE34" i="41"/>
  <c r="BD34" i="41"/>
  <c r="BC34" i="41"/>
  <c r="BB34" i="41"/>
  <c r="BA34" i="41"/>
  <c r="AZ34" i="41"/>
  <c r="AY34" i="41"/>
  <c r="AX34" i="41"/>
  <c r="AW34" i="41"/>
  <c r="AV34" i="41"/>
  <c r="AU34" i="41"/>
  <c r="AT34" i="41"/>
  <c r="AS34" i="41"/>
  <c r="AR34" i="41"/>
  <c r="AQ34" i="41"/>
  <c r="AP34" i="41"/>
  <c r="AO34" i="41"/>
  <c r="AN34" i="41"/>
  <c r="AM34" i="41"/>
  <c r="AL34" i="41"/>
  <c r="AK34" i="41"/>
  <c r="AJ34" i="41"/>
  <c r="AI34" i="41"/>
  <c r="AH34" i="41"/>
  <c r="AG34" i="41"/>
  <c r="AF34" i="41"/>
  <c r="AE34" i="41"/>
  <c r="AD34" i="41"/>
  <c r="AC34" i="41"/>
  <c r="AB34" i="41"/>
  <c r="AA34" i="41"/>
  <c r="Z34" i="41"/>
  <c r="Y34" i="41"/>
  <c r="X34" i="41"/>
  <c r="W34" i="41"/>
  <c r="V34" i="41"/>
  <c r="U34" i="41"/>
  <c r="T34" i="41"/>
  <c r="S34" i="41"/>
  <c r="R34" i="41"/>
  <c r="Q34" i="41"/>
  <c r="P34" i="41"/>
  <c r="O34" i="41"/>
  <c r="N34" i="41"/>
  <c r="M34" i="41"/>
  <c r="L34" i="41"/>
  <c r="K34" i="41"/>
  <c r="J34" i="41"/>
  <c r="I34" i="41"/>
  <c r="H34" i="41"/>
  <c r="G34" i="41"/>
  <c r="F34" i="41"/>
  <c r="DI33" i="41"/>
  <c r="DH33" i="41"/>
  <c r="DG33" i="41"/>
  <c r="DF33" i="41"/>
  <c r="DE33" i="41"/>
  <c r="DD33" i="41"/>
  <c r="DC33" i="41"/>
  <c r="DB33" i="41"/>
  <c r="DA33" i="41"/>
  <c r="CZ33" i="41"/>
  <c r="CY33" i="41"/>
  <c r="CX33" i="41"/>
  <c r="CW33" i="41"/>
  <c r="CV33" i="41"/>
  <c r="CU33" i="41"/>
  <c r="CT33" i="41"/>
  <c r="CS33" i="41"/>
  <c r="CR33" i="41"/>
  <c r="CQ33" i="41"/>
  <c r="CP33" i="41"/>
  <c r="CO33" i="41"/>
  <c r="CN33" i="41"/>
  <c r="CM33" i="41"/>
  <c r="CL33" i="41"/>
  <c r="CK33" i="41"/>
  <c r="CJ33" i="41"/>
  <c r="CI33" i="41"/>
  <c r="CH33" i="41"/>
  <c r="CG33" i="41"/>
  <c r="CF33" i="41"/>
  <c r="CE33" i="41"/>
  <c r="CD33" i="41"/>
  <c r="CC33" i="41"/>
  <c r="CB33" i="41" a="1"/>
  <c r="CB33" i="41" s="1"/>
  <c r="CA33" i="41" a="1"/>
  <c r="CA33" i="41" s="1"/>
  <c r="BZ33" i="41"/>
  <c r="BY33" i="41"/>
  <c r="BX33" i="41"/>
  <c r="BW33" i="41"/>
  <c r="BV33" i="41"/>
  <c r="BU33" i="41"/>
  <c r="BT33" i="41"/>
  <c r="BS33" i="41"/>
  <c r="BR33" i="41"/>
  <c r="BQ33" i="41"/>
  <c r="BP33" i="41"/>
  <c r="BO33" i="41"/>
  <c r="BN33" i="41"/>
  <c r="BM33" i="41"/>
  <c r="BL33" i="41"/>
  <c r="BK33" i="41"/>
  <c r="BJ33" i="41"/>
  <c r="BI33" i="41"/>
  <c r="BH33" i="41"/>
  <c r="BG33" i="41"/>
  <c r="BF33" i="41"/>
  <c r="BE33" i="41"/>
  <c r="BD33" i="41"/>
  <c r="BC33" i="41"/>
  <c r="BB33" i="41"/>
  <c r="BA33" i="41"/>
  <c r="AZ33" i="41"/>
  <c r="AY33" i="41"/>
  <c r="AX33" i="41"/>
  <c r="AW33" i="41"/>
  <c r="AV33" i="41"/>
  <c r="AU33" i="41"/>
  <c r="AT33" i="41"/>
  <c r="AS33" i="41"/>
  <c r="AR33" i="41"/>
  <c r="AQ33" i="41"/>
  <c r="AP33" i="41"/>
  <c r="AO33" i="41"/>
  <c r="AN33" i="41"/>
  <c r="AM33" i="41"/>
  <c r="AL33" i="41"/>
  <c r="AK33" i="41"/>
  <c r="AJ33" i="41"/>
  <c r="AI33" i="41"/>
  <c r="AH33" i="41"/>
  <c r="AG33" i="41"/>
  <c r="AF33" i="41"/>
  <c r="AE33" i="41"/>
  <c r="AD33" i="41"/>
  <c r="AC33" i="41"/>
  <c r="AB33" i="41"/>
  <c r="AA33" i="41"/>
  <c r="Z33" i="41"/>
  <c r="Y33" i="41"/>
  <c r="X33" i="41"/>
  <c r="W33" i="41"/>
  <c r="V33" i="41"/>
  <c r="U33" i="41"/>
  <c r="T33" i="41"/>
  <c r="S33" i="41"/>
  <c r="R33" i="41"/>
  <c r="Q33" i="41"/>
  <c r="P33" i="41"/>
  <c r="O33" i="41"/>
  <c r="N33" i="41"/>
  <c r="M33" i="41"/>
  <c r="L33" i="41"/>
  <c r="K33" i="41"/>
  <c r="J33" i="41"/>
  <c r="I33" i="41"/>
  <c r="H33" i="41"/>
  <c r="G33" i="41"/>
  <c r="F33" i="41"/>
  <c r="DI32" i="41"/>
  <c r="DH32" i="41"/>
  <c r="DG32" i="41"/>
  <c r="DF32" i="41"/>
  <c r="DE32" i="41"/>
  <c r="DD32" i="41"/>
  <c r="DC32" i="41"/>
  <c r="DB32" i="41"/>
  <c r="DA32" i="41"/>
  <c r="CZ32" i="41"/>
  <c r="CY32" i="41"/>
  <c r="CX32" i="41"/>
  <c r="CW32" i="41"/>
  <c r="CV32" i="41"/>
  <c r="CU32" i="41"/>
  <c r="CT32" i="41"/>
  <c r="CS32" i="41"/>
  <c r="CR32" i="41"/>
  <c r="CQ32" i="41"/>
  <c r="CP32" i="41"/>
  <c r="CO32" i="41"/>
  <c r="CN32" i="41"/>
  <c r="CM32" i="41"/>
  <c r="CL32" i="41"/>
  <c r="CK32" i="41"/>
  <c r="CJ32" i="41"/>
  <c r="CI32" i="41"/>
  <c r="CH32" i="41"/>
  <c r="CG32" i="41"/>
  <c r="CF32" i="41"/>
  <c r="CE32" i="41"/>
  <c r="CD32" i="41"/>
  <c r="CC32" i="41"/>
  <c r="CB32" i="41" a="1"/>
  <c r="CB32" i="41" s="1"/>
  <c r="CA32" i="41" a="1"/>
  <c r="CA32" i="41" s="1"/>
  <c r="BZ32" i="41"/>
  <c r="BY32" i="41"/>
  <c r="BX32" i="41"/>
  <c r="BW32" i="41"/>
  <c r="BV32" i="41"/>
  <c r="BU32" i="41"/>
  <c r="BT32" i="41"/>
  <c r="BS32" i="41"/>
  <c r="BR32" i="41"/>
  <c r="BQ32" i="41"/>
  <c r="BP32" i="41"/>
  <c r="BO32" i="41"/>
  <c r="BN32" i="41"/>
  <c r="BM32" i="41"/>
  <c r="BL32" i="41"/>
  <c r="BK32" i="41"/>
  <c r="BJ32" i="41"/>
  <c r="BI32" i="41"/>
  <c r="BH32" i="41"/>
  <c r="BG32" i="41"/>
  <c r="BF32" i="41"/>
  <c r="BE32" i="41"/>
  <c r="BD32" i="41"/>
  <c r="BC32" i="41"/>
  <c r="BB32" i="41"/>
  <c r="BA32" i="41"/>
  <c r="AZ32" i="41"/>
  <c r="AY32" i="41"/>
  <c r="AX32" i="41"/>
  <c r="AW32" i="41"/>
  <c r="AV32" i="41"/>
  <c r="AU32" i="41"/>
  <c r="AT32" i="41"/>
  <c r="AS32" i="41"/>
  <c r="AR32" i="41"/>
  <c r="AQ32" i="41"/>
  <c r="AP32" i="41"/>
  <c r="AO32" i="41"/>
  <c r="AN32" i="41"/>
  <c r="AM32" i="41"/>
  <c r="AL32" i="41"/>
  <c r="AK32" i="41"/>
  <c r="AJ32" i="41"/>
  <c r="AI32" i="41"/>
  <c r="AH32" i="41"/>
  <c r="AG32" i="41"/>
  <c r="AF32" i="41"/>
  <c r="AE32" i="41"/>
  <c r="AD32" i="41"/>
  <c r="AC32" i="41"/>
  <c r="AB32" i="41"/>
  <c r="AA32" i="41"/>
  <c r="Z32" i="41"/>
  <c r="Y32" i="41"/>
  <c r="X32" i="41"/>
  <c r="W32" i="41"/>
  <c r="V32" i="41"/>
  <c r="U32" i="41"/>
  <c r="T32" i="41"/>
  <c r="S32" i="41"/>
  <c r="R32" i="41"/>
  <c r="Q32" i="41"/>
  <c r="P32" i="41"/>
  <c r="O32" i="41"/>
  <c r="N32" i="41"/>
  <c r="M32" i="41"/>
  <c r="L32" i="41"/>
  <c r="K32" i="41"/>
  <c r="J32" i="41"/>
  <c r="I32" i="41"/>
  <c r="H32" i="41"/>
  <c r="G32" i="41"/>
  <c r="F32" i="41"/>
  <c r="DI31" i="41"/>
  <c r="DH31" i="41"/>
  <c r="DG31" i="41"/>
  <c r="DF31" i="41"/>
  <c r="DE31" i="41"/>
  <c r="DD31" i="41"/>
  <c r="DC31" i="41"/>
  <c r="DB31" i="41"/>
  <c r="DA31" i="41"/>
  <c r="CZ31" i="41"/>
  <c r="CY31" i="41"/>
  <c r="CX31" i="41"/>
  <c r="CW31" i="41"/>
  <c r="CV31" i="41"/>
  <c r="CU31" i="41"/>
  <c r="CT31" i="41"/>
  <c r="CS31" i="41"/>
  <c r="CR31" i="41"/>
  <c r="CQ31" i="41"/>
  <c r="CP31" i="41"/>
  <c r="CO31" i="41"/>
  <c r="CN31" i="41"/>
  <c r="CM31" i="41"/>
  <c r="CL31" i="41"/>
  <c r="CK31" i="41"/>
  <c r="CJ31" i="41"/>
  <c r="CI31" i="41"/>
  <c r="CH31" i="41"/>
  <c r="CG31" i="41"/>
  <c r="CF31" i="41"/>
  <c r="CE31" i="41"/>
  <c r="CD31" i="41"/>
  <c r="CC31" i="41"/>
  <c r="CB31" i="41" a="1"/>
  <c r="CB31" i="41" s="1"/>
  <c r="CA31" i="41" a="1"/>
  <c r="CA31" i="41" s="1"/>
  <c r="BZ31" i="41"/>
  <c r="BY31" i="41"/>
  <c r="BX31" i="41"/>
  <c r="BW31" i="41"/>
  <c r="BV31" i="41"/>
  <c r="BU31" i="41"/>
  <c r="BT31" i="41"/>
  <c r="BS31" i="41"/>
  <c r="BR31" i="41"/>
  <c r="BQ31" i="41"/>
  <c r="BP31" i="41"/>
  <c r="BO31" i="41"/>
  <c r="BN31" i="41"/>
  <c r="BM31" i="41"/>
  <c r="BL31" i="41"/>
  <c r="BK31" i="41"/>
  <c r="BJ31" i="41"/>
  <c r="BI31" i="41"/>
  <c r="BH31" i="41"/>
  <c r="BG31" i="41"/>
  <c r="BF31" i="41"/>
  <c r="BE31" i="41"/>
  <c r="BD31" i="41"/>
  <c r="BC31" i="41"/>
  <c r="BB31" i="41"/>
  <c r="BA31" i="41"/>
  <c r="AZ31" i="41"/>
  <c r="AY31" i="41"/>
  <c r="AX31" i="41"/>
  <c r="AW31" i="41"/>
  <c r="AV31" i="41"/>
  <c r="AU31" i="41"/>
  <c r="AT31" i="41"/>
  <c r="AS31" i="41"/>
  <c r="AR31" i="41"/>
  <c r="AQ31" i="41"/>
  <c r="AP31" i="41"/>
  <c r="AO31" i="41"/>
  <c r="AN31" i="41"/>
  <c r="AM31" i="41"/>
  <c r="AL31" i="41"/>
  <c r="AK31" i="41"/>
  <c r="AJ31" i="41"/>
  <c r="AI31" i="41"/>
  <c r="AH31" i="41"/>
  <c r="AG31" i="41"/>
  <c r="AF31" i="41"/>
  <c r="AE31" i="41"/>
  <c r="AD31" i="41"/>
  <c r="AC31" i="41"/>
  <c r="AB31" i="41"/>
  <c r="AA31" i="41"/>
  <c r="Z31" i="41"/>
  <c r="Y31" i="41"/>
  <c r="X31" i="41"/>
  <c r="W31" i="41"/>
  <c r="V31" i="41"/>
  <c r="U31" i="41"/>
  <c r="T31" i="41"/>
  <c r="S31" i="41"/>
  <c r="R31" i="41"/>
  <c r="Q31" i="41"/>
  <c r="P31" i="41"/>
  <c r="O31" i="41"/>
  <c r="N31" i="41"/>
  <c r="M31" i="41"/>
  <c r="L31" i="41"/>
  <c r="K31" i="41"/>
  <c r="J31" i="41"/>
  <c r="I31" i="41"/>
  <c r="H31" i="41"/>
  <c r="G31" i="41"/>
  <c r="F31" i="41"/>
  <c r="DI30" i="41"/>
  <c r="DH30" i="41"/>
  <c r="DG30" i="41"/>
  <c r="DF30" i="41"/>
  <c r="DE30" i="41"/>
  <c r="DD30" i="41"/>
  <c r="DC30" i="41"/>
  <c r="DB30" i="41"/>
  <c r="DA30" i="41"/>
  <c r="CZ30" i="41"/>
  <c r="CY30" i="41"/>
  <c r="CX30" i="41"/>
  <c r="CW30" i="41"/>
  <c r="CV30" i="41"/>
  <c r="CU30" i="41"/>
  <c r="CT30" i="41"/>
  <c r="CS30" i="41"/>
  <c r="CR30" i="41"/>
  <c r="CQ30" i="41"/>
  <c r="CP30" i="41"/>
  <c r="CO30" i="41"/>
  <c r="CN30" i="41"/>
  <c r="CM30" i="41"/>
  <c r="CL30" i="41"/>
  <c r="CK30" i="41"/>
  <c r="CJ30" i="41"/>
  <c r="CI30" i="41"/>
  <c r="CH30" i="41"/>
  <c r="CG30" i="41"/>
  <c r="CF30" i="41"/>
  <c r="CE30" i="41"/>
  <c r="CD30" i="41"/>
  <c r="CC30" i="41"/>
  <c r="CB30" i="41" a="1"/>
  <c r="CB30" i="41" s="1"/>
  <c r="CA30" i="41" a="1"/>
  <c r="CA30" i="41" s="1"/>
  <c r="BZ30" i="41"/>
  <c r="BY30" i="41"/>
  <c r="BX30" i="41"/>
  <c r="BW30" i="41"/>
  <c r="BV30" i="41"/>
  <c r="BU30" i="41"/>
  <c r="BT30" i="41"/>
  <c r="BS30" i="41"/>
  <c r="BR30" i="41"/>
  <c r="BQ30" i="41"/>
  <c r="BP30" i="41"/>
  <c r="BO30" i="41"/>
  <c r="BN30" i="41"/>
  <c r="BM30" i="41"/>
  <c r="BL30" i="41"/>
  <c r="BK30" i="41"/>
  <c r="BJ30" i="41"/>
  <c r="BI30" i="41"/>
  <c r="BH30" i="41"/>
  <c r="BG30" i="41"/>
  <c r="BF30" i="41"/>
  <c r="BE30" i="41"/>
  <c r="BD30" i="41"/>
  <c r="BC30" i="41"/>
  <c r="BB30" i="41"/>
  <c r="BA30" i="41"/>
  <c r="AZ30" i="41"/>
  <c r="AY30" i="41"/>
  <c r="AX30" i="41"/>
  <c r="AW30" i="41"/>
  <c r="AV30" i="41"/>
  <c r="AU30" i="41"/>
  <c r="AT30" i="41"/>
  <c r="AS30" i="41"/>
  <c r="AR30" i="41"/>
  <c r="AQ30" i="41"/>
  <c r="AP30" i="41"/>
  <c r="AO30" i="41"/>
  <c r="AN30" i="41"/>
  <c r="AM30" i="41"/>
  <c r="AL30" i="41"/>
  <c r="AK30" i="41"/>
  <c r="AJ30" i="41"/>
  <c r="AI30" i="41"/>
  <c r="AH30" i="41"/>
  <c r="AG30" i="41"/>
  <c r="AF30" i="41"/>
  <c r="AE30" i="41"/>
  <c r="AD30" i="41"/>
  <c r="AC30" i="41"/>
  <c r="AB30" i="41"/>
  <c r="AA30" i="41"/>
  <c r="Z30" i="41"/>
  <c r="Y30" i="41"/>
  <c r="X30" i="41"/>
  <c r="W30" i="41"/>
  <c r="V30" i="41"/>
  <c r="U30" i="41"/>
  <c r="T30" i="41"/>
  <c r="S30" i="41"/>
  <c r="R30" i="41"/>
  <c r="Q30" i="41"/>
  <c r="P30" i="41"/>
  <c r="O30" i="41"/>
  <c r="N30" i="41"/>
  <c r="M30" i="41"/>
  <c r="L30" i="41"/>
  <c r="K30" i="41"/>
  <c r="J30" i="41"/>
  <c r="I30" i="41"/>
  <c r="H30" i="41"/>
  <c r="G30" i="41"/>
  <c r="F30" i="41"/>
  <c r="DI29" i="41"/>
  <c r="DH29" i="41"/>
  <c r="DG29" i="41"/>
  <c r="DF29" i="41"/>
  <c r="DE29" i="41"/>
  <c r="DD29" i="41"/>
  <c r="DC29" i="41"/>
  <c r="DB29" i="41"/>
  <c r="DA29" i="41"/>
  <c r="CZ29" i="41"/>
  <c r="CY29" i="41"/>
  <c r="CX29" i="41"/>
  <c r="CW29" i="41"/>
  <c r="CV29" i="41"/>
  <c r="CU29" i="41"/>
  <c r="CT29" i="41"/>
  <c r="CS29" i="41"/>
  <c r="CR29" i="41"/>
  <c r="CQ29" i="41"/>
  <c r="CP29" i="41"/>
  <c r="CO29" i="41"/>
  <c r="CN29" i="41"/>
  <c r="CM29" i="41"/>
  <c r="CL29" i="41"/>
  <c r="CK29" i="41"/>
  <c r="CJ29" i="41"/>
  <c r="CI29" i="41"/>
  <c r="CH29" i="41"/>
  <c r="CG29" i="41"/>
  <c r="CF29" i="41"/>
  <c r="CE29" i="41"/>
  <c r="CD29" i="41"/>
  <c r="CC29" i="41"/>
  <c r="CB29" i="41" a="1"/>
  <c r="CB29" i="41" s="1"/>
  <c r="CA29" i="41" a="1"/>
  <c r="CA29" i="41" s="1"/>
  <c r="BZ29" i="41"/>
  <c r="BY29" i="41"/>
  <c r="BX29" i="41"/>
  <c r="BW29" i="41"/>
  <c r="BV29" i="41"/>
  <c r="BU29" i="41"/>
  <c r="BT29" i="41"/>
  <c r="BS29" i="41"/>
  <c r="BR29" i="41"/>
  <c r="BQ29" i="41"/>
  <c r="BP29" i="41"/>
  <c r="BO29" i="41"/>
  <c r="BN29" i="41"/>
  <c r="BM29" i="41"/>
  <c r="BL29" i="41"/>
  <c r="BK29" i="41"/>
  <c r="BJ29" i="41"/>
  <c r="BI29" i="41"/>
  <c r="BH29" i="41"/>
  <c r="BG29" i="41"/>
  <c r="BF29" i="41"/>
  <c r="BE29" i="41"/>
  <c r="BD29" i="41"/>
  <c r="BC29" i="41"/>
  <c r="BB29" i="41"/>
  <c r="BA29" i="41"/>
  <c r="AZ29" i="41"/>
  <c r="AY29" i="41"/>
  <c r="AX29" i="41"/>
  <c r="AW29" i="41"/>
  <c r="AV29" i="41"/>
  <c r="AU29" i="41"/>
  <c r="AT29" i="41"/>
  <c r="AS29" i="41"/>
  <c r="AR29" i="41"/>
  <c r="AQ29" i="41"/>
  <c r="AP29" i="41"/>
  <c r="AO29" i="41"/>
  <c r="AN29" i="41"/>
  <c r="AM29" i="41"/>
  <c r="AL29" i="41"/>
  <c r="AK29" i="41"/>
  <c r="AJ29" i="41"/>
  <c r="AI29" i="41"/>
  <c r="AH29" i="41"/>
  <c r="AG29" i="41"/>
  <c r="AF29" i="41"/>
  <c r="AE29" i="41"/>
  <c r="AD29" i="41"/>
  <c r="AC29" i="41"/>
  <c r="AB29" i="41"/>
  <c r="AA29" i="41"/>
  <c r="Z29" i="41"/>
  <c r="Y29" i="41"/>
  <c r="X29" i="41"/>
  <c r="W29" i="41"/>
  <c r="V29" i="41"/>
  <c r="U29" i="41"/>
  <c r="T29" i="41"/>
  <c r="S29" i="41"/>
  <c r="R29" i="41"/>
  <c r="Q29" i="41"/>
  <c r="P29" i="41"/>
  <c r="O29" i="41"/>
  <c r="N29" i="41"/>
  <c r="M29" i="41"/>
  <c r="L29" i="41"/>
  <c r="K29" i="41"/>
  <c r="J29" i="41"/>
  <c r="I29" i="41"/>
  <c r="H29" i="41"/>
  <c r="G29" i="41"/>
  <c r="F29" i="41"/>
  <c r="DI28" i="41"/>
  <c r="DH28" i="41"/>
  <c r="DG28" i="41"/>
  <c r="DF28" i="41"/>
  <c r="DE28" i="41"/>
  <c r="DD28" i="41"/>
  <c r="DC28" i="41"/>
  <c r="DB28" i="41"/>
  <c r="DA28" i="41"/>
  <c r="CZ28" i="41"/>
  <c r="CY28" i="41"/>
  <c r="CX28" i="41"/>
  <c r="CW28" i="41"/>
  <c r="CV28" i="41"/>
  <c r="CU28" i="41"/>
  <c r="CT28" i="41"/>
  <c r="CS28" i="41"/>
  <c r="CR28" i="41"/>
  <c r="CQ28" i="41"/>
  <c r="CP28" i="41"/>
  <c r="CO28" i="41"/>
  <c r="CN28" i="41"/>
  <c r="CM28" i="41"/>
  <c r="CL28" i="41"/>
  <c r="CK28" i="41"/>
  <c r="CJ28" i="41"/>
  <c r="CI28" i="41"/>
  <c r="CH28" i="41"/>
  <c r="CG28" i="41"/>
  <c r="CF28" i="41"/>
  <c r="CE28" i="41"/>
  <c r="CD28" i="41"/>
  <c r="CC28" i="41"/>
  <c r="CB28" i="41" a="1"/>
  <c r="CB28" i="41" s="1"/>
  <c r="CA28" i="41" a="1"/>
  <c r="CA28" i="41" s="1"/>
  <c r="BZ28" i="41"/>
  <c r="BY28" i="41"/>
  <c r="BX28" i="41"/>
  <c r="BW28" i="41"/>
  <c r="BV28" i="41"/>
  <c r="BU28" i="41"/>
  <c r="BT28" i="41"/>
  <c r="BS28" i="41"/>
  <c r="BR28" i="41"/>
  <c r="BQ28" i="41"/>
  <c r="BP28" i="41"/>
  <c r="BO28" i="41"/>
  <c r="BN28" i="41"/>
  <c r="BM28" i="41"/>
  <c r="BL28" i="41"/>
  <c r="BK28" i="41"/>
  <c r="BJ28" i="41"/>
  <c r="BI28" i="41"/>
  <c r="BH28" i="41"/>
  <c r="BG28" i="41"/>
  <c r="BF28" i="41"/>
  <c r="BE28" i="41"/>
  <c r="BD28" i="41"/>
  <c r="BC28" i="41"/>
  <c r="BB28" i="41"/>
  <c r="BA28" i="41"/>
  <c r="AZ28" i="41"/>
  <c r="AY28" i="41"/>
  <c r="AX28" i="41"/>
  <c r="AW28" i="41"/>
  <c r="AV28" i="41"/>
  <c r="AU28" i="41"/>
  <c r="AT28" i="41"/>
  <c r="AS28" i="41"/>
  <c r="AR28" i="41"/>
  <c r="AQ28" i="41"/>
  <c r="AP28" i="41"/>
  <c r="AO28" i="41"/>
  <c r="AN28" i="41"/>
  <c r="AM28" i="41"/>
  <c r="AL28" i="41"/>
  <c r="AK28" i="41"/>
  <c r="AJ28" i="41"/>
  <c r="AI28" i="41"/>
  <c r="AH28" i="41"/>
  <c r="AG28" i="41"/>
  <c r="AF28" i="41"/>
  <c r="AE28" i="41"/>
  <c r="AD28" i="41"/>
  <c r="AC28" i="41"/>
  <c r="AB28" i="41"/>
  <c r="AA28" i="41"/>
  <c r="Z28" i="41"/>
  <c r="Y28" i="41"/>
  <c r="X28" i="41"/>
  <c r="W28" i="41"/>
  <c r="V28" i="41"/>
  <c r="U28" i="41"/>
  <c r="T28" i="41"/>
  <c r="S28" i="41"/>
  <c r="R28" i="41"/>
  <c r="Q28" i="41"/>
  <c r="P28" i="41"/>
  <c r="O28" i="41"/>
  <c r="N28" i="41"/>
  <c r="M28" i="41"/>
  <c r="L28" i="41"/>
  <c r="K28" i="41"/>
  <c r="J28" i="41"/>
  <c r="I28" i="41"/>
  <c r="H28" i="41"/>
  <c r="G28" i="41"/>
  <c r="F28" i="41"/>
  <c r="DI27" i="41"/>
  <c r="DH27" i="41"/>
  <c r="DG27" i="41"/>
  <c r="DF27" i="41"/>
  <c r="DE27" i="41"/>
  <c r="DD27" i="41"/>
  <c r="DC27" i="41"/>
  <c r="DB27" i="41"/>
  <c r="DA27" i="41"/>
  <c r="CZ27" i="41"/>
  <c r="CY27" i="41"/>
  <c r="CX27" i="41"/>
  <c r="CW27" i="41"/>
  <c r="CV27" i="41"/>
  <c r="CU27" i="41"/>
  <c r="CT27" i="41"/>
  <c r="CS27" i="41"/>
  <c r="CR27" i="41"/>
  <c r="CQ27" i="41"/>
  <c r="CP27" i="41"/>
  <c r="CO27" i="41"/>
  <c r="CN27" i="41"/>
  <c r="CM27" i="41"/>
  <c r="CL27" i="41"/>
  <c r="CK27" i="41"/>
  <c r="CJ27" i="41"/>
  <c r="CI27" i="41"/>
  <c r="CH27" i="41"/>
  <c r="CG27" i="41"/>
  <c r="CF27" i="41"/>
  <c r="CE27" i="41"/>
  <c r="CD27" i="41"/>
  <c r="CC27" i="41"/>
  <c r="CB27" i="41" a="1"/>
  <c r="CB27" i="41" s="1"/>
  <c r="CA27" i="41" a="1"/>
  <c r="CA27" i="41" s="1"/>
  <c r="BZ27" i="41"/>
  <c r="BY27" i="41"/>
  <c r="BX27" i="41"/>
  <c r="BW27" i="41"/>
  <c r="BV27" i="41"/>
  <c r="BU27" i="41"/>
  <c r="BT27" i="41"/>
  <c r="BS27" i="41"/>
  <c r="BR27" i="41"/>
  <c r="BQ27" i="41"/>
  <c r="BP27" i="41"/>
  <c r="BO27" i="41"/>
  <c r="BN27" i="41"/>
  <c r="BM27" i="41"/>
  <c r="BL27" i="41"/>
  <c r="BK27" i="41"/>
  <c r="BJ27" i="41"/>
  <c r="BI27" i="41"/>
  <c r="BH27" i="41"/>
  <c r="BG27" i="41"/>
  <c r="BF27" i="41"/>
  <c r="BE27" i="41"/>
  <c r="BD27" i="41"/>
  <c r="BC27" i="41"/>
  <c r="BB27" i="41"/>
  <c r="BA27" i="41"/>
  <c r="AZ27" i="41"/>
  <c r="AY27" i="41"/>
  <c r="AX27" i="41"/>
  <c r="AW27" i="41"/>
  <c r="AV27" i="41"/>
  <c r="AU27" i="41"/>
  <c r="AT27" i="41"/>
  <c r="AS27" i="41"/>
  <c r="AR27" i="41"/>
  <c r="AQ27" i="41"/>
  <c r="AP27" i="41"/>
  <c r="AO27" i="41"/>
  <c r="AN27" i="41"/>
  <c r="AM27" i="41"/>
  <c r="AL27" i="41"/>
  <c r="AK27" i="41"/>
  <c r="AJ27" i="41"/>
  <c r="AI27" i="41"/>
  <c r="AH27" i="41"/>
  <c r="AG27" i="41"/>
  <c r="AF27" i="41"/>
  <c r="AE27" i="41"/>
  <c r="AD27" i="41"/>
  <c r="AC27" i="41"/>
  <c r="AB27" i="41"/>
  <c r="AA27" i="41"/>
  <c r="Z27" i="41"/>
  <c r="Y27" i="41"/>
  <c r="X27" i="41"/>
  <c r="W27" i="41"/>
  <c r="V27" i="41"/>
  <c r="U27" i="41"/>
  <c r="T27" i="41"/>
  <c r="S27" i="41"/>
  <c r="R27" i="41"/>
  <c r="Q27" i="41"/>
  <c r="P27" i="41"/>
  <c r="O27" i="41"/>
  <c r="N27" i="41"/>
  <c r="M27" i="41"/>
  <c r="L27" i="41"/>
  <c r="K27" i="41"/>
  <c r="J27" i="41"/>
  <c r="I27" i="41"/>
  <c r="H27" i="41"/>
  <c r="G27" i="41"/>
  <c r="F27" i="41"/>
  <c r="DI26" i="41"/>
  <c r="DH26" i="41"/>
  <c r="DG26" i="41"/>
  <c r="DF26" i="41"/>
  <c r="DE26" i="41"/>
  <c r="DD26" i="41"/>
  <c r="DC26" i="41"/>
  <c r="DB26" i="41"/>
  <c r="DA26" i="41"/>
  <c r="CZ26" i="41"/>
  <c r="CY26" i="41"/>
  <c r="CX26" i="41"/>
  <c r="CW26" i="41"/>
  <c r="CV26" i="41"/>
  <c r="CU26" i="41"/>
  <c r="CT26" i="41"/>
  <c r="CS26" i="41"/>
  <c r="CR26" i="41"/>
  <c r="CQ26" i="41"/>
  <c r="CP26" i="41"/>
  <c r="CO26" i="41"/>
  <c r="CN26" i="41"/>
  <c r="CM26" i="41"/>
  <c r="CL26" i="41"/>
  <c r="CK26" i="41"/>
  <c r="CJ26" i="41"/>
  <c r="CI26" i="41"/>
  <c r="CH26" i="41"/>
  <c r="CG26" i="41"/>
  <c r="CF26" i="41"/>
  <c r="CE26" i="41"/>
  <c r="CD26" i="41"/>
  <c r="CC26" i="41"/>
  <c r="CB26" i="41" a="1"/>
  <c r="CB26" i="41" s="1"/>
  <c r="CA26" i="41" a="1"/>
  <c r="CA26" i="41" s="1"/>
  <c r="BZ26" i="41"/>
  <c r="BY26" i="41"/>
  <c r="BX26" i="41"/>
  <c r="BW26" i="41"/>
  <c r="BV26" i="41"/>
  <c r="BU26" i="41"/>
  <c r="BT26" i="41"/>
  <c r="BS26" i="41"/>
  <c r="BR26" i="41"/>
  <c r="BQ26" i="41"/>
  <c r="BP26" i="41"/>
  <c r="BO26" i="41"/>
  <c r="BN26" i="41"/>
  <c r="BM26" i="41"/>
  <c r="BL26" i="41"/>
  <c r="BK26" i="41"/>
  <c r="BJ26" i="41"/>
  <c r="BI26" i="41"/>
  <c r="BH26" i="41"/>
  <c r="BG26" i="41"/>
  <c r="BF26" i="41"/>
  <c r="BE26" i="41"/>
  <c r="BD26" i="41"/>
  <c r="BC26" i="41"/>
  <c r="BB26" i="41"/>
  <c r="BA26" i="41"/>
  <c r="AZ26" i="41"/>
  <c r="AY26" i="41"/>
  <c r="AX26" i="41"/>
  <c r="AW26" i="41"/>
  <c r="AV26" i="41"/>
  <c r="AU26" i="41"/>
  <c r="AT26" i="41"/>
  <c r="AS26" i="41"/>
  <c r="AR26" i="41"/>
  <c r="AQ26" i="41"/>
  <c r="AP26" i="41"/>
  <c r="AO26" i="41"/>
  <c r="AN26" i="41"/>
  <c r="AM26" i="41"/>
  <c r="AL26" i="41"/>
  <c r="AK26" i="41"/>
  <c r="AJ26" i="41"/>
  <c r="AI26" i="41"/>
  <c r="AH26" i="41"/>
  <c r="AG26" i="41"/>
  <c r="AF26" i="41"/>
  <c r="AE26" i="41"/>
  <c r="AD26" i="41"/>
  <c r="AC26" i="41"/>
  <c r="AB26" i="41"/>
  <c r="AA26" i="41"/>
  <c r="Z26" i="41"/>
  <c r="Y26" i="41"/>
  <c r="X26" i="41"/>
  <c r="W26" i="41"/>
  <c r="V26" i="41"/>
  <c r="U26" i="41"/>
  <c r="T26" i="41"/>
  <c r="S26" i="41"/>
  <c r="R26" i="41"/>
  <c r="Q26" i="41"/>
  <c r="P26" i="41"/>
  <c r="O26" i="41"/>
  <c r="N26" i="41"/>
  <c r="M26" i="41"/>
  <c r="L26" i="41"/>
  <c r="K26" i="41"/>
  <c r="J26" i="41"/>
  <c r="I26" i="41"/>
  <c r="H26" i="41"/>
  <c r="G26" i="41"/>
  <c r="F26" i="41"/>
  <c r="DI25" i="41"/>
  <c r="DH25" i="41"/>
  <c r="DG25" i="41"/>
  <c r="DF25" i="41"/>
  <c r="DE25" i="41"/>
  <c r="DD25" i="41"/>
  <c r="DC25" i="41"/>
  <c r="DB25" i="41"/>
  <c r="DA25" i="41"/>
  <c r="CZ25" i="41"/>
  <c r="CY25" i="41"/>
  <c r="CX25" i="41"/>
  <c r="CW25" i="41"/>
  <c r="CV25" i="41"/>
  <c r="CU25" i="41"/>
  <c r="CT25" i="41"/>
  <c r="CS25" i="41"/>
  <c r="CR25" i="41"/>
  <c r="CQ25" i="41"/>
  <c r="CP25" i="41"/>
  <c r="CO25" i="41"/>
  <c r="CN25" i="41"/>
  <c r="CM25" i="41"/>
  <c r="CL25" i="41"/>
  <c r="CK25" i="41"/>
  <c r="CJ25" i="41"/>
  <c r="CI25" i="41"/>
  <c r="CH25" i="41"/>
  <c r="CG25" i="41"/>
  <c r="CF25" i="41"/>
  <c r="CE25" i="41"/>
  <c r="CD25" i="41"/>
  <c r="CC25" i="41"/>
  <c r="CB25" i="41" a="1"/>
  <c r="CB25" i="41" s="1"/>
  <c r="CA25" i="41" a="1"/>
  <c r="CA25" i="41" s="1"/>
  <c r="BZ25" i="41"/>
  <c r="BY25" i="41"/>
  <c r="BX25" i="41"/>
  <c r="BW25" i="41"/>
  <c r="BV25" i="41"/>
  <c r="BU25" i="41"/>
  <c r="BT25" i="41"/>
  <c r="BS25" i="41"/>
  <c r="BR25" i="41"/>
  <c r="BQ25" i="41"/>
  <c r="BP25" i="41"/>
  <c r="BO25" i="41"/>
  <c r="BN25" i="41"/>
  <c r="BM25" i="41"/>
  <c r="BL25" i="41"/>
  <c r="BK25" i="41"/>
  <c r="BJ25" i="41"/>
  <c r="BI25" i="41"/>
  <c r="BH25" i="41"/>
  <c r="BG25" i="41"/>
  <c r="BF25" i="41"/>
  <c r="BE25" i="41"/>
  <c r="BD25" i="41"/>
  <c r="BC25" i="41"/>
  <c r="BB25" i="41"/>
  <c r="BA25" i="41"/>
  <c r="AZ25" i="41"/>
  <c r="AY25" i="41"/>
  <c r="AX25" i="41"/>
  <c r="AW25" i="41"/>
  <c r="AV25" i="41"/>
  <c r="AU25" i="41"/>
  <c r="AT25" i="41"/>
  <c r="AS25" i="41"/>
  <c r="AR25" i="41"/>
  <c r="AQ25" i="41"/>
  <c r="AP25" i="41"/>
  <c r="AO25" i="41"/>
  <c r="AN25" i="41"/>
  <c r="AM25" i="41"/>
  <c r="AL25" i="41"/>
  <c r="AK25" i="41"/>
  <c r="AJ25" i="41"/>
  <c r="AI25" i="41"/>
  <c r="AH25" i="41"/>
  <c r="AG25" i="41"/>
  <c r="AF25" i="41"/>
  <c r="AE25" i="41"/>
  <c r="AD25" i="41"/>
  <c r="AC25" i="41"/>
  <c r="AB25" i="41"/>
  <c r="AA25" i="41"/>
  <c r="Z25" i="41"/>
  <c r="Y25" i="41"/>
  <c r="X25" i="41"/>
  <c r="W25" i="41"/>
  <c r="V25" i="41"/>
  <c r="U25" i="41"/>
  <c r="T25" i="41"/>
  <c r="S25" i="41"/>
  <c r="R25" i="41"/>
  <c r="Q25" i="41"/>
  <c r="P25" i="41"/>
  <c r="O25" i="41"/>
  <c r="N25" i="41"/>
  <c r="M25" i="41"/>
  <c r="L25" i="41"/>
  <c r="K25" i="41"/>
  <c r="J25" i="41"/>
  <c r="I25" i="41"/>
  <c r="H25" i="41"/>
  <c r="G25" i="41"/>
  <c r="F25" i="41"/>
  <c r="DI24" i="41"/>
  <c r="DH24" i="41"/>
  <c r="DG24" i="41"/>
  <c r="DF24" i="41"/>
  <c r="DE24" i="41"/>
  <c r="DD24" i="41"/>
  <c r="DC24" i="41"/>
  <c r="DB24" i="41"/>
  <c r="DA24" i="41"/>
  <c r="CZ24" i="41"/>
  <c r="CY24" i="41"/>
  <c r="CX24" i="41"/>
  <c r="CW24" i="41"/>
  <c r="CV24" i="41"/>
  <c r="CU24" i="41"/>
  <c r="CT24" i="41"/>
  <c r="CS24" i="41"/>
  <c r="CR24" i="41"/>
  <c r="CQ24" i="41"/>
  <c r="CP24" i="41"/>
  <c r="CO24" i="41"/>
  <c r="CN24" i="41"/>
  <c r="CM24" i="41"/>
  <c r="CL24" i="41"/>
  <c r="CK24" i="41"/>
  <c r="CJ24" i="41"/>
  <c r="CI24" i="41"/>
  <c r="CH24" i="41"/>
  <c r="CG24" i="41"/>
  <c r="CF24" i="41"/>
  <c r="CE24" i="41"/>
  <c r="CD24" i="41"/>
  <c r="CC24" i="41"/>
  <c r="CB24" i="41" a="1"/>
  <c r="CB24" i="41" s="1"/>
  <c r="CA24" i="41" a="1"/>
  <c r="CA24" i="41" s="1"/>
  <c r="BZ24" i="41"/>
  <c r="BY24" i="41"/>
  <c r="BX24" i="41"/>
  <c r="BW24" i="41"/>
  <c r="BV24" i="41"/>
  <c r="BU24" i="41"/>
  <c r="BT24" i="41"/>
  <c r="BS24" i="41"/>
  <c r="BR24" i="41"/>
  <c r="BQ24" i="41"/>
  <c r="BP24" i="41"/>
  <c r="BO24" i="41"/>
  <c r="BN24" i="41"/>
  <c r="BM24" i="41"/>
  <c r="BL24" i="41"/>
  <c r="BK24" i="41"/>
  <c r="BJ24" i="41"/>
  <c r="BI24" i="41"/>
  <c r="BH24" i="41"/>
  <c r="BG24" i="41"/>
  <c r="BF24" i="41"/>
  <c r="BE24" i="41"/>
  <c r="BD24" i="41"/>
  <c r="BC24" i="41"/>
  <c r="BB24" i="41"/>
  <c r="BA24" i="41"/>
  <c r="AZ24" i="41"/>
  <c r="AY24" i="41"/>
  <c r="AX24" i="41"/>
  <c r="AW24" i="41"/>
  <c r="AV24" i="41"/>
  <c r="AU24" i="41"/>
  <c r="AT24" i="41"/>
  <c r="AS24" i="41"/>
  <c r="AR24" i="41"/>
  <c r="AQ24" i="41"/>
  <c r="AP24" i="41"/>
  <c r="AO24" i="41"/>
  <c r="AN24" i="41"/>
  <c r="AM24" i="41"/>
  <c r="AL24" i="41"/>
  <c r="AK24" i="41"/>
  <c r="AJ24" i="41"/>
  <c r="AI24" i="41"/>
  <c r="AH24" i="41"/>
  <c r="AG24" i="41"/>
  <c r="AF24" i="41"/>
  <c r="AE24" i="41"/>
  <c r="AD24" i="41"/>
  <c r="AC24" i="41"/>
  <c r="AB24" i="41"/>
  <c r="AA24" i="41"/>
  <c r="Z24" i="41"/>
  <c r="Y24" i="41"/>
  <c r="X24" i="41"/>
  <c r="W24" i="41"/>
  <c r="V24" i="41"/>
  <c r="U24" i="41"/>
  <c r="T24" i="41"/>
  <c r="S24" i="41"/>
  <c r="R24" i="41"/>
  <c r="Q24" i="41"/>
  <c r="P24" i="41"/>
  <c r="O24" i="41"/>
  <c r="N24" i="41"/>
  <c r="M24" i="41"/>
  <c r="L24" i="41"/>
  <c r="K24" i="41"/>
  <c r="J24" i="41"/>
  <c r="I24" i="41"/>
  <c r="H24" i="41"/>
  <c r="G24" i="41"/>
  <c r="F24" i="41"/>
  <c r="DI23" i="41"/>
  <c r="DH23" i="41"/>
  <c r="DG23" i="41"/>
  <c r="DF23" i="41"/>
  <c r="DE23" i="41"/>
  <c r="DD23" i="41"/>
  <c r="DC23" i="41"/>
  <c r="DB23" i="41"/>
  <c r="DA23" i="41"/>
  <c r="CZ23" i="41"/>
  <c r="CY23" i="41"/>
  <c r="CX23" i="41"/>
  <c r="CW23" i="41"/>
  <c r="CV23" i="41"/>
  <c r="CU23" i="41"/>
  <c r="CT23" i="41"/>
  <c r="CS23" i="41"/>
  <c r="CR23" i="41"/>
  <c r="CQ23" i="41"/>
  <c r="CP23" i="41"/>
  <c r="CO23" i="41"/>
  <c r="CN23" i="41"/>
  <c r="CM23" i="41"/>
  <c r="CL23" i="41"/>
  <c r="CK23" i="41"/>
  <c r="CJ23" i="41"/>
  <c r="CI23" i="41"/>
  <c r="CH23" i="41"/>
  <c r="CG23" i="41"/>
  <c r="CF23" i="41"/>
  <c r="CE23" i="41"/>
  <c r="CD23" i="41"/>
  <c r="CC23" i="41"/>
  <c r="CB23" i="41" a="1"/>
  <c r="CB23" i="41" s="1"/>
  <c r="CA23" i="41" a="1"/>
  <c r="CA23" i="41" s="1"/>
  <c r="BZ23" i="41"/>
  <c r="BY23" i="41"/>
  <c r="BX23" i="41"/>
  <c r="BW23" i="41"/>
  <c r="BV23" i="41"/>
  <c r="BU23" i="41"/>
  <c r="BT23" i="41"/>
  <c r="BS23" i="41"/>
  <c r="BR23" i="41"/>
  <c r="BQ23" i="41"/>
  <c r="BP23" i="41"/>
  <c r="BO23" i="41"/>
  <c r="BN23" i="41"/>
  <c r="BM23" i="41"/>
  <c r="BL23" i="41"/>
  <c r="BK23" i="41"/>
  <c r="BJ23" i="41"/>
  <c r="BI23" i="41"/>
  <c r="BH23" i="41"/>
  <c r="BG23" i="41"/>
  <c r="BF23" i="41"/>
  <c r="BE23" i="41"/>
  <c r="BD23" i="41"/>
  <c r="BC23" i="41"/>
  <c r="BB23" i="41"/>
  <c r="BA23" i="41"/>
  <c r="AZ23" i="41"/>
  <c r="AY23" i="41"/>
  <c r="AX23" i="41"/>
  <c r="AW23" i="41"/>
  <c r="AV23" i="41"/>
  <c r="AU23" i="41"/>
  <c r="AT23" i="41"/>
  <c r="AS23" i="41"/>
  <c r="AR23" i="41"/>
  <c r="AQ23" i="41"/>
  <c r="AP23" i="41"/>
  <c r="AO23" i="41"/>
  <c r="AN23" i="41"/>
  <c r="AM23" i="41"/>
  <c r="AL23" i="41"/>
  <c r="AK23" i="41"/>
  <c r="AJ23" i="41"/>
  <c r="AI23" i="41"/>
  <c r="AH23" i="41"/>
  <c r="AG23" i="41"/>
  <c r="AF23" i="41"/>
  <c r="AE23" i="41"/>
  <c r="AD23" i="41"/>
  <c r="AC23" i="41"/>
  <c r="AB23" i="41"/>
  <c r="AA23" i="41"/>
  <c r="Z23" i="41"/>
  <c r="Y23" i="41"/>
  <c r="X23" i="41"/>
  <c r="W23" i="41"/>
  <c r="V23" i="41"/>
  <c r="U23" i="41"/>
  <c r="T23" i="41"/>
  <c r="S23" i="41"/>
  <c r="R23" i="41"/>
  <c r="Q23" i="41"/>
  <c r="P23" i="41"/>
  <c r="O23" i="41"/>
  <c r="N23" i="41"/>
  <c r="M23" i="41"/>
  <c r="L23" i="41"/>
  <c r="K23" i="41"/>
  <c r="J23" i="41"/>
  <c r="I23" i="41"/>
  <c r="H23" i="41"/>
  <c r="G23" i="41"/>
  <c r="F23" i="41"/>
  <c r="DI22" i="41"/>
  <c r="DH22" i="41"/>
  <c r="DG22" i="41"/>
  <c r="DF22" i="41"/>
  <c r="DE22" i="41"/>
  <c r="DD22" i="41"/>
  <c r="DC22" i="41"/>
  <c r="DB22" i="41"/>
  <c r="DA22" i="41"/>
  <c r="CZ22" i="41"/>
  <c r="CY22" i="41"/>
  <c r="CX22" i="41"/>
  <c r="CW22" i="41"/>
  <c r="CV22" i="41"/>
  <c r="CU22" i="41"/>
  <c r="CT22" i="41"/>
  <c r="CS22" i="41"/>
  <c r="CR22" i="41"/>
  <c r="CQ22" i="41"/>
  <c r="CP22" i="41"/>
  <c r="CO22" i="41"/>
  <c r="CN22" i="41"/>
  <c r="CM22" i="41"/>
  <c r="CL22" i="41"/>
  <c r="CK22" i="41"/>
  <c r="CJ22" i="41"/>
  <c r="CI22" i="41"/>
  <c r="CH22" i="41"/>
  <c r="CG22" i="41"/>
  <c r="CF22" i="41"/>
  <c r="CE22" i="41"/>
  <c r="CD22" i="41"/>
  <c r="CC22" i="41"/>
  <c r="CB22" i="41" a="1"/>
  <c r="CB22" i="41" s="1"/>
  <c r="CA22" i="41" a="1"/>
  <c r="CA22" i="41" s="1"/>
  <c r="BZ22" i="41"/>
  <c r="BY22" i="41"/>
  <c r="BX22" i="41"/>
  <c r="BW22" i="41"/>
  <c r="BV22" i="41"/>
  <c r="BU22" i="41"/>
  <c r="BT22" i="41"/>
  <c r="BS22" i="41"/>
  <c r="BR22" i="41"/>
  <c r="BQ22" i="41"/>
  <c r="BP22" i="41"/>
  <c r="BO22" i="41"/>
  <c r="BN22" i="41"/>
  <c r="BM22" i="41"/>
  <c r="BL22" i="41"/>
  <c r="BK22" i="41"/>
  <c r="BJ22" i="41"/>
  <c r="BI22" i="41"/>
  <c r="BH22" i="41"/>
  <c r="BG22" i="41"/>
  <c r="BF22" i="41"/>
  <c r="BE22" i="41"/>
  <c r="BD22" i="41"/>
  <c r="BC22" i="41"/>
  <c r="BB22" i="41"/>
  <c r="BA22" i="41"/>
  <c r="AZ22" i="41"/>
  <c r="AY22" i="41"/>
  <c r="AX22" i="41"/>
  <c r="AW22" i="41"/>
  <c r="AV22" i="41"/>
  <c r="AU22" i="41"/>
  <c r="AT22" i="41"/>
  <c r="AS22" i="41"/>
  <c r="AR22" i="41"/>
  <c r="AQ22" i="41"/>
  <c r="AP22" i="41"/>
  <c r="AO22" i="41"/>
  <c r="AN22" i="41"/>
  <c r="AM22" i="41"/>
  <c r="AL22" i="41"/>
  <c r="AK22" i="41"/>
  <c r="AJ22" i="41"/>
  <c r="AI22" i="41"/>
  <c r="AH22" i="41"/>
  <c r="AG22" i="41"/>
  <c r="AF22" i="41"/>
  <c r="AE22" i="41"/>
  <c r="AD22" i="41"/>
  <c r="AC22" i="41"/>
  <c r="AB22" i="41"/>
  <c r="AA22" i="41"/>
  <c r="Z22" i="41"/>
  <c r="Y22" i="41"/>
  <c r="X22" i="41"/>
  <c r="W22" i="41"/>
  <c r="V22" i="41"/>
  <c r="U22" i="41"/>
  <c r="T22" i="41"/>
  <c r="S22" i="41"/>
  <c r="R22" i="41"/>
  <c r="Q22" i="41"/>
  <c r="P22" i="41"/>
  <c r="O22" i="41"/>
  <c r="N22" i="41"/>
  <c r="M22" i="41"/>
  <c r="L22" i="41"/>
  <c r="K22" i="41"/>
  <c r="J22" i="41"/>
  <c r="I22" i="41"/>
  <c r="H22" i="41"/>
  <c r="G22" i="41"/>
  <c r="F22" i="41"/>
  <c r="DI21" i="41"/>
  <c r="DH21" i="41"/>
  <c r="DG21" i="41"/>
  <c r="DF21" i="41"/>
  <c r="DE21" i="41"/>
  <c r="DD21" i="41"/>
  <c r="DC21" i="41"/>
  <c r="DB21" i="41"/>
  <c r="DA21" i="41"/>
  <c r="CZ21" i="41"/>
  <c r="CY21" i="41"/>
  <c r="CX21" i="41"/>
  <c r="CW21" i="41"/>
  <c r="CV21" i="41"/>
  <c r="CU21" i="41"/>
  <c r="CT21" i="41"/>
  <c r="CS21" i="41"/>
  <c r="CR21" i="41"/>
  <c r="CQ21" i="41"/>
  <c r="CP21" i="41"/>
  <c r="CO21" i="41"/>
  <c r="CN21" i="41"/>
  <c r="CM21" i="41"/>
  <c r="CL21" i="41"/>
  <c r="CK21" i="41"/>
  <c r="CJ21" i="41"/>
  <c r="CI21" i="41"/>
  <c r="CH21" i="41"/>
  <c r="CG21" i="41"/>
  <c r="CF21" i="41"/>
  <c r="CE21" i="41"/>
  <c r="CD21" i="41"/>
  <c r="CC21" i="41"/>
  <c r="CB21" i="41" a="1"/>
  <c r="CB21" i="41" s="1"/>
  <c r="CA21" i="41" a="1"/>
  <c r="CA21" i="41" s="1"/>
  <c r="BZ21" i="41"/>
  <c r="BY21" i="41"/>
  <c r="BX21" i="41"/>
  <c r="BW21" i="41"/>
  <c r="BV21" i="41"/>
  <c r="BU21" i="41"/>
  <c r="BT21" i="41"/>
  <c r="BS21" i="41"/>
  <c r="BR21" i="41"/>
  <c r="BQ21" i="41"/>
  <c r="BP21" i="41"/>
  <c r="BO21" i="41"/>
  <c r="BN21" i="41"/>
  <c r="BM21" i="41"/>
  <c r="BL21" i="41"/>
  <c r="BK21" i="41"/>
  <c r="BJ21" i="41"/>
  <c r="BI21" i="41"/>
  <c r="BH21" i="41"/>
  <c r="BG21" i="41"/>
  <c r="BF21" i="41"/>
  <c r="BE21" i="41"/>
  <c r="BD21" i="41"/>
  <c r="BC21" i="41"/>
  <c r="BB21" i="41"/>
  <c r="BA21" i="41"/>
  <c r="AZ21" i="41"/>
  <c r="AY21" i="41"/>
  <c r="AX21" i="41"/>
  <c r="AW21" i="41"/>
  <c r="AV21" i="41"/>
  <c r="AU21" i="41"/>
  <c r="AT21" i="41"/>
  <c r="AS21" i="41"/>
  <c r="AR21" i="41"/>
  <c r="AQ21" i="41"/>
  <c r="AP21" i="41"/>
  <c r="AO21" i="41"/>
  <c r="AN21" i="41"/>
  <c r="AM21" i="41"/>
  <c r="AL21" i="41"/>
  <c r="AK21" i="41"/>
  <c r="AJ21" i="41"/>
  <c r="AI21" i="41"/>
  <c r="AH21" i="41"/>
  <c r="AG21" i="41"/>
  <c r="AF21" i="41"/>
  <c r="AE21" i="41"/>
  <c r="AD21" i="41"/>
  <c r="AC21" i="41"/>
  <c r="AB21" i="41"/>
  <c r="AA21" i="41"/>
  <c r="Z21" i="41"/>
  <c r="Y21" i="41"/>
  <c r="X21" i="41"/>
  <c r="W21" i="41"/>
  <c r="V21" i="41"/>
  <c r="U21" i="41"/>
  <c r="T21" i="41"/>
  <c r="S21" i="41"/>
  <c r="R21" i="41"/>
  <c r="Q21" i="41"/>
  <c r="P21" i="41"/>
  <c r="O21" i="41"/>
  <c r="N21" i="41"/>
  <c r="M21" i="41"/>
  <c r="L21" i="41"/>
  <c r="K21" i="41"/>
  <c r="J21" i="41"/>
  <c r="I21" i="41"/>
  <c r="H21" i="41"/>
  <c r="G21" i="41"/>
  <c r="F21" i="41"/>
  <c r="DI20" i="41"/>
  <c r="DH20" i="41"/>
  <c r="DG20" i="41"/>
  <c r="DF20" i="41"/>
  <c r="DE20" i="41"/>
  <c r="DD20" i="41"/>
  <c r="DC20" i="41"/>
  <c r="DB20" i="41"/>
  <c r="DA20" i="41"/>
  <c r="CZ20" i="41"/>
  <c r="CY20" i="41"/>
  <c r="CX20" i="41"/>
  <c r="CW20" i="41"/>
  <c r="CV20" i="41"/>
  <c r="CU20" i="41"/>
  <c r="CT20" i="41"/>
  <c r="CS20" i="41"/>
  <c r="CR20" i="41"/>
  <c r="CQ20" i="41"/>
  <c r="CP20" i="41"/>
  <c r="CO20" i="41"/>
  <c r="CN20" i="41"/>
  <c r="CM20" i="41"/>
  <c r="CL20" i="41"/>
  <c r="CK20" i="41"/>
  <c r="CJ20" i="41"/>
  <c r="CI20" i="41"/>
  <c r="CH20" i="41"/>
  <c r="CG20" i="41"/>
  <c r="CF20" i="41"/>
  <c r="CE20" i="41"/>
  <c r="CD20" i="41"/>
  <c r="CC20" i="41"/>
  <c r="CB20" i="41" a="1"/>
  <c r="CB20" i="41" s="1"/>
  <c r="CA20" i="41" a="1"/>
  <c r="CA20" i="41" s="1"/>
  <c r="BZ20" i="41"/>
  <c r="BY20" i="41"/>
  <c r="BX20" i="41"/>
  <c r="BW20" i="41"/>
  <c r="BV20" i="41"/>
  <c r="BU20" i="41"/>
  <c r="BT20" i="41"/>
  <c r="BS20" i="41"/>
  <c r="BR20" i="41"/>
  <c r="BQ20" i="41"/>
  <c r="BP20" i="41"/>
  <c r="BO20" i="41"/>
  <c r="BN20" i="41"/>
  <c r="BM20" i="41"/>
  <c r="BL20" i="41"/>
  <c r="BK20" i="41"/>
  <c r="BJ20" i="41"/>
  <c r="BI20" i="41"/>
  <c r="BH20" i="41"/>
  <c r="BG20" i="41"/>
  <c r="BF20" i="41"/>
  <c r="BE20" i="41"/>
  <c r="BD20" i="41"/>
  <c r="BC20" i="41"/>
  <c r="BB20" i="41"/>
  <c r="BA20" i="41"/>
  <c r="AZ20" i="41"/>
  <c r="AY20" i="41"/>
  <c r="AX20" i="41"/>
  <c r="AW20" i="41"/>
  <c r="AV20" i="41"/>
  <c r="AU20" i="41"/>
  <c r="AT20" i="41"/>
  <c r="AS20" i="41"/>
  <c r="AR20" i="41"/>
  <c r="AQ20" i="41"/>
  <c r="AP20" i="41"/>
  <c r="AO20" i="41"/>
  <c r="AN20" i="41"/>
  <c r="AM20" i="41"/>
  <c r="AL20" i="41"/>
  <c r="AK20" i="41"/>
  <c r="AJ20" i="41"/>
  <c r="AI20" i="41"/>
  <c r="AH20" i="41"/>
  <c r="AG20" i="41"/>
  <c r="AF20" i="41"/>
  <c r="AE20" i="41"/>
  <c r="AD20" i="41"/>
  <c r="AC20" i="41"/>
  <c r="AB20" i="41"/>
  <c r="AA20" i="41"/>
  <c r="Z20" i="41"/>
  <c r="Y20" i="41"/>
  <c r="X20" i="41"/>
  <c r="W20" i="41"/>
  <c r="V20" i="41"/>
  <c r="U20" i="41"/>
  <c r="T20" i="41"/>
  <c r="S20" i="41"/>
  <c r="R20" i="41"/>
  <c r="Q20" i="41"/>
  <c r="P20" i="41"/>
  <c r="O20" i="41"/>
  <c r="N20" i="41"/>
  <c r="M20" i="41"/>
  <c r="L20" i="41"/>
  <c r="K20" i="41"/>
  <c r="J20" i="41"/>
  <c r="I20" i="41"/>
  <c r="H20" i="41"/>
  <c r="G20" i="41"/>
  <c r="F20" i="41"/>
  <c r="DI19" i="41"/>
  <c r="DH19" i="41"/>
  <c r="DG19" i="41"/>
  <c r="DF19" i="41"/>
  <c r="DE19" i="41"/>
  <c r="DD19" i="41"/>
  <c r="DC19" i="41"/>
  <c r="DB19" i="41"/>
  <c r="DA19" i="41"/>
  <c r="CZ19" i="41"/>
  <c r="CY19" i="41"/>
  <c r="CX19" i="41"/>
  <c r="CW19" i="41"/>
  <c r="CV19" i="41"/>
  <c r="CU19" i="41"/>
  <c r="CT19" i="41"/>
  <c r="CS19" i="41"/>
  <c r="CR19" i="41"/>
  <c r="CQ19" i="41"/>
  <c r="CP19" i="41"/>
  <c r="CO19" i="41"/>
  <c r="CN19" i="41"/>
  <c r="CM19" i="41"/>
  <c r="CL19" i="41"/>
  <c r="CK19" i="41"/>
  <c r="CJ19" i="41"/>
  <c r="CI19" i="41"/>
  <c r="CH19" i="41"/>
  <c r="CG19" i="41"/>
  <c r="CF19" i="41"/>
  <c r="CE19" i="41"/>
  <c r="CD19" i="41"/>
  <c r="CC19" i="41"/>
  <c r="CB19" i="41" a="1"/>
  <c r="CB19" i="41" s="1"/>
  <c r="CA19" i="41" a="1"/>
  <c r="CA19" i="41" s="1"/>
  <c r="BZ19" i="41"/>
  <c r="BY19" i="41"/>
  <c r="BX19" i="41"/>
  <c r="BW19" i="41"/>
  <c r="BV19" i="41"/>
  <c r="BU19" i="41"/>
  <c r="BT19" i="41"/>
  <c r="BS19" i="41"/>
  <c r="BR19" i="41"/>
  <c r="BQ19" i="41"/>
  <c r="BP19" i="41"/>
  <c r="BO19" i="41"/>
  <c r="BN19" i="41"/>
  <c r="BM19" i="41"/>
  <c r="BL19" i="41"/>
  <c r="BK19" i="41"/>
  <c r="BJ19" i="41"/>
  <c r="BI19" i="41"/>
  <c r="BH19" i="41"/>
  <c r="BG19" i="41"/>
  <c r="BF19" i="41"/>
  <c r="BE19" i="41"/>
  <c r="BD19" i="41"/>
  <c r="BC19" i="41"/>
  <c r="BB19" i="41"/>
  <c r="BA19" i="41"/>
  <c r="AZ19" i="41"/>
  <c r="AY19" i="41"/>
  <c r="AX19" i="41"/>
  <c r="AW19" i="41"/>
  <c r="AV19" i="41"/>
  <c r="AU19" i="41"/>
  <c r="AT19" i="41"/>
  <c r="AS19" i="41"/>
  <c r="AR19" i="41"/>
  <c r="AQ19" i="41"/>
  <c r="AP19" i="41"/>
  <c r="AO19" i="41"/>
  <c r="AN19" i="41"/>
  <c r="AM19" i="41"/>
  <c r="AL19" i="41"/>
  <c r="AK19" i="41"/>
  <c r="AJ19" i="41"/>
  <c r="AI19" i="41"/>
  <c r="AH19" i="41"/>
  <c r="AG19" i="41"/>
  <c r="AF19" i="41"/>
  <c r="AE19" i="41"/>
  <c r="AD19" i="41"/>
  <c r="AC19" i="41"/>
  <c r="AB19" i="41"/>
  <c r="AA19" i="41"/>
  <c r="Z19" i="41"/>
  <c r="Y19" i="41"/>
  <c r="X19" i="41"/>
  <c r="W19" i="41"/>
  <c r="V19" i="41"/>
  <c r="U19" i="41"/>
  <c r="T19" i="41"/>
  <c r="S19" i="41"/>
  <c r="R19" i="41"/>
  <c r="Q19" i="41"/>
  <c r="P19" i="41"/>
  <c r="O19" i="41"/>
  <c r="N19" i="41"/>
  <c r="M19" i="41"/>
  <c r="L19" i="41"/>
  <c r="K19" i="41"/>
  <c r="J19" i="41"/>
  <c r="I19" i="41"/>
  <c r="H19" i="41"/>
  <c r="G19" i="41"/>
  <c r="F19" i="41"/>
  <c r="DI18" i="41"/>
  <c r="DH18" i="41"/>
  <c r="DG18" i="41"/>
  <c r="DF18" i="41"/>
  <c r="DE18" i="41"/>
  <c r="DD18" i="41"/>
  <c r="DC18" i="41"/>
  <c r="DB18" i="41"/>
  <c r="DA18" i="41"/>
  <c r="CZ18" i="41"/>
  <c r="CY18" i="41"/>
  <c r="CX18" i="41"/>
  <c r="CW18" i="41"/>
  <c r="CV18" i="41"/>
  <c r="CU18" i="41"/>
  <c r="CT18" i="41"/>
  <c r="CS18" i="41"/>
  <c r="CR18" i="41"/>
  <c r="CQ18" i="41"/>
  <c r="CP18" i="41"/>
  <c r="CO18" i="41"/>
  <c r="CN18" i="41"/>
  <c r="CM18" i="41"/>
  <c r="CL18" i="41"/>
  <c r="CK18" i="41"/>
  <c r="CJ18" i="41"/>
  <c r="CI18" i="41"/>
  <c r="CH18" i="41"/>
  <c r="CG18" i="41"/>
  <c r="CF18" i="41"/>
  <c r="CE18" i="41"/>
  <c r="CD18" i="41"/>
  <c r="CC18" i="41"/>
  <c r="CB18" i="41" a="1"/>
  <c r="CB18" i="41" s="1"/>
  <c r="CA18" i="41" a="1"/>
  <c r="CA18" i="41" s="1"/>
  <c r="BZ18" i="41"/>
  <c r="BY18" i="41"/>
  <c r="BX18" i="41"/>
  <c r="BW18" i="41"/>
  <c r="BV18" i="41"/>
  <c r="BU18" i="41"/>
  <c r="BT18" i="41"/>
  <c r="BS18" i="41"/>
  <c r="BR18" i="41"/>
  <c r="BQ18" i="41"/>
  <c r="BP18" i="41"/>
  <c r="BO18" i="41"/>
  <c r="BN18" i="41"/>
  <c r="BM18" i="41"/>
  <c r="BL18" i="41"/>
  <c r="BK18" i="41"/>
  <c r="BJ18" i="41"/>
  <c r="BI18" i="41"/>
  <c r="BH18" i="41"/>
  <c r="BG18" i="41"/>
  <c r="BF18" i="41"/>
  <c r="BE18" i="41"/>
  <c r="BD18" i="41"/>
  <c r="BC18" i="41"/>
  <c r="BB18" i="41"/>
  <c r="BA18" i="41"/>
  <c r="AZ18" i="41"/>
  <c r="AY18" i="41"/>
  <c r="AX18" i="41"/>
  <c r="AW18" i="41"/>
  <c r="AV18" i="41"/>
  <c r="AU18" i="41"/>
  <c r="AT18" i="41"/>
  <c r="AS18" i="41"/>
  <c r="AR18" i="41"/>
  <c r="AQ18" i="41"/>
  <c r="AP18" i="41"/>
  <c r="AO18" i="41"/>
  <c r="AN18" i="41"/>
  <c r="AM18" i="41"/>
  <c r="AL18" i="41"/>
  <c r="AK18" i="41"/>
  <c r="AJ18" i="41"/>
  <c r="AI18" i="41"/>
  <c r="AH18" i="41"/>
  <c r="AG18" i="41"/>
  <c r="AF18" i="41"/>
  <c r="AE18" i="41"/>
  <c r="AD18" i="41"/>
  <c r="AC18" i="41"/>
  <c r="AB18" i="41"/>
  <c r="AA18" i="41"/>
  <c r="Z18" i="41"/>
  <c r="Y18" i="41"/>
  <c r="X18" i="41"/>
  <c r="W18" i="41"/>
  <c r="V18" i="41"/>
  <c r="U18" i="41"/>
  <c r="T18" i="41"/>
  <c r="S18" i="41"/>
  <c r="R18" i="41"/>
  <c r="Q18" i="41"/>
  <c r="P18" i="41"/>
  <c r="O18" i="41"/>
  <c r="N18" i="41"/>
  <c r="M18" i="41"/>
  <c r="L18" i="41"/>
  <c r="K18" i="41"/>
  <c r="J18" i="41"/>
  <c r="I18" i="41"/>
  <c r="H18" i="41"/>
  <c r="G18" i="41"/>
  <c r="F18" i="41"/>
  <c r="DI17" i="41"/>
  <c r="DH17" i="41"/>
  <c r="DG17" i="41"/>
  <c r="DF17" i="41"/>
  <c r="DE17" i="41"/>
  <c r="DD17" i="41"/>
  <c r="DC17" i="41"/>
  <c r="DB17" i="41"/>
  <c r="DA17" i="41"/>
  <c r="CZ17" i="41"/>
  <c r="CY17" i="41"/>
  <c r="CX17" i="41"/>
  <c r="CW17" i="41"/>
  <c r="CV17" i="41"/>
  <c r="CU17" i="41"/>
  <c r="CT17" i="41"/>
  <c r="CS17" i="41"/>
  <c r="CR17" i="41"/>
  <c r="CQ17" i="41"/>
  <c r="CP17" i="41"/>
  <c r="CO17" i="41"/>
  <c r="CN17" i="41"/>
  <c r="CM17" i="41"/>
  <c r="CL17" i="41"/>
  <c r="CK17" i="41"/>
  <c r="CJ17" i="41"/>
  <c r="CI17" i="41"/>
  <c r="CH17" i="41"/>
  <c r="CG17" i="41"/>
  <c r="CF17" i="41"/>
  <c r="CE17" i="41"/>
  <c r="CD17" i="41"/>
  <c r="CC17" i="41"/>
  <c r="CB17" i="41" a="1"/>
  <c r="CB17" i="41" s="1"/>
  <c r="CA17" i="41" a="1"/>
  <c r="CA17" i="41" s="1"/>
  <c r="BZ17" i="41"/>
  <c r="BY17" i="41"/>
  <c r="BX17" i="41"/>
  <c r="BW17" i="41"/>
  <c r="BV17" i="41"/>
  <c r="BU17" i="41"/>
  <c r="BT17" i="41"/>
  <c r="BS17" i="41"/>
  <c r="BR17" i="41"/>
  <c r="BQ17" i="41"/>
  <c r="BP17" i="41"/>
  <c r="BO17" i="41"/>
  <c r="BN17" i="41"/>
  <c r="BM17" i="41"/>
  <c r="BL17" i="41"/>
  <c r="BK17" i="41"/>
  <c r="BJ17" i="41"/>
  <c r="BI17" i="41"/>
  <c r="BH17" i="41"/>
  <c r="BG17" i="41"/>
  <c r="BF17" i="41"/>
  <c r="BE17" i="41"/>
  <c r="BD17" i="41"/>
  <c r="BC17" i="41"/>
  <c r="BB17" i="41"/>
  <c r="BA17" i="41"/>
  <c r="AZ17" i="41"/>
  <c r="AY17" i="41"/>
  <c r="AX17" i="41"/>
  <c r="AW17" i="41"/>
  <c r="AV17" i="41"/>
  <c r="AU17" i="41"/>
  <c r="AT17" i="41"/>
  <c r="AS17" i="41"/>
  <c r="AR17" i="41"/>
  <c r="AQ17" i="41"/>
  <c r="AP17" i="41"/>
  <c r="AO17" i="41"/>
  <c r="AN17" i="41"/>
  <c r="AM17" i="41"/>
  <c r="AL17" i="41"/>
  <c r="AK17" i="41"/>
  <c r="AJ17" i="41"/>
  <c r="AI17" i="41"/>
  <c r="AH17" i="41"/>
  <c r="AG17" i="41"/>
  <c r="AF17" i="41"/>
  <c r="AE17" i="41"/>
  <c r="AD17" i="41"/>
  <c r="AC17" i="41"/>
  <c r="AB17" i="41"/>
  <c r="AA17" i="41"/>
  <c r="Z17" i="41"/>
  <c r="Y17" i="41"/>
  <c r="X17" i="41"/>
  <c r="W17" i="41"/>
  <c r="V17" i="41"/>
  <c r="U17" i="41"/>
  <c r="T17" i="41"/>
  <c r="S17" i="41"/>
  <c r="R17" i="41"/>
  <c r="Q17" i="41"/>
  <c r="P17" i="41"/>
  <c r="O17" i="41"/>
  <c r="N17" i="41"/>
  <c r="M17" i="41"/>
  <c r="L17" i="41"/>
  <c r="K17" i="41"/>
  <c r="J17" i="41"/>
  <c r="I17" i="41"/>
  <c r="H17" i="41"/>
  <c r="G17" i="41"/>
  <c r="F17" i="41"/>
  <c r="DI16" i="41"/>
  <c r="DH16" i="41"/>
  <c r="DG16" i="41"/>
  <c r="DF16" i="41"/>
  <c r="DE16" i="41"/>
  <c r="DD16" i="41"/>
  <c r="DC16" i="41"/>
  <c r="DB16" i="41"/>
  <c r="DA16" i="41"/>
  <c r="CZ16" i="41"/>
  <c r="CY16" i="41"/>
  <c r="CX16" i="41"/>
  <c r="CW16" i="41"/>
  <c r="CV16" i="41"/>
  <c r="CU16" i="41"/>
  <c r="CT16" i="41"/>
  <c r="CS16" i="41"/>
  <c r="CR16" i="41"/>
  <c r="CQ16" i="41"/>
  <c r="CP16" i="41"/>
  <c r="CO16" i="41"/>
  <c r="CN16" i="41"/>
  <c r="CM16" i="41"/>
  <c r="CL16" i="41"/>
  <c r="CK16" i="41"/>
  <c r="CJ16" i="41"/>
  <c r="CI16" i="41"/>
  <c r="CH16" i="41"/>
  <c r="CG16" i="41"/>
  <c r="CF16" i="41"/>
  <c r="CE16" i="41"/>
  <c r="CD16" i="41"/>
  <c r="CC16" i="41"/>
  <c r="CB16" i="41" a="1"/>
  <c r="CB16" i="41" s="1"/>
  <c r="CA16" i="41" a="1"/>
  <c r="CA16" i="41" s="1"/>
  <c r="BZ16" i="41"/>
  <c r="BY16" i="41"/>
  <c r="BX16" i="41"/>
  <c r="BW16" i="41"/>
  <c r="BV16" i="41"/>
  <c r="BU16" i="41"/>
  <c r="BT16" i="41"/>
  <c r="BS16" i="41"/>
  <c r="BR16" i="41"/>
  <c r="BQ16" i="41"/>
  <c r="BP16" i="41"/>
  <c r="BO16" i="41"/>
  <c r="BN16" i="41"/>
  <c r="BM16" i="41"/>
  <c r="BL16" i="41"/>
  <c r="BK16" i="41"/>
  <c r="BJ16" i="41"/>
  <c r="BI16" i="41"/>
  <c r="BH16" i="41"/>
  <c r="BG16" i="41"/>
  <c r="BF16" i="41"/>
  <c r="BE16" i="41"/>
  <c r="BD16" i="41"/>
  <c r="BC16" i="41"/>
  <c r="BB16" i="41"/>
  <c r="BA16" i="41"/>
  <c r="AZ16" i="41"/>
  <c r="AY16" i="41"/>
  <c r="AX16" i="41"/>
  <c r="AW16" i="41"/>
  <c r="AV16" i="41"/>
  <c r="AU16" i="41"/>
  <c r="AT16" i="41"/>
  <c r="AS16" i="41"/>
  <c r="AR16" i="41"/>
  <c r="AQ16" i="41"/>
  <c r="AP16" i="41"/>
  <c r="AO16" i="41"/>
  <c r="AN16" i="41"/>
  <c r="AM16" i="41"/>
  <c r="AL16" i="41"/>
  <c r="AK16" i="41"/>
  <c r="AJ16" i="41"/>
  <c r="AI16" i="41"/>
  <c r="AH16" i="41"/>
  <c r="AG16" i="41"/>
  <c r="AF16" i="41"/>
  <c r="AE16" i="41"/>
  <c r="AD16" i="41"/>
  <c r="AC16" i="41"/>
  <c r="AB16" i="41"/>
  <c r="AA16" i="41"/>
  <c r="Z16" i="41"/>
  <c r="Y16" i="41"/>
  <c r="X16" i="41"/>
  <c r="W16" i="41"/>
  <c r="V16" i="41"/>
  <c r="U16" i="41"/>
  <c r="T16" i="41"/>
  <c r="S16" i="41"/>
  <c r="R16" i="41"/>
  <c r="Q16" i="41"/>
  <c r="P16" i="41"/>
  <c r="O16" i="41"/>
  <c r="N16" i="41"/>
  <c r="M16" i="41"/>
  <c r="L16" i="41"/>
  <c r="K16" i="41"/>
  <c r="J16" i="41"/>
  <c r="I16" i="41"/>
  <c r="H16" i="41"/>
  <c r="G16" i="41"/>
  <c r="F16" i="41"/>
  <c r="DI15" i="41"/>
  <c r="DH15" i="41"/>
  <c r="DG15" i="41"/>
  <c r="DF15" i="41"/>
  <c r="DE15" i="41"/>
  <c r="DD15" i="41"/>
  <c r="DC15" i="41"/>
  <c r="DB15" i="41"/>
  <c r="DA15" i="41"/>
  <c r="CZ15" i="41"/>
  <c r="CY15" i="41"/>
  <c r="CX15" i="41"/>
  <c r="CW15" i="41"/>
  <c r="CV15" i="41"/>
  <c r="CU15" i="41"/>
  <c r="CT15" i="41"/>
  <c r="CS15" i="41"/>
  <c r="CR15" i="41"/>
  <c r="CQ15" i="41"/>
  <c r="CP15" i="41"/>
  <c r="CO15" i="41"/>
  <c r="CN15" i="41"/>
  <c r="CM15" i="41"/>
  <c r="CL15" i="41"/>
  <c r="CK15" i="41"/>
  <c r="CJ15" i="41"/>
  <c r="CI15" i="41"/>
  <c r="CH15" i="41"/>
  <c r="CG15" i="41"/>
  <c r="CF15" i="41"/>
  <c r="CE15" i="41"/>
  <c r="CD15" i="41"/>
  <c r="CC15" i="41"/>
  <c r="CB15" i="41" a="1"/>
  <c r="CB15" i="41" s="1"/>
  <c r="CA15" i="41" a="1"/>
  <c r="CA15" i="41" s="1"/>
  <c r="BZ15" i="41"/>
  <c r="BY15" i="41"/>
  <c r="BX15" i="41"/>
  <c r="BW15" i="41"/>
  <c r="BV15" i="41"/>
  <c r="BU15" i="41"/>
  <c r="BT15" i="41"/>
  <c r="BS15" i="41"/>
  <c r="BR15" i="41"/>
  <c r="BQ15" i="41"/>
  <c r="BP15" i="41"/>
  <c r="BO15" i="41"/>
  <c r="BN15" i="41"/>
  <c r="BM15" i="41"/>
  <c r="BL15" i="41"/>
  <c r="BK15" i="41"/>
  <c r="BJ15" i="41"/>
  <c r="BI15" i="41"/>
  <c r="BH15" i="41"/>
  <c r="BG15" i="41"/>
  <c r="BF15" i="41"/>
  <c r="BE15" i="41"/>
  <c r="BD15" i="41"/>
  <c r="BC15" i="41"/>
  <c r="BB15" i="41"/>
  <c r="BA15" i="41"/>
  <c r="AZ15" i="41"/>
  <c r="AY15" i="41"/>
  <c r="AX15" i="41"/>
  <c r="AW15" i="41"/>
  <c r="AV15" i="41"/>
  <c r="AU15" i="41"/>
  <c r="AT15" i="41"/>
  <c r="AS15" i="41"/>
  <c r="AR15" i="41"/>
  <c r="AQ15" i="41"/>
  <c r="AP15" i="41"/>
  <c r="AO15" i="41"/>
  <c r="AN15" i="41"/>
  <c r="AM15" i="41"/>
  <c r="AL15" i="41"/>
  <c r="AK15" i="41"/>
  <c r="AJ15" i="41"/>
  <c r="AI15" i="41"/>
  <c r="AH15" i="41"/>
  <c r="AG15" i="41"/>
  <c r="AF15" i="41"/>
  <c r="AE15" i="41"/>
  <c r="AD15" i="41"/>
  <c r="AC15" i="41"/>
  <c r="AB15" i="41"/>
  <c r="AA15" i="41"/>
  <c r="Z15" i="41"/>
  <c r="Y15" i="41"/>
  <c r="X15" i="41"/>
  <c r="W15" i="41"/>
  <c r="V15" i="41"/>
  <c r="U15" i="41"/>
  <c r="T15" i="41"/>
  <c r="S15" i="41"/>
  <c r="R15" i="41"/>
  <c r="Q15" i="41"/>
  <c r="P15" i="41"/>
  <c r="O15" i="41"/>
  <c r="N15" i="41"/>
  <c r="M15" i="41"/>
  <c r="L15" i="41"/>
  <c r="K15" i="41"/>
  <c r="J15" i="41"/>
  <c r="I15" i="41"/>
  <c r="H15" i="41"/>
  <c r="G15" i="41"/>
  <c r="F15" i="41"/>
  <c r="DI14" i="41"/>
  <c r="DH14" i="41"/>
  <c r="DG14" i="41"/>
  <c r="DF14" i="41"/>
  <c r="DE14" i="41"/>
  <c r="DD14" i="41"/>
  <c r="DC14" i="41"/>
  <c r="DB14" i="41"/>
  <c r="DA14" i="41"/>
  <c r="CZ14" i="41"/>
  <c r="CY14" i="41"/>
  <c r="CX14" i="41"/>
  <c r="CW14" i="41"/>
  <c r="CV14" i="41"/>
  <c r="CU14" i="41"/>
  <c r="CT14" i="41"/>
  <c r="CS14" i="41"/>
  <c r="CR14" i="41"/>
  <c r="CQ14" i="41"/>
  <c r="CP14" i="41"/>
  <c r="CO14" i="41"/>
  <c r="CN14" i="41"/>
  <c r="CM14" i="41"/>
  <c r="CL14" i="41"/>
  <c r="CK14" i="41"/>
  <c r="CJ14" i="41"/>
  <c r="CI14" i="41"/>
  <c r="CH14" i="41"/>
  <c r="CG14" i="41"/>
  <c r="CF14" i="41"/>
  <c r="CE14" i="41"/>
  <c r="CD14" i="41"/>
  <c r="CC14" i="41"/>
  <c r="CB14" i="41" a="1"/>
  <c r="CB14" i="41" s="1"/>
  <c r="CA14" i="41" a="1"/>
  <c r="CA14" i="41" s="1"/>
  <c r="BZ14" i="41"/>
  <c r="BY14" i="41"/>
  <c r="BX14" i="41"/>
  <c r="BW14" i="41"/>
  <c r="BV14" i="41"/>
  <c r="BU14" i="41"/>
  <c r="BT14" i="41"/>
  <c r="BS14" i="41"/>
  <c r="BR14" i="41"/>
  <c r="BQ14" i="41"/>
  <c r="BP14" i="41"/>
  <c r="BO14" i="41"/>
  <c r="BN14" i="41"/>
  <c r="BM14" i="41"/>
  <c r="BL14" i="41"/>
  <c r="BK14" i="41"/>
  <c r="BJ14" i="41"/>
  <c r="BI14" i="41"/>
  <c r="BH14" i="41"/>
  <c r="BG14" i="41"/>
  <c r="BF14" i="41"/>
  <c r="BE14" i="41"/>
  <c r="BD14" i="41"/>
  <c r="BC14" i="41"/>
  <c r="BB14" i="41"/>
  <c r="BA14" i="41"/>
  <c r="AZ14" i="41"/>
  <c r="AY14" i="41"/>
  <c r="AX14" i="41"/>
  <c r="AW14" i="41"/>
  <c r="AV14" i="41"/>
  <c r="AU14" i="41"/>
  <c r="AT14" i="41"/>
  <c r="AS14" i="41"/>
  <c r="AR14" i="41"/>
  <c r="AQ14" i="41"/>
  <c r="AP14" i="41"/>
  <c r="AO14" i="41"/>
  <c r="AN14" i="41"/>
  <c r="AM14" i="41"/>
  <c r="AL14" i="41"/>
  <c r="AK14" i="41"/>
  <c r="AJ14" i="41"/>
  <c r="AI14" i="41"/>
  <c r="AH14" i="41"/>
  <c r="AG14" i="41"/>
  <c r="AF14" i="41"/>
  <c r="AE14" i="41"/>
  <c r="AD14" i="41"/>
  <c r="AC14" i="41"/>
  <c r="AB14" i="41"/>
  <c r="AA14" i="41"/>
  <c r="Z14" i="41"/>
  <c r="Y14" i="41"/>
  <c r="X14" i="41"/>
  <c r="W14" i="41"/>
  <c r="V14" i="41"/>
  <c r="U14" i="41"/>
  <c r="T14" i="41"/>
  <c r="S14" i="41"/>
  <c r="R14" i="41"/>
  <c r="Q14" i="41"/>
  <c r="P14" i="41"/>
  <c r="O14" i="41"/>
  <c r="N14" i="41"/>
  <c r="M14" i="41"/>
  <c r="L14" i="41"/>
  <c r="K14" i="41"/>
  <c r="J14" i="41"/>
  <c r="I14" i="41"/>
  <c r="H14" i="41"/>
  <c r="G14" i="41"/>
  <c r="F14" i="41"/>
  <c r="DI13" i="41"/>
  <c r="DH13" i="41"/>
  <c r="DG13" i="41"/>
  <c r="DF13" i="41"/>
  <c r="DE13" i="41"/>
  <c r="DD13" i="41"/>
  <c r="DC13" i="41"/>
  <c r="DB13" i="41"/>
  <c r="DA13" i="41"/>
  <c r="CZ13" i="41"/>
  <c r="CY13" i="41"/>
  <c r="CX13" i="41"/>
  <c r="CW13" i="41"/>
  <c r="CV13" i="41"/>
  <c r="CU13" i="41"/>
  <c r="CT13" i="41"/>
  <c r="CS13" i="41"/>
  <c r="CR13" i="41"/>
  <c r="CQ13" i="41"/>
  <c r="CP13" i="41"/>
  <c r="CO13" i="41"/>
  <c r="CN13" i="41"/>
  <c r="CM13" i="41"/>
  <c r="CL13" i="41"/>
  <c r="CK13" i="41"/>
  <c r="CJ13" i="41"/>
  <c r="CI13" i="41"/>
  <c r="CH13" i="41"/>
  <c r="CG13" i="41"/>
  <c r="CF13" i="41"/>
  <c r="CE13" i="41"/>
  <c r="CD13" i="41"/>
  <c r="CC13" i="41"/>
  <c r="CB13" i="41" a="1"/>
  <c r="CB13" i="41" s="1"/>
  <c r="CA13" i="41" a="1"/>
  <c r="CA13" i="41" s="1"/>
  <c r="BZ13" i="41"/>
  <c r="BY13" i="41"/>
  <c r="BX13" i="41"/>
  <c r="BW13" i="41"/>
  <c r="BV13" i="41"/>
  <c r="BU13" i="41"/>
  <c r="BT13" i="41"/>
  <c r="BS13" i="41"/>
  <c r="BR13" i="41"/>
  <c r="BQ13" i="41"/>
  <c r="BP13" i="41"/>
  <c r="BO13" i="41"/>
  <c r="BN13" i="41"/>
  <c r="BM13" i="41"/>
  <c r="BL13" i="41"/>
  <c r="BK13" i="41"/>
  <c r="BJ13" i="41"/>
  <c r="BI13" i="41"/>
  <c r="BH13" i="41"/>
  <c r="BG13" i="41"/>
  <c r="BF13" i="41"/>
  <c r="BE13" i="41"/>
  <c r="BD13" i="41"/>
  <c r="BC13" i="41"/>
  <c r="BB13" i="41"/>
  <c r="BA13" i="41"/>
  <c r="AZ13" i="41"/>
  <c r="AY13" i="41"/>
  <c r="AX13" i="41"/>
  <c r="AW13" i="41"/>
  <c r="AV13" i="41"/>
  <c r="AU13" i="41"/>
  <c r="AT13" i="41"/>
  <c r="AS13" i="41"/>
  <c r="AR13" i="41"/>
  <c r="AQ13" i="41"/>
  <c r="AP13" i="41"/>
  <c r="AO13" i="41"/>
  <c r="AN13" i="41"/>
  <c r="AM13" i="41"/>
  <c r="AL13" i="41"/>
  <c r="AK13" i="41"/>
  <c r="AJ13" i="41"/>
  <c r="AI13" i="41"/>
  <c r="AH13" i="41"/>
  <c r="AG13" i="41"/>
  <c r="AF13" i="41"/>
  <c r="AE13" i="41"/>
  <c r="AD13" i="41"/>
  <c r="AC13" i="41"/>
  <c r="AB13" i="41"/>
  <c r="AA13" i="41"/>
  <c r="Z13" i="41"/>
  <c r="Y13" i="41"/>
  <c r="X13" i="41"/>
  <c r="W13" i="41"/>
  <c r="V13" i="41"/>
  <c r="U13" i="41"/>
  <c r="T13" i="41"/>
  <c r="S13" i="41"/>
  <c r="R13" i="41"/>
  <c r="Q13" i="41"/>
  <c r="P13" i="41"/>
  <c r="O13" i="41"/>
  <c r="N13" i="41"/>
  <c r="M13" i="41"/>
  <c r="L13" i="41"/>
  <c r="K13" i="41"/>
  <c r="J13" i="41"/>
  <c r="I13" i="41"/>
  <c r="H13" i="41"/>
  <c r="G13" i="41"/>
  <c r="F13" i="41"/>
  <c r="DI12" i="41"/>
  <c r="DH12" i="41"/>
  <c r="DG12" i="41"/>
  <c r="DF12" i="41"/>
  <c r="DE12" i="41"/>
  <c r="DD12" i="41"/>
  <c r="DC12" i="41"/>
  <c r="DB12" i="41"/>
  <c r="DA12" i="41"/>
  <c r="CZ12" i="41"/>
  <c r="CY12" i="41"/>
  <c r="CX12" i="41"/>
  <c r="CW12" i="41"/>
  <c r="CV12" i="41"/>
  <c r="CU12" i="41"/>
  <c r="CT12" i="41"/>
  <c r="CS12" i="41"/>
  <c r="CR12" i="41"/>
  <c r="CQ12" i="41"/>
  <c r="CP12" i="41"/>
  <c r="CO12" i="41"/>
  <c r="CN12" i="41"/>
  <c r="CM12" i="41"/>
  <c r="CL12" i="41"/>
  <c r="CK12" i="41"/>
  <c r="CJ12" i="41"/>
  <c r="CI12" i="41"/>
  <c r="CH12" i="41"/>
  <c r="CG12" i="41"/>
  <c r="CF12" i="41"/>
  <c r="CE12" i="41"/>
  <c r="CD12" i="41"/>
  <c r="CC12" i="41"/>
  <c r="CB12" i="41" a="1"/>
  <c r="CB12" i="41" s="1"/>
  <c r="CA12" i="41" a="1"/>
  <c r="CA12" i="41" s="1"/>
  <c r="BZ12" i="41"/>
  <c r="BY12" i="41"/>
  <c r="BX12" i="41"/>
  <c r="BW12" i="41"/>
  <c r="BV12" i="41"/>
  <c r="BU12" i="41"/>
  <c r="BT12" i="41"/>
  <c r="BS12" i="41"/>
  <c r="BR12" i="41"/>
  <c r="BQ12" i="41"/>
  <c r="BP12" i="41"/>
  <c r="BO12" i="41"/>
  <c r="BN12" i="41"/>
  <c r="BM12" i="41"/>
  <c r="BL12" i="41"/>
  <c r="BK12" i="41"/>
  <c r="BJ12" i="41"/>
  <c r="BI12" i="41"/>
  <c r="BH12" i="41"/>
  <c r="BG12" i="41"/>
  <c r="BF12" i="41"/>
  <c r="BE12" i="41"/>
  <c r="BD12" i="41"/>
  <c r="BC12" i="41"/>
  <c r="BB12" i="41"/>
  <c r="BA12" i="41"/>
  <c r="AZ12" i="41"/>
  <c r="AY12" i="41"/>
  <c r="AX12" i="41"/>
  <c r="AW12" i="41"/>
  <c r="AV12" i="41"/>
  <c r="AU12" i="41"/>
  <c r="AT12" i="41"/>
  <c r="AS12" i="41"/>
  <c r="AR12" i="41"/>
  <c r="AQ12" i="41"/>
  <c r="AP12" i="41"/>
  <c r="AO12" i="41"/>
  <c r="AN12" i="41"/>
  <c r="AM12" i="41"/>
  <c r="AL12" i="41"/>
  <c r="AK12" i="41"/>
  <c r="AJ12" i="41"/>
  <c r="AI12" i="41"/>
  <c r="AH12" i="41"/>
  <c r="AG12" i="41"/>
  <c r="AF12" i="41"/>
  <c r="AE12" i="41"/>
  <c r="AD12" i="41"/>
  <c r="AC12" i="41"/>
  <c r="AB12" i="41"/>
  <c r="AA12" i="41"/>
  <c r="Z12" i="41"/>
  <c r="Y12" i="41"/>
  <c r="X12" i="41"/>
  <c r="W12" i="41"/>
  <c r="V12" i="41"/>
  <c r="U12" i="41"/>
  <c r="T12" i="41"/>
  <c r="S12" i="41"/>
  <c r="R12" i="41"/>
  <c r="Q12" i="41"/>
  <c r="P12" i="41"/>
  <c r="O12" i="41"/>
  <c r="N12" i="41"/>
  <c r="M12" i="41"/>
  <c r="L12" i="41"/>
  <c r="K12" i="41"/>
  <c r="J12" i="41"/>
  <c r="I12" i="41"/>
  <c r="H12" i="41"/>
  <c r="G12" i="41"/>
  <c r="F12" i="41"/>
  <c r="DI11" i="41"/>
  <c r="DH11" i="41"/>
  <c r="DG11" i="41"/>
  <c r="DF11" i="41"/>
  <c r="DE11" i="41"/>
  <c r="DD11" i="41"/>
  <c r="DC11" i="41"/>
  <c r="DB11" i="41"/>
  <c r="DA11" i="41"/>
  <c r="CZ11" i="41"/>
  <c r="CY11" i="41"/>
  <c r="CX11" i="41"/>
  <c r="CW11" i="41"/>
  <c r="CV11" i="41"/>
  <c r="CU11" i="41"/>
  <c r="CT11" i="41"/>
  <c r="CS11" i="41"/>
  <c r="CR11" i="41"/>
  <c r="CQ11" i="41"/>
  <c r="CP11" i="41"/>
  <c r="CO11" i="41"/>
  <c r="CN11" i="41"/>
  <c r="CM11" i="41"/>
  <c r="CL11" i="41"/>
  <c r="CK11" i="41"/>
  <c r="CJ11" i="41"/>
  <c r="CI11" i="41"/>
  <c r="CH11" i="41"/>
  <c r="CG11" i="41"/>
  <c r="CF11" i="41"/>
  <c r="CE11" i="41"/>
  <c r="CD11" i="41"/>
  <c r="CC11" i="41"/>
  <c r="CB11" i="41" a="1"/>
  <c r="CB11" i="41" s="1"/>
  <c r="CA11" i="41" a="1"/>
  <c r="CA11" i="41" s="1"/>
  <c r="BZ11" i="41"/>
  <c r="BY11" i="41"/>
  <c r="BX11" i="41"/>
  <c r="BW11" i="41"/>
  <c r="BV11" i="41"/>
  <c r="BU11" i="41"/>
  <c r="BT11" i="41"/>
  <c r="BS11" i="41"/>
  <c r="BR11" i="41"/>
  <c r="BQ11" i="41"/>
  <c r="BP11" i="41"/>
  <c r="BO11" i="41"/>
  <c r="BN11" i="41"/>
  <c r="BM11" i="41"/>
  <c r="BL11" i="41"/>
  <c r="BK11" i="41"/>
  <c r="BJ11" i="41"/>
  <c r="BI11" i="41"/>
  <c r="BH11" i="41"/>
  <c r="BG11" i="41"/>
  <c r="BF11" i="41"/>
  <c r="BE11" i="41"/>
  <c r="BD11" i="41"/>
  <c r="BC11" i="41"/>
  <c r="BB11" i="41"/>
  <c r="BA11" i="41"/>
  <c r="AZ11" i="41"/>
  <c r="AY11" i="41"/>
  <c r="AX11" i="41"/>
  <c r="AW11" i="41"/>
  <c r="AV11" i="41"/>
  <c r="AU11" i="41"/>
  <c r="AT11" i="41"/>
  <c r="AS11" i="41"/>
  <c r="AR11" i="41"/>
  <c r="AQ11" i="41"/>
  <c r="AP11" i="41"/>
  <c r="AO11" i="41"/>
  <c r="AN11" i="41"/>
  <c r="AM11" i="41"/>
  <c r="AL11" i="41"/>
  <c r="AK11" i="41"/>
  <c r="AJ11" i="41"/>
  <c r="AI11" i="41"/>
  <c r="AH11" i="41"/>
  <c r="AG11" i="41"/>
  <c r="AF11" i="41"/>
  <c r="AE11" i="41"/>
  <c r="AD11" i="41"/>
  <c r="AC11" i="41"/>
  <c r="AB11" i="41"/>
  <c r="AA11" i="41"/>
  <c r="Z11" i="41"/>
  <c r="Y11" i="41"/>
  <c r="X11" i="41"/>
  <c r="W11" i="41"/>
  <c r="V11" i="41"/>
  <c r="U11" i="41"/>
  <c r="T11" i="41"/>
  <c r="S11" i="41"/>
  <c r="R11" i="41"/>
  <c r="Q11" i="41"/>
  <c r="P11" i="41"/>
  <c r="O11" i="41"/>
  <c r="N11" i="41"/>
  <c r="M11" i="41"/>
  <c r="L11" i="41"/>
  <c r="K11" i="41"/>
  <c r="J11" i="41"/>
  <c r="I11" i="41"/>
  <c r="H11" i="41"/>
  <c r="G11" i="41"/>
  <c r="F11" i="41"/>
  <c r="DI10" i="41"/>
  <c r="DH10" i="41"/>
  <c r="DG10" i="41"/>
  <c r="DF10" i="41"/>
  <c r="DE10" i="41"/>
  <c r="DD10" i="41"/>
  <c r="DC10" i="41"/>
  <c r="DB10" i="41"/>
  <c r="DA10" i="41"/>
  <c r="CZ10" i="41"/>
  <c r="CY10" i="41"/>
  <c r="CX10" i="41"/>
  <c r="CW10" i="41"/>
  <c r="CV10" i="41"/>
  <c r="CU10" i="41"/>
  <c r="CT10" i="41"/>
  <c r="CS10" i="41"/>
  <c r="CR10" i="41"/>
  <c r="CQ10" i="41"/>
  <c r="CP10" i="41"/>
  <c r="CO10" i="41"/>
  <c r="CN10" i="41"/>
  <c r="CM10" i="41"/>
  <c r="CL10" i="41"/>
  <c r="CK10" i="41"/>
  <c r="CJ10" i="41"/>
  <c r="CI10" i="41"/>
  <c r="CH10" i="41"/>
  <c r="CG10" i="41"/>
  <c r="CF10" i="41"/>
  <c r="CE10" i="41"/>
  <c r="CD10" i="41"/>
  <c r="CC10" i="41"/>
  <c r="CB10" i="41" a="1"/>
  <c r="CB10" i="41" s="1"/>
  <c r="CA10" i="41" a="1"/>
  <c r="CA10" i="41" s="1"/>
  <c r="BZ10" i="41"/>
  <c r="BY10" i="41"/>
  <c r="BX10" i="41"/>
  <c r="BW10" i="41"/>
  <c r="BV10" i="41"/>
  <c r="BU10" i="41"/>
  <c r="BT10" i="41"/>
  <c r="BS10" i="41"/>
  <c r="BR10" i="41"/>
  <c r="BQ10" i="41"/>
  <c r="BP10" i="41"/>
  <c r="BO10" i="41"/>
  <c r="BN10" i="41"/>
  <c r="BM10" i="41"/>
  <c r="BL10" i="41"/>
  <c r="BK10" i="41"/>
  <c r="BJ10" i="41"/>
  <c r="BI10" i="41"/>
  <c r="BH10" i="41"/>
  <c r="BG10" i="41"/>
  <c r="BF10" i="41"/>
  <c r="BE10" i="41"/>
  <c r="BD10" i="41"/>
  <c r="BC10" i="41"/>
  <c r="BB10" i="41"/>
  <c r="BA10" i="41"/>
  <c r="AZ10" i="41"/>
  <c r="AY10" i="41"/>
  <c r="AX10" i="41"/>
  <c r="AW10" i="41"/>
  <c r="AV10" i="41"/>
  <c r="AU10" i="41"/>
  <c r="AT10" i="41"/>
  <c r="AS10" i="41"/>
  <c r="AR10" i="41"/>
  <c r="AQ10" i="41"/>
  <c r="AP10" i="41"/>
  <c r="AO10" i="41"/>
  <c r="AN10" i="41"/>
  <c r="AM10" i="41"/>
  <c r="AL10" i="41"/>
  <c r="AK10" i="41"/>
  <c r="AJ10" i="41"/>
  <c r="AI10" i="41"/>
  <c r="AH10" i="41"/>
  <c r="AG10" i="41"/>
  <c r="AF10" i="41"/>
  <c r="AE10" i="41"/>
  <c r="AD10" i="41"/>
  <c r="AC10" i="41"/>
  <c r="AB10" i="41"/>
  <c r="AA10" i="41"/>
  <c r="Z10" i="41"/>
  <c r="Y10" i="41"/>
  <c r="X10" i="41"/>
  <c r="W10" i="41"/>
  <c r="V10" i="41"/>
  <c r="U10" i="41"/>
  <c r="T10" i="41"/>
  <c r="S10" i="41"/>
  <c r="R10" i="41"/>
  <c r="Q10" i="41"/>
  <c r="P10" i="41"/>
  <c r="O10" i="41"/>
  <c r="N10" i="41"/>
  <c r="M10" i="41"/>
  <c r="L10" i="41"/>
  <c r="K10" i="41"/>
  <c r="J10" i="41"/>
  <c r="I10" i="41"/>
  <c r="H10" i="41"/>
  <c r="G10" i="41"/>
  <c r="F10" i="41"/>
  <c r="DI9" i="41"/>
  <c r="DH9" i="41"/>
  <c r="DG9" i="41"/>
  <c r="DF9" i="41"/>
  <c r="DE9" i="41"/>
  <c r="DD9" i="41"/>
  <c r="DC9" i="41"/>
  <c r="DB9" i="41"/>
  <c r="DA9" i="41"/>
  <c r="CZ9" i="41"/>
  <c r="CY9" i="41"/>
  <c r="CX9" i="41"/>
  <c r="CW9" i="41"/>
  <c r="CV9" i="41"/>
  <c r="CU9" i="41"/>
  <c r="CT9" i="41"/>
  <c r="CS9" i="41"/>
  <c r="CR9" i="41"/>
  <c r="CQ9" i="41"/>
  <c r="CP9" i="41"/>
  <c r="CO9" i="41"/>
  <c r="CN9" i="41"/>
  <c r="CM9" i="41"/>
  <c r="CL9" i="41"/>
  <c r="CK9" i="41"/>
  <c r="CJ9" i="41"/>
  <c r="CI9" i="41"/>
  <c r="CH9" i="41"/>
  <c r="CG9" i="41"/>
  <c r="CF9" i="41"/>
  <c r="CE9" i="41"/>
  <c r="CD9" i="41"/>
  <c r="CC9" i="41"/>
  <c r="CB9" i="41" a="1"/>
  <c r="CB9" i="41" s="1"/>
  <c r="CA9" i="41" a="1"/>
  <c r="CA9" i="41" s="1"/>
  <c r="BZ9" i="41"/>
  <c r="BY9" i="41"/>
  <c r="BX9" i="41"/>
  <c r="BW9" i="41"/>
  <c r="BV9" i="41"/>
  <c r="BU9" i="41"/>
  <c r="BT9" i="41"/>
  <c r="BS9" i="41"/>
  <c r="BR9" i="41"/>
  <c r="BQ9" i="41"/>
  <c r="BP9" i="41"/>
  <c r="BO9" i="41"/>
  <c r="BN9" i="41"/>
  <c r="BM9" i="41"/>
  <c r="BL9" i="41"/>
  <c r="BK9" i="41"/>
  <c r="BJ9" i="41"/>
  <c r="BI9" i="41"/>
  <c r="BH9" i="41"/>
  <c r="BG9" i="41"/>
  <c r="BF9" i="41"/>
  <c r="BE9" i="41"/>
  <c r="BD9" i="41"/>
  <c r="BC9" i="41"/>
  <c r="BB9" i="41"/>
  <c r="BA9" i="41"/>
  <c r="AZ9" i="41"/>
  <c r="AY9" i="41"/>
  <c r="AX9" i="41"/>
  <c r="AW9" i="41"/>
  <c r="AV9" i="41"/>
  <c r="AU9" i="41"/>
  <c r="AT9" i="41"/>
  <c r="AS9" i="41"/>
  <c r="AR9" i="41"/>
  <c r="AQ9" i="41"/>
  <c r="AP9" i="41"/>
  <c r="AO9" i="41"/>
  <c r="AN9" i="41"/>
  <c r="AM9" i="41"/>
  <c r="AL9" i="41"/>
  <c r="AK9" i="41"/>
  <c r="AJ9" i="41"/>
  <c r="AI9" i="41"/>
  <c r="AH9" i="41"/>
  <c r="AG9" i="41"/>
  <c r="AF9" i="41"/>
  <c r="AE9" i="41"/>
  <c r="AD9" i="41"/>
  <c r="AC9" i="41"/>
  <c r="AB9" i="41"/>
  <c r="AA9" i="41"/>
  <c r="Z9" i="41"/>
  <c r="Y9" i="41"/>
  <c r="X9" i="41"/>
  <c r="W9" i="41"/>
  <c r="V9" i="41"/>
  <c r="U9" i="41"/>
  <c r="T9" i="41"/>
  <c r="S9" i="41"/>
  <c r="R9" i="41"/>
  <c r="Q9" i="41"/>
  <c r="P9" i="41"/>
  <c r="O9" i="41"/>
  <c r="N9" i="41"/>
  <c r="M9" i="41"/>
  <c r="L9" i="41"/>
  <c r="K9" i="41"/>
  <c r="J9" i="41"/>
  <c r="I9" i="41"/>
  <c r="H9" i="41"/>
  <c r="G9" i="41"/>
  <c r="F9" i="41"/>
  <c r="DI8" i="41"/>
  <c r="DH8" i="41"/>
  <c r="DG8" i="41"/>
  <c r="DF8" i="41"/>
  <c r="DE8" i="41"/>
  <c r="DD8" i="41"/>
  <c r="DC8" i="41"/>
  <c r="DB8" i="41"/>
  <c r="DA8" i="41"/>
  <c r="CZ8" i="41"/>
  <c r="CY8" i="41"/>
  <c r="CX8" i="41"/>
  <c r="CW8" i="41"/>
  <c r="CV8" i="41"/>
  <c r="CU8" i="41"/>
  <c r="CT8" i="41"/>
  <c r="CS8" i="41"/>
  <c r="CR8" i="41"/>
  <c r="CQ8" i="41"/>
  <c r="CP8" i="41"/>
  <c r="CO8" i="41"/>
  <c r="CN8" i="41"/>
  <c r="CM8" i="41"/>
  <c r="CL8" i="41"/>
  <c r="CK8" i="41"/>
  <c r="CJ8" i="41"/>
  <c r="CI8" i="41"/>
  <c r="CH8" i="41"/>
  <c r="CG8" i="41"/>
  <c r="CF8" i="41"/>
  <c r="CE8" i="41"/>
  <c r="CD8" i="41"/>
  <c r="CC8" i="41"/>
  <c r="CB8" i="41" a="1"/>
  <c r="CB8" i="41" s="1"/>
  <c r="CA8" i="41" a="1"/>
  <c r="CA8" i="41" s="1"/>
  <c r="BZ8" i="41"/>
  <c r="BY8" i="41"/>
  <c r="BX8" i="41"/>
  <c r="BW8" i="41"/>
  <c r="BV8" i="41"/>
  <c r="BU8" i="41"/>
  <c r="BT8" i="41"/>
  <c r="BS8" i="41"/>
  <c r="BR8" i="41"/>
  <c r="BQ8" i="41"/>
  <c r="BP8" i="41"/>
  <c r="BO8" i="41"/>
  <c r="BN8" i="41"/>
  <c r="BM8" i="41"/>
  <c r="BL8" i="41"/>
  <c r="BK8" i="41"/>
  <c r="BJ8" i="41"/>
  <c r="BI8" i="41"/>
  <c r="BH8" i="41"/>
  <c r="BG8" i="41"/>
  <c r="BF8" i="41"/>
  <c r="BE8" i="41"/>
  <c r="BD8" i="41"/>
  <c r="BC8" i="41"/>
  <c r="BB8" i="41"/>
  <c r="BA8" i="41"/>
  <c r="AZ8" i="41"/>
  <c r="AY8" i="41"/>
  <c r="AX8" i="41"/>
  <c r="AW8" i="41"/>
  <c r="AV8" i="41"/>
  <c r="AU8" i="41"/>
  <c r="AT8" i="41"/>
  <c r="AS8" i="41"/>
  <c r="AR8" i="41"/>
  <c r="AQ8" i="41"/>
  <c r="AP8" i="41"/>
  <c r="AO8" i="41"/>
  <c r="AN8" i="41"/>
  <c r="AM8" i="41"/>
  <c r="AL8" i="41"/>
  <c r="AK8" i="41"/>
  <c r="AJ8" i="41"/>
  <c r="AI8" i="41"/>
  <c r="AH8" i="41"/>
  <c r="AG8" i="41"/>
  <c r="AF8" i="41"/>
  <c r="AE8" i="41"/>
  <c r="AD8" i="41"/>
  <c r="AC8" i="41"/>
  <c r="AB8" i="41"/>
  <c r="AA8" i="41"/>
  <c r="Z8" i="41"/>
  <c r="Y8" i="41"/>
  <c r="X8" i="41"/>
  <c r="W8" i="41"/>
  <c r="V8" i="41"/>
  <c r="U8" i="41"/>
  <c r="T8" i="41"/>
  <c r="S8" i="41"/>
  <c r="R8" i="41"/>
  <c r="Q8" i="41"/>
  <c r="P8" i="41"/>
  <c r="O8" i="41"/>
  <c r="N8" i="41"/>
  <c r="M8" i="41"/>
  <c r="L8" i="41"/>
  <c r="K8" i="41"/>
  <c r="J8" i="41"/>
  <c r="I8" i="41"/>
  <c r="H8" i="41"/>
  <c r="G8" i="41"/>
  <c r="F8" i="41"/>
  <c r="DI7" i="41"/>
  <c r="DH7" i="41"/>
  <c r="DG7" i="41"/>
  <c r="DF7" i="41"/>
  <c r="DE7" i="41"/>
  <c r="DD7" i="41"/>
  <c r="DC7" i="41"/>
  <c r="DB7" i="41"/>
  <c r="DA7" i="41"/>
  <c r="CZ7" i="41"/>
  <c r="CY7" i="41"/>
  <c r="CX7" i="41"/>
  <c r="CW7" i="41"/>
  <c r="CV7" i="41"/>
  <c r="CU7" i="41"/>
  <c r="CT7" i="41"/>
  <c r="CS7" i="41"/>
  <c r="CR7" i="41"/>
  <c r="CQ7" i="41"/>
  <c r="CP7" i="41"/>
  <c r="CO7" i="41"/>
  <c r="CN7" i="41"/>
  <c r="CM7" i="41"/>
  <c r="CL7" i="41"/>
  <c r="CK7" i="41"/>
  <c r="CJ7" i="41"/>
  <c r="CI7" i="41"/>
  <c r="CH7" i="41"/>
  <c r="CG7" i="41"/>
  <c r="CF7" i="41"/>
  <c r="CE7" i="41"/>
  <c r="CD7" i="41"/>
  <c r="CC7" i="41"/>
  <c r="CB7" i="41" a="1"/>
  <c r="CB7" i="41" s="1"/>
  <c r="CA7" i="41" a="1"/>
  <c r="CA7" i="41" s="1"/>
  <c r="BZ7" i="41"/>
  <c r="BY7" i="41"/>
  <c r="BX7" i="41"/>
  <c r="BW7" i="41"/>
  <c r="BV7" i="41"/>
  <c r="BU7" i="41"/>
  <c r="BT7" i="41"/>
  <c r="BS7" i="41"/>
  <c r="BR7" i="41"/>
  <c r="BQ7" i="41"/>
  <c r="BP7" i="41"/>
  <c r="BO7" i="41"/>
  <c r="BN7" i="41"/>
  <c r="BM7" i="41"/>
  <c r="BL7" i="41"/>
  <c r="BK7" i="41"/>
  <c r="BJ7" i="41"/>
  <c r="BI7" i="41"/>
  <c r="BH7" i="41"/>
  <c r="BG7" i="41"/>
  <c r="BF7" i="41"/>
  <c r="BE7" i="41"/>
  <c r="BD7" i="41"/>
  <c r="BC7" i="41"/>
  <c r="BB7" i="41"/>
  <c r="BA7" i="41"/>
  <c r="AZ7" i="41"/>
  <c r="AY7" i="41"/>
  <c r="AX7" i="41"/>
  <c r="AW7" i="41"/>
  <c r="AV7" i="41"/>
  <c r="AU7" i="41"/>
  <c r="AT7" i="41"/>
  <c r="AS7" i="41"/>
  <c r="AR7" i="41"/>
  <c r="AQ7" i="41"/>
  <c r="AP7" i="41"/>
  <c r="AO7" i="41"/>
  <c r="AN7" i="41"/>
  <c r="AM7" i="41"/>
  <c r="AL7" i="41"/>
  <c r="AK7" i="41"/>
  <c r="AJ7" i="41"/>
  <c r="AI7" i="41"/>
  <c r="AH7" i="41"/>
  <c r="AG7" i="41"/>
  <c r="AF7" i="41"/>
  <c r="AE7" i="41"/>
  <c r="AD7" i="41"/>
  <c r="AC7" i="41"/>
  <c r="AB7" i="41"/>
  <c r="AA7" i="41"/>
  <c r="Z7" i="41"/>
  <c r="Y7" i="41"/>
  <c r="X7" i="41"/>
  <c r="W7" i="41"/>
  <c r="V7" i="41"/>
  <c r="U7" i="41"/>
  <c r="T7" i="41"/>
  <c r="S7" i="41"/>
  <c r="R7" i="41"/>
  <c r="Q7" i="41"/>
  <c r="P7" i="41"/>
  <c r="O7" i="41"/>
  <c r="N7" i="41"/>
  <c r="M7" i="41"/>
  <c r="L7" i="41"/>
  <c r="K7" i="41"/>
  <c r="J7" i="41"/>
  <c r="I7" i="41"/>
  <c r="H7" i="41"/>
  <c r="G7" i="41"/>
  <c r="F7" i="41"/>
  <c r="DI6" i="41"/>
  <c r="DH6" i="41"/>
  <c r="DG6" i="41"/>
  <c r="DF6" i="41"/>
  <c r="DE6" i="41"/>
  <c r="DD6" i="41"/>
  <c r="DC6" i="41"/>
  <c r="DB6" i="41"/>
  <c r="DA6" i="41"/>
  <c r="CZ6" i="41"/>
  <c r="CY6" i="41"/>
  <c r="CX6" i="41"/>
  <c r="CW6" i="41"/>
  <c r="CV6" i="41"/>
  <c r="CU6" i="41"/>
  <c r="CT6" i="41"/>
  <c r="CS6" i="41"/>
  <c r="CR6" i="41"/>
  <c r="CQ6" i="41"/>
  <c r="CP6" i="41"/>
  <c r="CO6" i="41"/>
  <c r="CN6" i="41"/>
  <c r="CM6" i="41"/>
  <c r="CL6" i="41"/>
  <c r="CK6" i="41"/>
  <c r="CJ6" i="41"/>
  <c r="CI6" i="41"/>
  <c r="CH6" i="41"/>
  <c r="CG6" i="41"/>
  <c r="CF6" i="41"/>
  <c r="CE6" i="41"/>
  <c r="CD6" i="41"/>
  <c r="CC6" i="41"/>
  <c r="CB6" i="41" a="1"/>
  <c r="CB6" i="41" s="1"/>
  <c r="CA6" i="41" a="1"/>
  <c r="CA6" i="41" s="1"/>
  <c r="BZ6" i="41"/>
  <c r="BY6" i="41"/>
  <c r="BX6" i="41"/>
  <c r="BW6" i="41"/>
  <c r="BV6" i="41"/>
  <c r="BU6" i="41"/>
  <c r="BT6" i="41"/>
  <c r="BS6" i="41"/>
  <c r="BR6" i="41"/>
  <c r="BQ6" i="41"/>
  <c r="BP6" i="41"/>
  <c r="BO6" i="41"/>
  <c r="BN6" i="41"/>
  <c r="BM6" i="41"/>
  <c r="BL6" i="41"/>
  <c r="BK6" i="41"/>
  <c r="BJ6" i="41"/>
  <c r="BI6" i="41"/>
  <c r="BH6" i="41"/>
  <c r="BG6" i="41"/>
  <c r="BF6" i="41"/>
  <c r="BE6" i="41"/>
  <c r="BD6" i="41"/>
  <c r="BC6" i="41"/>
  <c r="BB6" i="41"/>
  <c r="BA6" i="41"/>
  <c r="AZ6" i="41"/>
  <c r="AY6" i="41"/>
  <c r="AX6" i="41"/>
  <c r="AW6" i="41"/>
  <c r="AV6" i="41"/>
  <c r="AU6" i="41"/>
  <c r="AT6" i="41"/>
  <c r="AS6" i="41"/>
  <c r="AR6" i="41"/>
  <c r="AQ6" i="41"/>
  <c r="AP6" i="41"/>
  <c r="AO6" i="41"/>
  <c r="AN6" i="41"/>
  <c r="AM6" i="41"/>
  <c r="AL6" i="41"/>
  <c r="AK6" i="41"/>
  <c r="AJ6" i="41"/>
  <c r="AI6" i="41"/>
  <c r="AH6" i="41"/>
  <c r="AG6" i="41"/>
  <c r="AF6" i="41"/>
  <c r="AE6" i="41"/>
  <c r="AD6" i="41"/>
  <c r="AC6" i="41"/>
  <c r="AB6" i="41"/>
  <c r="AA6" i="41"/>
  <c r="Z6" i="41"/>
  <c r="Y6" i="41"/>
  <c r="X6" i="41"/>
  <c r="W6" i="41"/>
  <c r="V6" i="41"/>
  <c r="U6" i="41"/>
  <c r="T6" i="41"/>
  <c r="S6" i="41"/>
  <c r="R6" i="41"/>
  <c r="Q6" i="41"/>
  <c r="P6" i="41"/>
  <c r="O6" i="41"/>
  <c r="N6" i="41"/>
  <c r="M6" i="41"/>
  <c r="L6" i="41"/>
  <c r="K6" i="41"/>
  <c r="J6" i="41"/>
  <c r="I6" i="41"/>
  <c r="H6" i="41"/>
  <c r="G6" i="41"/>
  <c r="F6" i="41"/>
  <c r="AA47" i="40"/>
  <c r="Z47" i="40"/>
  <c r="Y47" i="40"/>
  <c r="X47" i="40"/>
  <c r="W47" i="40"/>
  <c r="AA46" i="40"/>
  <c r="Z46" i="40"/>
  <c r="Y46" i="40"/>
  <c r="X46" i="40"/>
  <c r="S46" i="40"/>
  <c r="R46" i="40"/>
  <c r="Q46" i="40"/>
  <c r="P46" i="40"/>
  <c r="B45" i="40"/>
  <c r="AA44" i="40"/>
  <c r="Z44" i="40"/>
  <c r="Y44" i="40"/>
  <c r="X44" i="40"/>
  <c r="AA42" i="40"/>
  <c r="Z42" i="40"/>
  <c r="Y42" i="40"/>
  <c r="X42" i="40"/>
  <c r="AA37" i="40"/>
  <c r="Z37" i="40"/>
  <c r="Y37" i="40"/>
  <c r="X37" i="40"/>
  <c r="W37" i="40"/>
  <c r="AB36" i="40"/>
  <c r="AB34" i="40"/>
  <c r="M34" i="40"/>
  <c r="P41" i="29"/>
  <c r="N41" i="29"/>
  <c r="L41" i="29"/>
  <c r="J41" i="29"/>
  <c r="H41" i="29"/>
  <c r="D41" i="29"/>
  <c r="H53" i="33"/>
  <c r="F53" i="33"/>
  <c r="D53" i="33"/>
  <c r="L52" i="33"/>
  <c r="J40" i="33"/>
  <c r="H32" i="33"/>
  <c r="H24" i="33"/>
  <c r="A107" i="16" a="1"/>
  <c r="A107" i="16" s="1"/>
  <c r="X46" i="29"/>
  <c r="X45" i="29"/>
  <c r="X44" i="29"/>
  <c r="X43" i="29"/>
  <c r="X42" i="29"/>
  <c r="X41" i="29"/>
  <c r="C24" i="29"/>
  <c r="O24" i="29"/>
  <c r="M24" i="29"/>
  <c r="K24" i="29"/>
  <c r="I24" i="29"/>
  <c r="G24" i="29"/>
  <c r="E24" i="29"/>
  <c r="M26" i="32"/>
  <c r="J28" i="19" s="1"/>
  <c r="M25" i="32"/>
  <c r="J27" i="19" s="1"/>
  <c r="H33" i="32"/>
  <c r="H32" i="32"/>
  <c r="H23" i="32" s="1"/>
  <c r="H31" i="32"/>
  <c r="G23" i="32" s="1"/>
  <c r="P14" i="32"/>
  <c r="O14" i="32"/>
  <c r="N14" i="32"/>
  <c r="M14" i="32"/>
  <c r="L14" i="32"/>
  <c r="P12" i="32"/>
  <c r="O12" i="32"/>
  <c r="N12" i="32"/>
  <c r="M12" i="32"/>
  <c r="P10" i="32"/>
  <c r="O10" i="32"/>
  <c r="N10" i="32"/>
  <c r="M10" i="32"/>
  <c r="P8" i="32"/>
  <c r="O8" i="32"/>
  <c r="N8" i="32"/>
  <c r="M8" i="32"/>
  <c r="P6" i="32"/>
  <c r="O6" i="32"/>
  <c r="N6" i="32"/>
  <c r="M6" i="32"/>
  <c r="U43" i="31"/>
  <c r="U47" i="31"/>
  <c r="U46" i="31"/>
  <c r="U45" i="31"/>
  <c r="O45" i="31"/>
  <c r="F46" i="31" s="1"/>
  <c r="O47" i="31"/>
  <c r="O46" i="31"/>
  <c r="I68" i="31"/>
  <c r="I67" i="31"/>
  <c r="I66" i="31"/>
  <c r="I64" i="31"/>
  <c r="P70" i="31"/>
  <c r="O70" i="31"/>
  <c r="N70" i="31"/>
  <c r="M70" i="31"/>
  <c r="L70" i="31"/>
  <c r="Q69" i="31"/>
  <c r="Q67" i="31"/>
  <c r="I80" i="31"/>
  <c r="H80" i="31"/>
  <c r="G80" i="31"/>
  <c r="F80" i="31"/>
  <c r="E80" i="31"/>
  <c r="H76" i="31"/>
  <c r="G76" i="31"/>
  <c r="F76" i="31"/>
  <c r="E76" i="31"/>
  <c r="I74" i="31"/>
  <c r="H74" i="31"/>
  <c r="G74" i="31"/>
  <c r="F74" i="31"/>
  <c r="E74" i="31"/>
  <c r="I72" i="31"/>
  <c r="H72" i="31"/>
  <c r="G72" i="31"/>
  <c r="F72" i="31"/>
  <c r="E72" i="31"/>
  <c r="Q62" i="31"/>
  <c r="P62" i="31"/>
  <c r="O62" i="31"/>
  <c r="N62" i="31"/>
  <c r="M62" i="31"/>
  <c r="Q61" i="31"/>
  <c r="P61" i="31"/>
  <c r="O61" i="31"/>
  <c r="N61" i="31"/>
  <c r="M61" i="31"/>
  <c r="P58" i="31"/>
  <c r="O58" i="31"/>
  <c r="N58" i="31"/>
  <c r="M58" i="31"/>
  <c r="Q58" i="31" s="1"/>
  <c r="P57" i="31"/>
  <c r="O57" i="31"/>
  <c r="N57" i="31"/>
  <c r="M57" i="31"/>
  <c r="Q54" i="31"/>
  <c r="P54" i="31"/>
  <c r="O54" i="31"/>
  <c r="N54" i="31"/>
  <c r="M54" i="31"/>
  <c r="Q53" i="31"/>
  <c r="P53" i="31"/>
  <c r="O53" i="31"/>
  <c r="N53" i="31"/>
  <c r="M53" i="31"/>
  <c r="D69" i="31"/>
  <c r="D68" i="31"/>
  <c r="F68" i="31" s="1"/>
  <c r="D67" i="31"/>
  <c r="G67" i="31" s="1"/>
  <c r="D66" i="31"/>
  <c r="H66" i="31" s="1"/>
  <c r="H65" i="31"/>
  <c r="G65" i="31"/>
  <c r="F65" i="31"/>
  <c r="E65" i="31"/>
  <c r="H64" i="31"/>
  <c r="G64" i="31"/>
  <c r="F64" i="31"/>
  <c r="E64" i="31"/>
  <c r="D61" i="31"/>
  <c r="H61" i="31" s="1"/>
  <c r="D60" i="31"/>
  <c r="H60" i="31" s="1"/>
  <c r="D59" i="31"/>
  <c r="E59" i="31" s="1"/>
  <c r="H58" i="31"/>
  <c r="G58" i="31"/>
  <c r="F58" i="31"/>
  <c r="E58" i="31"/>
  <c r="H57" i="31"/>
  <c r="G57" i="31"/>
  <c r="I57" i="31" s="1"/>
  <c r="F57" i="31"/>
  <c r="E57" i="31"/>
  <c r="I54" i="31"/>
  <c r="H54" i="31"/>
  <c r="G54" i="31"/>
  <c r="F54" i="31"/>
  <c r="E54" i="31"/>
  <c r="I53" i="31"/>
  <c r="H53" i="31"/>
  <c r="G53" i="31"/>
  <c r="F53" i="31"/>
  <c r="E53" i="31"/>
  <c r="I45" i="31"/>
  <c r="H45" i="31"/>
  <c r="G45" i="31"/>
  <c r="F45" i="31"/>
  <c r="D45" i="31"/>
  <c r="C45" i="31"/>
  <c r="A58" i="16"/>
  <c r="A51" i="16"/>
  <c r="U43" i="24"/>
  <c r="U44" i="24"/>
  <c r="U45" i="24"/>
  <c r="U46" i="24"/>
  <c r="U47" i="24"/>
  <c r="U48" i="24"/>
  <c r="U49" i="24"/>
  <c r="U50" i="24"/>
  <c r="U51" i="24"/>
  <c r="E76" i="11"/>
  <c r="E77" i="11"/>
  <c r="E78" i="11"/>
  <c r="E79" i="11"/>
  <c r="E80" i="11"/>
  <c r="E81" i="11"/>
  <c r="E82" i="11"/>
  <c r="E83" i="11"/>
  <c r="E84" i="11"/>
  <c r="E85" i="11"/>
  <c r="G76" i="11"/>
  <c r="G77" i="11"/>
  <c r="G78" i="11"/>
  <c r="G79" i="11"/>
  <c r="G80" i="11"/>
  <c r="G81" i="11"/>
  <c r="G82" i="11"/>
  <c r="G83" i="11"/>
  <c r="G84" i="11"/>
  <c r="G85" i="11"/>
  <c r="I76" i="11"/>
  <c r="I77" i="11"/>
  <c r="I78" i="11"/>
  <c r="I79" i="11"/>
  <c r="I80" i="11"/>
  <c r="I81" i="11"/>
  <c r="I82" i="11"/>
  <c r="I83" i="11"/>
  <c r="I84" i="11"/>
  <c r="I85" i="11"/>
  <c r="K76" i="11"/>
  <c r="K77" i="11"/>
  <c r="K78" i="11"/>
  <c r="K79" i="11"/>
  <c r="K80" i="11"/>
  <c r="K81" i="11"/>
  <c r="K82" i="11"/>
  <c r="K83" i="11"/>
  <c r="K84" i="11"/>
  <c r="K85" i="11"/>
  <c r="M76" i="11"/>
  <c r="M77" i="11"/>
  <c r="M78" i="11"/>
  <c r="M79" i="11"/>
  <c r="M80" i="11"/>
  <c r="M81" i="11"/>
  <c r="M82" i="11"/>
  <c r="M83" i="11"/>
  <c r="M84" i="11"/>
  <c r="M85" i="11"/>
  <c r="O76" i="11"/>
  <c r="O77" i="11"/>
  <c r="O78" i="11"/>
  <c r="O79" i="11"/>
  <c r="O80" i="11"/>
  <c r="O81" i="11"/>
  <c r="O82" i="11"/>
  <c r="O83" i="11"/>
  <c r="O84" i="11"/>
  <c r="O85" i="11"/>
  <c r="V76" i="11"/>
  <c r="V77" i="11"/>
  <c r="V78" i="11"/>
  <c r="V79" i="11"/>
  <c r="V80" i="11"/>
  <c r="V81" i="11"/>
  <c r="V82" i="11"/>
  <c r="V83" i="11"/>
  <c r="V84" i="11"/>
  <c r="V85"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V6" i="11"/>
  <c r="O6" i="11"/>
  <c r="M6" i="11"/>
  <c r="K6" i="11"/>
  <c r="I6" i="11"/>
  <c r="G6" i="11"/>
  <c r="E6" i="11"/>
  <c r="U77" i="11"/>
  <c r="U78" i="11"/>
  <c r="U79" i="11"/>
  <c r="U80" i="11"/>
  <c r="U81" i="11"/>
  <c r="U82" i="11"/>
  <c r="U83" i="11"/>
  <c r="U84" i="11"/>
  <c r="U85" i="11"/>
  <c r="U76" i="11"/>
  <c r="K76" i="10"/>
  <c r="K77" i="10"/>
  <c r="K78" i="10"/>
  <c r="K79" i="10"/>
  <c r="K80" i="10"/>
  <c r="K81" i="10"/>
  <c r="K82" i="10"/>
  <c r="K83" i="10"/>
  <c r="K84" i="10"/>
  <c r="K85" i="10"/>
  <c r="M76" i="10"/>
  <c r="M77" i="10"/>
  <c r="M78" i="10"/>
  <c r="M79" i="10"/>
  <c r="M80" i="10"/>
  <c r="M81" i="10"/>
  <c r="M82" i="10"/>
  <c r="M83" i="10"/>
  <c r="M84" i="10"/>
  <c r="M85" i="10"/>
  <c r="O76" i="10"/>
  <c r="O77" i="10"/>
  <c r="O78" i="10"/>
  <c r="O79" i="10"/>
  <c r="O80" i="10"/>
  <c r="O81" i="10"/>
  <c r="O82" i="10"/>
  <c r="O83" i="10"/>
  <c r="O84" i="10"/>
  <c r="O85" i="10"/>
  <c r="V76" i="10"/>
  <c r="V77" i="10"/>
  <c r="V78" i="10"/>
  <c r="V79" i="10"/>
  <c r="V80" i="10"/>
  <c r="V81" i="10"/>
  <c r="V82" i="10"/>
  <c r="V83" i="10"/>
  <c r="V84" i="10"/>
  <c r="V85" i="10"/>
  <c r="U77" i="10"/>
  <c r="U78" i="10"/>
  <c r="U79" i="10"/>
  <c r="U80" i="10"/>
  <c r="U81" i="10"/>
  <c r="U82" i="10"/>
  <c r="U83" i="10"/>
  <c r="U84" i="10"/>
  <c r="U85"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I76" i="10"/>
  <c r="I77" i="10"/>
  <c r="I78" i="10"/>
  <c r="I79" i="10"/>
  <c r="I80" i="10"/>
  <c r="I81" i="10"/>
  <c r="I82" i="10"/>
  <c r="I83" i="10"/>
  <c r="I84" i="10"/>
  <c r="I85"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G76" i="10"/>
  <c r="G77" i="10"/>
  <c r="G78" i="10"/>
  <c r="G79" i="10"/>
  <c r="G80" i="10"/>
  <c r="G81" i="10"/>
  <c r="G82" i="10"/>
  <c r="G83" i="10"/>
  <c r="G84" i="10"/>
  <c r="G85"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E76" i="10"/>
  <c r="E77" i="10"/>
  <c r="E78" i="10"/>
  <c r="E79" i="10"/>
  <c r="E80" i="10"/>
  <c r="E81" i="10"/>
  <c r="E82" i="10"/>
  <c r="E83" i="10"/>
  <c r="E84" i="10"/>
  <c r="E85"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V6" i="10"/>
  <c r="O6" i="10"/>
  <c r="M6" i="10"/>
  <c r="K6" i="10"/>
  <c r="I6" i="10"/>
  <c r="G6" i="10"/>
  <c r="E6" i="10"/>
  <c r="U76" i="10"/>
  <c r="V76" i="7"/>
  <c r="V77" i="7"/>
  <c r="V78" i="7"/>
  <c r="V79" i="7"/>
  <c r="V80" i="7"/>
  <c r="V81" i="7"/>
  <c r="V82" i="7"/>
  <c r="V83" i="7"/>
  <c r="V84" i="7"/>
  <c r="V85" i="7"/>
  <c r="O76" i="7"/>
  <c r="O77" i="7"/>
  <c r="O78" i="7"/>
  <c r="O79" i="7"/>
  <c r="O80" i="7"/>
  <c r="O81" i="7"/>
  <c r="O82" i="7"/>
  <c r="O83" i="7"/>
  <c r="O84" i="7"/>
  <c r="O85" i="7"/>
  <c r="M76" i="7"/>
  <c r="M77" i="7"/>
  <c r="M78" i="7"/>
  <c r="M79" i="7"/>
  <c r="M80" i="7"/>
  <c r="M81" i="7"/>
  <c r="M82" i="7"/>
  <c r="M83" i="7"/>
  <c r="M84" i="7"/>
  <c r="M85" i="7"/>
  <c r="K76" i="7"/>
  <c r="K77" i="7"/>
  <c r="K78" i="7"/>
  <c r="K79" i="7"/>
  <c r="K80" i="7"/>
  <c r="K81" i="7"/>
  <c r="K82" i="7"/>
  <c r="K83" i="7"/>
  <c r="K84" i="7"/>
  <c r="K85" i="7"/>
  <c r="I76" i="7"/>
  <c r="I77" i="7"/>
  <c r="I78" i="7"/>
  <c r="I79" i="7"/>
  <c r="I80" i="7"/>
  <c r="I81" i="7"/>
  <c r="I82" i="7"/>
  <c r="I83" i="7"/>
  <c r="I84" i="7"/>
  <c r="I85" i="7"/>
  <c r="G76" i="7"/>
  <c r="G77" i="7"/>
  <c r="G78" i="7"/>
  <c r="G79" i="7"/>
  <c r="G80" i="7"/>
  <c r="G81" i="7"/>
  <c r="G82" i="7"/>
  <c r="G83" i="7"/>
  <c r="G84" i="7"/>
  <c r="G85" i="7"/>
  <c r="E76" i="7"/>
  <c r="E77" i="7"/>
  <c r="E78" i="7"/>
  <c r="E79" i="7"/>
  <c r="E80" i="7"/>
  <c r="E81" i="7"/>
  <c r="E82" i="7"/>
  <c r="E83" i="7"/>
  <c r="E84" i="7"/>
  <c r="E85"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V6" i="7"/>
  <c r="O6" i="7"/>
  <c r="M6" i="7"/>
  <c r="K6" i="7"/>
  <c r="I6" i="7"/>
  <c r="G6" i="7"/>
  <c r="E6" i="7"/>
  <c r="U76" i="7"/>
  <c r="U77" i="7"/>
  <c r="U78" i="7"/>
  <c r="U79" i="7"/>
  <c r="U80" i="7"/>
  <c r="U81" i="7"/>
  <c r="U82" i="7"/>
  <c r="U83" i="7"/>
  <c r="U84" i="7"/>
  <c r="U85" i="7"/>
  <c r="U42" i="24"/>
  <c r="U53" i="24" s="1"/>
  <c r="DS8" i="27"/>
  <c r="DS9" i="27"/>
  <c r="DS10" i="27"/>
  <c r="DS11" i="27"/>
  <c r="DS12" i="27"/>
  <c r="DS13" i="27"/>
  <c r="DS14" i="27"/>
  <c r="DS15" i="27"/>
  <c r="DS16" i="27"/>
  <c r="DS17" i="27"/>
  <c r="DS18" i="27"/>
  <c r="DS19" i="27"/>
  <c r="DS20" i="27"/>
  <c r="DS21" i="27"/>
  <c r="DS22" i="27"/>
  <c r="DS23" i="27"/>
  <c r="DS24" i="27"/>
  <c r="DS25" i="27"/>
  <c r="DS26" i="27"/>
  <c r="DS7" i="27"/>
  <c r="DQ8" i="27"/>
  <c r="DQ9" i="27"/>
  <c r="DQ10" i="27"/>
  <c r="DQ11" i="27"/>
  <c r="DQ12" i="27"/>
  <c r="DQ13" i="27"/>
  <c r="DQ14" i="27"/>
  <c r="DQ15" i="27"/>
  <c r="DQ16" i="27"/>
  <c r="DQ17" i="27"/>
  <c r="DQ18" i="27"/>
  <c r="DQ19" i="27"/>
  <c r="DQ20" i="27"/>
  <c r="DQ21" i="27"/>
  <c r="DQ22" i="27"/>
  <c r="DQ23" i="27"/>
  <c r="DQ24" i="27"/>
  <c r="DQ25" i="27"/>
  <c r="DQ26" i="27"/>
  <c r="DQ7" i="27"/>
  <c r="DO8" i="27"/>
  <c r="DO9" i="27"/>
  <c r="DO10" i="27"/>
  <c r="DO11" i="27"/>
  <c r="DO12" i="27"/>
  <c r="DO13" i="27"/>
  <c r="DO14" i="27"/>
  <c r="DO15" i="27"/>
  <c r="DO16" i="27"/>
  <c r="DO17" i="27"/>
  <c r="DO18" i="27"/>
  <c r="DO19" i="27"/>
  <c r="DO20" i="27"/>
  <c r="DO21" i="27"/>
  <c r="DO22" i="27"/>
  <c r="DO23" i="27"/>
  <c r="DO24" i="27"/>
  <c r="DO25" i="27"/>
  <c r="DO26" i="27"/>
  <c r="DO7" i="27"/>
  <c r="DM8" i="27"/>
  <c r="DM9" i="27"/>
  <c r="DM10" i="27"/>
  <c r="DM11" i="27"/>
  <c r="DM12" i="27"/>
  <c r="DM13" i="27"/>
  <c r="DM14" i="27"/>
  <c r="DM15" i="27"/>
  <c r="DM16" i="27"/>
  <c r="DM17" i="27"/>
  <c r="DM18" i="27"/>
  <c r="DM19" i="27"/>
  <c r="DM20" i="27"/>
  <c r="DM21" i="27"/>
  <c r="DM22" i="27"/>
  <c r="DM23" i="27"/>
  <c r="DM24" i="27"/>
  <c r="DM25" i="27"/>
  <c r="DM26" i="27"/>
  <c r="DM7" i="27"/>
  <c r="DK8" i="27"/>
  <c r="DK9" i="27"/>
  <c r="DK10" i="27"/>
  <c r="DK11" i="27"/>
  <c r="DK12" i="27"/>
  <c r="DK13" i="27"/>
  <c r="DK14" i="27"/>
  <c r="DK15" i="27"/>
  <c r="DK16" i="27"/>
  <c r="DK17" i="27"/>
  <c r="DK18" i="27"/>
  <c r="DK19" i="27"/>
  <c r="DK20" i="27"/>
  <c r="DK21" i="27"/>
  <c r="DK22" i="27"/>
  <c r="DK23" i="27"/>
  <c r="DK24" i="27"/>
  <c r="DK25" i="27"/>
  <c r="DK26" i="27"/>
  <c r="DK7" i="27"/>
  <c r="V76" i="8"/>
  <c r="V77" i="8"/>
  <c r="V78" i="8"/>
  <c r="V79" i="8"/>
  <c r="V80" i="8"/>
  <c r="V81" i="8"/>
  <c r="V82" i="8"/>
  <c r="V83" i="8"/>
  <c r="V84" i="8"/>
  <c r="V85" i="8"/>
  <c r="O76" i="8"/>
  <c r="O77" i="8"/>
  <c r="O78" i="8"/>
  <c r="O79" i="8"/>
  <c r="O80" i="8"/>
  <c r="O81" i="8"/>
  <c r="O82" i="8"/>
  <c r="O83" i="8"/>
  <c r="O84" i="8"/>
  <c r="O85" i="8"/>
  <c r="M76" i="8"/>
  <c r="M77" i="8"/>
  <c r="M78" i="8"/>
  <c r="M79" i="8"/>
  <c r="M80" i="8"/>
  <c r="M81" i="8"/>
  <c r="M82" i="8"/>
  <c r="M83" i="8"/>
  <c r="M84" i="8"/>
  <c r="M85" i="8"/>
  <c r="K76" i="8"/>
  <c r="K77" i="8"/>
  <c r="K78" i="8"/>
  <c r="K79" i="8"/>
  <c r="K80" i="8"/>
  <c r="K81" i="8"/>
  <c r="K82" i="8"/>
  <c r="K83" i="8"/>
  <c r="K84" i="8"/>
  <c r="K85"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I76" i="8"/>
  <c r="I77" i="8"/>
  <c r="I78" i="8"/>
  <c r="I79" i="8"/>
  <c r="I80" i="8"/>
  <c r="I81" i="8"/>
  <c r="I82" i="8"/>
  <c r="I83" i="8"/>
  <c r="I84" i="8"/>
  <c r="I85"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G76" i="8"/>
  <c r="G77" i="8"/>
  <c r="G78" i="8"/>
  <c r="G79" i="8"/>
  <c r="G80" i="8"/>
  <c r="G81" i="8"/>
  <c r="G82" i="8"/>
  <c r="G83" i="8"/>
  <c r="G84" i="8"/>
  <c r="G85"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E76" i="8"/>
  <c r="E77" i="8"/>
  <c r="E78" i="8"/>
  <c r="E79" i="8"/>
  <c r="E80" i="8"/>
  <c r="E81" i="8"/>
  <c r="E82" i="8"/>
  <c r="E83" i="8"/>
  <c r="E84" i="8"/>
  <c r="E85"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V6" i="8"/>
  <c r="O6" i="8"/>
  <c r="M6" i="8"/>
  <c r="K6" i="8"/>
  <c r="I6" i="8"/>
  <c r="G6" i="8"/>
  <c r="E6" i="8"/>
  <c r="U77" i="8"/>
  <c r="U78" i="8"/>
  <c r="U79" i="8"/>
  <c r="U80" i="8"/>
  <c r="U81" i="8"/>
  <c r="U82" i="8"/>
  <c r="U83" i="8"/>
  <c r="U84" i="8"/>
  <c r="U85" i="8"/>
  <c r="U76" i="8"/>
  <c r="F53" i="24"/>
  <c r="H53" i="24"/>
  <c r="J53" i="24"/>
  <c r="L53" i="24"/>
  <c r="N53" i="24"/>
  <c r="P53" i="24"/>
  <c r="Q53" i="24"/>
  <c r="R53" i="24"/>
  <c r="S53" i="24"/>
  <c r="T53" i="24"/>
  <c r="D53" i="24"/>
  <c r="F87" i="11"/>
  <c r="H87" i="11"/>
  <c r="J87" i="11"/>
  <c r="L87" i="11"/>
  <c r="N87" i="11"/>
  <c r="P87" i="11"/>
  <c r="Q87" i="11"/>
  <c r="R87" i="11"/>
  <c r="S87" i="11"/>
  <c r="T87" i="11"/>
  <c r="D87" i="11"/>
  <c r="F87" i="10"/>
  <c r="H87" i="10"/>
  <c r="J87" i="10"/>
  <c r="L87" i="10"/>
  <c r="N87" i="10"/>
  <c r="P87" i="10"/>
  <c r="Q87" i="10"/>
  <c r="R87" i="10"/>
  <c r="S87" i="10"/>
  <c r="T87" i="10"/>
  <c r="D87" i="10"/>
  <c r="F87" i="7"/>
  <c r="H87" i="7"/>
  <c r="J87" i="7"/>
  <c r="L87" i="7"/>
  <c r="N87" i="7"/>
  <c r="P87" i="7"/>
  <c r="Q87" i="7"/>
  <c r="R87" i="7"/>
  <c r="S87" i="7"/>
  <c r="T87" i="7"/>
  <c r="D87" i="7"/>
  <c r="F87" i="8"/>
  <c r="H87" i="8"/>
  <c r="J87" i="8"/>
  <c r="L87" i="8"/>
  <c r="N87" i="8"/>
  <c r="P87" i="8"/>
  <c r="Q87" i="8"/>
  <c r="R87" i="8"/>
  <c r="S87" i="8"/>
  <c r="T87" i="8"/>
  <c r="D87" i="8"/>
  <c r="F87" i="4"/>
  <c r="H87" i="4"/>
  <c r="J87" i="4"/>
  <c r="L87" i="4"/>
  <c r="N87" i="4"/>
  <c r="P87" i="4"/>
  <c r="Q87" i="4"/>
  <c r="R87" i="4"/>
  <c r="S87" i="4"/>
  <c r="T87" i="4"/>
  <c r="U87" i="4"/>
  <c r="D87" i="4"/>
  <c r="F87" i="2"/>
  <c r="H87" i="2"/>
  <c r="J87" i="2"/>
  <c r="L87" i="2"/>
  <c r="N87" i="2"/>
  <c r="P87" i="2"/>
  <c r="Q87" i="2"/>
  <c r="R87" i="2"/>
  <c r="S87" i="2"/>
  <c r="T87" i="2"/>
  <c r="U87" i="2"/>
  <c r="D87" i="2"/>
  <c r="V76" i="4"/>
  <c r="V77" i="4"/>
  <c r="V78" i="4"/>
  <c r="V79" i="4"/>
  <c r="V80" i="4"/>
  <c r="V81" i="4"/>
  <c r="V82" i="4"/>
  <c r="V83" i="4"/>
  <c r="V84" i="4"/>
  <c r="V85" i="4"/>
  <c r="U77" i="4"/>
  <c r="U78" i="4"/>
  <c r="U79" i="4"/>
  <c r="U80" i="4"/>
  <c r="U81" i="4"/>
  <c r="U82" i="4"/>
  <c r="U83" i="4"/>
  <c r="U84" i="4"/>
  <c r="U85" i="4"/>
  <c r="O76" i="4"/>
  <c r="O77" i="4"/>
  <c r="O78" i="4"/>
  <c r="O79" i="4"/>
  <c r="O80" i="4"/>
  <c r="O81" i="4"/>
  <c r="O82" i="4"/>
  <c r="O83" i="4"/>
  <c r="O84" i="4"/>
  <c r="O85" i="4"/>
  <c r="M76" i="4"/>
  <c r="M77" i="4"/>
  <c r="M78" i="4"/>
  <c r="M79" i="4"/>
  <c r="M80" i="4"/>
  <c r="M81" i="4"/>
  <c r="M82" i="4"/>
  <c r="M83" i="4"/>
  <c r="M84" i="4"/>
  <c r="M85" i="4"/>
  <c r="K76" i="4"/>
  <c r="K77" i="4"/>
  <c r="K78" i="4"/>
  <c r="K79" i="4"/>
  <c r="K80" i="4"/>
  <c r="K81" i="4"/>
  <c r="K82" i="4"/>
  <c r="K83" i="4"/>
  <c r="K84" i="4"/>
  <c r="K85" i="4"/>
  <c r="I76" i="4"/>
  <c r="I77" i="4"/>
  <c r="I78" i="4"/>
  <c r="I79" i="4"/>
  <c r="I80" i="4"/>
  <c r="I81" i="4"/>
  <c r="I82" i="4"/>
  <c r="I83" i="4"/>
  <c r="I84" i="4"/>
  <c r="I85" i="4"/>
  <c r="G76" i="4"/>
  <c r="G77" i="4"/>
  <c r="G78" i="4"/>
  <c r="G79" i="4"/>
  <c r="G80" i="4"/>
  <c r="G81" i="4"/>
  <c r="G82" i="4"/>
  <c r="G83" i="4"/>
  <c r="G84" i="4"/>
  <c r="G85" i="4"/>
  <c r="E76" i="4"/>
  <c r="E77" i="4"/>
  <c r="E78" i="4"/>
  <c r="E79" i="4"/>
  <c r="E80" i="4"/>
  <c r="E81" i="4"/>
  <c r="E82" i="4"/>
  <c r="E83" i="4"/>
  <c r="E84" i="4"/>
  <c r="E85"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6" i="4"/>
  <c r="O6" i="4"/>
  <c r="M6" i="4"/>
  <c r="K6" i="4"/>
  <c r="I6" i="4"/>
  <c r="G6" i="4"/>
  <c r="E6" i="4"/>
  <c r="U76" i="4"/>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V6" i="2"/>
  <c r="O6" i="2"/>
  <c r="M6" i="2"/>
  <c r="K6" i="2"/>
  <c r="I6" i="2"/>
  <c r="G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6" i="2"/>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6"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6" i="1"/>
  <c r="U81" i="2"/>
  <c r="U82" i="2"/>
  <c r="U83" i="2"/>
  <c r="U84" i="2"/>
  <c r="U85" i="2"/>
  <c r="U80" i="2"/>
  <c r="U79" i="2"/>
  <c r="U78" i="2"/>
  <c r="U77" i="2"/>
  <c r="U76" i="2"/>
  <c r="D29" i="28"/>
  <c r="D71" i="29" s="1"/>
  <c r="T29" i="28"/>
  <c r="P71" i="29" s="1"/>
  <c r="U77" i="1"/>
  <c r="U78" i="1"/>
  <c r="U79" i="1"/>
  <c r="U80" i="1"/>
  <c r="U81" i="1"/>
  <c r="U82" i="1"/>
  <c r="U83" i="1"/>
  <c r="U84" i="1"/>
  <c r="U85" i="1"/>
  <c r="F87" i="1"/>
  <c r="H87" i="1"/>
  <c r="J87" i="1"/>
  <c r="L87" i="1"/>
  <c r="N87" i="1"/>
  <c r="P87" i="1"/>
  <c r="Q87" i="1"/>
  <c r="R87" i="1"/>
  <c r="S87" i="1"/>
  <c r="T87" i="1"/>
  <c r="D87" i="1"/>
  <c r="U76" i="1"/>
  <c r="L10" i="28"/>
  <c r="L12" i="28"/>
  <c r="P29" i="28"/>
  <c r="M71" i="29" s="1"/>
  <c r="L29" i="28"/>
  <c r="J71" i="29" s="1"/>
  <c r="H29" i="28"/>
  <c r="G71" i="29" s="1"/>
  <c r="P22" i="28"/>
  <c r="M63" i="29" s="1"/>
  <c r="T22" i="28"/>
  <c r="P63" i="29" s="1"/>
  <c r="L22" i="28"/>
  <c r="J63" i="29" s="1"/>
  <c r="H22" i="28"/>
  <c r="G63" i="29" s="1"/>
  <c r="D22" i="28"/>
  <c r="D63" i="29" s="1"/>
  <c r="V47" i="34" l="1"/>
  <c r="V49" i="34" s="1"/>
  <c r="U47" i="34"/>
  <c r="T47" i="34"/>
  <c r="R47" i="34"/>
  <c r="Q47" i="34"/>
  <c r="P47" i="34"/>
  <c r="O47" i="34"/>
  <c r="N47" i="34"/>
  <c r="E46" i="31"/>
  <c r="J6" i="34"/>
  <c r="H46" i="31"/>
  <c r="Q57" i="31"/>
  <c r="G46" i="31" s="1"/>
  <c r="S49" i="34"/>
  <c r="U49" i="34"/>
  <c r="E56" i="33"/>
  <c r="D56" i="33"/>
  <c r="J21" i="19"/>
  <c r="N49" i="34"/>
  <c r="R49" i="34"/>
  <c r="T49" i="34"/>
  <c r="O49" i="34"/>
  <c r="C56" i="33"/>
  <c r="BU232" i="41"/>
  <c r="X27" i="40" s="1"/>
  <c r="J54" i="33"/>
  <c r="J37" i="19" s="1"/>
  <c r="V206" i="41"/>
  <c r="G17" i="40" s="1"/>
  <c r="M232" i="41"/>
  <c r="L9" i="40" s="1"/>
  <c r="AQ232" i="41"/>
  <c r="X7" i="40" s="1"/>
  <c r="CY232" i="41"/>
  <c r="AJ25" i="40" s="1"/>
  <c r="U232" i="41"/>
  <c r="K17" i="40" s="1"/>
  <c r="AY232" i="41"/>
  <c r="W10" i="40" s="1"/>
  <c r="CC232" i="41"/>
  <c r="AI8" i="40" s="1"/>
  <c r="DG232" i="41"/>
  <c r="AI28" i="40" s="1"/>
  <c r="V232" i="41"/>
  <c r="L17" i="40" s="1"/>
  <c r="AZ232" i="41"/>
  <c r="X10" i="40" s="1"/>
  <c r="CD232" i="41"/>
  <c r="AJ8" i="40" s="1"/>
  <c r="DH232" i="41"/>
  <c r="AJ28" i="40" s="1"/>
  <c r="Y232" i="41"/>
  <c r="L18" i="40" s="1"/>
  <c r="BC232" i="41"/>
  <c r="X16" i="40" s="1"/>
  <c r="CG232" i="41"/>
  <c r="AJ9" i="40" s="1"/>
  <c r="AA232" i="41"/>
  <c r="K19" i="40" s="1"/>
  <c r="BE232" i="41"/>
  <c r="W17" i="40" s="1"/>
  <c r="CI232" i="41"/>
  <c r="AI10" i="40" s="1"/>
  <c r="AE232" i="41"/>
  <c r="L25" i="40" s="1"/>
  <c r="BI232" i="41"/>
  <c r="X18" i="40" s="1"/>
  <c r="CM232" i="41"/>
  <c r="AJ16" i="40" s="1"/>
  <c r="U206" i="41"/>
  <c r="F17" i="40" s="1"/>
  <c r="BI206" i="41"/>
  <c r="S18" i="40" s="1"/>
  <c r="CC206" i="41"/>
  <c r="AD8" i="40" s="1"/>
  <c r="CW206" i="41"/>
  <c r="AF19" i="40" s="1"/>
  <c r="AP206" i="41"/>
  <c r="R7" i="40" s="1"/>
  <c r="BJ206" i="41"/>
  <c r="T18" i="40" s="1"/>
  <c r="CD206" i="41"/>
  <c r="AE8" i="40" s="1"/>
  <c r="CX206" i="41"/>
  <c r="AD25" i="40" s="1"/>
  <c r="CG206" i="41"/>
  <c r="AE9" i="40" s="1"/>
  <c r="DA206" i="41"/>
  <c r="AD26" i="40" s="1"/>
  <c r="CH206" i="41"/>
  <c r="AF9" i="40" s="1"/>
  <c r="DB206" i="41"/>
  <c r="AE26" i="40" s="1"/>
  <c r="G206" i="41"/>
  <c r="G7" i="40" s="1"/>
  <c r="AA206" i="41"/>
  <c r="F19" i="40" s="1"/>
  <c r="AU206" i="41"/>
  <c r="T8" i="40" s="1"/>
  <c r="BO206" i="41"/>
  <c r="S25" i="40" s="1"/>
  <c r="AG232" i="41"/>
  <c r="K26" i="40" s="1"/>
  <c r="BK232" i="41"/>
  <c r="W19" i="40" s="1"/>
  <c r="CO232" i="41"/>
  <c r="AI17" i="40" s="1"/>
  <c r="H206" i="41"/>
  <c r="H7" i="40" s="1"/>
  <c r="AB206" i="41"/>
  <c r="G19" i="40" s="1"/>
  <c r="AV206" i="41"/>
  <c r="R9" i="40" s="1"/>
  <c r="BP206" i="41"/>
  <c r="T25" i="40" s="1"/>
  <c r="CL206" i="41"/>
  <c r="AD16" i="40" s="1"/>
  <c r="DF206" i="41"/>
  <c r="AF27" i="40" s="1"/>
  <c r="AO206" i="41"/>
  <c r="H28" i="40" s="1"/>
  <c r="G232" i="41"/>
  <c r="L7" i="40" s="1"/>
  <c r="AK232" i="41"/>
  <c r="L27" i="40" s="1"/>
  <c r="BO232" i="41"/>
  <c r="X25" i="40" s="1"/>
  <c r="CS232" i="41"/>
  <c r="AJ18" i="40" s="1"/>
  <c r="I232" i="41"/>
  <c r="K8" i="40" s="1"/>
  <c r="AM232" i="41"/>
  <c r="K28" i="40" s="1"/>
  <c r="BQ232" i="41"/>
  <c r="W26" i="40" s="1"/>
  <c r="CU232" i="41"/>
  <c r="AI19" i="40" s="1"/>
  <c r="L206" i="41"/>
  <c r="F9" i="40" s="1"/>
  <c r="AF206" i="41"/>
  <c r="H25" i="40" s="1"/>
  <c r="AZ206" i="41"/>
  <c r="S10" i="40" s="1"/>
  <c r="BT206" i="41"/>
  <c r="R27" i="40" s="1"/>
  <c r="CN206" i="41"/>
  <c r="AF16" i="40" s="1"/>
  <c r="DH206" i="41"/>
  <c r="AE28" i="40" s="1"/>
  <c r="CV206" i="41"/>
  <c r="AE19" i="40" s="1"/>
  <c r="N206" i="41"/>
  <c r="H9" i="40" s="1"/>
  <c r="AH206" i="41"/>
  <c r="G26" i="40" s="1"/>
  <c r="BB206" i="41"/>
  <c r="R16" i="40" s="1"/>
  <c r="BV206" i="41"/>
  <c r="T27" i="40" s="1"/>
  <c r="O232" i="41"/>
  <c r="K10" i="40" s="1"/>
  <c r="AS232" i="41"/>
  <c r="W8" i="40" s="1"/>
  <c r="BW232" i="41"/>
  <c r="W28" i="40" s="1"/>
  <c r="DA232" i="41"/>
  <c r="AI26" i="40" s="1"/>
  <c r="CR206" i="41"/>
  <c r="AD18" i="40" s="1"/>
  <c r="P232" i="41"/>
  <c r="L10" i="40" s="1"/>
  <c r="AT232" i="41"/>
  <c r="X8" i="40" s="1"/>
  <c r="BX232" i="41"/>
  <c r="X28" i="40" s="1"/>
  <c r="DB232" i="41"/>
  <c r="AJ26" i="40" s="1"/>
  <c r="R232" i="41"/>
  <c r="K16" i="40" s="1"/>
  <c r="AV232" i="41"/>
  <c r="W9" i="40" s="1"/>
  <c r="BZ232" i="41"/>
  <c r="AI7" i="40" s="1"/>
  <c r="DD232" i="41"/>
  <c r="AI27" i="40" s="1"/>
  <c r="X232" i="41"/>
  <c r="K18" i="40" s="1"/>
  <c r="BB232" i="41"/>
  <c r="W16" i="40" s="1"/>
  <c r="CF232" i="41"/>
  <c r="AI9" i="40" s="1"/>
  <c r="R206" i="41"/>
  <c r="F16" i="40" s="1"/>
  <c r="C20" i="40" s="1"/>
  <c r="AL206" i="41"/>
  <c r="H27" i="40" s="1"/>
  <c r="BF206" i="41"/>
  <c r="S17" i="40" s="1"/>
  <c r="BZ206" i="41"/>
  <c r="AD7" i="40" s="1"/>
  <c r="S232" i="41"/>
  <c r="L16" i="40" s="1"/>
  <c r="AW232" i="41"/>
  <c r="X9" i="40" s="1"/>
  <c r="CA232" i="41"/>
  <c r="AJ7" i="40" s="1"/>
  <c r="DE232" i="41"/>
  <c r="AJ27" i="40" s="1"/>
  <c r="P49" i="34"/>
  <c r="AB42" i="40"/>
  <c r="AB46" i="40"/>
  <c r="I42" i="40" s="1"/>
  <c r="AB44" i="40"/>
  <c r="B44" i="40" s="1"/>
  <c r="I34" i="40" s="1"/>
  <c r="CA206" i="41"/>
  <c r="AE7" i="40" s="1"/>
  <c r="CB206" i="41"/>
  <c r="AF7" i="40" s="1"/>
  <c r="O206" i="41"/>
  <c r="F10" i="40" s="1"/>
  <c r="P206" i="41"/>
  <c r="G10" i="40" s="1"/>
  <c r="AJ206" i="41"/>
  <c r="F27" i="40" s="1"/>
  <c r="BD206" i="41"/>
  <c r="T16" i="40" s="1"/>
  <c r="BX206" i="41"/>
  <c r="S28" i="40" s="1"/>
  <c r="CP206" i="41"/>
  <c r="AE17" i="40" s="1"/>
  <c r="Q206" i="41"/>
  <c r="H10" i="40" s="1"/>
  <c r="AK206" i="41"/>
  <c r="G27" i="40" s="1"/>
  <c r="BE206" i="41"/>
  <c r="R17" i="40" s="1"/>
  <c r="BY206" i="41"/>
  <c r="T28" i="40" s="1"/>
  <c r="CQ206" i="41"/>
  <c r="AF17" i="40" s="1"/>
  <c r="AB232" i="41"/>
  <c r="L19" i="40" s="1"/>
  <c r="BF232" i="41"/>
  <c r="X17" i="40" s="1"/>
  <c r="CJ232" i="41"/>
  <c r="AJ10" i="40" s="1"/>
  <c r="BC206" i="41"/>
  <c r="S16" i="40" s="1"/>
  <c r="S206" i="41"/>
  <c r="G16" i="40" s="1"/>
  <c r="AM206" i="41"/>
  <c r="F28" i="40" s="1"/>
  <c r="BG206" i="41"/>
  <c r="T17" i="40" s="1"/>
  <c r="CS206" i="41"/>
  <c r="AE18" i="40" s="1"/>
  <c r="AD232" i="41"/>
  <c r="K25" i="40" s="1"/>
  <c r="BH232" i="41"/>
  <c r="W18" i="40" s="1"/>
  <c r="CL232" i="41"/>
  <c r="AI16" i="40" s="1"/>
  <c r="CO206" i="41"/>
  <c r="AD17" i="40" s="1"/>
  <c r="T206" i="41"/>
  <c r="H16" i="40" s="1"/>
  <c r="AN206" i="41"/>
  <c r="G28" i="40" s="1"/>
  <c r="BH206" i="41"/>
  <c r="R18" i="40" s="1"/>
  <c r="CT206" i="41"/>
  <c r="AF18" i="40" s="1"/>
  <c r="DI206" i="41"/>
  <c r="AF28" i="40" s="1"/>
  <c r="CU206" i="41"/>
  <c r="AD19" i="40" s="1"/>
  <c r="AH232" i="41"/>
  <c r="L26" i="40" s="1"/>
  <c r="BL232" i="41"/>
  <c r="X19" i="40" s="1"/>
  <c r="CP232" i="41"/>
  <c r="AJ17" i="40" s="1"/>
  <c r="W206" i="41"/>
  <c r="H17" i="40" s="1"/>
  <c r="AQ206" i="41"/>
  <c r="S7" i="40" s="1"/>
  <c r="BK206" i="41"/>
  <c r="R19" i="40" s="1"/>
  <c r="F232" i="41"/>
  <c r="K7" i="40" s="1"/>
  <c r="AJ232" i="41"/>
  <c r="K27" i="40" s="1"/>
  <c r="BN232" i="41"/>
  <c r="W25" i="40" s="1"/>
  <c r="CR232" i="41"/>
  <c r="AI18" i="40" s="1"/>
  <c r="X206" i="41"/>
  <c r="F18" i="40" s="1"/>
  <c r="AR206" i="41"/>
  <c r="T7" i="40" s="1"/>
  <c r="BL206" i="41"/>
  <c r="S19" i="40" s="1"/>
  <c r="Y206" i="41"/>
  <c r="G18" i="40" s="1"/>
  <c r="AS206" i="41"/>
  <c r="R8" i="40" s="1"/>
  <c r="BM206" i="41"/>
  <c r="T19" i="40" s="1"/>
  <c r="CE206" i="41"/>
  <c r="AF8" i="40" s="1"/>
  <c r="CY206" i="41"/>
  <c r="AE25" i="40" s="1"/>
  <c r="F206" i="41"/>
  <c r="F7" i="40" s="1"/>
  <c r="Z206" i="41"/>
  <c r="H18" i="40" s="1"/>
  <c r="AT206" i="41"/>
  <c r="S8" i="40" s="1"/>
  <c r="BN206" i="41"/>
  <c r="R25" i="40" s="1"/>
  <c r="CF206" i="41"/>
  <c r="AD9" i="40" s="1"/>
  <c r="CZ206" i="41"/>
  <c r="AF25" i="40" s="1"/>
  <c r="J232" i="41"/>
  <c r="L8" i="40" s="1"/>
  <c r="AN232" i="41"/>
  <c r="L28" i="40" s="1"/>
  <c r="BR232" i="41"/>
  <c r="X26" i="40" s="1"/>
  <c r="CV232" i="41"/>
  <c r="AJ19" i="40" s="1"/>
  <c r="AI206" i="41"/>
  <c r="H26" i="40" s="1"/>
  <c r="L232" i="41"/>
  <c r="K9" i="40" s="1"/>
  <c r="AP232" i="41"/>
  <c r="W7" i="40" s="1"/>
  <c r="BT232" i="41"/>
  <c r="W27" i="40" s="1"/>
  <c r="CX232" i="41"/>
  <c r="AI25" i="40" s="1"/>
  <c r="I206" i="41"/>
  <c r="F8" i="40" s="1"/>
  <c r="AC206" i="41"/>
  <c r="H19" i="40" s="1"/>
  <c r="AW206" i="41"/>
  <c r="S9" i="40" s="1"/>
  <c r="BQ206" i="41"/>
  <c r="R26" i="40" s="1"/>
  <c r="CI206" i="41"/>
  <c r="AD10" i="40" s="1"/>
  <c r="DC206" i="41"/>
  <c r="AF26" i="40" s="1"/>
  <c r="BW206" i="41"/>
  <c r="R28" i="40" s="1"/>
  <c r="J206" i="41"/>
  <c r="G8" i="40" s="1"/>
  <c r="AD206" i="41"/>
  <c r="F25" i="40" s="1"/>
  <c r="C29" i="40" s="1"/>
  <c r="AX206" i="41"/>
  <c r="T9" i="40" s="1"/>
  <c r="BR206" i="41"/>
  <c r="S26" i="40" s="1"/>
  <c r="CJ206" i="41"/>
  <c r="AE10" i="40" s="1"/>
  <c r="DD206" i="41"/>
  <c r="AD27" i="40" s="1"/>
  <c r="K206" i="41"/>
  <c r="H8" i="40" s="1"/>
  <c r="AE206" i="41"/>
  <c r="G25" i="40" s="1"/>
  <c r="AY206" i="41"/>
  <c r="R10" i="40" s="1"/>
  <c r="BS206" i="41"/>
  <c r="T26" i="40" s="1"/>
  <c r="CK206" i="41"/>
  <c r="AF10" i="40" s="1"/>
  <c r="DE206" i="41"/>
  <c r="AE27" i="40" s="1"/>
  <c r="M206" i="41"/>
  <c r="G9" i="40" s="1"/>
  <c r="AG206" i="41"/>
  <c r="F26" i="40" s="1"/>
  <c r="BA206" i="41"/>
  <c r="T10" i="40" s="1"/>
  <c r="BU206" i="41"/>
  <c r="S27" i="40" s="1"/>
  <c r="CM206" i="41"/>
  <c r="AE16" i="40" s="1"/>
  <c r="DG206" i="41"/>
  <c r="AD28" i="40" s="1"/>
  <c r="H61" i="34"/>
  <c r="Q49" i="34"/>
  <c r="H60" i="34"/>
  <c r="F61" i="34"/>
  <c r="J19" i="19" s="1"/>
  <c r="F60" i="34"/>
  <c r="Q6" i="32"/>
  <c r="F23" i="32" s="1"/>
  <c r="Q12" i="32"/>
  <c r="Q8" i="32"/>
  <c r="F28" i="32" s="1"/>
  <c r="F29" i="32" s="1"/>
  <c r="Q10" i="32"/>
  <c r="H68" i="31"/>
  <c r="G68" i="31"/>
  <c r="E66" i="31"/>
  <c r="F59" i="31"/>
  <c r="I59" i="31" s="1"/>
  <c r="C46" i="31" s="1"/>
  <c r="G59" i="31"/>
  <c r="H59" i="31"/>
  <c r="F67" i="31"/>
  <c r="H67" i="31"/>
  <c r="F60" i="31"/>
  <c r="E60" i="31"/>
  <c r="I60" i="31" s="1"/>
  <c r="D46" i="31" s="1"/>
  <c r="G60" i="31"/>
  <c r="F66" i="31"/>
  <c r="G66" i="31"/>
  <c r="E61" i="31"/>
  <c r="I61" i="31" s="1"/>
  <c r="F61" i="31"/>
  <c r="E67" i="31"/>
  <c r="G61" i="31"/>
  <c r="E68" i="31"/>
  <c r="M87" i="4"/>
  <c r="G29" i="29" s="1"/>
  <c r="V87" i="2"/>
  <c r="DQ27" i="27"/>
  <c r="DS27" i="27"/>
  <c r="O87" i="2"/>
  <c r="E30" i="29" s="1"/>
  <c r="O87" i="4"/>
  <c r="G30" i="29" s="1"/>
  <c r="G87" i="4"/>
  <c r="G26" i="29" s="1"/>
  <c r="V87" i="4"/>
  <c r="E87" i="2"/>
  <c r="E25" i="29" s="1"/>
  <c r="I87" i="2"/>
  <c r="E27" i="29" s="1"/>
  <c r="G87" i="2"/>
  <c r="E26" i="29" s="1"/>
  <c r="E87" i="4"/>
  <c r="G25" i="29" s="1"/>
  <c r="K87" i="4"/>
  <c r="G28" i="29" s="1"/>
  <c r="K87" i="2"/>
  <c r="E28" i="29" s="1"/>
  <c r="M87" i="2"/>
  <c r="E29" i="29" s="1"/>
  <c r="I87" i="4"/>
  <c r="G27" i="29" s="1"/>
  <c r="DO27" i="27"/>
  <c r="H17" i="32" s="1"/>
  <c r="DM27" i="27"/>
  <c r="G17" i="32" s="1"/>
  <c r="DK27" i="27"/>
  <c r="F17" i="32" s="1"/>
  <c r="V87" i="8"/>
  <c r="O87" i="8"/>
  <c r="I30" i="29" s="1"/>
  <c r="M87" i="8"/>
  <c r="I29" i="29" s="1"/>
  <c r="K87" i="8"/>
  <c r="I28" i="29" s="1"/>
  <c r="I87" i="8"/>
  <c r="I27" i="29" s="1"/>
  <c r="G87" i="8"/>
  <c r="I26" i="29" s="1"/>
  <c r="E87" i="8"/>
  <c r="I25" i="29" s="1"/>
  <c r="U87" i="8"/>
  <c r="AA11" i="40" l="1"/>
  <c r="O29" i="40"/>
  <c r="O54" i="34"/>
  <c r="J33" i="19" s="1"/>
  <c r="O11" i="40"/>
  <c r="O20" i="40"/>
  <c r="AA20" i="40"/>
  <c r="AA29" i="40"/>
  <c r="C11" i="40"/>
  <c r="AJ11" i="40"/>
  <c r="AJ29" i="40"/>
  <c r="AI29" i="40"/>
  <c r="AI20" i="40"/>
  <c r="AJ20" i="40"/>
  <c r="AI11" i="40"/>
  <c r="J20" i="19"/>
  <c r="AE20" i="40"/>
  <c r="AF20" i="40"/>
  <c r="AD20" i="40"/>
  <c r="AF11" i="40"/>
  <c r="AE11" i="40"/>
  <c r="AD11" i="40"/>
  <c r="W20" i="40"/>
  <c r="X20" i="40"/>
  <c r="S11" i="40"/>
  <c r="T11" i="40"/>
  <c r="R11" i="40"/>
  <c r="K29" i="40"/>
  <c r="L20" i="40"/>
  <c r="AF29" i="40"/>
  <c r="AD29" i="40"/>
  <c r="AE29" i="40"/>
  <c r="T20" i="40"/>
  <c r="R20" i="40"/>
  <c r="S20" i="40"/>
  <c r="H29" i="40"/>
  <c r="G29" i="40"/>
  <c r="F29" i="40"/>
  <c r="H20" i="40"/>
  <c r="G20" i="40"/>
  <c r="F20" i="40"/>
  <c r="W29" i="40"/>
  <c r="X29" i="40"/>
  <c r="X11" i="40"/>
  <c r="W11" i="40"/>
  <c r="L29" i="40"/>
  <c r="K20" i="40"/>
  <c r="K11" i="40"/>
  <c r="L11" i="40"/>
  <c r="R29" i="40"/>
  <c r="T29" i="40"/>
  <c r="S29" i="40"/>
  <c r="F11" i="40"/>
  <c r="G11" i="40"/>
  <c r="H11" i="40"/>
  <c r="B43" i="40"/>
  <c r="B46" i="40"/>
  <c r="K42" i="40" s="1"/>
  <c r="H43" i="40"/>
  <c r="H35" i="40"/>
  <c r="T16" i="28"/>
  <c r="P13" i="28"/>
  <c r="L11" i="28"/>
  <c r="H8" i="28"/>
  <c r="D9" i="28"/>
  <c r="D11" i="28" s="1"/>
  <c r="DI8" i="27" a="1"/>
  <c r="DI8" i="27" s="1"/>
  <c r="DI9" i="27" a="1"/>
  <c r="DI9" i="27" s="1"/>
  <c r="DI10" i="27" a="1"/>
  <c r="DI10" i="27" s="1"/>
  <c r="DI11" i="27" a="1"/>
  <c r="DI11" i="27" s="1"/>
  <c r="DI12" i="27" a="1"/>
  <c r="DI12" i="27" s="1"/>
  <c r="DI13" i="27" a="1"/>
  <c r="DI13" i="27" s="1"/>
  <c r="DI14" i="27" a="1"/>
  <c r="DI14" i="27" s="1"/>
  <c r="DI15" i="27" a="1"/>
  <c r="DI15" i="27" s="1"/>
  <c r="DI16" i="27" a="1"/>
  <c r="DI16" i="27" s="1"/>
  <c r="DI17" i="27" a="1"/>
  <c r="DI17" i="27" s="1"/>
  <c r="DI18" i="27" a="1"/>
  <c r="DI18" i="27" s="1"/>
  <c r="DI19" i="27" a="1"/>
  <c r="DI19" i="27" s="1"/>
  <c r="DI20" i="27" a="1"/>
  <c r="DI20" i="27" s="1"/>
  <c r="DI21" i="27" a="1"/>
  <c r="DI21" i="27" s="1"/>
  <c r="DI22" i="27" a="1"/>
  <c r="DI22" i="27" s="1"/>
  <c r="DI23" i="27" a="1"/>
  <c r="DI23" i="27" s="1"/>
  <c r="DI24" i="27" a="1"/>
  <c r="DI24" i="27" s="1"/>
  <c r="DI25" i="27" a="1"/>
  <c r="DI25" i="27" s="1"/>
  <c r="DI26" i="27" a="1"/>
  <c r="DI26" i="27" s="1"/>
  <c r="DG8" i="27" a="1"/>
  <c r="DG8" i="27" s="1"/>
  <c r="DG9" i="27" a="1"/>
  <c r="DG9" i="27" s="1"/>
  <c r="DG10" i="27" a="1"/>
  <c r="DG10" i="27" s="1"/>
  <c r="DG11" i="27" a="1"/>
  <c r="DG11" i="27" s="1"/>
  <c r="DG12" i="27" a="1"/>
  <c r="DG12" i="27" s="1"/>
  <c r="DG13" i="27" a="1"/>
  <c r="DG13" i="27" s="1"/>
  <c r="DG14" i="27" a="1"/>
  <c r="DG14" i="27" s="1"/>
  <c r="DG15" i="27" a="1"/>
  <c r="DG15" i="27" s="1"/>
  <c r="DG16" i="27" a="1"/>
  <c r="DG16" i="27" s="1"/>
  <c r="DG17" i="27" a="1"/>
  <c r="DG17" i="27" s="1"/>
  <c r="DG18" i="27" a="1"/>
  <c r="DG18" i="27" s="1"/>
  <c r="DG19" i="27" a="1"/>
  <c r="DG19" i="27" s="1"/>
  <c r="DG20" i="27" a="1"/>
  <c r="DG20" i="27" s="1"/>
  <c r="DG21" i="27" a="1"/>
  <c r="DG21" i="27" s="1"/>
  <c r="DG22" i="27" a="1"/>
  <c r="DG22" i="27" s="1"/>
  <c r="DG23" i="27" a="1"/>
  <c r="DG23" i="27" s="1"/>
  <c r="DG24" i="27" a="1"/>
  <c r="DG24" i="27" s="1"/>
  <c r="DG25" i="27" a="1"/>
  <c r="DG25" i="27" s="1"/>
  <c r="DG26" i="27" a="1"/>
  <c r="DG26" i="27" s="1"/>
  <c r="DE8" i="27" a="1"/>
  <c r="DE8" i="27" s="1"/>
  <c r="DE9" i="27" a="1"/>
  <c r="DE9" i="27" s="1"/>
  <c r="DE10" i="27" a="1"/>
  <c r="DE10" i="27" s="1"/>
  <c r="DE11" i="27" a="1"/>
  <c r="DE11" i="27" s="1"/>
  <c r="DE12" i="27" a="1"/>
  <c r="DE12" i="27" s="1"/>
  <c r="DE13" i="27" a="1"/>
  <c r="DE13" i="27" s="1"/>
  <c r="DE14" i="27" a="1"/>
  <c r="DE14" i="27" s="1"/>
  <c r="DE15" i="27" a="1"/>
  <c r="DE15" i="27" s="1"/>
  <c r="DE16" i="27" a="1"/>
  <c r="DE16" i="27" s="1"/>
  <c r="DE17" i="27" a="1"/>
  <c r="DE17" i="27" s="1"/>
  <c r="DE18" i="27" a="1"/>
  <c r="DE18" i="27" s="1"/>
  <c r="DE19" i="27" a="1"/>
  <c r="DE19" i="27" s="1"/>
  <c r="DE20" i="27" a="1"/>
  <c r="DE20" i="27" s="1"/>
  <c r="DE21" i="27" a="1"/>
  <c r="DE21" i="27" s="1"/>
  <c r="DE22" i="27" a="1"/>
  <c r="DE22" i="27" s="1"/>
  <c r="DE23" i="27" a="1"/>
  <c r="DE23" i="27" s="1"/>
  <c r="DE24" i="27" a="1"/>
  <c r="DE24" i="27" s="1"/>
  <c r="DE25" i="27" a="1"/>
  <c r="DE25" i="27" s="1"/>
  <c r="DE26" i="27" a="1"/>
  <c r="DE26" i="27" s="1"/>
  <c r="DC8" i="27" a="1"/>
  <c r="DC8" i="27" s="1"/>
  <c r="DC9" i="27" a="1"/>
  <c r="DC9" i="27" s="1"/>
  <c r="DC10" i="27" a="1"/>
  <c r="DC10" i="27" s="1"/>
  <c r="DC11" i="27" a="1"/>
  <c r="DC11" i="27" s="1"/>
  <c r="DC12" i="27" a="1"/>
  <c r="DC12" i="27" s="1"/>
  <c r="DC13" i="27" a="1"/>
  <c r="DC13" i="27" s="1"/>
  <c r="DC14" i="27" a="1"/>
  <c r="DC14" i="27" s="1"/>
  <c r="DC15" i="27" a="1"/>
  <c r="DC15" i="27" s="1"/>
  <c r="DC16" i="27" a="1"/>
  <c r="DC16" i="27" s="1"/>
  <c r="DC17" i="27" a="1"/>
  <c r="DC17" i="27" s="1"/>
  <c r="DC18" i="27" a="1"/>
  <c r="DC18" i="27" s="1"/>
  <c r="DC19" i="27" a="1"/>
  <c r="DC19" i="27" s="1"/>
  <c r="DC20" i="27" a="1"/>
  <c r="DC20" i="27" s="1"/>
  <c r="DC21" i="27" a="1"/>
  <c r="DC21" i="27" s="1"/>
  <c r="DC22" i="27" a="1"/>
  <c r="DC22" i="27" s="1"/>
  <c r="DC23" i="27" a="1"/>
  <c r="DC23" i="27" s="1"/>
  <c r="DC24" i="27" a="1"/>
  <c r="DC24" i="27" s="1"/>
  <c r="DC25" i="27" a="1"/>
  <c r="DC25" i="27" s="1"/>
  <c r="DC26" i="27" a="1"/>
  <c r="DC26" i="27" s="1"/>
  <c r="DA8" i="27" a="1"/>
  <c r="DA8" i="27" s="1"/>
  <c r="DA9" i="27" a="1"/>
  <c r="DA9" i="27" s="1"/>
  <c r="DA10" i="27" a="1"/>
  <c r="DA10" i="27" s="1"/>
  <c r="DA11" i="27" a="1"/>
  <c r="DA11" i="27" s="1"/>
  <c r="DA12" i="27" a="1"/>
  <c r="DA12" i="27" s="1"/>
  <c r="DA13" i="27" a="1"/>
  <c r="DA13" i="27" s="1"/>
  <c r="DA14" i="27" a="1"/>
  <c r="DA14" i="27" s="1"/>
  <c r="DA15" i="27" a="1"/>
  <c r="DA15" i="27" s="1"/>
  <c r="DA16" i="27" a="1"/>
  <c r="DA16" i="27" s="1"/>
  <c r="DA17" i="27" a="1"/>
  <c r="DA17" i="27" s="1"/>
  <c r="DA18" i="27" a="1"/>
  <c r="DA18" i="27" s="1"/>
  <c r="DA19" i="27" a="1"/>
  <c r="DA19" i="27" s="1"/>
  <c r="DA20" i="27" a="1"/>
  <c r="DA20" i="27" s="1"/>
  <c r="DA21" i="27" a="1"/>
  <c r="DA21" i="27" s="1"/>
  <c r="DA22" i="27" a="1"/>
  <c r="DA22" i="27" s="1"/>
  <c r="DA23" i="27" a="1"/>
  <c r="DA23" i="27" s="1"/>
  <c r="DA24" i="27" a="1"/>
  <c r="DA24" i="27" s="1"/>
  <c r="DA25" i="27" a="1"/>
  <c r="DA25" i="27" s="1"/>
  <c r="DA26" i="27" a="1"/>
  <c r="DA26" i="27" s="1"/>
  <c r="DI7" i="27" a="1"/>
  <c r="DI7" i="27" s="1"/>
  <c r="DG7" i="27" a="1"/>
  <c r="DG7" i="27" s="1"/>
  <c r="DE7" i="27" a="1"/>
  <c r="DE7" i="27" s="1"/>
  <c r="DC7" i="27" a="1"/>
  <c r="DC7" i="27" s="1"/>
  <c r="DA7" i="27" a="1"/>
  <c r="DA7" i="27" s="1"/>
  <c r="CY8" i="27"/>
  <c r="CY9" i="27"/>
  <c r="CY10" i="27"/>
  <c r="CY11" i="27"/>
  <c r="CY12" i="27"/>
  <c r="CY13" i="27"/>
  <c r="CY14" i="27"/>
  <c r="CY15" i="27"/>
  <c r="CY16" i="27"/>
  <c r="CY17" i="27"/>
  <c r="CY18" i="27"/>
  <c r="CY19" i="27"/>
  <c r="CY20" i="27"/>
  <c r="CY21" i="27"/>
  <c r="CY22" i="27"/>
  <c r="CY23" i="27"/>
  <c r="CY24" i="27"/>
  <c r="CY25" i="27"/>
  <c r="CY26" i="27"/>
  <c r="CW8" i="27"/>
  <c r="CW9" i="27"/>
  <c r="CW10" i="27"/>
  <c r="CW11" i="27"/>
  <c r="CW12" i="27"/>
  <c r="CW13" i="27"/>
  <c r="CW14" i="27"/>
  <c r="CW15" i="27"/>
  <c r="CW16" i="27"/>
  <c r="CW17" i="27"/>
  <c r="CW18" i="27"/>
  <c r="CW19" i="27"/>
  <c r="CW20" i="27"/>
  <c r="CW21" i="27"/>
  <c r="CW22" i="27"/>
  <c r="CW23" i="27"/>
  <c r="CW24" i="27"/>
  <c r="CW25" i="27"/>
  <c r="CW26" i="27"/>
  <c r="CU8" i="27"/>
  <c r="CU9" i="27"/>
  <c r="CU10" i="27"/>
  <c r="CU11" i="27"/>
  <c r="CU12" i="27"/>
  <c r="CU13" i="27"/>
  <c r="CU14" i="27"/>
  <c r="CU15" i="27"/>
  <c r="CU16" i="27"/>
  <c r="CU17" i="27"/>
  <c r="CU18" i="27"/>
  <c r="CU19" i="27"/>
  <c r="CU20" i="27"/>
  <c r="CU21" i="27"/>
  <c r="CU22" i="27"/>
  <c r="CU23" i="27"/>
  <c r="CU24" i="27"/>
  <c r="CU25" i="27"/>
  <c r="CU26" i="27"/>
  <c r="CS8" i="27"/>
  <c r="CS9" i="27"/>
  <c r="CS10" i="27"/>
  <c r="CS11" i="27"/>
  <c r="CS12" i="27"/>
  <c r="CS13" i="27"/>
  <c r="CS14" i="27"/>
  <c r="CS15" i="27"/>
  <c r="CS16" i="27"/>
  <c r="CS17" i="27"/>
  <c r="CS18" i="27"/>
  <c r="CS19" i="27"/>
  <c r="CS20" i="27"/>
  <c r="CS21" i="27"/>
  <c r="CS22" i="27"/>
  <c r="CS23" i="27"/>
  <c r="CS24" i="27"/>
  <c r="CS25" i="27"/>
  <c r="CS26" i="27"/>
  <c r="CQ8" i="27"/>
  <c r="CQ9" i="27"/>
  <c r="CQ10" i="27"/>
  <c r="CQ11" i="27"/>
  <c r="CQ12" i="27"/>
  <c r="CQ13" i="27"/>
  <c r="CQ14" i="27"/>
  <c r="CQ15" i="27"/>
  <c r="CQ16" i="27"/>
  <c r="CQ17" i="27"/>
  <c r="CQ18" i="27"/>
  <c r="CQ19" i="27"/>
  <c r="CQ20" i="27"/>
  <c r="CQ21" i="27"/>
  <c r="CQ22" i="27"/>
  <c r="CQ23" i="27"/>
  <c r="CQ24" i="27"/>
  <c r="CQ25" i="27"/>
  <c r="CQ26" i="27"/>
  <c r="CY7" i="27"/>
  <c r="CW7" i="27"/>
  <c r="CU7" i="27"/>
  <c r="CS7" i="27"/>
  <c r="CQ7" i="27"/>
  <c r="I37" i="40" l="1"/>
  <c r="I41" i="40"/>
  <c r="I44" i="40" s="1"/>
  <c r="K41" i="40"/>
  <c r="K33" i="40"/>
  <c r="I33" i="40"/>
  <c r="I35" i="40" s="1"/>
  <c r="M33" i="40"/>
  <c r="M36" i="40" s="1"/>
  <c r="N38" i="19"/>
  <c r="T17" i="28"/>
  <c r="T18" i="28"/>
  <c r="P14" i="28"/>
  <c r="P15" i="28"/>
  <c r="H9" i="28"/>
  <c r="H10" i="28"/>
  <c r="K34" i="40"/>
  <c r="I44" i="31"/>
  <c r="D31" i="28"/>
  <c r="T31" i="28"/>
  <c r="P31" i="28"/>
  <c r="L31" i="28"/>
  <c r="H31" i="28"/>
  <c r="H24" i="28"/>
  <c r="T24" i="28"/>
  <c r="P24" i="28"/>
  <c r="L24" i="28"/>
  <c r="D10" i="28"/>
  <c r="D24" i="28"/>
  <c r="CS27" i="27"/>
  <c r="DI27" i="27"/>
  <c r="DC27" i="27"/>
  <c r="DG27" i="27"/>
  <c r="DA27" i="27"/>
  <c r="CW27" i="27"/>
  <c r="CQ27" i="27"/>
  <c r="CU27" i="27"/>
  <c r="DE27" i="27"/>
  <c r="CY27" i="27"/>
  <c r="I47" i="31" l="1"/>
  <c r="I48" i="31"/>
  <c r="K43" i="40"/>
  <c r="I43" i="40"/>
  <c r="K36" i="40"/>
  <c r="I36" i="40"/>
  <c r="M35" i="40"/>
  <c r="H30" i="28"/>
  <c r="G72" i="29"/>
  <c r="P30" i="28"/>
  <c r="M72" i="29"/>
  <c r="L23" i="28"/>
  <c r="J64" i="29"/>
  <c r="D30" i="28"/>
  <c r="D72" i="29"/>
  <c r="L30" i="28"/>
  <c r="J72" i="29"/>
  <c r="T23" i="28"/>
  <c r="P64" i="29"/>
  <c r="T30" i="28"/>
  <c r="P72" i="29"/>
  <c r="D23" i="28"/>
  <c r="D64" i="29"/>
  <c r="P23" i="28"/>
  <c r="M64" i="29"/>
  <c r="H23" i="28"/>
  <c r="G64" i="29"/>
  <c r="K44" i="40"/>
  <c r="K35" i="40"/>
  <c r="F15" i="32"/>
  <c r="F16" i="32"/>
  <c r="G16" i="32"/>
  <c r="H16" i="32"/>
  <c r="G15" i="32"/>
  <c r="H15" i="32"/>
  <c r="O87" i="10"/>
  <c r="M30" i="29" s="1"/>
  <c r="E87" i="11"/>
  <c r="O25" i="29" s="1"/>
  <c r="I87" i="11"/>
  <c r="O27" i="29" s="1"/>
  <c r="M87" i="11"/>
  <c r="O29" i="29" s="1"/>
  <c r="G87" i="11"/>
  <c r="O26" i="29" s="1"/>
  <c r="K87" i="11"/>
  <c r="O28" i="29" s="1"/>
  <c r="O87" i="11"/>
  <c r="O30" i="29" s="1"/>
  <c r="I87" i="10"/>
  <c r="M27" i="29" s="1"/>
  <c r="M87" i="10"/>
  <c r="M29" i="29" s="1"/>
  <c r="K87" i="10"/>
  <c r="M28" i="29" s="1"/>
  <c r="E87" i="10"/>
  <c r="M25" i="29" s="1"/>
  <c r="G87" i="10"/>
  <c r="M26" i="29" s="1"/>
  <c r="A117" i="16"/>
  <c r="H6" i="33" s="1"/>
  <c r="AP54" i="25"/>
  <c r="AP55" i="25"/>
  <c r="AP56" i="25"/>
  <c r="AP57" i="25"/>
  <c r="AP58" i="25"/>
  <c r="AP59" i="25"/>
  <c r="AP60" i="25"/>
  <c r="AP61" i="25"/>
  <c r="AP62" i="25"/>
  <c r="AP63" i="25"/>
  <c r="AP53" i="25"/>
  <c r="AP50" i="25"/>
  <c r="BC54" i="25"/>
  <c r="BC55" i="25"/>
  <c r="BC56" i="25"/>
  <c r="BC57" i="25"/>
  <c r="BC58" i="25"/>
  <c r="BC59" i="25"/>
  <c r="BC60" i="25"/>
  <c r="BC61" i="25"/>
  <c r="BC62" i="25"/>
  <c r="BC63" i="25"/>
  <c r="BD53" i="25"/>
  <c r="BE53" i="25"/>
  <c r="BF53" i="25"/>
  <c r="BG53" i="25"/>
  <c r="BD54" i="25"/>
  <c r="BE54" i="25"/>
  <c r="BF54" i="25"/>
  <c r="BG54" i="25"/>
  <c r="BD55" i="25"/>
  <c r="BE55" i="25"/>
  <c r="BF55" i="25"/>
  <c r="BG55" i="25"/>
  <c r="BD56" i="25"/>
  <c r="BE56" i="25"/>
  <c r="BF56" i="25"/>
  <c r="BG56" i="25"/>
  <c r="BD57" i="25"/>
  <c r="BE57" i="25"/>
  <c r="BF57" i="25"/>
  <c r="BG57" i="25"/>
  <c r="BD58" i="25"/>
  <c r="BE58" i="25"/>
  <c r="BF58" i="25"/>
  <c r="BG58" i="25"/>
  <c r="BD59" i="25"/>
  <c r="BE59" i="25"/>
  <c r="BF59" i="25"/>
  <c r="BG59" i="25"/>
  <c r="BD60" i="25"/>
  <c r="BE60" i="25"/>
  <c r="BF60" i="25"/>
  <c r="BG60" i="25"/>
  <c r="BD61" i="25"/>
  <c r="BE61" i="25"/>
  <c r="BF61" i="25"/>
  <c r="BG61" i="25"/>
  <c r="BD62" i="25"/>
  <c r="BE62" i="25"/>
  <c r="BF62" i="25"/>
  <c r="BG62" i="25"/>
  <c r="BD63" i="25"/>
  <c r="BE63" i="25"/>
  <c r="BF63" i="25"/>
  <c r="BG63" i="25"/>
  <c r="BC53" i="25"/>
  <c r="CO8" i="27"/>
  <c r="CO9" i="27"/>
  <c r="CO10" i="27"/>
  <c r="CO11" i="27"/>
  <c r="CO12" i="27"/>
  <c r="CO13" i="27"/>
  <c r="CO14" i="27"/>
  <c r="CO15" i="27"/>
  <c r="CO16" i="27"/>
  <c r="CO17" i="27"/>
  <c r="CO18" i="27"/>
  <c r="CO19" i="27"/>
  <c r="CO20" i="27"/>
  <c r="CO21" i="27"/>
  <c r="CO22" i="27"/>
  <c r="CO23" i="27"/>
  <c r="CO24" i="27"/>
  <c r="CO25" i="27"/>
  <c r="CO26" i="27"/>
  <c r="CO7" i="27"/>
  <c r="CM8" i="27"/>
  <c r="CM9" i="27"/>
  <c r="CM10" i="27"/>
  <c r="CM11" i="27"/>
  <c r="CM12" i="27"/>
  <c r="CM13" i="27"/>
  <c r="CM14" i="27"/>
  <c r="CM15" i="27"/>
  <c r="CM16" i="27"/>
  <c r="CM17" i="27"/>
  <c r="CM18" i="27"/>
  <c r="CM19" i="27"/>
  <c r="CM20" i="27"/>
  <c r="CM21" i="27"/>
  <c r="CM22" i="27"/>
  <c r="CM23" i="27"/>
  <c r="CM24" i="27"/>
  <c r="CM25" i="27"/>
  <c r="CM26" i="27"/>
  <c r="CM7" i="27"/>
  <c r="CK26" i="27"/>
  <c r="CK8" i="27"/>
  <c r="CK9" i="27"/>
  <c r="CK10" i="27"/>
  <c r="CK11" i="27"/>
  <c r="CK12" i="27"/>
  <c r="CK13" i="27"/>
  <c r="CK14" i="27"/>
  <c r="CK15" i="27"/>
  <c r="CK16" i="27"/>
  <c r="CK17" i="27"/>
  <c r="CK18" i="27"/>
  <c r="CK19" i="27"/>
  <c r="CK20" i="27"/>
  <c r="CK21" i="27"/>
  <c r="CK22" i="27"/>
  <c r="CK23" i="27"/>
  <c r="CK24" i="27"/>
  <c r="CK25" i="27"/>
  <c r="CK7" i="27"/>
  <c r="CI8" i="27"/>
  <c r="CI9" i="27"/>
  <c r="CI10" i="27"/>
  <c r="CI11" i="27"/>
  <c r="CI12" i="27"/>
  <c r="CI13" i="27"/>
  <c r="CI14" i="27"/>
  <c r="CI15" i="27"/>
  <c r="CI16" i="27"/>
  <c r="CI17" i="27"/>
  <c r="CI18" i="27"/>
  <c r="CI19" i="27"/>
  <c r="CI20" i="27"/>
  <c r="CI21" i="27"/>
  <c r="CI22" i="27"/>
  <c r="CI23" i="27"/>
  <c r="CI24" i="27"/>
  <c r="CI25" i="27"/>
  <c r="CI26" i="27"/>
  <c r="CI7" i="27"/>
  <c r="CG8" i="27"/>
  <c r="CG9" i="27"/>
  <c r="CG10" i="27"/>
  <c r="CG11" i="27"/>
  <c r="CG12" i="27"/>
  <c r="CG13" i="27"/>
  <c r="CG14" i="27"/>
  <c r="CG15" i="27"/>
  <c r="CG16" i="27"/>
  <c r="CG17" i="27"/>
  <c r="CG18" i="27"/>
  <c r="CG19" i="27"/>
  <c r="CG20" i="27"/>
  <c r="CG21" i="27"/>
  <c r="CG22" i="27"/>
  <c r="CG23" i="27"/>
  <c r="CG24" i="27"/>
  <c r="CG25" i="27"/>
  <c r="CG26" i="27"/>
  <c r="CG7" i="27"/>
  <c r="M37" i="40" l="1"/>
  <c r="J34" i="19" s="1"/>
  <c r="I45" i="40"/>
  <c r="J32" i="19" s="1"/>
  <c r="CO27" i="27"/>
  <c r="CM27" i="27"/>
  <c r="CK27" i="27"/>
  <c r="CI27" i="27"/>
  <c r="CG27" i="27"/>
  <c r="F14" i="32" l="1"/>
  <c r="G14" i="32"/>
  <c r="H14" i="32"/>
  <c r="R142" i="25"/>
  <c r="S142" i="25"/>
  <c r="T142" i="25"/>
  <c r="U142" i="25"/>
  <c r="V142" i="25"/>
  <c r="W142" i="25"/>
  <c r="X142" i="25"/>
  <c r="Y142" i="25"/>
  <c r="Z142" i="25"/>
  <c r="AA142" i="25"/>
  <c r="AB142" i="25"/>
  <c r="AC142" i="25"/>
  <c r="R143" i="25"/>
  <c r="S143" i="25"/>
  <c r="T143" i="25"/>
  <c r="U143" i="25"/>
  <c r="V143" i="25"/>
  <c r="W143" i="25"/>
  <c r="X143" i="25"/>
  <c r="Y143" i="25"/>
  <c r="Z143" i="25"/>
  <c r="AA143" i="25"/>
  <c r="AB143" i="25"/>
  <c r="AC143" i="25"/>
  <c r="R144" i="25"/>
  <c r="S144" i="25"/>
  <c r="T144" i="25"/>
  <c r="U144" i="25"/>
  <c r="V144" i="25"/>
  <c r="W144" i="25"/>
  <c r="X144" i="25"/>
  <c r="Y144" i="25"/>
  <c r="Z144" i="25"/>
  <c r="AA144" i="25"/>
  <c r="AB144" i="25"/>
  <c r="AC144" i="25"/>
  <c r="R145" i="25"/>
  <c r="S145" i="25"/>
  <c r="T145" i="25"/>
  <c r="U145" i="25"/>
  <c r="V145" i="25"/>
  <c r="W145" i="25"/>
  <c r="X145" i="25"/>
  <c r="Y145" i="25"/>
  <c r="Z145" i="25"/>
  <c r="AA145" i="25"/>
  <c r="AB145" i="25"/>
  <c r="AC145" i="25"/>
  <c r="R146" i="25"/>
  <c r="S146" i="25"/>
  <c r="T146" i="25"/>
  <c r="U146" i="25"/>
  <c r="V146" i="25"/>
  <c r="W146" i="25"/>
  <c r="X146" i="25"/>
  <c r="Y146" i="25"/>
  <c r="Z146" i="25"/>
  <c r="AA146" i="25"/>
  <c r="AB146" i="25"/>
  <c r="AC146" i="25"/>
  <c r="R147" i="25"/>
  <c r="S147" i="25"/>
  <c r="T147" i="25"/>
  <c r="U147" i="25"/>
  <c r="V147" i="25"/>
  <c r="W147" i="25"/>
  <c r="X147" i="25"/>
  <c r="Y147" i="25"/>
  <c r="Z147" i="25"/>
  <c r="AA147" i="25"/>
  <c r="AB147" i="25"/>
  <c r="AC147" i="25"/>
  <c r="R148" i="25"/>
  <c r="S148" i="25"/>
  <c r="T148" i="25"/>
  <c r="U148" i="25"/>
  <c r="V148" i="25"/>
  <c r="W148" i="25"/>
  <c r="X148" i="25"/>
  <c r="Y148" i="25"/>
  <c r="Z148" i="25"/>
  <c r="AA148" i="25"/>
  <c r="AB148" i="25"/>
  <c r="AC148" i="25"/>
  <c r="R149" i="25"/>
  <c r="S149" i="25"/>
  <c r="T149" i="25"/>
  <c r="U149" i="25"/>
  <c r="V149" i="25"/>
  <c r="W149" i="25"/>
  <c r="X149" i="25"/>
  <c r="Y149" i="25"/>
  <c r="Z149" i="25"/>
  <c r="AA149" i="25"/>
  <c r="AB149" i="25"/>
  <c r="AC149" i="25"/>
  <c r="R150" i="25"/>
  <c r="S150" i="25"/>
  <c r="T150" i="25"/>
  <c r="U150" i="25"/>
  <c r="V150" i="25"/>
  <c r="W150" i="25"/>
  <c r="X150" i="25"/>
  <c r="Y150" i="25"/>
  <c r="Z150" i="25"/>
  <c r="AA150" i="25"/>
  <c r="AB150" i="25"/>
  <c r="AC150" i="25"/>
  <c r="S141" i="25"/>
  <c r="T141" i="25"/>
  <c r="U141" i="25"/>
  <c r="V141" i="25"/>
  <c r="W141" i="25"/>
  <c r="X141" i="25"/>
  <c r="Y141" i="25"/>
  <c r="Z141" i="25"/>
  <c r="AA141" i="25"/>
  <c r="AB141" i="25"/>
  <c r="AC141" i="25"/>
  <c r="R141" i="25"/>
  <c r="E132" i="25"/>
  <c r="F132" i="25"/>
  <c r="G132" i="25"/>
  <c r="H132" i="25"/>
  <c r="I132" i="25"/>
  <c r="J132" i="25"/>
  <c r="K132" i="25"/>
  <c r="L132" i="25"/>
  <c r="M132" i="25"/>
  <c r="N132" i="25"/>
  <c r="O132" i="25"/>
  <c r="P132" i="25"/>
  <c r="E133" i="25"/>
  <c r="F133" i="25"/>
  <c r="G133" i="25"/>
  <c r="H133" i="25"/>
  <c r="I133" i="25"/>
  <c r="J133" i="25"/>
  <c r="K133" i="25"/>
  <c r="L133" i="25"/>
  <c r="M133" i="25"/>
  <c r="N133" i="25"/>
  <c r="O133" i="25"/>
  <c r="P133" i="25"/>
  <c r="E134" i="25"/>
  <c r="F134" i="25"/>
  <c r="G134" i="25"/>
  <c r="H134" i="25"/>
  <c r="I134" i="25"/>
  <c r="J134" i="25"/>
  <c r="K134" i="25"/>
  <c r="L134" i="25"/>
  <c r="M134" i="25"/>
  <c r="N134" i="25"/>
  <c r="O134" i="25"/>
  <c r="P134" i="25"/>
  <c r="E135" i="25"/>
  <c r="F135" i="25"/>
  <c r="G135" i="25"/>
  <c r="H135" i="25"/>
  <c r="I135" i="25"/>
  <c r="J135" i="25"/>
  <c r="K135" i="25"/>
  <c r="L135" i="25"/>
  <c r="M135" i="25"/>
  <c r="N135" i="25"/>
  <c r="O135" i="25"/>
  <c r="P135" i="25"/>
  <c r="E136" i="25"/>
  <c r="F136" i="25"/>
  <c r="G136" i="25"/>
  <c r="H136" i="25"/>
  <c r="I136" i="25"/>
  <c r="J136" i="25"/>
  <c r="K136" i="25"/>
  <c r="L136" i="25"/>
  <c r="M136" i="25"/>
  <c r="N136" i="25"/>
  <c r="O136" i="25"/>
  <c r="P136" i="25"/>
  <c r="E137" i="25"/>
  <c r="F137" i="25"/>
  <c r="G137" i="25"/>
  <c r="H137" i="25"/>
  <c r="I137" i="25"/>
  <c r="J137" i="25"/>
  <c r="K137" i="25"/>
  <c r="L137" i="25"/>
  <c r="M137" i="25"/>
  <c r="N137" i="25"/>
  <c r="O137" i="25"/>
  <c r="P137" i="25"/>
  <c r="E138" i="25"/>
  <c r="F138" i="25"/>
  <c r="G138" i="25"/>
  <c r="H138" i="25"/>
  <c r="I138" i="25"/>
  <c r="J138" i="25"/>
  <c r="K138" i="25"/>
  <c r="L138" i="25"/>
  <c r="M138" i="25"/>
  <c r="N138" i="25"/>
  <c r="O138" i="25"/>
  <c r="P138" i="25"/>
  <c r="E139" i="25"/>
  <c r="F139" i="25"/>
  <c r="G139" i="25"/>
  <c r="H139" i="25"/>
  <c r="I139" i="25"/>
  <c r="J139" i="25"/>
  <c r="K139" i="25"/>
  <c r="L139" i="25"/>
  <c r="M139" i="25"/>
  <c r="N139" i="25"/>
  <c r="O139" i="25"/>
  <c r="P139" i="25"/>
  <c r="E140" i="25"/>
  <c r="F140" i="25"/>
  <c r="G140" i="25"/>
  <c r="H140" i="25"/>
  <c r="I140" i="25"/>
  <c r="J140" i="25"/>
  <c r="K140" i="25"/>
  <c r="L140" i="25"/>
  <c r="M140" i="25"/>
  <c r="N140" i="25"/>
  <c r="O140" i="25"/>
  <c r="P140" i="25"/>
  <c r="E141" i="25"/>
  <c r="F141" i="25"/>
  <c r="G141" i="25"/>
  <c r="H141" i="25"/>
  <c r="I141" i="25"/>
  <c r="J141" i="25"/>
  <c r="K141" i="25"/>
  <c r="L141" i="25"/>
  <c r="M141" i="25"/>
  <c r="N141" i="25"/>
  <c r="O141" i="25"/>
  <c r="P141" i="25"/>
  <c r="E142" i="25"/>
  <c r="F142" i="25"/>
  <c r="G142" i="25"/>
  <c r="H142" i="25"/>
  <c r="I142" i="25"/>
  <c r="J142" i="25"/>
  <c r="K142" i="25"/>
  <c r="L142" i="25"/>
  <c r="M142" i="25"/>
  <c r="N142" i="25"/>
  <c r="O142" i="25"/>
  <c r="P142" i="25"/>
  <c r="E143" i="25"/>
  <c r="F143" i="25"/>
  <c r="G143" i="25"/>
  <c r="H143" i="25"/>
  <c r="I143" i="25"/>
  <c r="J143" i="25"/>
  <c r="K143" i="25"/>
  <c r="L143" i="25"/>
  <c r="M143" i="25"/>
  <c r="N143" i="25"/>
  <c r="O143" i="25"/>
  <c r="P143" i="25"/>
  <c r="E144" i="25"/>
  <c r="F144" i="25"/>
  <c r="G144" i="25"/>
  <c r="H144" i="25"/>
  <c r="I144" i="25"/>
  <c r="J144" i="25"/>
  <c r="K144" i="25"/>
  <c r="L144" i="25"/>
  <c r="M144" i="25"/>
  <c r="N144" i="25"/>
  <c r="O144" i="25"/>
  <c r="P144" i="25"/>
  <c r="E145" i="25"/>
  <c r="F145" i="25"/>
  <c r="G145" i="25"/>
  <c r="H145" i="25"/>
  <c r="I145" i="25"/>
  <c r="J145" i="25"/>
  <c r="K145" i="25"/>
  <c r="L145" i="25"/>
  <c r="M145" i="25"/>
  <c r="N145" i="25"/>
  <c r="O145" i="25"/>
  <c r="P145" i="25"/>
  <c r="E146" i="25"/>
  <c r="F146" i="25"/>
  <c r="G146" i="25"/>
  <c r="H146" i="25"/>
  <c r="I146" i="25"/>
  <c r="J146" i="25"/>
  <c r="K146" i="25"/>
  <c r="L146" i="25"/>
  <c r="M146" i="25"/>
  <c r="N146" i="25"/>
  <c r="O146" i="25"/>
  <c r="P146" i="25"/>
  <c r="E147" i="25"/>
  <c r="F147" i="25"/>
  <c r="G147" i="25"/>
  <c r="H147" i="25"/>
  <c r="I147" i="25"/>
  <c r="J147" i="25"/>
  <c r="K147" i="25"/>
  <c r="L147" i="25"/>
  <c r="M147" i="25"/>
  <c r="N147" i="25"/>
  <c r="O147" i="25"/>
  <c r="P147" i="25"/>
  <c r="E148" i="25"/>
  <c r="F148" i="25"/>
  <c r="G148" i="25"/>
  <c r="H148" i="25"/>
  <c r="I148" i="25"/>
  <c r="J148" i="25"/>
  <c r="K148" i="25"/>
  <c r="L148" i="25"/>
  <c r="M148" i="25"/>
  <c r="N148" i="25"/>
  <c r="O148" i="25"/>
  <c r="P148" i="25"/>
  <c r="E149" i="25"/>
  <c r="F149" i="25"/>
  <c r="G149" i="25"/>
  <c r="H149" i="25"/>
  <c r="I149" i="25"/>
  <c r="J149" i="25"/>
  <c r="K149" i="25"/>
  <c r="L149" i="25"/>
  <c r="M149" i="25"/>
  <c r="N149" i="25"/>
  <c r="O149" i="25"/>
  <c r="P149" i="25"/>
  <c r="E150" i="25"/>
  <c r="F150" i="25"/>
  <c r="G150" i="25"/>
  <c r="H150" i="25"/>
  <c r="I150" i="25"/>
  <c r="J150" i="25"/>
  <c r="K150" i="25"/>
  <c r="L150" i="25"/>
  <c r="M150" i="25"/>
  <c r="N150" i="25"/>
  <c r="O150" i="25"/>
  <c r="P150" i="25"/>
  <c r="F131" i="25"/>
  <c r="G131" i="25"/>
  <c r="H131" i="25"/>
  <c r="I131" i="25"/>
  <c r="J131" i="25"/>
  <c r="K131" i="25"/>
  <c r="L131" i="25"/>
  <c r="M131" i="25"/>
  <c r="N131" i="25"/>
  <c r="O131" i="25"/>
  <c r="P131" i="25"/>
  <c r="E131" i="25"/>
  <c r="D151" i="25"/>
  <c r="C151" i="25"/>
  <c r="CE26" i="27"/>
  <c r="CC26" i="27"/>
  <c r="CA26" i="27"/>
  <c r="BY26" i="27"/>
  <c r="BW26" i="27"/>
  <c r="BU26" i="27"/>
  <c r="BS26" i="27"/>
  <c r="BQ26" i="27"/>
  <c r="BO26" i="27"/>
  <c r="BM26" i="27"/>
  <c r="BK26" i="27"/>
  <c r="BI26" i="27"/>
  <c r="BG26" i="27"/>
  <c r="BE26" i="27"/>
  <c r="BC26" i="27"/>
  <c r="BA26" i="27"/>
  <c r="AY26" i="27"/>
  <c r="AW26" i="27"/>
  <c r="AU26" i="27"/>
  <c r="AS26" i="27"/>
  <c r="AQ26" i="27"/>
  <c r="AO26" i="27"/>
  <c r="AM26" i="27"/>
  <c r="AK26" i="27"/>
  <c r="AI26" i="27"/>
  <c r="AG26" i="27"/>
  <c r="AE26" i="27"/>
  <c r="AC26" i="27"/>
  <c r="AA26" i="27"/>
  <c r="Y26" i="27"/>
  <c r="W26" i="27"/>
  <c r="U26" i="27"/>
  <c r="S26" i="27"/>
  <c r="Q26" i="27"/>
  <c r="O26" i="27"/>
  <c r="M26" i="27"/>
  <c r="K26" i="27"/>
  <c r="I26" i="27"/>
  <c r="G26" i="27"/>
  <c r="E26" i="27"/>
  <c r="CE25" i="27"/>
  <c r="CC25" i="27"/>
  <c r="CA25" i="27"/>
  <c r="BY25" i="27"/>
  <c r="BW25" i="27"/>
  <c r="BU25" i="27"/>
  <c r="BS25" i="27"/>
  <c r="BQ25" i="27"/>
  <c r="BO25" i="27"/>
  <c r="BM25" i="27"/>
  <c r="BK25" i="27"/>
  <c r="BI25" i="27"/>
  <c r="BG25" i="27"/>
  <c r="BE25" i="27"/>
  <c r="BC25" i="27"/>
  <c r="BA25" i="27"/>
  <c r="AY25" i="27"/>
  <c r="AW25" i="27"/>
  <c r="AU25" i="27"/>
  <c r="AS25" i="27"/>
  <c r="AQ25" i="27"/>
  <c r="AO25" i="27"/>
  <c r="AM25" i="27"/>
  <c r="AK25" i="27"/>
  <c r="AI25" i="27"/>
  <c r="AG25" i="27"/>
  <c r="AE25" i="27"/>
  <c r="AC25" i="27"/>
  <c r="AA25" i="27"/>
  <c r="Y25" i="27"/>
  <c r="W25" i="27"/>
  <c r="U25" i="27"/>
  <c r="S25" i="27"/>
  <c r="Q25" i="27"/>
  <c r="O25" i="27"/>
  <c r="M25" i="27"/>
  <c r="K25" i="27"/>
  <c r="I25" i="27"/>
  <c r="G25" i="27"/>
  <c r="E25" i="27"/>
  <c r="CE24" i="27"/>
  <c r="CC24" i="27"/>
  <c r="CA24" i="27"/>
  <c r="BY24" i="27"/>
  <c r="BW24" i="27"/>
  <c r="BU24" i="27"/>
  <c r="BS24" i="27"/>
  <c r="BQ24" i="27"/>
  <c r="BO24" i="27"/>
  <c r="BM24" i="27"/>
  <c r="BK24" i="27"/>
  <c r="BI24" i="27"/>
  <c r="BG24" i="27"/>
  <c r="BE24" i="27"/>
  <c r="BC24" i="27"/>
  <c r="BA24" i="27"/>
  <c r="AY24" i="27"/>
  <c r="AW24" i="27"/>
  <c r="AU24" i="27"/>
  <c r="AS24" i="27"/>
  <c r="AQ24" i="27"/>
  <c r="AO24" i="27"/>
  <c r="AM24" i="27"/>
  <c r="AK24" i="27"/>
  <c r="AI24" i="27"/>
  <c r="AG24" i="27"/>
  <c r="AE24" i="27"/>
  <c r="AC24" i="27"/>
  <c r="AA24" i="27"/>
  <c r="Y24" i="27"/>
  <c r="W24" i="27"/>
  <c r="U24" i="27"/>
  <c r="S24" i="27"/>
  <c r="Q24" i="27"/>
  <c r="O24" i="27"/>
  <c r="M24" i="27"/>
  <c r="K24" i="27"/>
  <c r="I24" i="27"/>
  <c r="G24" i="27"/>
  <c r="E24" i="27"/>
  <c r="CE23" i="27"/>
  <c r="CC23" i="27"/>
  <c r="CA23" i="27"/>
  <c r="BY23" i="27"/>
  <c r="BW23" i="27"/>
  <c r="BU23" i="27"/>
  <c r="BS23" i="27"/>
  <c r="BQ23" i="27"/>
  <c r="BO23" i="27"/>
  <c r="BM23" i="27"/>
  <c r="BK23" i="27"/>
  <c r="BI23" i="27"/>
  <c r="BG23" i="27"/>
  <c r="BE23" i="27"/>
  <c r="BC23" i="27"/>
  <c r="BA23" i="27"/>
  <c r="AY23" i="27"/>
  <c r="AW23" i="27"/>
  <c r="AU23" i="27"/>
  <c r="AS23" i="27"/>
  <c r="AQ23" i="27"/>
  <c r="AO23" i="27"/>
  <c r="AM23" i="27"/>
  <c r="AK23" i="27"/>
  <c r="AI23" i="27"/>
  <c r="AG23" i="27"/>
  <c r="AE23" i="27"/>
  <c r="AC23" i="27"/>
  <c r="AA23" i="27"/>
  <c r="Y23" i="27"/>
  <c r="W23" i="27"/>
  <c r="U23" i="27"/>
  <c r="S23" i="27"/>
  <c r="Q23" i="27"/>
  <c r="O23" i="27"/>
  <c r="M23" i="27"/>
  <c r="K23" i="27"/>
  <c r="I23" i="27"/>
  <c r="G23" i="27"/>
  <c r="E23" i="27"/>
  <c r="CE22" i="27"/>
  <c r="CC22" i="27"/>
  <c r="CA22" i="27"/>
  <c r="BY22" i="27"/>
  <c r="BW22" i="27"/>
  <c r="BU22" i="27"/>
  <c r="BS22" i="27"/>
  <c r="BQ22" i="27"/>
  <c r="BO22" i="27"/>
  <c r="BM22" i="27"/>
  <c r="BK22" i="27"/>
  <c r="BI22" i="27"/>
  <c r="BG22" i="27"/>
  <c r="BE22" i="27"/>
  <c r="BC22" i="27"/>
  <c r="BA22" i="27"/>
  <c r="AY22" i="27"/>
  <c r="AW22" i="27"/>
  <c r="AU22" i="27"/>
  <c r="AS22" i="27"/>
  <c r="AQ22" i="27"/>
  <c r="AO22" i="27"/>
  <c r="AM22" i="27"/>
  <c r="AK22" i="27"/>
  <c r="AI22" i="27"/>
  <c r="AG22" i="27"/>
  <c r="AE22" i="27"/>
  <c r="AC22" i="27"/>
  <c r="AA22" i="27"/>
  <c r="Y22" i="27"/>
  <c r="W22" i="27"/>
  <c r="U22" i="27"/>
  <c r="S22" i="27"/>
  <c r="Q22" i="27"/>
  <c r="O22" i="27"/>
  <c r="M22" i="27"/>
  <c r="K22" i="27"/>
  <c r="I22" i="27"/>
  <c r="G22" i="27"/>
  <c r="E22" i="27"/>
  <c r="CE21" i="27"/>
  <c r="CC21" i="27"/>
  <c r="CA21" i="27"/>
  <c r="BY21" i="27"/>
  <c r="BW21" i="27"/>
  <c r="BU21" i="27"/>
  <c r="BS21" i="27"/>
  <c r="BQ21" i="27"/>
  <c r="BO21" i="27"/>
  <c r="BM21" i="27"/>
  <c r="BK21" i="27"/>
  <c r="BI21" i="27"/>
  <c r="BG21" i="27"/>
  <c r="BE21" i="27"/>
  <c r="BC21" i="27"/>
  <c r="BA21" i="27"/>
  <c r="AY21" i="27"/>
  <c r="AW21" i="27"/>
  <c r="AU21" i="27"/>
  <c r="AS21" i="27"/>
  <c r="AQ21" i="27"/>
  <c r="AO21" i="27"/>
  <c r="AM21" i="27"/>
  <c r="AK21" i="27"/>
  <c r="AI21" i="27"/>
  <c r="AG21" i="27"/>
  <c r="AE21" i="27"/>
  <c r="AC21" i="27"/>
  <c r="AA21" i="27"/>
  <c r="Y21" i="27"/>
  <c r="W21" i="27"/>
  <c r="U21" i="27"/>
  <c r="S21" i="27"/>
  <c r="Q21" i="27"/>
  <c r="O21" i="27"/>
  <c r="M21" i="27"/>
  <c r="K21" i="27"/>
  <c r="I21" i="27"/>
  <c r="G21" i="27"/>
  <c r="E21" i="27"/>
  <c r="CE20" i="27"/>
  <c r="CC20" i="27"/>
  <c r="CA20" i="27"/>
  <c r="BY20" i="27"/>
  <c r="BW20" i="27"/>
  <c r="BU20" i="27"/>
  <c r="BS20" i="27"/>
  <c r="BQ20" i="27"/>
  <c r="BO20" i="27"/>
  <c r="BM20" i="27"/>
  <c r="BK20" i="27"/>
  <c r="BI20" i="27"/>
  <c r="BG20" i="27"/>
  <c r="BE20" i="27"/>
  <c r="BC20" i="27"/>
  <c r="BA20" i="27"/>
  <c r="AY20" i="27"/>
  <c r="AW20" i="27"/>
  <c r="AU20" i="27"/>
  <c r="AS20" i="27"/>
  <c r="AQ20" i="27"/>
  <c r="AO20" i="27"/>
  <c r="AM20" i="27"/>
  <c r="AK20" i="27"/>
  <c r="AI20" i="27"/>
  <c r="AG20" i="27"/>
  <c r="AE20" i="27"/>
  <c r="AC20" i="27"/>
  <c r="AA20" i="27"/>
  <c r="Y20" i="27"/>
  <c r="W20" i="27"/>
  <c r="U20" i="27"/>
  <c r="S20" i="27"/>
  <c r="Q20" i="27"/>
  <c r="O20" i="27"/>
  <c r="M20" i="27"/>
  <c r="K20" i="27"/>
  <c r="I20" i="27"/>
  <c r="G20" i="27"/>
  <c r="E20" i="27"/>
  <c r="CE19" i="27"/>
  <c r="CC19" i="27"/>
  <c r="CA19" i="27"/>
  <c r="BY19" i="27"/>
  <c r="BW19" i="27"/>
  <c r="BU19" i="27"/>
  <c r="BS19" i="27"/>
  <c r="BQ19" i="27"/>
  <c r="BO19" i="27"/>
  <c r="BM19" i="27"/>
  <c r="BK19" i="27"/>
  <c r="BI19" i="27"/>
  <c r="BG19" i="27"/>
  <c r="BE19" i="27"/>
  <c r="BC19" i="27"/>
  <c r="BA19" i="27"/>
  <c r="AY19" i="27"/>
  <c r="AW19" i="27"/>
  <c r="AU19" i="27"/>
  <c r="AS19" i="27"/>
  <c r="AQ19" i="27"/>
  <c r="AO19" i="27"/>
  <c r="AM19" i="27"/>
  <c r="AK19" i="27"/>
  <c r="AI19" i="27"/>
  <c r="AG19" i="27"/>
  <c r="AE19" i="27"/>
  <c r="AC19" i="27"/>
  <c r="AA19" i="27"/>
  <c r="Y19" i="27"/>
  <c r="W19" i="27"/>
  <c r="U19" i="27"/>
  <c r="S19" i="27"/>
  <c r="Q19" i="27"/>
  <c r="O19" i="27"/>
  <c r="M19" i="27"/>
  <c r="K19" i="27"/>
  <c r="I19" i="27"/>
  <c r="G19" i="27"/>
  <c r="E19" i="27"/>
  <c r="CE18" i="27"/>
  <c r="CC18" i="27"/>
  <c r="CA18" i="27"/>
  <c r="BY18" i="27"/>
  <c r="BW18" i="27"/>
  <c r="BU18" i="27"/>
  <c r="BS18" i="27"/>
  <c r="BQ18" i="27"/>
  <c r="BO18" i="27"/>
  <c r="BM18" i="27"/>
  <c r="BK18" i="27"/>
  <c r="BI18" i="27"/>
  <c r="BG18" i="27"/>
  <c r="BE18" i="27"/>
  <c r="BC18" i="27"/>
  <c r="BA18" i="27"/>
  <c r="AY18" i="27"/>
  <c r="AW18" i="27"/>
  <c r="AU18" i="27"/>
  <c r="AS18" i="27"/>
  <c r="AQ18" i="27"/>
  <c r="AO18" i="27"/>
  <c r="AM18" i="27"/>
  <c r="AK18" i="27"/>
  <c r="AI18" i="27"/>
  <c r="AG18" i="27"/>
  <c r="AE18" i="27"/>
  <c r="AC18" i="27"/>
  <c r="AA18" i="27"/>
  <c r="Y18" i="27"/>
  <c r="W18" i="27"/>
  <c r="U18" i="27"/>
  <c r="S18" i="27"/>
  <c r="Q18" i="27"/>
  <c r="O18" i="27"/>
  <c r="M18" i="27"/>
  <c r="K18" i="27"/>
  <c r="I18" i="27"/>
  <c r="G18" i="27"/>
  <c r="E18" i="27"/>
  <c r="CE17" i="27"/>
  <c r="CC17" i="27"/>
  <c r="CA17" i="27"/>
  <c r="BY17" i="27"/>
  <c r="BW17" i="27"/>
  <c r="BU17" i="27"/>
  <c r="BS17" i="27"/>
  <c r="BQ17" i="27"/>
  <c r="BO17" i="27"/>
  <c r="BM17" i="27"/>
  <c r="BK17" i="27"/>
  <c r="BI17" i="27"/>
  <c r="BG17" i="27"/>
  <c r="BE17" i="27"/>
  <c r="BC17" i="27"/>
  <c r="BA17" i="27"/>
  <c r="AY17" i="27"/>
  <c r="AW17" i="27"/>
  <c r="AU17" i="27"/>
  <c r="AS17" i="27"/>
  <c r="AQ17" i="27"/>
  <c r="AO17" i="27"/>
  <c r="AM17" i="27"/>
  <c r="AK17" i="27"/>
  <c r="AI17" i="27"/>
  <c r="AG17" i="27"/>
  <c r="AE17" i="27"/>
  <c r="AC17" i="27"/>
  <c r="AA17" i="27"/>
  <c r="Y17" i="27"/>
  <c r="W17" i="27"/>
  <c r="U17" i="27"/>
  <c r="S17" i="27"/>
  <c r="Q17" i="27"/>
  <c r="O17" i="27"/>
  <c r="M17" i="27"/>
  <c r="K17" i="27"/>
  <c r="I17" i="27"/>
  <c r="G17" i="27"/>
  <c r="E17" i="27"/>
  <c r="CE16" i="27"/>
  <c r="CC16" i="27"/>
  <c r="CA16" i="27"/>
  <c r="BY16" i="27"/>
  <c r="BW16" i="27"/>
  <c r="BU16" i="27"/>
  <c r="BS16" i="27"/>
  <c r="BQ16" i="27"/>
  <c r="BO16" i="27"/>
  <c r="BM16" i="27"/>
  <c r="BK16" i="27"/>
  <c r="BI16" i="27"/>
  <c r="BG16" i="27"/>
  <c r="BE16" i="27"/>
  <c r="BC16" i="27"/>
  <c r="BA16" i="27"/>
  <c r="AY16" i="27"/>
  <c r="AW16" i="27"/>
  <c r="AU16" i="27"/>
  <c r="AS16" i="27"/>
  <c r="AQ16" i="27"/>
  <c r="AO16" i="27"/>
  <c r="AM16" i="27"/>
  <c r="AK16" i="27"/>
  <c r="AI16" i="27"/>
  <c r="AG16" i="27"/>
  <c r="AE16" i="27"/>
  <c r="AC16" i="27"/>
  <c r="AA16" i="27"/>
  <c r="Y16" i="27"/>
  <c r="W16" i="27"/>
  <c r="U16" i="27"/>
  <c r="S16" i="27"/>
  <c r="Q16" i="27"/>
  <c r="O16" i="27"/>
  <c r="M16" i="27"/>
  <c r="K16" i="27"/>
  <c r="I16" i="27"/>
  <c r="G16" i="27"/>
  <c r="E16" i="27"/>
  <c r="CE15" i="27"/>
  <c r="CC15" i="27"/>
  <c r="CA15" i="27"/>
  <c r="BY15" i="27"/>
  <c r="BW15" i="27"/>
  <c r="BU15" i="27"/>
  <c r="BS15" i="27"/>
  <c r="BQ15" i="27"/>
  <c r="BO15" i="27"/>
  <c r="BM15" i="27"/>
  <c r="BK15" i="27"/>
  <c r="BI15" i="27"/>
  <c r="BG15" i="27"/>
  <c r="BE15" i="27"/>
  <c r="BC15" i="27"/>
  <c r="BA15" i="27"/>
  <c r="AY15" i="27"/>
  <c r="AW15" i="27"/>
  <c r="AU15" i="27"/>
  <c r="AS15" i="27"/>
  <c r="AQ15" i="27"/>
  <c r="AO15" i="27"/>
  <c r="AM15" i="27"/>
  <c r="AK15" i="27"/>
  <c r="AI15" i="27"/>
  <c r="AG15" i="27"/>
  <c r="AE15" i="27"/>
  <c r="AC15" i="27"/>
  <c r="AA15" i="27"/>
  <c r="Y15" i="27"/>
  <c r="W15" i="27"/>
  <c r="U15" i="27"/>
  <c r="S15" i="27"/>
  <c r="Q15" i="27"/>
  <c r="O15" i="27"/>
  <c r="M15" i="27"/>
  <c r="K15" i="27"/>
  <c r="I15" i="27"/>
  <c r="G15" i="27"/>
  <c r="E15" i="27"/>
  <c r="CE14" i="27"/>
  <c r="CC14" i="27"/>
  <c r="CA14" i="27"/>
  <c r="BY14" i="27"/>
  <c r="BW14" i="27"/>
  <c r="BU14" i="27"/>
  <c r="BS14" i="27"/>
  <c r="BQ14" i="27"/>
  <c r="BO14" i="27"/>
  <c r="BM14" i="27"/>
  <c r="BK14" i="27"/>
  <c r="BI14" i="27"/>
  <c r="BG14" i="27"/>
  <c r="BE14" i="27"/>
  <c r="BC14" i="27"/>
  <c r="BA14" i="27"/>
  <c r="AY14" i="27"/>
  <c r="AW14" i="27"/>
  <c r="AU14" i="27"/>
  <c r="AS14" i="27"/>
  <c r="AQ14" i="27"/>
  <c r="AO14" i="27"/>
  <c r="AM14" i="27"/>
  <c r="AK14" i="27"/>
  <c r="AI14" i="27"/>
  <c r="AG14" i="27"/>
  <c r="AE14" i="27"/>
  <c r="AC14" i="27"/>
  <c r="AA14" i="27"/>
  <c r="Y14" i="27"/>
  <c r="W14" i="27"/>
  <c r="U14" i="27"/>
  <c r="S14" i="27"/>
  <c r="Q14" i="27"/>
  <c r="O14" i="27"/>
  <c r="M14" i="27"/>
  <c r="K14" i="27"/>
  <c r="I14" i="27"/>
  <c r="G14" i="27"/>
  <c r="E14" i="27"/>
  <c r="CE13" i="27"/>
  <c r="CC13" i="27"/>
  <c r="CA13" i="27"/>
  <c r="BY13" i="27"/>
  <c r="BW13" i="27"/>
  <c r="BU13" i="27"/>
  <c r="BS13" i="27"/>
  <c r="BQ13" i="27"/>
  <c r="BO13" i="27"/>
  <c r="BM13" i="27"/>
  <c r="BK13" i="27"/>
  <c r="BI13" i="27"/>
  <c r="BG13" i="27"/>
  <c r="BE13" i="27"/>
  <c r="BC13" i="27"/>
  <c r="BA13" i="27"/>
  <c r="AY13" i="27"/>
  <c r="AW13" i="27"/>
  <c r="AU13" i="27"/>
  <c r="AS13" i="27"/>
  <c r="AQ13" i="27"/>
  <c r="AO13" i="27"/>
  <c r="AM13" i="27"/>
  <c r="AK13" i="27"/>
  <c r="AI13" i="27"/>
  <c r="AG13" i="27"/>
  <c r="AE13" i="27"/>
  <c r="AC13" i="27"/>
  <c r="AA13" i="27"/>
  <c r="Y13" i="27"/>
  <c r="W13" i="27"/>
  <c r="U13" i="27"/>
  <c r="S13" i="27"/>
  <c r="Q13" i="27"/>
  <c r="O13" i="27"/>
  <c r="M13" i="27"/>
  <c r="K13" i="27"/>
  <c r="I13" i="27"/>
  <c r="G13" i="27"/>
  <c r="E13" i="27"/>
  <c r="CE12" i="27"/>
  <c r="CC12" i="27"/>
  <c r="CA12" i="27"/>
  <c r="BY12" i="27"/>
  <c r="BW12" i="27"/>
  <c r="BU12" i="27"/>
  <c r="BS12" i="27"/>
  <c r="BQ12" i="27"/>
  <c r="BO12" i="27"/>
  <c r="BM12" i="27"/>
  <c r="BK12" i="27"/>
  <c r="BI12" i="27"/>
  <c r="BG12" i="27"/>
  <c r="BE12" i="27"/>
  <c r="BC12" i="27"/>
  <c r="BA12" i="27"/>
  <c r="AY12" i="27"/>
  <c r="AW12" i="27"/>
  <c r="AU12" i="27"/>
  <c r="AS12" i="27"/>
  <c r="AQ12" i="27"/>
  <c r="AO12" i="27"/>
  <c r="AM12" i="27"/>
  <c r="AK12" i="27"/>
  <c r="AI12" i="27"/>
  <c r="AG12" i="27"/>
  <c r="AE12" i="27"/>
  <c r="AC12" i="27"/>
  <c r="AA12" i="27"/>
  <c r="Y12" i="27"/>
  <c r="W12" i="27"/>
  <c r="U12" i="27"/>
  <c r="S12" i="27"/>
  <c r="Q12" i="27"/>
  <c r="O12" i="27"/>
  <c r="M12" i="27"/>
  <c r="K12" i="27"/>
  <c r="I12" i="27"/>
  <c r="G12" i="27"/>
  <c r="E12" i="27"/>
  <c r="CE11" i="27"/>
  <c r="CC11" i="27"/>
  <c r="CA11" i="27"/>
  <c r="BY11" i="27"/>
  <c r="BW11" i="27"/>
  <c r="BU11" i="27"/>
  <c r="BS11" i="27"/>
  <c r="BQ11" i="27"/>
  <c r="BO11" i="27"/>
  <c r="BM11" i="27"/>
  <c r="BK11" i="27"/>
  <c r="BI11" i="27"/>
  <c r="BG11" i="27"/>
  <c r="BE11" i="27"/>
  <c r="BC11" i="27"/>
  <c r="BA11" i="27"/>
  <c r="AY11" i="27"/>
  <c r="AW11" i="27"/>
  <c r="AU11" i="27"/>
  <c r="AS11" i="27"/>
  <c r="AQ11" i="27"/>
  <c r="AO11" i="27"/>
  <c r="AM11" i="27"/>
  <c r="AK11" i="27"/>
  <c r="AI11" i="27"/>
  <c r="AG11" i="27"/>
  <c r="AE11" i="27"/>
  <c r="AC11" i="27"/>
  <c r="AA11" i="27"/>
  <c r="Y11" i="27"/>
  <c r="W11" i="27"/>
  <c r="U11" i="27"/>
  <c r="S11" i="27"/>
  <c r="Q11" i="27"/>
  <c r="O11" i="27"/>
  <c r="M11" i="27"/>
  <c r="K11" i="27"/>
  <c r="I11" i="27"/>
  <c r="G11" i="27"/>
  <c r="E11" i="27"/>
  <c r="CE10" i="27"/>
  <c r="CC10" i="27"/>
  <c r="CA10" i="27"/>
  <c r="BY10" i="27"/>
  <c r="BW10" i="27"/>
  <c r="BU10" i="27"/>
  <c r="BS10" i="27"/>
  <c r="BQ10" i="27"/>
  <c r="BO10" i="27"/>
  <c r="BM10" i="27"/>
  <c r="BK10" i="27"/>
  <c r="BI10" i="27"/>
  <c r="BG10" i="27"/>
  <c r="BE10" i="27"/>
  <c r="BC10" i="27"/>
  <c r="BA10" i="27"/>
  <c r="AY10" i="27"/>
  <c r="AW10" i="27"/>
  <c r="AU10" i="27"/>
  <c r="AS10" i="27"/>
  <c r="AQ10" i="27"/>
  <c r="AO10" i="27"/>
  <c r="AM10" i="27"/>
  <c r="AK10" i="27"/>
  <c r="AI10" i="27"/>
  <c r="AG10" i="27"/>
  <c r="AE10" i="27"/>
  <c r="AC10" i="27"/>
  <c r="AA10" i="27"/>
  <c r="Y10" i="27"/>
  <c r="W10" i="27"/>
  <c r="U10" i="27"/>
  <c r="S10" i="27"/>
  <c r="Q10" i="27"/>
  <c r="O10" i="27"/>
  <c r="M10" i="27"/>
  <c r="K10" i="27"/>
  <c r="I10" i="27"/>
  <c r="G10" i="27"/>
  <c r="E10" i="27"/>
  <c r="CE9" i="27"/>
  <c r="CC9" i="27"/>
  <c r="CA9" i="27"/>
  <c r="BY9" i="27"/>
  <c r="BW9" i="27"/>
  <c r="BU9" i="27"/>
  <c r="BS9" i="27"/>
  <c r="BQ9" i="27"/>
  <c r="BO9" i="27"/>
  <c r="BM9" i="27"/>
  <c r="BK9" i="27"/>
  <c r="BI9" i="27"/>
  <c r="BG9" i="27"/>
  <c r="BE9" i="27"/>
  <c r="BC9" i="27"/>
  <c r="BA9" i="27"/>
  <c r="AY9" i="27"/>
  <c r="AW9" i="27"/>
  <c r="AU9" i="27"/>
  <c r="AS9" i="27"/>
  <c r="AQ9" i="27"/>
  <c r="AO9" i="27"/>
  <c r="AM9" i="27"/>
  <c r="AK9" i="27"/>
  <c r="AI9" i="27"/>
  <c r="AG9" i="27"/>
  <c r="AE9" i="27"/>
  <c r="AC9" i="27"/>
  <c r="AA9" i="27"/>
  <c r="Y9" i="27"/>
  <c r="W9" i="27"/>
  <c r="U9" i="27"/>
  <c r="S9" i="27"/>
  <c r="Q9" i="27"/>
  <c r="O9" i="27"/>
  <c r="M9" i="27"/>
  <c r="K9" i="27"/>
  <c r="I9" i="27"/>
  <c r="G9" i="27"/>
  <c r="E9" i="27"/>
  <c r="CE8" i="27"/>
  <c r="CC8" i="27"/>
  <c r="CA8" i="27"/>
  <c r="BY8" i="27"/>
  <c r="BW8" i="27"/>
  <c r="BU8" i="27"/>
  <c r="BS8" i="27"/>
  <c r="BQ8" i="27"/>
  <c r="BO8" i="27"/>
  <c r="BM8" i="27"/>
  <c r="BK8" i="27"/>
  <c r="BI8" i="27"/>
  <c r="BG8" i="27"/>
  <c r="BE8" i="27"/>
  <c r="BC8" i="27"/>
  <c r="BA8" i="27"/>
  <c r="AY8" i="27"/>
  <c r="AW8" i="27"/>
  <c r="AU8" i="27"/>
  <c r="AS8" i="27"/>
  <c r="AQ8" i="27"/>
  <c r="AO8" i="27"/>
  <c r="AM8" i="27"/>
  <c r="AK8" i="27"/>
  <c r="AI8" i="27"/>
  <c r="AG8" i="27"/>
  <c r="AE8" i="27"/>
  <c r="AC8" i="27"/>
  <c r="AA8" i="27"/>
  <c r="Y8" i="27"/>
  <c r="W8" i="27"/>
  <c r="U8" i="27"/>
  <c r="S8" i="27"/>
  <c r="Q8" i="27"/>
  <c r="O8" i="27"/>
  <c r="M8" i="27"/>
  <c r="K8" i="27"/>
  <c r="I8" i="27"/>
  <c r="G8" i="27"/>
  <c r="E8" i="27"/>
  <c r="CE7" i="27"/>
  <c r="CC7" i="27"/>
  <c r="CA7" i="27"/>
  <c r="BY7" i="27"/>
  <c r="BW7" i="27"/>
  <c r="BU7" i="27"/>
  <c r="BS7" i="27"/>
  <c r="BQ7" i="27"/>
  <c r="BO7" i="27"/>
  <c r="BM7" i="27"/>
  <c r="BK7" i="27"/>
  <c r="BI7" i="27"/>
  <c r="BG7" i="27"/>
  <c r="BE7" i="27"/>
  <c r="BC7" i="27"/>
  <c r="BA7" i="27"/>
  <c r="AY7" i="27"/>
  <c r="AW7" i="27"/>
  <c r="AU7" i="27"/>
  <c r="AS7" i="27"/>
  <c r="AQ7" i="27"/>
  <c r="AO7" i="27"/>
  <c r="AM7" i="27"/>
  <c r="AK7" i="27"/>
  <c r="AI7" i="27"/>
  <c r="AG7" i="27"/>
  <c r="AE7" i="27"/>
  <c r="AC7" i="27"/>
  <c r="AA7" i="27"/>
  <c r="Y7" i="27"/>
  <c r="W7" i="27"/>
  <c r="U7" i="27"/>
  <c r="S7" i="27"/>
  <c r="Q7" i="27"/>
  <c r="O7" i="27"/>
  <c r="M7" i="27"/>
  <c r="K7" i="27"/>
  <c r="I7" i="27"/>
  <c r="G7" i="27"/>
  <c r="E7" i="27"/>
  <c r="R117" i="25"/>
  <c r="S117" i="25"/>
  <c r="T117" i="25"/>
  <c r="U117" i="25"/>
  <c r="V117" i="25"/>
  <c r="W117" i="25"/>
  <c r="X117" i="25"/>
  <c r="Y117" i="25"/>
  <c r="Z117" i="25"/>
  <c r="AA117" i="25"/>
  <c r="AB117" i="25"/>
  <c r="AC117" i="25"/>
  <c r="R118" i="25"/>
  <c r="S118" i="25"/>
  <c r="T118" i="25"/>
  <c r="U118" i="25"/>
  <c r="V118" i="25"/>
  <c r="W118" i="25"/>
  <c r="X118" i="25"/>
  <c r="Y118" i="25"/>
  <c r="Z118" i="25"/>
  <c r="AA118" i="25"/>
  <c r="AB118" i="25"/>
  <c r="AC118" i="25"/>
  <c r="R119" i="25"/>
  <c r="S119" i="25"/>
  <c r="T119" i="25"/>
  <c r="U119" i="25"/>
  <c r="V119" i="25"/>
  <c r="W119" i="25"/>
  <c r="X119" i="25"/>
  <c r="Y119" i="25"/>
  <c r="Z119" i="25"/>
  <c r="AA119" i="25"/>
  <c r="AB119" i="25"/>
  <c r="AC119" i="25"/>
  <c r="R120" i="25"/>
  <c r="S120" i="25"/>
  <c r="T120" i="25"/>
  <c r="U120" i="25"/>
  <c r="V120" i="25"/>
  <c r="W120" i="25"/>
  <c r="X120" i="25"/>
  <c r="Y120" i="25"/>
  <c r="Z120" i="25"/>
  <c r="AA120" i="25"/>
  <c r="AB120" i="25"/>
  <c r="AC120" i="25"/>
  <c r="R121" i="25"/>
  <c r="S121" i="25"/>
  <c r="T121" i="25"/>
  <c r="U121" i="25"/>
  <c r="V121" i="25"/>
  <c r="W121" i="25"/>
  <c r="X121" i="25"/>
  <c r="Y121" i="25"/>
  <c r="Z121" i="25"/>
  <c r="AA121" i="25"/>
  <c r="AB121" i="25"/>
  <c r="AC121" i="25"/>
  <c r="R122" i="25"/>
  <c r="S122" i="25"/>
  <c r="T122" i="25"/>
  <c r="U122" i="25"/>
  <c r="V122" i="25"/>
  <c r="W122" i="25"/>
  <c r="X122" i="25"/>
  <c r="Y122" i="25"/>
  <c r="Z122" i="25"/>
  <c r="AA122" i="25"/>
  <c r="AB122" i="25"/>
  <c r="AC122" i="25"/>
  <c r="R123" i="25"/>
  <c r="S123" i="25"/>
  <c r="T123" i="25"/>
  <c r="U123" i="25"/>
  <c r="V123" i="25"/>
  <c r="W123" i="25"/>
  <c r="X123" i="25"/>
  <c r="Y123" i="25"/>
  <c r="Z123" i="25"/>
  <c r="AA123" i="25"/>
  <c r="AB123" i="25"/>
  <c r="AC123" i="25"/>
  <c r="R124" i="25"/>
  <c r="S124" i="25"/>
  <c r="T124" i="25"/>
  <c r="U124" i="25"/>
  <c r="V124" i="25"/>
  <c r="W124" i="25"/>
  <c r="X124" i="25"/>
  <c r="Y124" i="25"/>
  <c r="Z124" i="25"/>
  <c r="AA124" i="25"/>
  <c r="AB124" i="25"/>
  <c r="AC124" i="25"/>
  <c r="R125" i="25"/>
  <c r="S125" i="25"/>
  <c r="T125" i="25"/>
  <c r="U125" i="25"/>
  <c r="V125" i="25"/>
  <c r="W125" i="25"/>
  <c r="X125" i="25"/>
  <c r="Y125" i="25"/>
  <c r="Z125" i="25"/>
  <c r="AA125" i="25"/>
  <c r="AB125" i="25"/>
  <c r="AC125" i="25"/>
  <c r="S116" i="25"/>
  <c r="T116" i="25"/>
  <c r="U116" i="25"/>
  <c r="V116" i="25"/>
  <c r="W116" i="25"/>
  <c r="X116" i="25"/>
  <c r="Y116" i="25"/>
  <c r="Z116" i="25"/>
  <c r="AA116" i="25"/>
  <c r="AB116" i="25"/>
  <c r="AC116" i="25"/>
  <c r="R116" i="25"/>
  <c r="E107" i="25"/>
  <c r="F107" i="25"/>
  <c r="G107" i="25"/>
  <c r="H107" i="25"/>
  <c r="I107" i="25"/>
  <c r="J107" i="25"/>
  <c r="K107" i="25"/>
  <c r="L107" i="25"/>
  <c r="M107" i="25"/>
  <c r="N107" i="25"/>
  <c r="O107" i="25"/>
  <c r="P107" i="25"/>
  <c r="E108" i="25"/>
  <c r="F108" i="25"/>
  <c r="G108" i="25"/>
  <c r="H108" i="25"/>
  <c r="I108" i="25"/>
  <c r="J108" i="25"/>
  <c r="K108" i="25"/>
  <c r="L108" i="25"/>
  <c r="M108" i="25"/>
  <c r="N108" i="25"/>
  <c r="O108" i="25"/>
  <c r="P108" i="25"/>
  <c r="E109" i="25"/>
  <c r="F109" i="25"/>
  <c r="G109" i="25"/>
  <c r="H109" i="25"/>
  <c r="I109" i="25"/>
  <c r="J109" i="25"/>
  <c r="K109" i="25"/>
  <c r="L109" i="25"/>
  <c r="M109" i="25"/>
  <c r="N109" i="25"/>
  <c r="O109" i="25"/>
  <c r="P109" i="25"/>
  <c r="E110" i="25"/>
  <c r="F110" i="25"/>
  <c r="G110" i="25"/>
  <c r="H110" i="25"/>
  <c r="I110" i="25"/>
  <c r="J110" i="25"/>
  <c r="K110" i="25"/>
  <c r="L110" i="25"/>
  <c r="M110" i="25"/>
  <c r="N110" i="25"/>
  <c r="O110" i="25"/>
  <c r="P110" i="25"/>
  <c r="E111" i="25"/>
  <c r="F111" i="25"/>
  <c r="G111" i="25"/>
  <c r="H111" i="25"/>
  <c r="I111" i="25"/>
  <c r="J111" i="25"/>
  <c r="K111" i="25"/>
  <c r="L111" i="25"/>
  <c r="M111" i="25"/>
  <c r="N111" i="25"/>
  <c r="O111" i="25"/>
  <c r="P111" i="25"/>
  <c r="E112" i="25"/>
  <c r="F112" i="25"/>
  <c r="G112" i="25"/>
  <c r="H112" i="25"/>
  <c r="I112" i="25"/>
  <c r="J112" i="25"/>
  <c r="K112" i="25"/>
  <c r="L112" i="25"/>
  <c r="M112" i="25"/>
  <c r="N112" i="25"/>
  <c r="O112" i="25"/>
  <c r="P112" i="25"/>
  <c r="E113" i="25"/>
  <c r="F113" i="25"/>
  <c r="G113" i="25"/>
  <c r="H113" i="25"/>
  <c r="I113" i="25"/>
  <c r="J113" i="25"/>
  <c r="K113" i="25"/>
  <c r="L113" i="25"/>
  <c r="M113" i="25"/>
  <c r="N113" i="25"/>
  <c r="O113" i="25"/>
  <c r="P113" i="25"/>
  <c r="E114" i="25"/>
  <c r="F114" i="25"/>
  <c r="G114" i="25"/>
  <c r="H114" i="25"/>
  <c r="I114" i="25"/>
  <c r="J114" i="25"/>
  <c r="K114" i="25"/>
  <c r="L114" i="25"/>
  <c r="M114" i="25"/>
  <c r="N114" i="25"/>
  <c r="O114" i="25"/>
  <c r="P114" i="25"/>
  <c r="E115" i="25"/>
  <c r="F115" i="25"/>
  <c r="G115" i="25"/>
  <c r="H115" i="25"/>
  <c r="I115" i="25"/>
  <c r="J115" i="25"/>
  <c r="K115" i="25"/>
  <c r="L115" i="25"/>
  <c r="M115" i="25"/>
  <c r="N115" i="25"/>
  <c r="O115" i="25"/>
  <c r="P115" i="25"/>
  <c r="E116" i="25"/>
  <c r="F116" i="25"/>
  <c r="G116" i="25"/>
  <c r="H116" i="25"/>
  <c r="I116" i="25"/>
  <c r="J116" i="25"/>
  <c r="K116" i="25"/>
  <c r="L116" i="25"/>
  <c r="M116" i="25"/>
  <c r="N116" i="25"/>
  <c r="O116" i="25"/>
  <c r="P116" i="25"/>
  <c r="E117" i="25"/>
  <c r="F117" i="25"/>
  <c r="G117" i="25"/>
  <c r="H117" i="25"/>
  <c r="I117" i="25"/>
  <c r="J117" i="25"/>
  <c r="K117" i="25"/>
  <c r="L117" i="25"/>
  <c r="M117" i="25"/>
  <c r="N117" i="25"/>
  <c r="O117" i="25"/>
  <c r="P117" i="25"/>
  <c r="E118" i="25"/>
  <c r="F118" i="25"/>
  <c r="G118" i="25"/>
  <c r="H118" i="25"/>
  <c r="I118" i="25"/>
  <c r="J118" i="25"/>
  <c r="K118" i="25"/>
  <c r="L118" i="25"/>
  <c r="M118" i="25"/>
  <c r="N118" i="25"/>
  <c r="O118" i="25"/>
  <c r="P118" i="25"/>
  <c r="E119" i="25"/>
  <c r="F119" i="25"/>
  <c r="G119" i="25"/>
  <c r="H119" i="25"/>
  <c r="I119" i="25"/>
  <c r="J119" i="25"/>
  <c r="K119" i="25"/>
  <c r="L119" i="25"/>
  <c r="M119" i="25"/>
  <c r="N119" i="25"/>
  <c r="O119" i="25"/>
  <c r="P119" i="25"/>
  <c r="E120" i="25"/>
  <c r="F120" i="25"/>
  <c r="G120" i="25"/>
  <c r="H120" i="25"/>
  <c r="I120" i="25"/>
  <c r="J120" i="25"/>
  <c r="K120" i="25"/>
  <c r="L120" i="25"/>
  <c r="M120" i="25"/>
  <c r="N120" i="25"/>
  <c r="O120" i="25"/>
  <c r="P120" i="25"/>
  <c r="E121" i="25"/>
  <c r="F121" i="25"/>
  <c r="G121" i="25"/>
  <c r="H121" i="25"/>
  <c r="I121" i="25"/>
  <c r="J121" i="25"/>
  <c r="K121" i="25"/>
  <c r="L121" i="25"/>
  <c r="M121" i="25"/>
  <c r="N121" i="25"/>
  <c r="O121" i="25"/>
  <c r="P121" i="25"/>
  <c r="E122" i="25"/>
  <c r="F122" i="25"/>
  <c r="G122" i="25"/>
  <c r="H122" i="25"/>
  <c r="I122" i="25"/>
  <c r="J122" i="25"/>
  <c r="K122" i="25"/>
  <c r="L122" i="25"/>
  <c r="M122" i="25"/>
  <c r="N122" i="25"/>
  <c r="O122" i="25"/>
  <c r="P122" i="25"/>
  <c r="E123" i="25"/>
  <c r="F123" i="25"/>
  <c r="G123" i="25"/>
  <c r="H123" i="25"/>
  <c r="I123" i="25"/>
  <c r="J123" i="25"/>
  <c r="K123" i="25"/>
  <c r="L123" i="25"/>
  <c r="M123" i="25"/>
  <c r="N123" i="25"/>
  <c r="O123" i="25"/>
  <c r="P123" i="25"/>
  <c r="E124" i="25"/>
  <c r="F124" i="25"/>
  <c r="G124" i="25"/>
  <c r="H124" i="25"/>
  <c r="I124" i="25"/>
  <c r="J124" i="25"/>
  <c r="K124" i="25"/>
  <c r="L124" i="25"/>
  <c r="M124" i="25"/>
  <c r="N124" i="25"/>
  <c r="O124" i="25"/>
  <c r="P124" i="25"/>
  <c r="E125" i="25"/>
  <c r="F125" i="25"/>
  <c r="G125" i="25"/>
  <c r="H125" i="25"/>
  <c r="I125" i="25"/>
  <c r="J125" i="25"/>
  <c r="K125" i="25"/>
  <c r="L125" i="25"/>
  <c r="M125" i="25"/>
  <c r="N125" i="25"/>
  <c r="O125" i="25"/>
  <c r="P125" i="25"/>
  <c r="F106" i="25"/>
  <c r="G106" i="25"/>
  <c r="H106" i="25"/>
  <c r="I106" i="25"/>
  <c r="J106" i="25"/>
  <c r="K106" i="25"/>
  <c r="L106" i="25"/>
  <c r="M106" i="25"/>
  <c r="N106" i="25"/>
  <c r="O106" i="25"/>
  <c r="P106" i="25"/>
  <c r="E106" i="25"/>
  <c r="C201" i="25"/>
  <c r="O198" i="25"/>
  <c r="N197" i="25"/>
  <c r="O197" i="25" s="1"/>
  <c r="M196" i="25"/>
  <c r="N196" i="25" s="1"/>
  <c r="O196" i="25" s="1"/>
  <c r="L195" i="25"/>
  <c r="M195" i="25" s="1"/>
  <c r="N195" i="25" s="1"/>
  <c r="O195" i="25" s="1"/>
  <c r="K194" i="25"/>
  <c r="L194" i="25" s="1"/>
  <c r="M194" i="25" s="1"/>
  <c r="N194" i="25" s="1"/>
  <c r="O194" i="25" s="1"/>
  <c r="J193" i="25"/>
  <c r="K193" i="25" s="1"/>
  <c r="L193" i="25" s="1"/>
  <c r="M193" i="25" s="1"/>
  <c r="N193" i="25" s="1"/>
  <c r="O193" i="25" s="1"/>
  <c r="I192" i="25"/>
  <c r="J192" i="25" s="1"/>
  <c r="K192" i="25" s="1"/>
  <c r="L192" i="25" s="1"/>
  <c r="M192" i="25" s="1"/>
  <c r="N192" i="25" s="1"/>
  <c r="O192" i="25" s="1"/>
  <c r="H191" i="25"/>
  <c r="I191" i="25" s="1"/>
  <c r="J191" i="25" s="1"/>
  <c r="K191" i="25" s="1"/>
  <c r="L191" i="25" s="1"/>
  <c r="M191" i="25" s="1"/>
  <c r="N191" i="25" s="1"/>
  <c r="O191" i="25" s="1"/>
  <c r="G190" i="25"/>
  <c r="H190" i="25" s="1"/>
  <c r="I190" i="25" s="1"/>
  <c r="J190" i="25" s="1"/>
  <c r="K190" i="25" s="1"/>
  <c r="L190" i="25" s="1"/>
  <c r="M190" i="25" s="1"/>
  <c r="N190" i="25" s="1"/>
  <c r="O190" i="25" s="1"/>
  <c r="D126" i="25"/>
  <c r="C126" i="25"/>
  <c r="D102" i="25"/>
  <c r="E101" i="25"/>
  <c r="E100" i="25"/>
  <c r="AM99" i="25"/>
  <c r="E99" i="25"/>
  <c r="AL98" i="25"/>
  <c r="AM98" i="25" s="1"/>
  <c r="E98" i="25"/>
  <c r="AK97" i="25"/>
  <c r="AL97" i="25" s="1"/>
  <c r="AM97" i="25" s="1"/>
  <c r="E97" i="25"/>
  <c r="AJ96" i="25"/>
  <c r="AK96" i="25" s="1"/>
  <c r="AL96" i="25" s="1"/>
  <c r="AM96" i="25" s="1"/>
  <c r="E96" i="25"/>
  <c r="AI95" i="25"/>
  <c r="AJ95" i="25" s="1"/>
  <c r="AK95" i="25" s="1"/>
  <c r="AL95" i="25" s="1"/>
  <c r="AM95" i="25" s="1"/>
  <c r="E95" i="25"/>
  <c r="AH94" i="25"/>
  <c r="AI94" i="25" s="1"/>
  <c r="AJ94" i="25" s="1"/>
  <c r="AK94" i="25" s="1"/>
  <c r="AL94" i="25" s="1"/>
  <c r="AM94" i="25" s="1"/>
  <c r="E94" i="25"/>
  <c r="AG93" i="25"/>
  <c r="AH93" i="25" s="1"/>
  <c r="AI93" i="25" s="1"/>
  <c r="AJ93" i="25" s="1"/>
  <c r="AK93" i="25" s="1"/>
  <c r="AL93" i="25" s="1"/>
  <c r="AM93" i="25" s="1"/>
  <c r="E93" i="25"/>
  <c r="AF92" i="25"/>
  <c r="AG92" i="25" s="1"/>
  <c r="AH92" i="25" s="1"/>
  <c r="AI92" i="25" s="1"/>
  <c r="AJ92" i="25" s="1"/>
  <c r="AK92" i="25" s="1"/>
  <c r="AL92" i="25" s="1"/>
  <c r="AM92" i="25" s="1"/>
  <c r="E92" i="25"/>
  <c r="AE91" i="25"/>
  <c r="AF91" i="25" s="1"/>
  <c r="AG91" i="25" s="1"/>
  <c r="AH91" i="25" s="1"/>
  <c r="AI91" i="25" s="1"/>
  <c r="AJ91" i="25" s="1"/>
  <c r="AK91" i="25" s="1"/>
  <c r="AL91" i="25" s="1"/>
  <c r="AM91" i="25" s="1"/>
  <c r="E91" i="25"/>
  <c r="AD90" i="25"/>
  <c r="AE90" i="25" s="1"/>
  <c r="AF90" i="25" s="1"/>
  <c r="AG90" i="25" s="1"/>
  <c r="AH90" i="25" s="1"/>
  <c r="AI90" i="25" s="1"/>
  <c r="AJ90" i="25" s="1"/>
  <c r="AK90" i="25" s="1"/>
  <c r="AL90" i="25" s="1"/>
  <c r="AM90" i="25" s="1"/>
  <c r="E90" i="25"/>
  <c r="AC89" i="25"/>
  <c r="AD89" i="25" s="1"/>
  <c r="AE89" i="25" s="1"/>
  <c r="AF89" i="25" s="1"/>
  <c r="AG89" i="25" s="1"/>
  <c r="AH89" i="25" s="1"/>
  <c r="AI89" i="25" s="1"/>
  <c r="AJ89" i="25" s="1"/>
  <c r="AK89" i="25" s="1"/>
  <c r="AL89" i="25" s="1"/>
  <c r="AM89" i="25" s="1"/>
  <c r="E89" i="25"/>
  <c r="AB88" i="25"/>
  <c r="AC88" i="25" s="1"/>
  <c r="AD88" i="25" s="1"/>
  <c r="AE88" i="25" s="1"/>
  <c r="AF88" i="25" s="1"/>
  <c r="AG88" i="25" s="1"/>
  <c r="AH88" i="25" s="1"/>
  <c r="AI88" i="25" s="1"/>
  <c r="AJ88" i="25" s="1"/>
  <c r="AK88" i="25" s="1"/>
  <c r="AL88" i="25" s="1"/>
  <c r="AM88" i="25" s="1"/>
  <c r="E88" i="25"/>
  <c r="AA87" i="25"/>
  <c r="AB87" i="25" s="1"/>
  <c r="AC87" i="25" s="1"/>
  <c r="AD87" i="25" s="1"/>
  <c r="AE87" i="25" s="1"/>
  <c r="AF87" i="25" s="1"/>
  <c r="AG87" i="25" s="1"/>
  <c r="AH87" i="25" s="1"/>
  <c r="AI87" i="25" s="1"/>
  <c r="AJ87" i="25" s="1"/>
  <c r="AK87" i="25" s="1"/>
  <c r="AL87" i="25" s="1"/>
  <c r="AM87" i="25" s="1"/>
  <c r="E87" i="25"/>
  <c r="Z86" i="25"/>
  <c r="AA86" i="25" s="1"/>
  <c r="AB86" i="25" s="1"/>
  <c r="AC86" i="25" s="1"/>
  <c r="AD86" i="25" s="1"/>
  <c r="AE86" i="25" s="1"/>
  <c r="AF86" i="25" s="1"/>
  <c r="AG86" i="25" s="1"/>
  <c r="AH86" i="25" s="1"/>
  <c r="AI86" i="25" s="1"/>
  <c r="AJ86" i="25" s="1"/>
  <c r="AK86" i="25" s="1"/>
  <c r="AL86" i="25" s="1"/>
  <c r="AM86" i="25" s="1"/>
  <c r="E86" i="25"/>
  <c r="Y85" i="25"/>
  <c r="Z85" i="25" s="1"/>
  <c r="AA85" i="25" s="1"/>
  <c r="AB85" i="25" s="1"/>
  <c r="AC85" i="25" s="1"/>
  <c r="AD85" i="25" s="1"/>
  <c r="AE85" i="25" s="1"/>
  <c r="AF85" i="25" s="1"/>
  <c r="AG85" i="25" s="1"/>
  <c r="AH85" i="25" s="1"/>
  <c r="AI85" i="25" s="1"/>
  <c r="AJ85" i="25" s="1"/>
  <c r="AK85" i="25" s="1"/>
  <c r="AL85" i="25" s="1"/>
  <c r="AM85" i="25" s="1"/>
  <c r="E85" i="25"/>
  <c r="X84" i="25"/>
  <c r="Y84" i="25" s="1"/>
  <c r="Z84" i="25" s="1"/>
  <c r="AA84" i="25" s="1"/>
  <c r="AB84" i="25" s="1"/>
  <c r="AC84" i="25" s="1"/>
  <c r="AD84" i="25" s="1"/>
  <c r="AE84" i="25" s="1"/>
  <c r="AF84" i="25" s="1"/>
  <c r="AG84" i="25" s="1"/>
  <c r="AH84" i="25" s="1"/>
  <c r="AI84" i="25" s="1"/>
  <c r="AJ84" i="25" s="1"/>
  <c r="AK84" i="25" s="1"/>
  <c r="AL84" i="25" s="1"/>
  <c r="AM84" i="25" s="1"/>
  <c r="E84" i="25"/>
  <c r="W83" i="25"/>
  <c r="X83" i="25" s="1"/>
  <c r="Y83" i="25" s="1"/>
  <c r="Z83" i="25" s="1"/>
  <c r="AA83" i="25" s="1"/>
  <c r="AB83" i="25" s="1"/>
  <c r="AC83" i="25" s="1"/>
  <c r="AD83" i="25" s="1"/>
  <c r="AE83" i="25" s="1"/>
  <c r="AF83" i="25" s="1"/>
  <c r="AG83" i="25" s="1"/>
  <c r="AH83" i="25" s="1"/>
  <c r="AI83" i="25" s="1"/>
  <c r="AJ83" i="25" s="1"/>
  <c r="AK83" i="25" s="1"/>
  <c r="AL83" i="25" s="1"/>
  <c r="AM83" i="25" s="1"/>
  <c r="E83" i="25"/>
  <c r="V82" i="25"/>
  <c r="W82" i="25" s="1"/>
  <c r="X82" i="25" s="1"/>
  <c r="Y82" i="25" s="1"/>
  <c r="Z82" i="25" s="1"/>
  <c r="AA82" i="25" s="1"/>
  <c r="AB82" i="25" s="1"/>
  <c r="AC82" i="25" s="1"/>
  <c r="AD82" i="25" s="1"/>
  <c r="AE82" i="25" s="1"/>
  <c r="AF82" i="25" s="1"/>
  <c r="AG82" i="25" s="1"/>
  <c r="AH82" i="25" s="1"/>
  <c r="AI82" i="25" s="1"/>
  <c r="AJ82" i="25" s="1"/>
  <c r="AK82" i="25" s="1"/>
  <c r="AL82" i="25" s="1"/>
  <c r="AM82" i="25" s="1"/>
  <c r="E82" i="25"/>
  <c r="U81" i="25"/>
  <c r="V81" i="25" s="1"/>
  <c r="W81" i="25" s="1"/>
  <c r="X81" i="25" s="1"/>
  <c r="Y81" i="25" s="1"/>
  <c r="Z81" i="25" s="1"/>
  <c r="AA81" i="25" s="1"/>
  <c r="AB81" i="25" s="1"/>
  <c r="AC81" i="25" s="1"/>
  <c r="AD81" i="25" s="1"/>
  <c r="AE81" i="25" s="1"/>
  <c r="AF81" i="25" s="1"/>
  <c r="AG81" i="25" s="1"/>
  <c r="AH81" i="25" s="1"/>
  <c r="AI81" i="25" s="1"/>
  <c r="AJ81" i="25" s="1"/>
  <c r="AK81" i="25" s="1"/>
  <c r="AL81" i="25" s="1"/>
  <c r="AM81" i="25" s="1"/>
  <c r="E81" i="25"/>
  <c r="T80" i="25"/>
  <c r="U80" i="25" s="1"/>
  <c r="V80" i="25" s="1"/>
  <c r="W80" i="25" s="1"/>
  <c r="X80" i="25" s="1"/>
  <c r="Y80" i="25" s="1"/>
  <c r="Z80" i="25" s="1"/>
  <c r="AA80" i="25" s="1"/>
  <c r="AB80" i="25" s="1"/>
  <c r="AC80" i="25" s="1"/>
  <c r="AD80" i="25" s="1"/>
  <c r="AE80" i="25" s="1"/>
  <c r="AF80" i="25" s="1"/>
  <c r="AG80" i="25" s="1"/>
  <c r="AH80" i="25" s="1"/>
  <c r="AI80" i="25" s="1"/>
  <c r="AJ80" i="25" s="1"/>
  <c r="AK80" i="25" s="1"/>
  <c r="AL80" i="25" s="1"/>
  <c r="AM80" i="25" s="1"/>
  <c r="E80" i="25"/>
  <c r="S79" i="25"/>
  <c r="T79" i="25" s="1"/>
  <c r="U79" i="25" s="1"/>
  <c r="V79" i="25" s="1"/>
  <c r="W79" i="25" s="1"/>
  <c r="X79" i="25" s="1"/>
  <c r="Y79" i="25" s="1"/>
  <c r="Z79" i="25" s="1"/>
  <c r="AA79" i="25" s="1"/>
  <c r="AB79" i="25" s="1"/>
  <c r="AC79" i="25" s="1"/>
  <c r="AD79" i="25" s="1"/>
  <c r="AE79" i="25" s="1"/>
  <c r="AF79" i="25" s="1"/>
  <c r="AG79" i="25" s="1"/>
  <c r="AH79" i="25" s="1"/>
  <c r="AI79" i="25" s="1"/>
  <c r="AJ79" i="25" s="1"/>
  <c r="AK79" i="25" s="1"/>
  <c r="AL79" i="25" s="1"/>
  <c r="AM79" i="25" s="1"/>
  <c r="E79" i="25"/>
  <c r="R78" i="25"/>
  <c r="S78" i="25" s="1"/>
  <c r="T78" i="25" s="1"/>
  <c r="U78" i="25" s="1"/>
  <c r="V78" i="25" s="1"/>
  <c r="W78" i="25" s="1"/>
  <c r="X78" i="25" s="1"/>
  <c r="Y78" i="25" s="1"/>
  <c r="Z78" i="25" s="1"/>
  <c r="AA78" i="25" s="1"/>
  <c r="AB78" i="25" s="1"/>
  <c r="AC78" i="25" s="1"/>
  <c r="AD78" i="25" s="1"/>
  <c r="AE78" i="25" s="1"/>
  <c r="AF78" i="25" s="1"/>
  <c r="AG78" i="25" s="1"/>
  <c r="AH78" i="25" s="1"/>
  <c r="AI78" i="25" s="1"/>
  <c r="AJ78" i="25" s="1"/>
  <c r="AK78" i="25" s="1"/>
  <c r="AL78" i="25" s="1"/>
  <c r="AM78" i="25" s="1"/>
  <c r="E78" i="25"/>
  <c r="Q77" i="25"/>
  <c r="R77" i="25" s="1"/>
  <c r="S77" i="25" s="1"/>
  <c r="T77" i="25" s="1"/>
  <c r="U77" i="25" s="1"/>
  <c r="V77" i="25" s="1"/>
  <c r="W77" i="25" s="1"/>
  <c r="X77" i="25" s="1"/>
  <c r="Y77" i="25" s="1"/>
  <c r="Z77" i="25" s="1"/>
  <c r="AA77" i="25" s="1"/>
  <c r="AB77" i="25" s="1"/>
  <c r="AC77" i="25" s="1"/>
  <c r="AD77" i="25" s="1"/>
  <c r="AE77" i="25" s="1"/>
  <c r="AF77" i="25" s="1"/>
  <c r="AG77" i="25" s="1"/>
  <c r="AH77" i="25" s="1"/>
  <c r="AI77" i="25" s="1"/>
  <c r="AJ77" i="25" s="1"/>
  <c r="AK77" i="25" s="1"/>
  <c r="AL77" i="25" s="1"/>
  <c r="AM77" i="25" s="1"/>
  <c r="E77" i="25"/>
  <c r="P76" i="25"/>
  <c r="Q76" i="25" s="1"/>
  <c r="R76" i="25" s="1"/>
  <c r="S76" i="25" s="1"/>
  <c r="T76" i="25" s="1"/>
  <c r="U76" i="25" s="1"/>
  <c r="V76" i="25" s="1"/>
  <c r="W76" i="25" s="1"/>
  <c r="X76" i="25" s="1"/>
  <c r="Y76" i="25" s="1"/>
  <c r="Z76" i="25" s="1"/>
  <c r="AA76" i="25" s="1"/>
  <c r="AB76" i="25" s="1"/>
  <c r="AC76" i="25" s="1"/>
  <c r="AD76" i="25" s="1"/>
  <c r="AE76" i="25" s="1"/>
  <c r="AF76" i="25" s="1"/>
  <c r="AG76" i="25" s="1"/>
  <c r="AH76" i="25" s="1"/>
  <c r="AI76" i="25" s="1"/>
  <c r="AJ76" i="25" s="1"/>
  <c r="AK76" i="25" s="1"/>
  <c r="AL76" i="25" s="1"/>
  <c r="AM76" i="25" s="1"/>
  <c r="E76" i="25"/>
  <c r="O75" i="25"/>
  <c r="P75" i="25" s="1"/>
  <c r="Q75" i="25" s="1"/>
  <c r="R75" i="25" s="1"/>
  <c r="S75" i="25" s="1"/>
  <c r="T75" i="25" s="1"/>
  <c r="U75" i="25" s="1"/>
  <c r="V75" i="25" s="1"/>
  <c r="W75" i="25" s="1"/>
  <c r="X75" i="25" s="1"/>
  <c r="Y75" i="25" s="1"/>
  <c r="Z75" i="25" s="1"/>
  <c r="AA75" i="25" s="1"/>
  <c r="AB75" i="25" s="1"/>
  <c r="AC75" i="25" s="1"/>
  <c r="AD75" i="25" s="1"/>
  <c r="AE75" i="25" s="1"/>
  <c r="AF75" i="25" s="1"/>
  <c r="AG75" i="25" s="1"/>
  <c r="AH75" i="25" s="1"/>
  <c r="AI75" i="25" s="1"/>
  <c r="AJ75" i="25" s="1"/>
  <c r="AK75" i="25" s="1"/>
  <c r="AL75" i="25" s="1"/>
  <c r="AM75" i="25" s="1"/>
  <c r="E75" i="25"/>
  <c r="N74" i="25"/>
  <c r="O74" i="25" s="1"/>
  <c r="P74" i="25" s="1"/>
  <c r="Q74" i="25" s="1"/>
  <c r="R74" i="25" s="1"/>
  <c r="S74" i="25" s="1"/>
  <c r="T74" i="25" s="1"/>
  <c r="U74" i="25" s="1"/>
  <c r="V74" i="25" s="1"/>
  <c r="W74" i="25" s="1"/>
  <c r="X74" i="25" s="1"/>
  <c r="Y74" i="25" s="1"/>
  <c r="Z74" i="25" s="1"/>
  <c r="AA74" i="25" s="1"/>
  <c r="AB74" i="25" s="1"/>
  <c r="AC74" i="25" s="1"/>
  <c r="AD74" i="25" s="1"/>
  <c r="AE74" i="25" s="1"/>
  <c r="AF74" i="25" s="1"/>
  <c r="AG74" i="25" s="1"/>
  <c r="AH74" i="25" s="1"/>
  <c r="AI74" i="25" s="1"/>
  <c r="AJ74" i="25" s="1"/>
  <c r="AK74" i="25" s="1"/>
  <c r="AL74" i="25" s="1"/>
  <c r="AM74" i="25" s="1"/>
  <c r="E74" i="25"/>
  <c r="M73" i="25"/>
  <c r="N73" i="25" s="1"/>
  <c r="O73" i="25" s="1"/>
  <c r="P73" i="25" s="1"/>
  <c r="Q73" i="25" s="1"/>
  <c r="R73" i="25" s="1"/>
  <c r="S73" i="25" s="1"/>
  <c r="T73" i="25" s="1"/>
  <c r="U73" i="25" s="1"/>
  <c r="V73" i="25" s="1"/>
  <c r="W73" i="25" s="1"/>
  <c r="X73" i="25" s="1"/>
  <c r="Y73" i="25" s="1"/>
  <c r="Z73" i="25" s="1"/>
  <c r="AA73" i="25" s="1"/>
  <c r="AB73" i="25" s="1"/>
  <c r="AC73" i="25" s="1"/>
  <c r="AD73" i="25" s="1"/>
  <c r="AE73" i="25" s="1"/>
  <c r="AF73" i="25" s="1"/>
  <c r="AG73" i="25" s="1"/>
  <c r="AH73" i="25" s="1"/>
  <c r="AI73" i="25" s="1"/>
  <c r="AJ73" i="25" s="1"/>
  <c r="AK73" i="25" s="1"/>
  <c r="AL73" i="25" s="1"/>
  <c r="AM73" i="25" s="1"/>
  <c r="E73" i="25"/>
  <c r="L72" i="25"/>
  <c r="M72" i="25" s="1"/>
  <c r="N72" i="25" s="1"/>
  <c r="O72" i="25" s="1"/>
  <c r="P72" i="25" s="1"/>
  <c r="Q72" i="25" s="1"/>
  <c r="R72" i="25" s="1"/>
  <c r="S72" i="25" s="1"/>
  <c r="T72" i="25" s="1"/>
  <c r="U72" i="25" s="1"/>
  <c r="V72" i="25" s="1"/>
  <c r="W72" i="25" s="1"/>
  <c r="X72" i="25" s="1"/>
  <c r="Y72" i="25" s="1"/>
  <c r="Z72" i="25" s="1"/>
  <c r="AA72" i="25" s="1"/>
  <c r="AB72" i="25" s="1"/>
  <c r="AC72" i="25" s="1"/>
  <c r="AD72" i="25" s="1"/>
  <c r="AE72" i="25" s="1"/>
  <c r="AF72" i="25" s="1"/>
  <c r="AG72" i="25" s="1"/>
  <c r="AH72" i="25" s="1"/>
  <c r="AI72" i="25" s="1"/>
  <c r="AJ72" i="25" s="1"/>
  <c r="AK72" i="25" s="1"/>
  <c r="AL72" i="25" s="1"/>
  <c r="AM72" i="25" s="1"/>
  <c r="E72" i="25"/>
  <c r="K71" i="25"/>
  <c r="L71" i="25" s="1"/>
  <c r="M71" i="25" s="1"/>
  <c r="N71" i="25" s="1"/>
  <c r="O71" i="25" s="1"/>
  <c r="P71" i="25" s="1"/>
  <c r="Q71" i="25" s="1"/>
  <c r="R71" i="25" s="1"/>
  <c r="S71" i="25" s="1"/>
  <c r="T71" i="25" s="1"/>
  <c r="U71" i="25" s="1"/>
  <c r="V71" i="25" s="1"/>
  <c r="W71" i="25" s="1"/>
  <c r="X71" i="25" s="1"/>
  <c r="Y71" i="25" s="1"/>
  <c r="Z71" i="25" s="1"/>
  <c r="AA71" i="25" s="1"/>
  <c r="AB71" i="25" s="1"/>
  <c r="AC71" i="25" s="1"/>
  <c r="AD71" i="25" s="1"/>
  <c r="AE71" i="25" s="1"/>
  <c r="AF71" i="25" s="1"/>
  <c r="AG71" i="25" s="1"/>
  <c r="AH71" i="25" s="1"/>
  <c r="AI71" i="25" s="1"/>
  <c r="AJ71" i="25" s="1"/>
  <c r="AK71" i="25" s="1"/>
  <c r="AL71" i="25" s="1"/>
  <c r="AM71" i="25" s="1"/>
  <c r="E71" i="25"/>
  <c r="E102" i="25" s="1"/>
  <c r="I70" i="25"/>
  <c r="J70" i="25" s="1"/>
  <c r="K70" i="25" s="1"/>
  <c r="L70" i="25" s="1"/>
  <c r="M70" i="25" s="1"/>
  <c r="N70" i="25" s="1"/>
  <c r="O70" i="25" s="1"/>
  <c r="P70" i="25" s="1"/>
  <c r="Q70" i="25" s="1"/>
  <c r="R70" i="25" s="1"/>
  <c r="S70" i="25" s="1"/>
  <c r="T70" i="25" s="1"/>
  <c r="U70" i="25" s="1"/>
  <c r="V70" i="25" s="1"/>
  <c r="W70" i="25" s="1"/>
  <c r="X70" i="25" s="1"/>
  <c r="Y70" i="25" s="1"/>
  <c r="Z70" i="25" s="1"/>
  <c r="AA70" i="25" s="1"/>
  <c r="AB70" i="25" s="1"/>
  <c r="AC70" i="25" s="1"/>
  <c r="AD70" i="25" s="1"/>
  <c r="AE70" i="25" s="1"/>
  <c r="AF70" i="25" s="1"/>
  <c r="AG70" i="25" s="1"/>
  <c r="AH70" i="25" s="1"/>
  <c r="AI70" i="25" s="1"/>
  <c r="AJ70" i="25" s="1"/>
  <c r="AK70" i="25" s="1"/>
  <c r="AL70" i="25" s="1"/>
  <c r="AM70" i="25" s="1"/>
  <c r="AO65" i="25"/>
  <c r="V65" i="25"/>
  <c r="C65" i="25"/>
  <c r="BZ63" i="25"/>
  <c r="BY63" i="25"/>
  <c r="BX63" i="25"/>
  <c r="BW63" i="25"/>
  <c r="BV63" i="25"/>
  <c r="BU63" i="25"/>
  <c r="BT63" i="25"/>
  <c r="BS63" i="25"/>
  <c r="BR63" i="25"/>
  <c r="BQ63" i="25"/>
  <c r="BP63" i="25"/>
  <c r="BO63" i="25"/>
  <c r="BN63" i="25"/>
  <c r="BM63" i="25"/>
  <c r="BL63" i="25"/>
  <c r="BK63" i="25"/>
  <c r="BJ63" i="25"/>
  <c r="BI63" i="25"/>
  <c r="BB63" i="25"/>
  <c r="BA63" i="25"/>
  <c r="AZ63" i="25"/>
  <c r="AY63" i="25"/>
  <c r="AX63" i="25"/>
  <c r="AW63" i="25"/>
  <c r="AV63" i="25"/>
  <c r="AU63" i="25"/>
  <c r="AT63" i="25"/>
  <c r="AS63" i="25"/>
  <c r="AR63" i="25"/>
  <c r="AQ63" i="25"/>
  <c r="AN63" i="25"/>
  <c r="AM63" i="25"/>
  <c r="AL63" i="25"/>
  <c r="AK63" i="25"/>
  <c r="AJ63" i="25"/>
  <c r="AI63" i="25"/>
  <c r="AH63" i="25"/>
  <c r="AG63" i="25"/>
  <c r="AF63" i="25"/>
  <c r="AE63" i="25"/>
  <c r="AD63" i="25"/>
  <c r="AC63" i="25"/>
  <c r="AB63" i="25"/>
  <c r="AA63" i="25"/>
  <c r="Z63" i="25"/>
  <c r="Y63" i="25"/>
  <c r="X63" i="25"/>
  <c r="W63" i="25"/>
  <c r="U63" i="25"/>
  <c r="T63" i="25"/>
  <c r="S63" i="25"/>
  <c r="R63" i="25"/>
  <c r="Q63" i="25"/>
  <c r="P63" i="25"/>
  <c r="O63" i="25"/>
  <c r="N63" i="25"/>
  <c r="M63" i="25"/>
  <c r="L63" i="25"/>
  <c r="K63" i="25"/>
  <c r="J63" i="25"/>
  <c r="I63" i="25"/>
  <c r="H63" i="25"/>
  <c r="G63" i="25"/>
  <c r="F63" i="25"/>
  <c r="E63" i="25"/>
  <c r="D63" i="25"/>
  <c r="BZ62" i="25"/>
  <c r="BY62" i="25"/>
  <c r="BX62" i="25"/>
  <c r="BW62" i="25"/>
  <c r="BV62" i="25"/>
  <c r="BU62" i="25"/>
  <c r="BT62" i="25"/>
  <c r="BS62" i="25"/>
  <c r="BR62" i="25"/>
  <c r="BQ62" i="25"/>
  <c r="BP62" i="25"/>
  <c r="BO62" i="25"/>
  <c r="BN62" i="25"/>
  <c r="BM62" i="25"/>
  <c r="BL62" i="25"/>
  <c r="BK62" i="25"/>
  <c r="BJ62" i="25"/>
  <c r="BI62" i="25"/>
  <c r="BB62" i="25"/>
  <c r="BA62" i="25"/>
  <c r="AZ62" i="25"/>
  <c r="AY62" i="25"/>
  <c r="AX62" i="25"/>
  <c r="AW62" i="25"/>
  <c r="AV62" i="25"/>
  <c r="AU62" i="25"/>
  <c r="AT62" i="25"/>
  <c r="AS62" i="25"/>
  <c r="AR62" i="25"/>
  <c r="AQ62" i="25"/>
  <c r="AN62" i="25"/>
  <c r="AM62" i="25"/>
  <c r="AL62" i="25"/>
  <c r="AK62" i="25"/>
  <c r="AJ62" i="25"/>
  <c r="AI62" i="25"/>
  <c r="AH62" i="25"/>
  <c r="AG62" i="25"/>
  <c r="AF62" i="25"/>
  <c r="AE62" i="25"/>
  <c r="AD62" i="25"/>
  <c r="AC62" i="25"/>
  <c r="AB62" i="25"/>
  <c r="AA62" i="25"/>
  <c r="Z62" i="25"/>
  <c r="Y62" i="25"/>
  <c r="X62" i="25"/>
  <c r="W62" i="25"/>
  <c r="U62" i="25"/>
  <c r="T62" i="25"/>
  <c r="S62" i="25"/>
  <c r="R62" i="25"/>
  <c r="Q62" i="25"/>
  <c r="P62" i="25"/>
  <c r="O62" i="25"/>
  <c r="N62" i="25"/>
  <c r="M62" i="25"/>
  <c r="L62" i="25"/>
  <c r="K62" i="25"/>
  <c r="J62" i="25"/>
  <c r="I62" i="25"/>
  <c r="H62" i="25"/>
  <c r="G62" i="25"/>
  <c r="F62" i="25"/>
  <c r="E62" i="25"/>
  <c r="D62" i="25"/>
  <c r="BZ61" i="25"/>
  <c r="BY61" i="25"/>
  <c r="BX61" i="25"/>
  <c r="BW61" i="25"/>
  <c r="BV61" i="25"/>
  <c r="BU61" i="25"/>
  <c r="BT61" i="25"/>
  <c r="BS61" i="25"/>
  <c r="BR61" i="25"/>
  <c r="BQ61" i="25"/>
  <c r="BP61" i="25"/>
  <c r="BO61" i="25"/>
  <c r="BN61" i="25"/>
  <c r="BM61" i="25"/>
  <c r="BL61" i="25"/>
  <c r="BK61" i="25"/>
  <c r="BJ61" i="25"/>
  <c r="BI61" i="25"/>
  <c r="BB61" i="25"/>
  <c r="BA61" i="25"/>
  <c r="AZ61" i="25"/>
  <c r="AY61" i="25"/>
  <c r="AX61" i="25"/>
  <c r="AW61" i="25"/>
  <c r="AV61" i="25"/>
  <c r="AU61" i="25"/>
  <c r="AT61" i="25"/>
  <c r="AS61" i="25"/>
  <c r="AR61" i="25"/>
  <c r="AQ61" i="25"/>
  <c r="AN61" i="25"/>
  <c r="AM61" i="25"/>
  <c r="AL61" i="25"/>
  <c r="AK61" i="25"/>
  <c r="AJ61" i="25"/>
  <c r="AI61" i="25"/>
  <c r="AH61" i="25"/>
  <c r="AG61" i="25"/>
  <c r="AF61" i="25"/>
  <c r="AE61" i="25"/>
  <c r="AD61" i="25"/>
  <c r="AC61" i="25"/>
  <c r="AB61" i="25"/>
  <c r="AA61" i="25"/>
  <c r="Z61" i="25"/>
  <c r="Y61" i="25"/>
  <c r="X61" i="25"/>
  <c r="W61" i="25"/>
  <c r="U61" i="25"/>
  <c r="T61" i="25"/>
  <c r="S61" i="25"/>
  <c r="R61" i="25"/>
  <c r="Q61" i="25"/>
  <c r="P61" i="25"/>
  <c r="O61" i="25"/>
  <c r="N61" i="25"/>
  <c r="M61" i="25"/>
  <c r="L61" i="25"/>
  <c r="K61" i="25"/>
  <c r="J61" i="25"/>
  <c r="I61" i="25"/>
  <c r="H61" i="25"/>
  <c r="G61" i="25"/>
  <c r="F61" i="25"/>
  <c r="E61" i="25"/>
  <c r="D61" i="25"/>
  <c r="BZ60" i="25"/>
  <c r="BY60" i="25"/>
  <c r="BX60" i="25"/>
  <c r="BW60" i="25"/>
  <c r="BV60" i="25"/>
  <c r="BU60" i="25"/>
  <c r="BT60" i="25"/>
  <c r="BS60" i="25"/>
  <c r="BR60" i="25"/>
  <c r="BQ60" i="25"/>
  <c r="BP60" i="25"/>
  <c r="BO60" i="25"/>
  <c r="BN60" i="25"/>
  <c r="BM60" i="25"/>
  <c r="BL60" i="25"/>
  <c r="BK60" i="25"/>
  <c r="BJ60" i="25"/>
  <c r="BI60" i="25"/>
  <c r="BB60" i="25"/>
  <c r="BA60" i="25"/>
  <c r="AZ60" i="25"/>
  <c r="AY60" i="25"/>
  <c r="AX60" i="25"/>
  <c r="AW60" i="25"/>
  <c r="AV60" i="25"/>
  <c r="AU60" i="25"/>
  <c r="AT60" i="25"/>
  <c r="AS60" i="25"/>
  <c r="AR60" i="25"/>
  <c r="AQ60" i="25"/>
  <c r="AN60" i="25"/>
  <c r="AM60" i="25"/>
  <c r="AL60" i="25"/>
  <c r="AK60" i="25"/>
  <c r="AJ60" i="25"/>
  <c r="AI60" i="25"/>
  <c r="AH60" i="25"/>
  <c r="AG60" i="25"/>
  <c r="AF60" i="25"/>
  <c r="AE60" i="25"/>
  <c r="AD60" i="25"/>
  <c r="AC60" i="25"/>
  <c r="AB60" i="25"/>
  <c r="AA60" i="25"/>
  <c r="Z60" i="25"/>
  <c r="Y60" i="25"/>
  <c r="X60" i="25"/>
  <c r="W60" i="25"/>
  <c r="U60" i="25"/>
  <c r="T60" i="25"/>
  <c r="S60" i="25"/>
  <c r="R60" i="25"/>
  <c r="Q60" i="25"/>
  <c r="P60" i="25"/>
  <c r="O60" i="25"/>
  <c r="N60" i="25"/>
  <c r="M60" i="25"/>
  <c r="L60" i="25"/>
  <c r="K60" i="25"/>
  <c r="J60" i="25"/>
  <c r="I60" i="25"/>
  <c r="H60" i="25"/>
  <c r="G60" i="25"/>
  <c r="F60" i="25"/>
  <c r="E60" i="25"/>
  <c r="D60" i="25"/>
  <c r="BZ59" i="25"/>
  <c r="BY59" i="25"/>
  <c r="BX59" i="25"/>
  <c r="BW59" i="25"/>
  <c r="BV59" i="25"/>
  <c r="BU59" i="25"/>
  <c r="BT59" i="25"/>
  <c r="BS59" i="25"/>
  <c r="BR59" i="25"/>
  <c r="BQ59" i="25"/>
  <c r="BP59" i="25"/>
  <c r="BO59" i="25"/>
  <c r="BN59" i="25"/>
  <c r="BM59" i="25"/>
  <c r="BL59" i="25"/>
  <c r="BK59" i="25"/>
  <c r="BJ59" i="25"/>
  <c r="BI59" i="25"/>
  <c r="BB59" i="25"/>
  <c r="BA59" i="25"/>
  <c r="AZ59" i="25"/>
  <c r="AY59" i="25"/>
  <c r="AX59" i="25"/>
  <c r="AW59" i="25"/>
  <c r="AV59" i="25"/>
  <c r="AU59" i="25"/>
  <c r="AT59" i="25"/>
  <c r="AS59" i="25"/>
  <c r="AR59" i="25"/>
  <c r="AQ59" i="25"/>
  <c r="AN59" i="25"/>
  <c r="AM59" i="25"/>
  <c r="AL59" i="25"/>
  <c r="AK59" i="25"/>
  <c r="AJ59" i="25"/>
  <c r="AI59" i="25"/>
  <c r="AH59" i="25"/>
  <c r="AG59" i="25"/>
  <c r="AF59" i="25"/>
  <c r="AE59" i="25"/>
  <c r="AD59" i="25"/>
  <c r="AC59" i="25"/>
  <c r="AB59" i="25"/>
  <c r="AA59" i="25"/>
  <c r="Z59" i="25"/>
  <c r="Y59" i="25"/>
  <c r="X59" i="25"/>
  <c r="W59" i="25"/>
  <c r="U59" i="25"/>
  <c r="T59" i="25"/>
  <c r="S59" i="25"/>
  <c r="R59" i="25"/>
  <c r="Q59" i="25"/>
  <c r="P59" i="25"/>
  <c r="O59" i="25"/>
  <c r="N59" i="25"/>
  <c r="M59" i="25"/>
  <c r="L59" i="25"/>
  <c r="K59" i="25"/>
  <c r="J59" i="25"/>
  <c r="I59" i="25"/>
  <c r="H59" i="25"/>
  <c r="G59" i="25"/>
  <c r="F59" i="25"/>
  <c r="E59" i="25"/>
  <c r="D59" i="25"/>
  <c r="BZ58" i="25"/>
  <c r="BY58" i="25"/>
  <c r="BX58" i="25"/>
  <c r="BW58" i="25"/>
  <c r="BV58" i="25"/>
  <c r="BU58" i="25"/>
  <c r="BT58" i="25"/>
  <c r="BS58" i="25"/>
  <c r="BR58" i="25"/>
  <c r="BQ58" i="25"/>
  <c r="BP58" i="25"/>
  <c r="BO58" i="25"/>
  <c r="BN58" i="25"/>
  <c r="BM58" i="25"/>
  <c r="BL58" i="25"/>
  <c r="BK58" i="25"/>
  <c r="BJ58" i="25"/>
  <c r="BI58" i="25"/>
  <c r="BB58" i="25"/>
  <c r="BA58" i="25"/>
  <c r="AZ58" i="25"/>
  <c r="AY58" i="25"/>
  <c r="AX58" i="25"/>
  <c r="AW58" i="25"/>
  <c r="AV58" i="25"/>
  <c r="AU58" i="25"/>
  <c r="AT58" i="25"/>
  <c r="AS58" i="25"/>
  <c r="AR58" i="25"/>
  <c r="AQ58" i="25"/>
  <c r="AN58" i="25"/>
  <c r="AM58" i="25"/>
  <c r="AL58" i="25"/>
  <c r="AK58" i="25"/>
  <c r="AJ58" i="25"/>
  <c r="AI58" i="25"/>
  <c r="AH58" i="25"/>
  <c r="AG58" i="25"/>
  <c r="AF58" i="25"/>
  <c r="AE58" i="25"/>
  <c r="AD58" i="25"/>
  <c r="AC58" i="25"/>
  <c r="AB58" i="25"/>
  <c r="AA58" i="25"/>
  <c r="Z58" i="25"/>
  <c r="Y58" i="25"/>
  <c r="X58" i="25"/>
  <c r="W58" i="25"/>
  <c r="U58" i="25"/>
  <c r="T58" i="25"/>
  <c r="S58" i="25"/>
  <c r="R58" i="25"/>
  <c r="Q58" i="25"/>
  <c r="P58" i="25"/>
  <c r="O58" i="25"/>
  <c r="N58" i="25"/>
  <c r="M58" i="25"/>
  <c r="L58" i="25"/>
  <c r="K58" i="25"/>
  <c r="J58" i="25"/>
  <c r="I58" i="25"/>
  <c r="H58" i="25"/>
  <c r="G58" i="25"/>
  <c r="F58" i="25"/>
  <c r="E58" i="25"/>
  <c r="D58" i="25"/>
  <c r="BZ57" i="25"/>
  <c r="BY57" i="25"/>
  <c r="BX57" i="25"/>
  <c r="BW57" i="25"/>
  <c r="BV57" i="25"/>
  <c r="BU57" i="25"/>
  <c r="BT57" i="25"/>
  <c r="BS57" i="25"/>
  <c r="BR57" i="25"/>
  <c r="BQ57" i="25"/>
  <c r="BP57" i="25"/>
  <c r="BO57" i="25"/>
  <c r="BN57" i="25"/>
  <c r="BM57" i="25"/>
  <c r="BL57" i="25"/>
  <c r="BK57" i="25"/>
  <c r="BJ57" i="25"/>
  <c r="BI57" i="25"/>
  <c r="BB57" i="25"/>
  <c r="BA57" i="25"/>
  <c r="AZ57" i="25"/>
  <c r="AY57" i="25"/>
  <c r="AX57" i="25"/>
  <c r="AW57" i="25"/>
  <c r="AV57" i="25"/>
  <c r="AU57" i="25"/>
  <c r="AT57" i="25"/>
  <c r="AS57" i="25"/>
  <c r="AR57" i="25"/>
  <c r="AQ57" i="25"/>
  <c r="AN57" i="25"/>
  <c r="AM57" i="25"/>
  <c r="AL57" i="25"/>
  <c r="AK57" i="25"/>
  <c r="AJ57" i="25"/>
  <c r="AI57" i="25"/>
  <c r="AH57" i="25"/>
  <c r="AG57" i="25"/>
  <c r="AF57" i="25"/>
  <c r="AE57" i="25"/>
  <c r="AD57" i="25"/>
  <c r="AC57" i="25"/>
  <c r="AB57" i="25"/>
  <c r="AA57" i="25"/>
  <c r="Z57" i="25"/>
  <c r="Y57" i="25"/>
  <c r="X57" i="25"/>
  <c r="W57" i="25"/>
  <c r="U57" i="25"/>
  <c r="T57" i="25"/>
  <c r="S57" i="25"/>
  <c r="R57" i="25"/>
  <c r="Q57" i="25"/>
  <c r="P57" i="25"/>
  <c r="O57" i="25"/>
  <c r="N57" i="25"/>
  <c r="M57" i="25"/>
  <c r="L57" i="25"/>
  <c r="K57" i="25"/>
  <c r="J57" i="25"/>
  <c r="I57" i="25"/>
  <c r="H57" i="25"/>
  <c r="G57" i="25"/>
  <c r="F57" i="25"/>
  <c r="E57" i="25"/>
  <c r="D57" i="25"/>
  <c r="BZ56" i="25"/>
  <c r="BY56" i="25"/>
  <c r="BX56" i="25"/>
  <c r="BW56" i="25"/>
  <c r="BV56" i="25"/>
  <c r="BU56" i="25"/>
  <c r="BT56" i="25"/>
  <c r="BS56" i="25"/>
  <c r="BR56" i="25"/>
  <c r="BQ56" i="25"/>
  <c r="BP56" i="25"/>
  <c r="BO56" i="25"/>
  <c r="BN56" i="25"/>
  <c r="BM56" i="25"/>
  <c r="BL56" i="25"/>
  <c r="BK56" i="25"/>
  <c r="BJ56" i="25"/>
  <c r="BI56" i="25"/>
  <c r="BB56" i="25"/>
  <c r="BA56" i="25"/>
  <c r="AZ56" i="25"/>
  <c r="AY56" i="25"/>
  <c r="AX56" i="25"/>
  <c r="AW56" i="25"/>
  <c r="AV56" i="25"/>
  <c r="AU56" i="25"/>
  <c r="AT56" i="25"/>
  <c r="AS56" i="25"/>
  <c r="AR56" i="25"/>
  <c r="AQ56" i="25"/>
  <c r="AN56" i="25"/>
  <c r="AM56" i="25"/>
  <c r="AL56" i="25"/>
  <c r="AK56" i="25"/>
  <c r="AJ56" i="25"/>
  <c r="AI56" i="25"/>
  <c r="AH56" i="25"/>
  <c r="AG56" i="25"/>
  <c r="AF56" i="25"/>
  <c r="AE56" i="25"/>
  <c r="AD56" i="25"/>
  <c r="AC56" i="25"/>
  <c r="AB56" i="25"/>
  <c r="AA56" i="25"/>
  <c r="Z56" i="25"/>
  <c r="Y56" i="25"/>
  <c r="X56" i="25"/>
  <c r="W56" i="25"/>
  <c r="U56" i="25"/>
  <c r="T56" i="25"/>
  <c r="S56" i="25"/>
  <c r="R56" i="25"/>
  <c r="Q56" i="25"/>
  <c r="P56" i="25"/>
  <c r="O56" i="25"/>
  <c r="N56" i="25"/>
  <c r="M56" i="25"/>
  <c r="L56" i="25"/>
  <c r="K56" i="25"/>
  <c r="J56" i="25"/>
  <c r="I56" i="25"/>
  <c r="H56" i="25"/>
  <c r="G56" i="25"/>
  <c r="F56" i="25"/>
  <c r="E56" i="25"/>
  <c r="D56" i="25"/>
  <c r="BZ55" i="25"/>
  <c r="BY55" i="25"/>
  <c r="BX55" i="25"/>
  <c r="BW55" i="25"/>
  <c r="BV55" i="25"/>
  <c r="BU55" i="25"/>
  <c r="BT55" i="25"/>
  <c r="BS55" i="25"/>
  <c r="BR55" i="25"/>
  <c r="BQ55" i="25"/>
  <c r="BP55" i="25"/>
  <c r="BO55" i="25"/>
  <c r="BN55" i="25"/>
  <c r="BM55" i="25"/>
  <c r="BL55" i="25"/>
  <c r="BK55" i="25"/>
  <c r="BJ55" i="25"/>
  <c r="BI55" i="25"/>
  <c r="BB55" i="25"/>
  <c r="BA55" i="25"/>
  <c r="AZ55" i="25"/>
  <c r="AY55" i="25"/>
  <c r="AX55" i="25"/>
  <c r="AW55" i="25"/>
  <c r="AV55" i="25"/>
  <c r="AU55" i="25"/>
  <c r="AT55" i="25"/>
  <c r="AS55" i="25"/>
  <c r="AR55" i="25"/>
  <c r="AQ55" i="25"/>
  <c r="AN55" i="25"/>
  <c r="AM55" i="25"/>
  <c r="AL55" i="25"/>
  <c r="AK55" i="25"/>
  <c r="AJ55" i="25"/>
  <c r="AI55" i="25"/>
  <c r="AH55" i="25"/>
  <c r="AG55" i="25"/>
  <c r="AF55" i="25"/>
  <c r="AE55" i="25"/>
  <c r="AD55" i="25"/>
  <c r="AC55" i="25"/>
  <c r="AB55" i="25"/>
  <c r="AA55" i="25"/>
  <c r="Z55" i="25"/>
  <c r="Y55" i="25"/>
  <c r="X55" i="25"/>
  <c r="W55" i="25"/>
  <c r="U55" i="25"/>
  <c r="T55" i="25"/>
  <c r="S55" i="25"/>
  <c r="R55" i="25"/>
  <c r="Q55" i="25"/>
  <c r="P55" i="25"/>
  <c r="O55" i="25"/>
  <c r="N55" i="25"/>
  <c r="M55" i="25"/>
  <c r="L55" i="25"/>
  <c r="K55" i="25"/>
  <c r="J55" i="25"/>
  <c r="I55" i="25"/>
  <c r="H55" i="25"/>
  <c r="G55" i="25"/>
  <c r="F55" i="25"/>
  <c r="E55" i="25"/>
  <c r="D55" i="25"/>
  <c r="BZ54" i="25"/>
  <c r="BY54" i="25"/>
  <c r="BX54" i="25"/>
  <c r="BW54" i="25"/>
  <c r="BV54" i="25"/>
  <c r="BU54" i="25"/>
  <c r="BT54" i="25"/>
  <c r="BS54" i="25"/>
  <c r="BR54" i="25"/>
  <c r="BQ54" i="25"/>
  <c r="BP54" i="25"/>
  <c r="BO54" i="25"/>
  <c r="BN54" i="25"/>
  <c r="BM54" i="25"/>
  <c r="BL54" i="25"/>
  <c r="BK54" i="25"/>
  <c r="BJ54" i="25"/>
  <c r="BI54" i="25"/>
  <c r="BB54" i="25"/>
  <c r="BA54" i="25"/>
  <c r="AZ54" i="25"/>
  <c r="AY54" i="25"/>
  <c r="AX54" i="25"/>
  <c r="AW54" i="25"/>
  <c r="AV54" i="25"/>
  <c r="AU54" i="25"/>
  <c r="AT54" i="25"/>
  <c r="AS54" i="25"/>
  <c r="AR54" i="25"/>
  <c r="AQ54" i="25"/>
  <c r="AN54" i="25"/>
  <c r="AM54" i="25"/>
  <c r="AL54" i="25"/>
  <c r="AK54" i="25"/>
  <c r="AJ54" i="25"/>
  <c r="AI54" i="25"/>
  <c r="AH54" i="25"/>
  <c r="AG54" i="25"/>
  <c r="AF54" i="25"/>
  <c r="AE54" i="25"/>
  <c r="AD54" i="25"/>
  <c r="AC54" i="25"/>
  <c r="AB54" i="25"/>
  <c r="AA54" i="25"/>
  <c r="Z54" i="25"/>
  <c r="Y54" i="25"/>
  <c r="X54" i="25"/>
  <c r="W54" i="25"/>
  <c r="U54" i="25"/>
  <c r="T54" i="25"/>
  <c r="S54" i="25"/>
  <c r="R54" i="25"/>
  <c r="Q54" i="25"/>
  <c r="P54" i="25"/>
  <c r="O54" i="25"/>
  <c r="N54" i="25"/>
  <c r="M54" i="25"/>
  <c r="L54" i="25"/>
  <c r="K54" i="25"/>
  <c r="J54" i="25"/>
  <c r="I54" i="25"/>
  <c r="H54" i="25"/>
  <c r="G54" i="25"/>
  <c r="F54" i="25"/>
  <c r="E54" i="25"/>
  <c r="D54" i="25"/>
  <c r="BZ53" i="25"/>
  <c r="BY53" i="25"/>
  <c r="BX53" i="25"/>
  <c r="BW53" i="25"/>
  <c r="BV53" i="25"/>
  <c r="BU53" i="25"/>
  <c r="BT53" i="25"/>
  <c r="BS53" i="25"/>
  <c r="BR53" i="25"/>
  <c r="BQ53" i="25"/>
  <c r="BP53" i="25"/>
  <c r="BO53" i="25"/>
  <c r="BN53" i="25"/>
  <c r="BM53" i="25"/>
  <c r="BL53" i="25"/>
  <c r="BK53" i="25"/>
  <c r="BJ53" i="25"/>
  <c r="BI53" i="25"/>
  <c r="BB53" i="25"/>
  <c r="BA53" i="25"/>
  <c r="AZ53" i="25"/>
  <c r="AY53" i="25"/>
  <c r="AX53" i="25"/>
  <c r="AW53" i="25"/>
  <c r="AV53" i="25"/>
  <c r="AU53" i="25"/>
  <c r="AT53" i="25"/>
  <c r="AS53" i="25"/>
  <c r="AR53" i="25"/>
  <c r="AQ53" i="25"/>
  <c r="AN53" i="25"/>
  <c r="AM53" i="25"/>
  <c r="AL53" i="25"/>
  <c r="AK53" i="25"/>
  <c r="AJ53" i="25"/>
  <c r="AI53" i="25"/>
  <c r="AH53" i="25"/>
  <c r="AG53" i="25"/>
  <c r="AF53" i="25"/>
  <c r="AE53" i="25"/>
  <c r="AD53" i="25"/>
  <c r="AC53" i="25"/>
  <c r="AB53" i="25"/>
  <c r="AA53" i="25"/>
  <c r="Z53" i="25"/>
  <c r="Y53" i="25"/>
  <c r="X53" i="25"/>
  <c r="W53" i="25"/>
  <c r="U53" i="25"/>
  <c r="T53" i="25"/>
  <c r="S53" i="25"/>
  <c r="R53" i="25"/>
  <c r="Q53" i="25"/>
  <c r="P53" i="25"/>
  <c r="O53" i="25"/>
  <c r="N53" i="25"/>
  <c r="M53" i="25"/>
  <c r="L53" i="25"/>
  <c r="K53" i="25"/>
  <c r="J53" i="25"/>
  <c r="I53" i="25"/>
  <c r="H53" i="25"/>
  <c r="G53" i="25"/>
  <c r="F53" i="25"/>
  <c r="E53" i="25"/>
  <c r="D53" i="25"/>
  <c r="AE47" i="25"/>
  <c r="X47" i="25"/>
  <c r="Q47" i="25"/>
  <c r="J47" i="25"/>
  <c r="C47" i="25"/>
  <c r="AR45" i="25"/>
  <c r="AQ45" i="25"/>
  <c r="AP45" i="25"/>
  <c r="AO45" i="25"/>
  <c r="AN45" i="25"/>
  <c r="AM45" i="25"/>
  <c r="AK45" i="25"/>
  <c r="AJ45" i="25"/>
  <c r="AI45" i="25"/>
  <c r="AH45" i="25"/>
  <c r="AG45" i="25"/>
  <c r="AF45" i="25"/>
  <c r="AD45" i="25"/>
  <c r="AC45" i="25"/>
  <c r="AB45" i="25"/>
  <c r="AA45" i="25"/>
  <c r="Z45" i="25"/>
  <c r="Y45" i="25"/>
  <c r="W45" i="25"/>
  <c r="V45" i="25"/>
  <c r="U45" i="25"/>
  <c r="T45" i="25"/>
  <c r="S45" i="25"/>
  <c r="R45" i="25"/>
  <c r="P45" i="25"/>
  <c r="O45" i="25"/>
  <c r="N45" i="25"/>
  <c r="M45" i="25"/>
  <c r="L45" i="25"/>
  <c r="K45" i="25"/>
  <c r="I45" i="25"/>
  <c r="H45" i="25"/>
  <c r="G45" i="25"/>
  <c r="F45" i="25"/>
  <c r="E45" i="25"/>
  <c r="D45" i="25"/>
  <c r="AR44" i="25"/>
  <c r="AQ44" i="25"/>
  <c r="AP44" i="25"/>
  <c r="AO44" i="25"/>
  <c r="AN44" i="25"/>
  <c r="AM44" i="25"/>
  <c r="AK44" i="25"/>
  <c r="AJ44" i="25"/>
  <c r="AI44" i="25"/>
  <c r="AH44" i="25"/>
  <c r="AG44" i="25"/>
  <c r="AF44" i="25"/>
  <c r="AD44" i="25"/>
  <c r="AC44" i="25"/>
  <c r="AB44" i="25"/>
  <c r="AA44" i="25"/>
  <c r="Z44" i="25"/>
  <c r="Y44" i="25"/>
  <c r="W44" i="25"/>
  <c r="V44" i="25"/>
  <c r="U44" i="25"/>
  <c r="T44" i="25"/>
  <c r="S44" i="25"/>
  <c r="R44" i="25"/>
  <c r="P44" i="25"/>
  <c r="O44" i="25"/>
  <c r="N44" i="25"/>
  <c r="M44" i="25"/>
  <c r="L44" i="25"/>
  <c r="K44" i="25"/>
  <c r="I44" i="25"/>
  <c r="H44" i="25"/>
  <c r="G44" i="25"/>
  <c r="F44" i="25"/>
  <c r="E44" i="25"/>
  <c r="D44" i="25"/>
  <c r="AR43" i="25"/>
  <c r="AQ43" i="25"/>
  <c r="AP43" i="25"/>
  <c r="AO43" i="25"/>
  <c r="AN43" i="25"/>
  <c r="AM43" i="25"/>
  <c r="AK43" i="25"/>
  <c r="AJ43" i="25"/>
  <c r="AI43" i="25"/>
  <c r="AH43" i="25"/>
  <c r="AG43" i="25"/>
  <c r="AF43" i="25"/>
  <c r="AD43" i="25"/>
  <c r="AC43" i="25"/>
  <c r="AB43" i="25"/>
  <c r="AA43" i="25"/>
  <c r="Z43" i="25"/>
  <c r="Y43" i="25"/>
  <c r="W43" i="25"/>
  <c r="V43" i="25"/>
  <c r="U43" i="25"/>
  <c r="T43" i="25"/>
  <c r="S43" i="25"/>
  <c r="R43" i="25"/>
  <c r="P43" i="25"/>
  <c r="O43" i="25"/>
  <c r="N43" i="25"/>
  <c r="M43" i="25"/>
  <c r="L43" i="25"/>
  <c r="K43" i="25"/>
  <c r="I43" i="25"/>
  <c r="H43" i="25"/>
  <c r="G43" i="25"/>
  <c r="F43" i="25"/>
  <c r="E43" i="25"/>
  <c r="D43" i="25"/>
  <c r="AR42" i="25"/>
  <c r="AQ42" i="25"/>
  <c r="AP42" i="25"/>
  <c r="AO42" i="25"/>
  <c r="AN42" i="25"/>
  <c r="AM42" i="25"/>
  <c r="AK42" i="25"/>
  <c r="AJ42" i="25"/>
  <c r="AI42" i="25"/>
  <c r="AH42" i="25"/>
  <c r="AG42" i="25"/>
  <c r="AF42" i="25"/>
  <c r="AD42" i="25"/>
  <c r="AC42" i="25"/>
  <c r="AB42" i="25"/>
  <c r="AA42" i="25"/>
  <c r="Z42" i="25"/>
  <c r="Y42" i="25"/>
  <c r="W42" i="25"/>
  <c r="V42" i="25"/>
  <c r="U42" i="25"/>
  <c r="T42" i="25"/>
  <c r="S42" i="25"/>
  <c r="R42" i="25"/>
  <c r="P42" i="25"/>
  <c r="O42" i="25"/>
  <c r="N42" i="25"/>
  <c r="M42" i="25"/>
  <c r="L42" i="25"/>
  <c r="K42" i="25"/>
  <c r="I42" i="25"/>
  <c r="H42" i="25"/>
  <c r="G42" i="25"/>
  <c r="F42" i="25"/>
  <c r="E42" i="25"/>
  <c r="D42" i="25"/>
  <c r="AR41" i="25"/>
  <c r="AQ41" i="25"/>
  <c r="AP41" i="25"/>
  <c r="AO41" i="25"/>
  <c r="AN41" i="25"/>
  <c r="AM41" i="25"/>
  <c r="AK41" i="25"/>
  <c r="AJ41" i="25"/>
  <c r="AI41" i="25"/>
  <c r="AH41" i="25"/>
  <c r="AG41" i="25"/>
  <c r="AF41" i="25"/>
  <c r="AD41" i="25"/>
  <c r="AC41" i="25"/>
  <c r="AB41" i="25"/>
  <c r="AA41" i="25"/>
  <c r="Z41" i="25"/>
  <c r="Y41" i="25"/>
  <c r="W41" i="25"/>
  <c r="V41" i="25"/>
  <c r="U41" i="25"/>
  <c r="T41" i="25"/>
  <c r="S41" i="25"/>
  <c r="R41" i="25"/>
  <c r="P41" i="25"/>
  <c r="O41" i="25"/>
  <c r="N41" i="25"/>
  <c r="M41" i="25"/>
  <c r="L41" i="25"/>
  <c r="K41" i="25"/>
  <c r="I41" i="25"/>
  <c r="H41" i="25"/>
  <c r="G41" i="25"/>
  <c r="F41" i="25"/>
  <c r="E41" i="25"/>
  <c r="D41" i="25"/>
  <c r="AR40" i="25"/>
  <c r="AQ40" i="25"/>
  <c r="AP40" i="25"/>
  <c r="AO40" i="25"/>
  <c r="AN40" i="25"/>
  <c r="AM40" i="25"/>
  <c r="AK40" i="25"/>
  <c r="AJ40" i="25"/>
  <c r="AI40" i="25"/>
  <c r="AH40" i="25"/>
  <c r="AG40" i="25"/>
  <c r="AF40" i="25"/>
  <c r="AD40" i="25"/>
  <c r="AC40" i="25"/>
  <c r="AB40" i="25"/>
  <c r="AA40" i="25"/>
  <c r="Z40" i="25"/>
  <c r="Y40" i="25"/>
  <c r="W40" i="25"/>
  <c r="V40" i="25"/>
  <c r="U40" i="25"/>
  <c r="T40" i="25"/>
  <c r="S40" i="25"/>
  <c r="R40" i="25"/>
  <c r="P40" i="25"/>
  <c r="O40" i="25"/>
  <c r="N40" i="25"/>
  <c r="M40" i="25"/>
  <c r="L40" i="25"/>
  <c r="K40" i="25"/>
  <c r="I40" i="25"/>
  <c r="H40" i="25"/>
  <c r="G40" i="25"/>
  <c r="F40" i="25"/>
  <c r="E40" i="25"/>
  <c r="D40" i="25"/>
  <c r="AR39" i="25"/>
  <c r="AQ39" i="25"/>
  <c r="AP39" i="25"/>
  <c r="AO39" i="25"/>
  <c r="AN39" i="25"/>
  <c r="AM39" i="25"/>
  <c r="AK39" i="25"/>
  <c r="AJ39" i="25"/>
  <c r="AI39" i="25"/>
  <c r="AH39" i="25"/>
  <c r="AG39" i="25"/>
  <c r="AF39" i="25"/>
  <c r="AD39" i="25"/>
  <c r="AC39" i="25"/>
  <c r="AB39" i="25"/>
  <c r="AA39" i="25"/>
  <c r="Z39" i="25"/>
  <c r="Y39" i="25"/>
  <c r="W39" i="25"/>
  <c r="V39" i="25"/>
  <c r="U39" i="25"/>
  <c r="T39" i="25"/>
  <c r="S39" i="25"/>
  <c r="R39" i="25"/>
  <c r="P39" i="25"/>
  <c r="O39" i="25"/>
  <c r="N39" i="25"/>
  <c r="M39" i="25"/>
  <c r="L39" i="25"/>
  <c r="K39" i="25"/>
  <c r="I39" i="25"/>
  <c r="H39" i="25"/>
  <c r="G39" i="25"/>
  <c r="F39" i="25"/>
  <c r="E39" i="25"/>
  <c r="D39" i="25"/>
  <c r="AR38" i="25"/>
  <c r="AQ38" i="25"/>
  <c r="AP38" i="25"/>
  <c r="AO38" i="25"/>
  <c r="AN38" i="25"/>
  <c r="AM38" i="25"/>
  <c r="AK38" i="25"/>
  <c r="AJ38" i="25"/>
  <c r="AI38" i="25"/>
  <c r="AH38" i="25"/>
  <c r="AG38" i="25"/>
  <c r="AF38" i="25"/>
  <c r="AD38" i="25"/>
  <c r="AC38" i="25"/>
  <c r="AB38" i="25"/>
  <c r="AA38" i="25"/>
  <c r="Z38" i="25"/>
  <c r="Y38" i="25"/>
  <c r="W38" i="25"/>
  <c r="V38" i="25"/>
  <c r="U38" i="25"/>
  <c r="T38" i="25"/>
  <c r="S38" i="25"/>
  <c r="R38" i="25"/>
  <c r="P38" i="25"/>
  <c r="O38" i="25"/>
  <c r="N38" i="25"/>
  <c r="M38" i="25"/>
  <c r="L38" i="25"/>
  <c r="K38" i="25"/>
  <c r="I38" i="25"/>
  <c r="H38" i="25"/>
  <c r="G38" i="25"/>
  <c r="F38" i="25"/>
  <c r="E38" i="25"/>
  <c r="D38" i="25"/>
  <c r="AR37" i="25"/>
  <c r="AQ37" i="25"/>
  <c r="AP37" i="25"/>
  <c r="AO37" i="25"/>
  <c r="AN37" i="25"/>
  <c r="AM37" i="25"/>
  <c r="AK37" i="25"/>
  <c r="AJ37" i="25"/>
  <c r="AI37" i="25"/>
  <c r="AH37" i="25"/>
  <c r="AG37" i="25"/>
  <c r="AF37" i="25"/>
  <c r="AD37" i="25"/>
  <c r="AC37" i="25"/>
  <c r="AB37" i="25"/>
  <c r="AA37" i="25"/>
  <c r="Z37" i="25"/>
  <c r="Y37" i="25"/>
  <c r="W37" i="25"/>
  <c r="V37" i="25"/>
  <c r="U37" i="25"/>
  <c r="T37" i="25"/>
  <c r="S37" i="25"/>
  <c r="R37" i="25"/>
  <c r="P37" i="25"/>
  <c r="O37" i="25"/>
  <c r="N37" i="25"/>
  <c r="M37" i="25"/>
  <c r="L37" i="25"/>
  <c r="K37" i="25"/>
  <c r="I37" i="25"/>
  <c r="H37" i="25"/>
  <c r="G37" i="25"/>
  <c r="F37" i="25"/>
  <c r="E37" i="25"/>
  <c r="D37" i="25"/>
  <c r="AR36" i="25"/>
  <c r="AQ36" i="25"/>
  <c r="AP36" i="25"/>
  <c r="AO36" i="25"/>
  <c r="AN36" i="25"/>
  <c r="AM36" i="25"/>
  <c r="AK36" i="25"/>
  <c r="AJ36" i="25"/>
  <c r="AI36" i="25"/>
  <c r="AH36" i="25"/>
  <c r="AG36" i="25"/>
  <c r="AF36" i="25"/>
  <c r="AD36" i="25"/>
  <c r="AC36" i="25"/>
  <c r="AB36" i="25"/>
  <c r="AA36" i="25"/>
  <c r="Z36" i="25"/>
  <c r="Y36" i="25"/>
  <c r="W36" i="25"/>
  <c r="V36" i="25"/>
  <c r="U36" i="25"/>
  <c r="T36" i="25"/>
  <c r="S36" i="25"/>
  <c r="R36" i="25"/>
  <c r="P36" i="25"/>
  <c r="O36" i="25"/>
  <c r="N36" i="25"/>
  <c r="M36" i="25"/>
  <c r="L36" i="25"/>
  <c r="K36" i="25"/>
  <c r="I36" i="25"/>
  <c r="H36" i="25"/>
  <c r="G36" i="25"/>
  <c r="F36" i="25"/>
  <c r="E36" i="25"/>
  <c r="D36" i="25"/>
  <c r="AR35" i="25"/>
  <c r="AQ35" i="25"/>
  <c r="AP35" i="25"/>
  <c r="AO35" i="25"/>
  <c r="AN35" i="25"/>
  <c r="AM35" i="25"/>
  <c r="AK35" i="25"/>
  <c r="AJ35" i="25"/>
  <c r="AI35" i="25"/>
  <c r="AH35" i="25"/>
  <c r="AG35" i="25"/>
  <c r="AF35" i="25"/>
  <c r="AD35" i="25"/>
  <c r="AC35" i="25"/>
  <c r="AB35" i="25"/>
  <c r="AA35" i="25"/>
  <c r="Z35" i="25"/>
  <c r="Y35" i="25"/>
  <c r="W35" i="25"/>
  <c r="V35" i="25"/>
  <c r="U35" i="25"/>
  <c r="T35" i="25"/>
  <c r="S35" i="25"/>
  <c r="R35" i="25"/>
  <c r="P35" i="25"/>
  <c r="O35" i="25"/>
  <c r="N35" i="25"/>
  <c r="M35" i="25"/>
  <c r="L35" i="25"/>
  <c r="K35" i="25"/>
  <c r="I35" i="25"/>
  <c r="H35" i="25"/>
  <c r="G35" i="25"/>
  <c r="F35" i="25"/>
  <c r="E35" i="25"/>
  <c r="D35" i="25"/>
  <c r="AR34" i="25"/>
  <c r="AQ34" i="25"/>
  <c r="AP34" i="25"/>
  <c r="AO34" i="25"/>
  <c r="AN34" i="25"/>
  <c r="AM34" i="25"/>
  <c r="AK34" i="25"/>
  <c r="AJ34" i="25"/>
  <c r="AI34" i="25"/>
  <c r="AH34" i="25"/>
  <c r="AG34" i="25"/>
  <c r="AF34" i="25"/>
  <c r="AD34" i="25"/>
  <c r="AC34" i="25"/>
  <c r="AB34" i="25"/>
  <c r="AA34" i="25"/>
  <c r="Z34" i="25"/>
  <c r="Y34" i="25"/>
  <c r="W34" i="25"/>
  <c r="V34" i="25"/>
  <c r="U34" i="25"/>
  <c r="T34" i="25"/>
  <c r="S34" i="25"/>
  <c r="R34" i="25"/>
  <c r="P34" i="25"/>
  <c r="O34" i="25"/>
  <c r="N34" i="25"/>
  <c r="M34" i="25"/>
  <c r="L34" i="25"/>
  <c r="K34" i="25"/>
  <c r="I34" i="25"/>
  <c r="H34" i="25"/>
  <c r="G34" i="25"/>
  <c r="F34" i="25"/>
  <c r="E34" i="25"/>
  <c r="D34" i="25"/>
  <c r="AR33" i="25"/>
  <c r="AQ33" i="25"/>
  <c r="AP33" i="25"/>
  <c r="AO33" i="25"/>
  <c r="AN33" i="25"/>
  <c r="AM33" i="25"/>
  <c r="AK33" i="25"/>
  <c r="AJ33" i="25"/>
  <c r="AI33" i="25"/>
  <c r="AH33" i="25"/>
  <c r="AG33" i="25"/>
  <c r="AF33" i="25"/>
  <c r="AD33" i="25"/>
  <c r="AC33" i="25"/>
  <c r="AB33" i="25"/>
  <c r="AA33" i="25"/>
  <c r="Z33" i="25"/>
  <c r="Y33" i="25"/>
  <c r="W33" i="25"/>
  <c r="V33" i="25"/>
  <c r="U33" i="25"/>
  <c r="T33" i="25"/>
  <c r="S33" i="25"/>
  <c r="R33" i="25"/>
  <c r="P33" i="25"/>
  <c r="O33" i="25"/>
  <c r="N33" i="25"/>
  <c r="M33" i="25"/>
  <c r="L33" i="25"/>
  <c r="K33" i="25"/>
  <c r="I33" i="25"/>
  <c r="H33" i="25"/>
  <c r="G33" i="25"/>
  <c r="F33" i="25"/>
  <c r="E33" i="25"/>
  <c r="D33" i="25"/>
  <c r="AR32" i="25"/>
  <c r="AQ32" i="25"/>
  <c r="AP32" i="25"/>
  <c r="AO32" i="25"/>
  <c r="AN32" i="25"/>
  <c r="AM32" i="25"/>
  <c r="AK32" i="25"/>
  <c r="AJ32" i="25"/>
  <c r="AI32" i="25"/>
  <c r="AH32" i="25"/>
  <c r="AG32" i="25"/>
  <c r="AF32" i="25"/>
  <c r="AD32" i="25"/>
  <c r="AC32" i="25"/>
  <c r="AB32" i="25"/>
  <c r="AA32" i="25"/>
  <c r="Z32" i="25"/>
  <c r="Y32" i="25"/>
  <c r="W32" i="25"/>
  <c r="V32" i="25"/>
  <c r="U32" i="25"/>
  <c r="T32" i="25"/>
  <c r="S32" i="25"/>
  <c r="R32" i="25"/>
  <c r="P32" i="25"/>
  <c r="O32" i="25"/>
  <c r="N32" i="25"/>
  <c r="M32" i="25"/>
  <c r="L32" i="25"/>
  <c r="K32" i="25"/>
  <c r="I32" i="25"/>
  <c r="H32" i="25"/>
  <c r="G32" i="25"/>
  <c r="F32" i="25"/>
  <c r="E32" i="25"/>
  <c r="D32" i="25"/>
  <c r="AR31" i="25"/>
  <c r="AQ31" i="25"/>
  <c r="AP31" i="25"/>
  <c r="AO31" i="25"/>
  <c r="AN31" i="25"/>
  <c r="AM31" i="25"/>
  <c r="AK31" i="25"/>
  <c r="AJ31" i="25"/>
  <c r="AI31" i="25"/>
  <c r="AH31" i="25"/>
  <c r="AG31" i="25"/>
  <c r="AF31" i="25"/>
  <c r="AD31" i="25"/>
  <c r="AC31" i="25"/>
  <c r="AB31" i="25"/>
  <c r="AA31" i="25"/>
  <c r="Z31" i="25"/>
  <c r="Y31" i="25"/>
  <c r="W31" i="25"/>
  <c r="V31" i="25"/>
  <c r="U31" i="25"/>
  <c r="T31" i="25"/>
  <c r="S31" i="25"/>
  <c r="R31" i="25"/>
  <c r="P31" i="25"/>
  <c r="O31" i="25"/>
  <c r="N31" i="25"/>
  <c r="M31" i="25"/>
  <c r="L31" i="25"/>
  <c r="K31" i="25"/>
  <c r="I31" i="25"/>
  <c r="H31" i="25"/>
  <c r="G31" i="25"/>
  <c r="F31" i="25"/>
  <c r="E31" i="25"/>
  <c r="D31" i="25"/>
  <c r="AR30" i="25"/>
  <c r="AQ30" i="25"/>
  <c r="AP30" i="25"/>
  <c r="AO30" i="25"/>
  <c r="AN30" i="25"/>
  <c r="AM30" i="25"/>
  <c r="AK30" i="25"/>
  <c r="AJ30" i="25"/>
  <c r="AI30" i="25"/>
  <c r="AH30" i="25"/>
  <c r="AG30" i="25"/>
  <c r="AF30" i="25"/>
  <c r="AD30" i="25"/>
  <c r="AC30" i="25"/>
  <c r="AB30" i="25"/>
  <c r="AA30" i="25"/>
  <c r="Z30" i="25"/>
  <c r="Y30" i="25"/>
  <c r="W30" i="25"/>
  <c r="V30" i="25"/>
  <c r="U30" i="25"/>
  <c r="T30" i="25"/>
  <c r="S30" i="25"/>
  <c r="R30" i="25"/>
  <c r="P30" i="25"/>
  <c r="O30" i="25"/>
  <c r="N30" i="25"/>
  <c r="M30" i="25"/>
  <c r="L30" i="25"/>
  <c r="K30" i="25"/>
  <c r="I30" i="25"/>
  <c r="H30" i="25"/>
  <c r="G30" i="25"/>
  <c r="F30" i="25"/>
  <c r="E30" i="25"/>
  <c r="D30" i="25"/>
  <c r="AR29" i="25"/>
  <c r="AQ29" i="25"/>
  <c r="AP29" i="25"/>
  <c r="AO29" i="25"/>
  <c r="AN29" i="25"/>
  <c r="AM29" i="25"/>
  <c r="AK29" i="25"/>
  <c r="AJ29" i="25"/>
  <c r="AI29" i="25"/>
  <c r="AH29" i="25"/>
  <c r="AG29" i="25"/>
  <c r="AF29" i="25"/>
  <c r="AD29" i="25"/>
  <c r="AC29" i="25"/>
  <c r="AB29" i="25"/>
  <c r="AA29" i="25"/>
  <c r="Z29" i="25"/>
  <c r="Y29" i="25"/>
  <c r="W29" i="25"/>
  <c r="V29" i="25"/>
  <c r="U29" i="25"/>
  <c r="T29" i="25"/>
  <c r="S29" i="25"/>
  <c r="R29" i="25"/>
  <c r="P29" i="25"/>
  <c r="O29" i="25"/>
  <c r="N29" i="25"/>
  <c r="M29" i="25"/>
  <c r="L29" i="25"/>
  <c r="K29" i="25"/>
  <c r="I29" i="25"/>
  <c r="H29" i="25"/>
  <c r="G29" i="25"/>
  <c r="F29" i="25"/>
  <c r="E29" i="25"/>
  <c r="D29" i="25"/>
  <c r="AR28" i="25"/>
  <c r="AQ28" i="25"/>
  <c r="AP28" i="25"/>
  <c r="AO28" i="25"/>
  <c r="AN28" i="25"/>
  <c r="AM28" i="25"/>
  <c r="AK28" i="25"/>
  <c r="AJ28" i="25"/>
  <c r="AI28" i="25"/>
  <c r="AH28" i="25"/>
  <c r="AG28" i="25"/>
  <c r="AF28" i="25"/>
  <c r="AD28" i="25"/>
  <c r="AC28" i="25"/>
  <c r="AB28" i="25"/>
  <c r="AA28" i="25"/>
  <c r="Z28" i="25"/>
  <c r="Y28" i="25"/>
  <c r="W28" i="25"/>
  <c r="V28" i="25"/>
  <c r="U28" i="25"/>
  <c r="T28" i="25"/>
  <c r="S28" i="25"/>
  <c r="R28" i="25"/>
  <c r="P28" i="25"/>
  <c r="O28" i="25"/>
  <c r="N28" i="25"/>
  <c r="M28" i="25"/>
  <c r="L28" i="25"/>
  <c r="K28" i="25"/>
  <c r="I28" i="25"/>
  <c r="H28" i="25"/>
  <c r="G28" i="25"/>
  <c r="F28" i="25"/>
  <c r="E28" i="25"/>
  <c r="D28" i="25"/>
  <c r="AR27" i="25"/>
  <c r="AQ27" i="25"/>
  <c r="AP27" i="25"/>
  <c r="AO27" i="25"/>
  <c r="AN27" i="25"/>
  <c r="AM27" i="25"/>
  <c r="AK27" i="25"/>
  <c r="AJ27" i="25"/>
  <c r="AI27" i="25"/>
  <c r="AH27" i="25"/>
  <c r="AG27" i="25"/>
  <c r="AF27" i="25"/>
  <c r="AD27" i="25"/>
  <c r="AC27" i="25"/>
  <c r="AB27" i="25"/>
  <c r="AA27" i="25"/>
  <c r="Z27" i="25"/>
  <c r="Y27" i="25"/>
  <c r="W27" i="25"/>
  <c r="V27" i="25"/>
  <c r="U27" i="25"/>
  <c r="T27" i="25"/>
  <c r="S27" i="25"/>
  <c r="R27" i="25"/>
  <c r="P27" i="25"/>
  <c r="O27" i="25"/>
  <c r="N27" i="25"/>
  <c r="M27" i="25"/>
  <c r="L27" i="25"/>
  <c r="K27" i="25"/>
  <c r="I27" i="25"/>
  <c r="H27" i="25"/>
  <c r="G27" i="25"/>
  <c r="F27" i="25"/>
  <c r="E27" i="25"/>
  <c r="D27" i="25"/>
  <c r="AR26" i="25"/>
  <c r="AQ26" i="25"/>
  <c r="AP26" i="25"/>
  <c r="AO26" i="25"/>
  <c r="AN26" i="25"/>
  <c r="AM26" i="25"/>
  <c r="AK26" i="25"/>
  <c r="AJ26" i="25"/>
  <c r="AI26" i="25"/>
  <c r="AH26" i="25"/>
  <c r="AG26" i="25"/>
  <c r="AF26" i="25"/>
  <c r="AD26" i="25"/>
  <c r="AC26" i="25"/>
  <c r="AB26" i="25"/>
  <c r="AA26" i="25"/>
  <c r="Z26" i="25"/>
  <c r="Y26" i="25"/>
  <c r="W26" i="25"/>
  <c r="V26" i="25"/>
  <c r="U26" i="25"/>
  <c r="T26" i="25"/>
  <c r="S26" i="25"/>
  <c r="R26" i="25"/>
  <c r="P26" i="25"/>
  <c r="O26" i="25"/>
  <c r="N26" i="25"/>
  <c r="M26" i="25"/>
  <c r="L26" i="25"/>
  <c r="K26" i="25"/>
  <c r="I26" i="25"/>
  <c r="H26" i="25"/>
  <c r="G26" i="25"/>
  <c r="F26" i="25"/>
  <c r="E26" i="25"/>
  <c r="D26" i="25"/>
  <c r="AR25" i="25"/>
  <c r="AQ25" i="25"/>
  <c r="AP25" i="25"/>
  <c r="AO25" i="25"/>
  <c r="AN25" i="25"/>
  <c r="AM25" i="25"/>
  <c r="AK25" i="25"/>
  <c r="AJ25" i="25"/>
  <c r="AI25" i="25"/>
  <c r="AH25" i="25"/>
  <c r="AG25" i="25"/>
  <c r="AF25" i="25"/>
  <c r="AD25" i="25"/>
  <c r="AC25" i="25"/>
  <c r="AB25" i="25"/>
  <c r="AA25" i="25"/>
  <c r="Z25" i="25"/>
  <c r="Y25" i="25"/>
  <c r="W25" i="25"/>
  <c r="V25" i="25"/>
  <c r="U25" i="25"/>
  <c r="T25" i="25"/>
  <c r="S25" i="25"/>
  <c r="R25" i="25"/>
  <c r="P25" i="25"/>
  <c r="O25" i="25"/>
  <c r="N25" i="25"/>
  <c r="M25" i="25"/>
  <c r="L25" i="25"/>
  <c r="K25" i="25"/>
  <c r="I25" i="25"/>
  <c r="H25" i="25"/>
  <c r="G25" i="25"/>
  <c r="F25" i="25"/>
  <c r="E25" i="25"/>
  <c r="D25" i="25"/>
  <c r="AR24" i="25"/>
  <c r="AQ24" i="25"/>
  <c r="AP24" i="25"/>
  <c r="AO24" i="25"/>
  <c r="AN24" i="25"/>
  <c r="AM24" i="25"/>
  <c r="AK24" i="25"/>
  <c r="AJ24" i="25"/>
  <c r="AI24" i="25"/>
  <c r="AH24" i="25"/>
  <c r="AG24" i="25"/>
  <c r="AF24" i="25"/>
  <c r="AD24" i="25"/>
  <c r="AC24" i="25"/>
  <c r="AB24" i="25"/>
  <c r="AA24" i="25"/>
  <c r="Z24" i="25"/>
  <c r="Y24" i="25"/>
  <c r="W24" i="25"/>
  <c r="V24" i="25"/>
  <c r="U24" i="25"/>
  <c r="T24" i="25"/>
  <c r="S24" i="25"/>
  <c r="R24" i="25"/>
  <c r="P24" i="25"/>
  <c r="O24" i="25"/>
  <c r="N24" i="25"/>
  <c r="M24" i="25"/>
  <c r="L24" i="25"/>
  <c r="K24" i="25"/>
  <c r="I24" i="25"/>
  <c r="H24" i="25"/>
  <c r="G24" i="25"/>
  <c r="F24" i="25"/>
  <c r="E24" i="25"/>
  <c r="D24" i="25"/>
  <c r="AR23" i="25"/>
  <c r="AQ23" i="25"/>
  <c r="AP23" i="25"/>
  <c r="AO23" i="25"/>
  <c r="AN23" i="25"/>
  <c r="AM23" i="25"/>
  <c r="AK23" i="25"/>
  <c r="AJ23" i="25"/>
  <c r="AI23" i="25"/>
  <c r="AH23" i="25"/>
  <c r="AG23" i="25"/>
  <c r="AF23" i="25"/>
  <c r="AD23" i="25"/>
  <c r="AC23" i="25"/>
  <c r="AB23" i="25"/>
  <c r="AA23" i="25"/>
  <c r="Z23" i="25"/>
  <c r="Y23" i="25"/>
  <c r="W23" i="25"/>
  <c r="V23" i="25"/>
  <c r="U23" i="25"/>
  <c r="T23" i="25"/>
  <c r="S23" i="25"/>
  <c r="R23" i="25"/>
  <c r="P23" i="25"/>
  <c r="O23" i="25"/>
  <c r="N23" i="25"/>
  <c r="M23" i="25"/>
  <c r="L23" i="25"/>
  <c r="K23" i="25"/>
  <c r="I23" i="25"/>
  <c r="H23" i="25"/>
  <c r="G23" i="25"/>
  <c r="F23" i="25"/>
  <c r="E23" i="25"/>
  <c r="D23" i="25"/>
  <c r="AR22" i="25"/>
  <c r="AQ22" i="25"/>
  <c r="AP22" i="25"/>
  <c r="AO22" i="25"/>
  <c r="AN22" i="25"/>
  <c r="AM22" i="25"/>
  <c r="AK22" i="25"/>
  <c r="AJ22" i="25"/>
  <c r="AI22" i="25"/>
  <c r="AH22" i="25"/>
  <c r="AG22" i="25"/>
  <c r="AF22" i="25"/>
  <c r="AD22" i="25"/>
  <c r="AC22" i="25"/>
  <c r="AB22" i="25"/>
  <c r="AA22" i="25"/>
  <c r="Z22" i="25"/>
  <c r="Y22" i="25"/>
  <c r="W22" i="25"/>
  <c r="V22" i="25"/>
  <c r="U22" i="25"/>
  <c r="T22" i="25"/>
  <c r="S22" i="25"/>
  <c r="R22" i="25"/>
  <c r="P22" i="25"/>
  <c r="O22" i="25"/>
  <c r="N22" i="25"/>
  <c r="M22" i="25"/>
  <c r="L22" i="25"/>
  <c r="K22" i="25"/>
  <c r="I22" i="25"/>
  <c r="H22" i="25"/>
  <c r="G22" i="25"/>
  <c r="F22" i="25"/>
  <c r="E22" i="25"/>
  <c r="D22" i="25"/>
  <c r="AR21" i="25"/>
  <c r="AQ21" i="25"/>
  <c r="AP21" i="25"/>
  <c r="AO21" i="25"/>
  <c r="AN21" i="25"/>
  <c r="AM21" i="25"/>
  <c r="AK21" i="25"/>
  <c r="AJ21" i="25"/>
  <c r="AI21" i="25"/>
  <c r="AH21" i="25"/>
  <c r="AG21" i="25"/>
  <c r="AF21" i="25"/>
  <c r="AD21" i="25"/>
  <c r="AC21" i="25"/>
  <c r="AB21" i="25"/>
  <c r="AA21" i="25"/>
  <c r="Z21" i="25"/>
  <c r="Y21" i="25"/>
  <c r="W21" i="25"/>
  <c r="V21" i="25"/>
  <c r="U21" i="25"/>
  <c r="T21" i="25"/>
  <c r="S21" i="25"/>
  <c r="R21" i="25"/>
  <c r="P21" i="25"/>
  <c r="O21" i="25"/>
  <c r="N21" i="25"/>
  <c r="M21" i="25"/>
  <c r="L21" i="25"/>
  <c r="K21" i="25"/>
  <c r="I21" i="25"/>
  <c r="H21" i="25"/>
  <c r="G21" i="25"/>
  <c r="F21" i="25"/>
  <c r="E21" i="25"/>
  <c r="D21" i="25"/>
  <c r="AR20" i="25"/>
  <c r="AQ20" i="25"/>
  <c r="AP20" i="25"/>
  <c r="AO20" i="25"/>
  <c r="AN20" i="25"/>
  <c r="AM20" i="25"/>
  <c r="AK20" i="25"/>
  <c r="AJ20" i="25"/>
  <c r="AI20" i="25"/>
  <c r="AH20" i="25"/>
  <c r="AG20" i="25"/>
  <c r="AF20" i="25"/>
  <c r="AD20" i="25"/>
  <c r="AC20" i="25"/>
  <c r="AB20" i="25"/>
  <c r="AA20" i="25"/>
  <c r="Z20" i="25"/>
  <c r="Y20" i="25"/>
  <c r="W20" i="25"/>
  <c r="V20" i="25"/>
  <c r="U20" i="25"/>
  <c r="T20" i="25"/>
  <c r="S20" i="25"/>
  <c r="R20" i="25"/>
  <c r="P20" i="25"/>
  <c r="O20" i="25"/>
  <c r="N20" i="25"/>
  <c r="M20" i="25"/>
  <c r="L20" i="25"/>
  <c r="K20" i="25"/>
  <c r="I20" i="25"/>
  <c r="H20" i="25"/>
  <c r="G20" i="25"/>
  <c r="F20" i="25"/>
  <c r="E20" i="25"/>
  <c r="D20" i="25"/>
  <c r="AR19" i="25"/>
  <c r="AQ19" i="25"/>
  <c r="AP19" i="25"/>
  <c r="AO19" i="25"/>
  <c r="AN19" i="25"/>
  <c r="AM19" i="25"/>
  <c r="AK19" i="25"/>
  <c r="AJ19" i="25"/>
  <c r="AI19" i="25"/>
  <c r="AH19" i="25"/>
  <c r="AG19" i="25"/>
  <c r="AF19" i="25"/>
  <c r="AD19" i="25"/>
  <c r="AC19" i="25"/>
  <c r="AB19" i="25"/>
  <c r="AA19" i="25"/>
  <c r="Z19" i="25"/>
  <c r="Y19" i="25"/>
  <c r="W19" i="25"/>
  <c r="V19" i="25"/>
  <c r="U19" i="25"/>
  <c r="T19" i="25"/>
  <c r="S19" i="25"/>
  <c r="R19" i="25"/>
  <c r="P19" i="25"/>
  <c r="O19" i="25"/>
  <c r="N19" i="25"/>
  <c r="M19" i="25"/>
  <c r="L19" i="25"/>
  <c r="K19" i="25"/>
  <c r="I19" i="25"/>
  <c r="H19" i="25"/>
  <c r="G19" i="25"/>
  <c r="F19" i="25"/>
  <c r="E19" i="25"/>
  <c r="D19" i="25"/>
  <c r="AR18" i="25"/>
  <c r="AQ18" i="25"/>
  <c r="AP18" i="25"/>
  <c r="AO18" i="25"/>
  <c r="AN18" i="25"/>
  <c r="AM18" i="25"/>
  <c r="AK18" i="25"/>
  <c r="AJ18" i="25"/>
  <c r="AI18" i="25"/>
  <c r="AH18" i="25"/>
  <c r="AG18" i="25"/>
  <c r="AF18" i="25"/>
  <c r="AD18" i="25"/>
  <c r="AC18" i="25"/>
  <c r="AB18" i="25"/>
  <c r="AA18" i="25"/>
  <c r="Z18" i="25"/>
  <c r="Y18" i="25"/>
  <c r="W18" i="25"/>
  <c r="V18" i="25"/>
  <c r="U18" i="25"/>
  <c r="T18" i="25"/>
  <c r="S18" i="25"/>
  <c r="R18" i="25"/>
  <c r="P18" i="25"/>
  <c r="O18" i="25"/>
  <c r="N18" i="25"/>
  <c r="M18" i="25"/>
  <c r="L18" i="25"/>
  <c r="K18" i="25"/>
  <c r="I18" i="25"/>
  <c r="H18" i="25"/>
  <c r="G18" i="25"/>
  <c r="F18" i="25"/>
  <c r="E18" i="25"/>
  <c r="D18" i="25"/>
  <c r="AR17" i="25"/>
  <c r="AQ17" i="25"/>
  <c r="AP17" i="25"/>
  <c r="AO17" i="25"/>
  <c r="AN17" i="25"/>
  <c r="AM17" i="25"/>
  <c r="AK17" i="25"/>
  <c r="AJ17" i="25"/>
  <c r="AI17" i="25"/>
  <c r="AH17" i="25"/>
  <c r="AG17" i="25"/>
  <c r="AF17" i="25"/>
  <c r="AD17" i="25"/>
  <c r="AC17" i="25"/>
  <c r="AB17" i="25"/>
  <c r="AA17" i="25"/>
  <c r="Z17" i="25"/>
  <c r="Y17" i="25"/>
  <c r="W17" i="25"/>
  <c r="V17" i="25"/>
  <c r="U17" i="25"/>
  <c r="T17" i="25"/>
  <c r="S17" i="25"/>
  <c r="R17" i="25"/>
  <c r="P17" i="25"/>
  <c r="O17" i="25"/>
  <c r="N17" i="25"/>
  <c r="M17" i="25"/>
  <c r="L17" i="25"/>
  <c r="K17" i="25"/>
  <c r="I17" i="25"/>
  <c r="H17" i="25"/>
  <c r="G17" i="25"/>
  <c r="F17" i="25"/>
  <c r="E17" i="25"/>
  <c r="D17" i="25"/>
  <c r="AR16" i="25"/>
  <c r="AQ16" i="25"/>
  <c r="AP16" i="25"/>
  <c r="AO16" i="25"/>
  <c r="AN16" i="25"/>
  <c r="AM16" i="25"/>
  <c r="AK16" i="25"/>
  <c r="AJ16" i="25"/>
  <c r="AI16" i="25"/>
  <c r="AH16" i="25"/>
  <c r="AG16" i="25"/>
  <c r="AF16" i="25"/>
  <c r="AD16" i="25"/>
  <c r="AC16" i="25"/>
  <c r="AB16" i="25"/>
  <c r="AA16" i="25"/>
  <c r="Z16" i="25"/>
  <c r="Y16" i="25"/>
  <c r="W16" i="25"/>
  <c r="V16" i="25"/>
  <c r="U16" i="25"/>
  <c r="T16" i="25"/>
  <c r="S16" i="25"/>
  <c r="R16" i="25"/>
  <c r="P16" i="25"/>
  <c r="O16" i="25"/>
  <c r="N16" i="25"/>
  <c r="M16" i="25"/>
  <c r="L16" i="25"/>
  <c r="K16" i="25"/>
  <c r="I16" i="25"/>
  <c r="H16" i="25"/>
  <c r="G16" i="25"/>
  <c r="F16" i="25"/>
  <c r="E16" i="25"/>
  <c r="D16" i="25"/>
  <c r="AR15" i="25"/>
  <c r="AQ15" i="25"/>
  <c r="AP15" i="25"/>
  <c r="AO15" i="25"/>
  <c r="AN15" i="25"/>
  <c r="AM15" i="25"/>
  <c r="AK15" i="25"/>
  <c r="AJ15" i="25"/>
  <c r="AI15" i="25"/>
  <c r="AH15" i="25"/>
  <c r="AG15" i="25"/>
  <c r="AF15" i="25"/>
  <c r="AD15" i="25"/>
  <c r="AC15" i="25"/>
  <c r="AB15" i="25"/>
  <c r="AA15" i="25"/>
  <c r="Z15" i="25"/>
  <c r="Y15" i="25"/>
  <c r="W15" i="25"/>
  <c r="V15" i="25"/>
  <c r="U15" i="25"/>
  <c r="T15" i="25"/>
  <c r="S15" i="25"/>
  <c r="R15" i="25"/>
  <c r="P15" i="25"/>
  <c r="O15" i="25"/>
  <c r="N15" i="25"/>
  <c r="M15" i="25"/>
  <c r="L15" i="25"/>
  <c r="K15" i="25"/>
  <c r="I15" i="25"/>
  <c r="H15" i="25"/>
  <c r="G15" i="25"/>
  <c r="F15" i="25"/>
  <c r="E15" i="25"/>
  <c r="D15" i="25"/>
  <c r="AR14" i="25"/>
  <c r="AQ14" i="25"/>
  <c r="AP14" i="25"/>
  <c r="AO14" i="25"/>
  <c r="AN14" i="25"/>
  <c r="AM14" i="25"/>
  <c r="AK14" i="25"/>
  <c r="AJ14" i="25"/>
  <c r="AI14" i="25"/>
  <c r="AH14" i="25"/>
  <c r="AG14" i="25"/>
  <c r="AF14" i="25"/>
  <c r="AD14" i="25"/>
  <c r="AC14" i="25"/>
  <c r="AB14" i="25"/>
  <c r="AA14" i="25"/>
  <c r="Z14" i="25"/>
  <c r="Y14" i="25"/>
  <c r="W14" i="25"/>
  <c r="V14" i="25"/>
  <c r="U14" i="25"/>
  <c r="T14" i="25"/>
  <c r="S14" i="25"/>
  <c r="R14" i="25"/>
  <c r="P14" i="25"/>
  <c r="O14" i="25"/>
  <c r="N14" i="25"/>
  <c r="M14" i="25"/>
  <c r="L14" i="25"/>
  <c r="K14" i="25"/>
  <c r="I14" i="25"/>
  <c r="H14" i="25"/>
  <c r="G14" i="25"/>
  <c r="F14" i="25"/>
  <c r="E14" i="25"/>
  <c r="D14" i="25"/>
  <c r="AR13" i="25"/>
  <c r="AQ13" i="25"/>
  <c r="AP13" i="25"/>
  <c r="AO13" i="25"/>
  <c r="AN13" i="25"/>
  <c r="AM13" i="25"/>
  <c r="AK13" i="25"/>
  <c r="AJ13" i="25"/>
  <c r="AI13" i="25"/>
  <c r="AH13" i="25"/>
  <c r="AG13" i="25"/>
  <c r="AF13" i="25"/>
  <c r="AD13" i="25"/>
  <c r="AC13" i="25"/>
  <c r="AB13" i="25"/>
  <c r="AA13" i="25"/>
  <c r="Z13" i="25"/>
  <c r="Y13" i="25"/>
  <c r="W13" i="25"/>
  <c r="V13" i="25"/>
  <c r="U13" i="25"/>
  <c r="T13" i="25"/>
  <c r="S13" i="25"/>
  <c r="R13" i="25"/>
  <c r="P13" i="25"/>
  <c r="O13" i="25"/>
  <c r="N13" i="25"/>
  <c r="M13" i="25"/>
  <c r="L13" i="25"/>
  <c r="K13" i="25"/>
  <c r="I13" i="25"/>
  <c r="H13" i="25"/>
  <c r="G13" i="25"/>
  <c r="F13" i="25"/>
  <c r="E13" i="25"/>
  <c r="D13" i="25"/>
  <c r="AR12" i="25"/>
  <c r="AQ12" i="25"/>
  <c r="AP12" i="25"/>
  <c r="AO12" i="25"/>
  <c r="AN12" i="25"/>
  <c r="AM12" i="25"/>
  <c r="AK12" i="25"/>
  <c r="AJ12" i="25"/>
  <c r="AI12" i="25"/>
  <c r="AH12" i="25"/>
  <c r="AG12" i="25"/>
  <c r="AF12" i="25"/>
  <c r="AD12" i="25"/>
  <c r="AC12" i="25"/>
  <c r="AB12" i="25"/>
  <c r="AA12" i="25"/>
  <c r="Z12" i="25"/>
  <c r="Y12" i="25"/>
  <c r="W12" i="25"/>
  <c r="V12" i="25"/>
  <c r="U12" i="25"/>
  <c r="T12" i="25"/>
  <c r="S12" i="25"/>
  <c r="R12" i="25"/>
  <c r="P12" i="25"/>
  <c r="O12" i="25"/>
  <c r="N12" i="25"/>
  <c r="M12" i="25"/>
  <c r="L12" i="25"/>
  <c r="K12" i="25"/>
  <c r="I12" i="25"/>
  <c r="H12" i="25"/>
  <c r="G12" i="25"/>
  <c r="F12" i="25"/>
  <c r="E12" i="25"/>
  <c r="D12" i="25"/>
  <c r="AR11" i="25"/>
  <c r="AQ11" i="25"/>
  <c r="AP11" i="25"/>
  <c r="AO11" i="25"/>
  <c r="AN11" i="25"/>
  <c r="AM11" i="25"/>
  <c r="AK11" i="25"/>
  <c r="AJ11" i="25"/>
  <c r="AI11" i="25"/>
  <c r="AH11" i="25"/>
  <c r="AG11" i="25"/>
  <c r="AF11" i="25"/>
  <c r="AD11" i="25"/>
  <c r="AC11" i="25"/>
  <c r="AB11" i="25"/>
  <c r="AA11" i="25"/>
  <c r="Z11" i="25"/>
  <c r="Y11" i="25"/>
  <c r="W11" i="25"/>
  <c r="V11" i="25"/>
  <c r="U11" i="25"/>
  <c r="T11" i="25"/>
  <c r="S11" i="25"/>
  <c r="R11" i="25"/>
  <c r="P11" i="25"/>
  <c r="O11" i="25"/>
  <c r="N11" i="25"/>
  <c r="M11" i="25"/>
  <c r="L11" i="25"/>
  <c r="K11" i="25"/>
  <c r="I11" i="25"/>
  <c r="H11" i="25"/>
  <c r="G11" i="25"/>
  <c r="F11" i="25"/>
  <c r="E11" i="25"/>
  <c r="D11" i="25"/>
  <c r="AR10" i="25"/>
  <c r="AQ10" i="25"/>
  <c r="AP10" i="25"/>
  <c r="AO10" i="25"/>
  <c r="AN10" i="25"/>
  <c r="AM10" i="25"/>
  <c r="AK10" i="25"/>
  <c r="AJ10" i="25"/>
  <c r="AI10" i="25"/>
  <c r="AH10" i="25"/>
  <c r="AG10" i="25"/>
  <c r="AF10" i="25"/>
  <c r="AD10" i="25"/>
  <c r="AC10" i="25"/>
  <c r="AB10" i="25"/>
  <c r="AA10" i="25"/>
  <c r="Z10" i="25"/>
  <c r="Y10" i="25"/>
  <c r="W10" i="25"/>
  <c r="V10" i="25"/>
  <c r="U10" i="25"/>
  <c r="T10" i="25"/>
  <c r="S10" i="25"/>
  <c r="R10" i="25"/>
  <c r="P10" i="25"/>
  <c r="O10" i="25"/>
  <c r="N10" i="25"/>
  <c r="M10" i="25"/>
  <c r="L10" i="25"/>
  <c r="K10" i="25"/>
  <c r="I10" i="25"/>
  <c r="H10" i="25"/>
  <c r="G10" i="25"/>
  <c r="F10" i="25"/>
  <c r="E10" i="25"/>
  <c r="D10" i="25"/>
  <c r="AR9" i="25"/>
  <c r="AQ9" i="25"/>
  <c r="AP9" i="25"/>
  <c r="AO9" i="25"/>
  <c r="AN9" i="25"/>
  <c r="AM9" i="25"/>
  <c r="AK9" i="25"/>
  <c r="AJ9" i="25"/>
  <c r="AI9" i="25"/>
  <c r="AH9" i="25"/>
  <c r="AG9" i="25"/>
  <c r="AF9" i="25"/>
  <c r="AD9" i="25"/>
  <c r="AC9" i="25"/>
  <c r="AB9" i="25"/>
  <c r="AA9" i="25"/>
  <c r="Z9" i="25"/>
  <c r="Y9" i="25"/>
  <c r="W9" i="25"/>
  <c r="V9" i="25"/>
  <c r="U9" i="25"/>
  <c r="T9" i="25"/>
  <c r="S9" i="25"/>
  <c r="R9" i="25"/>
  <c r="P9" i="25"/>
  <c r="O9" i="25"/>
  <c r="N9" i="25"/>
  <c r="M9" i="25"/>
  <c r="L9" i="25"/>
  <c r="K9" i="25"/>
  <c r="I9" i="25"/>
  <c r="H9" i="25"/>
  <c r="G9" i="25"/>
  <c r="F9" i="25"/>
  <c r="E9" i="25"/>
  <c r="D9" i="25"/>
  <c r="AR8" i="25"/>
  <c r="AQ8" i="25"/>
  <c r="AP8" i="25"/>
  <c r="AO8" i="25"/>
  <c r="AN8" i="25"/>
  <c r="AM8" i="25"/>
  <c r="AK8" i="25"/>
  <c r="AJ8" i="25"/>
  <c r="AI8" i="25"/>
  <c r="AH8" i="25"/>
  <c r="AG8" i="25"/>
  <c r="AF8" i="25"/>
  <c r="AD8" i="25"/>
  <c r="AC8" i="25"/>
  <c r="AB8" i="25"/>
  <c r="AA8" i="25"/>
  <c r="Z8" i="25"/>
  <c r="Y8" i="25"/>
  <c r="W8" i="25"/>
  <c r="V8" i="25"/>
  <c r="U8" i="25"/>
  <c r="T8" i="25"/>
  <c r="S8" i="25"/>
  <c r="R8" i="25"/>
  <c r="P8" i="25"/>
  <c r="O8" i="25"/>
  <c r="N8" i="25"/>
  <c r="M8" i="25"/>
  <c r="L8" i="25"/>
  <c r="K8" i="25"/>
  <c r="I8" i="25"/>
  <c r="H8" i="25"/>
  <c r="G8" i="25"/>
  <c r="F8" i="25"/>
  <c r="E8" i="25"/>
  <c r="D8" i="25"/>
  <c r="AR7" i="25"/>
  <c r="AQ7" i="25"/>
  <c r="AP7" i="25"/>
  <c r="AO7" i="25"/>
  <c r="AN7" i="25"/>
  <c r="AM7" i="25"/>
  <c r="AK7" i="25"/>
  <c r="AJ7" i="25"/>
  <c r="AI7" i="25"/>
  <c r="AH7" i="25"/>
  <c r="AG7" i="25"/>
  <c r="AF7" i="25"/>
  <c r="AD7" i="25"/>
  <c r="AC7" i="25"/>
  <c r="AB7" i="25"/>
  <c r="AA7" i="25"/>
  <c r="Z7" i="25"/>
  <c r="Y7" i="25"/>
  <c r="W7" i="25"/>
  <c r="V7" i="25"/>
  <c r="U7" i="25"/>
  <c r="T7" i="25"/>
  <c r="S7" i="25"/>
  <c r="R7" i="25"/>
  <c r="P7" i="25"/>
  <c r="O7" i="25"/>
  <c r="N7" i="25"/>
  <c r="M7" i="25"/>
  <c r="L7" i="25"/>
  <c r="K7" i="25"/>
  <c r="I7" i="25"/>
  <c r="H7" i="25"/>
  <c r="G7" i="25"/>
  <c r="F7" i="25"/>
  <c r="E7" i="25"/>
  <c r="D7" i="25"/>
  <c r="AR6" i="25"/>
  <c r="AQ6" i="25"/>
  <c r="AP6" i="25"/>
  <c r="AO6" i="25"/>
  <c r="AN6" i="25"/>
  <c r="AM6" i="25"/>
  <c r="AK6" i="25"/>
  <c r="AJ6" i="25"/>
  <c r="AI6" i="25"/>
  <c r="AH6" i="25"/>
  <c r="AG6" i="25"/>
  <c r="AF6" i="25"/>
  <c r="AD6" i="25"/>
  <c r="AC6" i="25"/>
  <c r="AB6" i="25"/>
  <c r="AA6" i="25"/>
  <c r="Z6" i="25"/>
  <c r="Y6" i="25"/>
  <c r="W6" i="25"/>
  <c r="V6" i="25"/>
  <c r="U6" i="25"/>
  <c r="T6" i="25"/>
  <c r="S6" i="25"/>
  <c r="R6" i="25"/>
  <c r="P6" i="25"/>
  <c r="O6" i="25"/>
  <c r="N6" i="25"/>
  <c r="M6" i="25"/>
  <c r="L6" i="25"/>
  <c r="K6" i="25"/>
  <c r="I6" i="25"/>
  <c r="H6" i="25"/>
  <c r="G6" i="25"/>
  <c r="F6" i="25"/>
  <c r="E6" i="25"/>
  <c r="D6" i="25"/>
  <c r="AR5" i="25"/>
  <c r="AQ5" i="25"/>
  <c r="AP5" i="25"/>
  <c r="AO5" i="25"/>
  <c r="AN5" i="25"/>
  <c r="AM5" i="25"/>
  <c r="AK5" i="25"/>
  <c r="AJ5" i="25"/>
  <c r="AI5" i="25"/>
  <c r="AH5" i="25"/>
  <c r="AG5" i="25"/>
  <c r="AF5" i="25"/>
  <c r="AD5" i="25"/>
  <c r="AC5" i="25"/>
  <c r="AB5" i="25"/>
  <c r="AA5" i="25"/>
  <c r="Z5" i="25"/>
  <c r="Y5" i="25"/>
  <c r="W5" i="25"/>
  <c r="V5" i="25"/>
  <c r="U5" i="25"/>
  <c r="T5" i="25"/>
  <c r="S5" i="25"/>
  <c r="R5" i="25"/>
  <c r="P5" i="25"/>
  <c r="O5" i="25"/>
  <c r="N5" i="25"/>
  <c r="M5" i="25"/>
  <c r="L5" i="25"/>
  <c r="K5" i="25"/>
  <c r="I5" i="25"/>
  <c r="H5" i="25"/>
  <c r="G5" i="25"/>
  <c r="F5" i="25"/>
  <c r="E5" i="25"/>
  <c r="D5" i="25"/>
  <c r="AR4" i="25"/>
  <c r="AQ4" i="25"/>
  <c r="AP4" i="25"/>
  <c r="AO4" i="25"/>
  <c r="AN4" i="25"/>
  <c r="AM4" i="25"/>
  <c r="AK4" i="25"/>
  <c r="AJ4" i="25"/>
  <c r="AI4" i="25"/>
  <c r="AH4" i="25"/>
  <c r="AG4" i="25"/>
  <c r="AF4" i="25"/>
  <c r="AD4" i="25"/>
  <c r="AC4" i="25"/>
  <c r="AB4" i="25"/>
  <c r="AA4" i="25"/>
  <c r="Z4" i="25"/>
  <c r="Y4" i="25"/>
  <c r="W4" i="25"/>
  <c r="V4" i="25"/>
  <c r="U4" i="25"/>
  <c r="T4" i="25"/>
  <c r="S4" i="25"/>
  <c r="R4" i="25"/>
  <c r="P4" i="25"/>
  <c r="O4" i="25"/>
  <c r="N4" i="25"/>
  <c r="M4" i="25"/>
  <c r="L4" i="25"/>
  <c r="K4" i="25"/>
  <c r="I4" i="25"/>
  <c r="H4" i="25"/>
  <c r="G4" i="25"/>
  <c r="F4" i="25"/>
  <c r="E4" i="25"/>
  <c r="D4" i="25"/>
  <c r="E5" i="20"/>
  <c r="K3" i="20"/>
  <c r="AM27" i="27" l="1"/>
  <c r="H9" i="32" s="1"/>
  <c r="AS27" i="27"/>
  <c r="BW27" i="27"/>
  <c r="F13" i="32" s="1"/>
  <c r="AI27" i="27"/>
  <c r="AU27" i="27"/>
  <c r="CA27" i="27"/>
  <c r="AE27" i="27"/>
  <c r="BS27" i="27"/>
  <c r="BC27" i="27"/>
  <c r="O27" i="27"/>
  <c r="AO27" i="27"/>
  <c r="AW27" i="27"/>
  <c r="A65" i="16"/>
  <c r="S27" i="27"/>
  <c r="BG27" i="27"/>
  <c r="BI27" i="27"/>
  <c r="AQ27" i="27"/>
  <c r="CE27" i="27"/>
  <c r="BE27" i="27"/>
  <c r="U27" i="27"/>
  <c r="Q27" i="27"/>
  <c r="CC27" i="27"/>
  <c r="BQ27" i="27"/>
  <c r="AA27" i="27"/>
  <c r="BO27" i="27"/>
  <c r="AC27" i="27"/>
  <c r="AK27" i="27"/>
  <c r="BY27" i="27"/>
  <c r="BA27" i="27"/>
  <c r="Y27" i="27"/>
  <c r="BM27" i="27"/>
  <c r="AY27" i="27"/>
  <c r="BK27" i="27"/>
  <c r="W27" i="27"/>
  <c r="AG27" i="27"/>
  <c r="BU27" i="27"/>
  <c r="BP65" i="25"/>
  <c r="AH65" i="25"/>
  <c r="E47" i="25"/>
  <c r="K27" i="27"/>
  <c r="I27" i="27"/>
  <c r="M27" i="27"/>
  <c r="E27" i="27"/>
  <c r="G27" i="27"/>
  <c r="R152" i="25"/>
  <c r="AC152" i="25"/>
  <c r="Z152" i="25"/>
  <c r="P152" i="25"/>
  <c r="U152" i="25"/>
  <c r="AB152" i="25"/>
  <c r="O152" i="25"/>
  <c r="G152" i="25"/>
  <c r="T152" i="25"/>
  <c r="X152" i="25"/>
  <c r="AA152" i="25"/>
  <c r="N152" i="25"/>
  <c r="F152" i="25"/>
  <c r="S152" i="25"/>
  <c r="W152" i="25"/>
  <c r="M152" i="25"/>
  <c r="E152" i="25"/>
  <c r="V152" i="25"/>
  <c r="L152" i="25"/>
  <c r="Y152" i="25"/>
  <c r="K152" i="25"/>
  <c r="J152" i="25"/>
  <c r="I152" i="25"/>
  <c r="H152" i="25"/>
  <c r="R65" i="25"/>
  <c r="AM65" i="25"/>
  <c r="BI65" i="25"/>
  <c r="N65" i="25"/>
  <c r="AJ65" i="25"/>
  <c r="BZ65" i="25"/>
  <c r="N47" i="25"/>
  <c r="P65" i="25"/>
  <c r="AK65" i="25"/>
  <c r="O47" i="25"/>
  <c r="R47" i="25"/>
  <c r="U65" i="25"/>
  <c r="BL65" i="25"/>
  <c r="U47" i="25"/>
  <c r="AR47" i="25"/>
  <c r="Z47" i="25"/>
  <c r="L47" i="25"/>
  <c r="AO47" i="25"/>
  <c r="I65" i="25"/>
  <c r="BU65" i="25"/>
  <c r="AA127" i="25"/>
  <c r="H127" i="25"/>
  <c r="L127" i="25"/>
  <c r="K127" i="25"/>
  <c r="Y127" i="25"/>
  <c r="J127" i="25"/>
  <c r="AB127" i="25"/>
  <c r="T127" i="25"/>
  <c r="X127" i="25"/>
  <c r="M127" i="25"/>
  <c r="I127" i="25"/>
  <c r="W127" i="25"/>
  <c r="Z127" i="25"/>
  <c r="V127" i="25"/>
  <c r="O127" i="25"/>
  <c r="G127" i="25"/>
  <c r="AC127" i="25"/>
  <c r="U127" i="25"/>
  <c r="S127" i="25"/>
  <c r="R127" i="25"/>
  <c r="N127" i="25"/>
  <c r="P127" i="25"/>
  <c r="F127" i="25"/>
  <c r="E127" i="25"/>
  <c r="G47" i="25"/>
  <c r="H47" i="25"/>
  <c r="J65" i="25"/>
  <c r="AE65" i="25"/>
  <c r="E65" i="25"/>
  <c r="K65" i="25"/>
  <c r="AF65" i="25"/>
  <c r="I47" i="25"/>
  <c r="K47" i="25"/>
  <c r="L65" i="25"/>
  <c r="AG65" i="25"/>
  <c r="BW65" i="25"/>
  <c r="M65" i="25"/>
  <c r="BX65" i="25"/>
  <c r="M47" i="25"/>
  <c r="AI65" i="25"/>
  <c r="BY65" i="25"/>
  <c r="P47" i="25"/>
  <c r="AN47" i="25"/>
  <c r="Q65" i="25"/>
  <c r="AL65" i="25"/>
  <c r="S47" i="25"/>
  <c r="S65" i="25"/>
  <c r="AN65" i="25"/>
  <c r="BJ65" i="25"/>
  <c r="AP47" i="25"/>
  <c r="T47" i="25"/>
  <c r="AQ47" i="25"/>
  <c r="Y47" i="25"/>
  <c r="F47" i="25"/>
  <c r="AM47" i="25"/>
  <c r="T65" i="25"/>
  <c r="BK65" i="25"/>
  <c r="V47" i="25"/>
  <c r="W65" i="25"/>
  <c r="BM65" i="25"/>
  <c r="W47" i="25"/>
  <c r="X65" i="25"/>
  <c r="BN65" i="25"/>
  <c r="D65" i="25"/>
  <c r="Y65" i="25"/>
  <c r="BO65" i="25"/>
  <c r="D47" i="25"/>
  <c r="AA47" i="25"/>
  <c r="F65" i="25"/>
  <c r="AA65" i="25"/>
  <c r="BQ65" i="25"/>
  <c r="Z65" i="25"/>
  <c r="AB47" i="25"/>
  <c r="G65" i="25"/>
  <c r="AB65" i="25"/>
  <c r="BR65" i="25"/>
  <c r="O65" i="25"/>
  <c r="BV65" i="25"/>
  <c r="AC47" i="25"/>
  <c r="H65" i="25"/>
  <c r="AC65" i="25"/>
  <c r="BS65" i="25"/>
  <c r="AD47" i="25"/>
  <c r="AD65" i="25"/>
  <c r="BT65" i="25"/>
  <c r="E37" i="20"/>
  <c r="L13" i="20"/>
  <c r="L21" i="20"/>
  <c r="L44" i="20"/>
  <c r="L43" i="20"/>
  <c r="E30" i="20"/>
  <c r="AJ28" i="20"/>
  <c r="AJ26" i="20"/>
  <c r="E29" i="20"/>
  <c r="E38" i="20"/>
  <c r="AJ25" i="20"/>
  <c r="E28" i="20"/>
  <c r="L9" i="20"/>
  <c r="L11" i="20"/>
  <c r="AJ45" i="20"/>
  <c r="AJ15" i="20"/>
  <c r="L38" i="20"/>
  <c r="L8" i="20"/>
  <c r="E26" i="20"/>
  <c r="AJ23" i="20"/>
  <c r="AJ46" i="20"/>
  <c r="AJ14" i="20"/>
  <c r="L37" i="20"/>
  <c r="L7" i="20"/>
  <c r="E25" i="20"/>
  <c r="AJ27" i="20"/>
  <c r="L12" i="20"/>
  <c r="AJ43" i="20"/>
  <c r="AJ13" i="20"/>
  <c r="L31" i="20"/>
  <c r="L6" i="20"/>
  <c r="E24" i="20"/>
  <c r="AJ5" i="20"/>
  <c r="L15" i="20"/>
  <c r="L14" i="20"/>
  <c r="L16" i="20" s="1"/>
  <c r="AJ47" i="20"/>
  <c r="AJ42" i="20"/>
  <c r="AJ12" i="20"/>
  <c r="L30" i="20"/>
  <c r="L5" i="20"/>
  <c r="E23" i="20"/>
  <c r="L46" i="20"/>
  <c r="AJ21" i="20"/>
  <c r="AJ41" i="20"/>
  <c r="AJ11" i="20"/>
  <c r="L29" i="20"/>
  <c r="E47" i="20"/>
  <c r="E22" i="20"/>
  <c r="L45" i="20"/>
  <c r="L40" i="20"/>
  <c r="AJ40" i="20"/>
  <c r="AJ10" i="20"/>
  <c r="L28" i="20"/>
  <c r="E46" i="20"/>
  <c r="E21" i="20"/>
  <c r="E39" i="20"/>
  <c r="L10" i="20"/>
  <c r="AJ39" i="20"/>
  <c r="AJ9" i="20"/>
  <c r="L27" i="20"/>
  <c r="E45" i="20"/>
  <c r="E15" i="20"/>
  <c r="AJ24" i="20"/>
  <c r="AJ38" i="20"/>
  <c r="AJ8" i="20"/>
  <c r="L26" i="20"/>
  <c r="E44" i="20"/>
  <c r="E14" i="20"/>
  <c r="AJ30" i="20"/>
  <c r="AJ22" i="20"/>
  <c r="E27" i="20"/>
  <c r="AJ37" i="20"/>
  <c r="AJ7" i="20"/>
  <c r="L25" i="20"/>
  <c r="E43" i="20"/>
  <c r="E13" i="20"/>
  <c r="E31" i="20"/>
  <c r="L42" i="20"/>
  <c r="L41" i="20"/>
  <c r="L39" i="20"/>
  <c r="AJ44" i="20"/>
  <c r="AJ31" i="20"/>
  <c r="AJ6" i="20"/>
  <c r="L24" i="20"/>
  <c r="E42" i="20"/>
  <c r="E11" i="20"/>
  <c r="L23" i="20"/>
  <c r="E41" i="20"/>
  <c r="AJ29" i="20"/>
  <c r="L47" i="20"/>
  <c r="L22" i="20"/>
  <c r="E40" i="20"/>
  <c r="E12" i="20"/>
  <c r="E10" i="20"/>
  <c r="E8" i="20"/>
  <c r="E9" i="20"/>
  <c r="E7" i="20"/>
  <c r="E6" i="20"/>
  <c r="M24" i="32" l="1"/>
  <c r="J26" i="19" s="1"/>
  <c r="A66" i="16"/>
  <c r="F10" i="32"/>
  <c r="F9" i="32"/>
  <c r="H11" i="32"/>
  <c r="I10" i="32"/>
  <c r="F8" i="32"/>
  <c r="F7" i="32"/>
  <c r="F11" i="32"/>
  <c r="I12" i="32"/>
  <c r="H7" i="32"/>
  <c r="H10" i="32"/>
  <c r="G13" i="32"/>
  <c r="G9" i="32"/>
  <c r="I11" i="32"/>
  <c r="H8" i="32"/>
  <c r="H13" i="32"/>
  <c r="G12" i="32"/>
  <c r="G10" i="32"/>
  <c r="G6" i="32"/>
  <c r="G8" i="32"/>
  <c r="H12" i="32"/>
  <c r="F6" i="32"/>
  <c r="I13" i="32"/>
  <c r="F12" i="32"/>
  <c r="H6" i="32"/>
  <c r="G7" i="32"/>
  <c r="G11" i="32"/>
  <c r="C152" i="25"/>
  <c r="M66" i="25"/>
  <c r="U48" i="25"/>
  <c r="AF66" i="25"/>
  <c r="G48" i="25"/>
  <c r="N48" i="25"/>
  <c r="C127" i="25"/>
  <c r="AB48" i="25"/>
  <c r="U41" i="24"/>
  <c r="U40" i="24"/>
  <c r="U39" i="24"/>
  <c r="U38" i="24"/>
  <c r="U37" i="24"/>
  <c r="U36" i="24"/>
  <c r="U35" i="24"/>
  <c r="U34" i="24"/>
  <c r="U33" i="24"/>
  <c r="U32" i="24"/>
  <c r="U31" i="24"/>
  <c r="U30" i="24"/>
  <c r="U29" i="24"/>
  <c r="U28" i="24"/>
  <c r="U27" i="24"/>
  <c r="U26" i="24"/>
  <c r="U25" i="24"/>
  <c r="U24" i="24"/>
  <c r="U23" i="24"/>
  <c r="U22" i="24"/>
  <c r="U21" i="24"/>
  <c r="U20" i="24"/>
  <c r="U19" i="24"/>
  <c r="U18" i="24"/>
  <c r="U17" i="24"/>
  <c r="U16" i="24"/>
  <c r="U15" i="24"/>
  <c r="U14" i="24"/>
  <c r="U13" i="24"/>
  <c r="U12" i="24"/>
  <c r="U11" i="24"/>
  <c r="U10" i="24"/>
  <c r="U9" i="24"/>
  <c r="U8" i="24"/>
  <c r="U7" i="24"/>
  <c r="U6" i="24"/>
  <c r="B4" i="24"/>
  <c r="U75" i="11"/>
  <c r="U74" i="11"/>
  <c r="U73" i="11"/>
  <c r="U72" i="11"/>
  <c r="U71" i="11"/>
  <c r="U70" i="11"/>
  <c r="U69" i="11"/>
  <c r="U68" i="11"/>
  <c r="U67" i="11"/>
  <c r="U66" i="11"/>
  <c r="U65" i="11"/>
  <c r="U64" i="11"/>
  <c r="U63" i="11"/>
  <c r="U62" i="11"/>
  <c r="U61" i="11"/>
  <c r="U60" i="11"/>
  <c r="U59" i="11"/>
  <c r="U58" i="11"/>
  <c r="U57" i="11"/>
  <c r="U56" i="11"/>
  <c r="U55" i="11"/>
  <c r="U54" i="11"/>
  <c r="U53" i="11"/>
  <c r="U52" i="11"/>
  <c r="U51" i="11"/>
  <c r="U50" i="11"/>
  <c r="U49" i="11"/>
  <c r="U48" i="11"/>
  <c r="U47" i="11"/>
  <c r="U46" i="11"/>
  <c r="U45" i="11"/>
  <c r="U44" i="11"/>
  <c r="U43" i="11"/>
  <c r="U42" i="11"/>
  <c r="U41" i="11"/>
  <c r="U40" i="11"/>
  <c r="U39" i="11"/>
  <c r="U38" i="11"/>
  <c r="U37" i="11"/>
  <c r="U36" i="11"/>
  <c r="U35" i="11"/>
  <c r="U34" i="11"/>
  <c r="U33" i="11"/>
  <c r="U32" i="11"/>
  <c r="U31" i="11"/>
  <c r="U30" i="11"/>
  <c r="U29" i="11"/>
  <c r="U28" i="11"/>
  <c r="U27" i="11"/>
  <c r="U26" i="11"/>
  <c r="U25" i="11"/>
  <c r="U24" i="11"/>
  <c r="U23" i="11"/>
  <c r="U22" i="11"/>
  <c r="U21" i="11"/>
  <c r="U20" i="11"/>
  <c r="U19" i="11"/>
  <c r="U18" i="11"/>
  <c r="U17" i="11"/>
  <c r="U16" i="11"/>
  <c r="U15" i="11"/>
  <c r="U14" i="11"/>
  <c r="U13" i="11"/>
  <c r="U12" i="11"/>
  <c r="U11" i="11"/>
  <c r="U10" i="11"/>
  <c r="U9" i="11"/>
  <c r="U8" i="11"/>
  <c r="U7" i="11"/>
  <c r="U6" i="11"/>
  <c r="U75" i="10"/>
  <c r="U74" i="10"/>
  <c r="U73" i="10"/>
  <c r="U72" i="10"/>
  <c r="U71" i="10"/>
  <c r="U70" i="10"/>
  <c r="U69" i="10"/>
  <c r="U68" i="10"/>
  <c r="U67" i="10"/>
  <c r="U66" i="10"/>
  <c r="U65" i="10"/>
  <c r="U64" i="10"/>
  <c r="U63" i="10"/>
  <c r="U62" i="10"/>
  <c r="U61" i="10"/>
  <c r="U60" i="10"/>
  <c r="U59" i="10"/>
  <c r="U58" i="10"/>
  <c r="U57" i="10"/>
  <c r="U56" i="10"/>
  <c r="U55" i="10"/>
  <c r="U54" i="10"/>
  <c r="U53" i="10"/>
  <c r="U52" i="10"/>
  <c r="U51" i="10"/>
  <c r="U50" i="10"/>
  <c r="U49" i="10"/>
  <c r="U48" i="10"/>
  <c r="U47" i="10"/>
  <c r="U46" i="10"/>
  <c r="U45" i="10"/>
  <c r="U44" i="10"/>
  <c r="U43" i="10"/>
  <c r="U42" i="10"/>
  <c r="U41" i="10"/>
  <c r="U40" i="10"/>
  <c r="U39" i="10"/>
  <c r="U38" i="10"/>
  <c r="U37" i="10"/>
  <c r="U36" i="10"/>
  <c r="U35" i="10"/>
  <c r="U34" i="10"/>
  <c r="U33" i="10"/>
  <c r="U32" i="10"/>
  <c r="U31" i="10"/>
  <c r="U30" i="10"/>
  <c r="U29" i="10"/>
  <c r="U28" i="10"/>
  <c r="U27" i="10"/>
  <c r="U26" i="10"/>
  <c r="U25" i="10"/>
  <c r="U24" i="10"/>
  <c r="U23" i="10"/>
  <c r="U22" i="10"/>
  <c r="U21" i="10"/>
  <c r="U20" i="10"/>
  <c r="U19" i="10"/>
  <c r="U18" i="10"/>
  <c r="U17" i="10"/>
  <c r="U16" i="10"/>
  <c r="U15" i="10"/>
  <c r="U14" i="10"/>
  <c r="U13" i="10"/>
  <c r="U12" i="10"/>
  <c r="U11" i="10"/>
  <c r="U10" i="10"/>
  <c r="U9" i="10"/>
  <c r="U8" i="10"/>
  <c r="U7" i="10"/>
  <c r="U6" i="10"/>
  <c r="U61" i="7"/>
  <c r="U62" i="7"/>
  <c r="U63" i="7"/>
  <c r="U64" i="7"/>
  <c r="U65" i="7"/>
  <c r="U66" i="7"/>
  <c r="U67" i="7"/>
  <c r="U68" i="7"/>
  <c r="U69" i="7"/>
  <c r="U70" i="7"/>
  <c r="U71" i="7"/>
  <c r="U72" i="7"/>
  <c r="U73" i="7"/>
  <c r="U74" i="7"/>
  <c r="U75" i="7"/>
  <c r="U62" i="8"/>
  <c r="U63" i="8"/>
  <c r="U64" i="8"/>
  <c r="U65" i="8"/>
  <c r="U66" i="8"/>
  <c r="U67" i="8"/>
  <c r="U68" i="8"/>
  <c r="U69" i="8"/>
  <c r="U70" i="8"/>
  <c r="U71" i="8"/>
  <c r="U72" i="8"/>
  <c r="U73" i="8"/>
  <c r="U74" i="8"/>
  <c r="U75" i="8"/>
  <c r="U61" i="8"/>
  <c r="U65" i="4"/>
  <c r="U66" i="4"/>
  <c r="U67" i="4"/>
  <c r="U68" i="4"/>
  <c r="U69" i="4"/>
  <c r="U70" i="4"/>
  <c r="U71" i="4"/>
  <c r="U72" i="4"/>
  <c r="U73" i="4"/>
  <c r="U74" i="4"/>
  <c r="U75" i="4"/>
  <c r="U64" i="4"/>
  <c r="U63" i="4"/>
  <c r="U62" i="4"/>
  <c r="U61" i="4"/>
  <c r="U75" i="2"/>
  <c r="U74" i="2"/>
  <c r="U73" i="2"/>
  <c r="U72" i="2"/>
  <c r="U71" i="2"/>
  <c r="U70" i="2"/>
  <c r="U69" i="2"/>
  <c r="U68" i="2"/>
  <c r="U67" i="2"/>
  <c r="U66" i="2"/>
  <c r="U65" i="2"/>
  <c r="U64" i="2"/>
  <c r="U63" i="2"/>
  <c r="U62" i="2"/>
  <c r="U61" i="2"/>
  <c r="U75" i="1"/>
  <c r="U74" i="1"/>
  <c r="U73" i="1"/>
  <c r="U72" i="1"/>
  <c r="U71" i="1"/>
  <c r="U70" i="1"/>
  <c r="U69" i="1"/>
  <c r="U68" i="1"/>
  <c r="U67" i="1"/>
  <c r="U66" i="1"/>
  <c r="U65" i="1"/>
  <c r="U64" i="1"/>
  <c r="U63" i="1"/>
  <c r="U62" i="1"/>
  <c r="U61" i="1"/>
  <c r="F21" i="32" l="1"/>
  <c r="G21" i="32"/>
  <c r="I21" i="32"/>
  <c r="H21" i="32"/>
  <c r="A67" i="16"/>
  <c r="A68" i="16" s="1"/>
  <c r="G25" i="32"/>
  <c r="U87" i="11"/>
  <c r="U87" i="10"/>
  <c r="U87" i="7"/>
  <c r="M53" i="24"/>
  <c r="Q29" i="29" s="1"/>
  <c r="V87" i="11"/>
  <c r="K53" i="24"/>
  <c r="Q28" i="29" s="1"/>
  <c r="I53" i="24"/>
  <c r="Q27" i="29" s="1"/>
  <c r="G53" i="24"/>
  <c r="Q26" i="29" s="1"/>
  <c r="V53" i="24"/>
  <c r="V55" i="24" s="1"/>
  <c r="E53" i="24"/>
  <c r="Q25" i="29" s="1"/>
  <c r="O53" i="24"/>
  <c r="Q30" i="29" s="1"/>
  <c r="V87" i="10"/>
  <c r="O87" i="7"/>
  <c r="K30" i="29" s="1"/>
  <c r="O87" i="1"/>
  <c r="C30" i="29" s="1"/>
  <c r="V46" i="29" s="1"/>
  <c r="U55" i="24"/>
  <c r="U89" i="11"/>
  <c r="U89" i="10"/>
  <c r="Q7" i="14"/>
  <c r="Q8" i="14"/>
  <c r="Q9" i="14"/>
  <c r="Q10" i="14"/>
  <c r="Q11" i="14"/>
  <c r="Q12" i="14"/>
  <c r="Q13" i="14"/>
  <c r="Q14" i="14"/>
  <c r="Q15" i="14"/>
  <c r="J7" i="14"/>
  <c r="J8" i="14"/>
  <c r="J9" i="14"/>
  <c r="J10" i="14"/>
  <c r="J11" i="14"/>
  <c r="J12" i="14"/>
  <c r="J13" i="14"/>
  <c r="J14" i="14"/>
  <c r="J15" i="14"/>
  <c r="H7" i="14"/>
  <c r="H8" i="14"/>
  <c r="H9" i="14"/>
  <c r="H10" i="14"/>
  <c r="H11" i="14"/>
  <c r="H12" i="14"/>
  <c r="H13" i="14"/>
  <c r="H14" i="14"/>
  <c r="H15" i="14"/>
  <c r="F7" i="14"/>
  <c r="F8" i="14"/>
  <c r="F9" i="14"/>
  <c r="F10" i="14"/>
  <c r="F11" i="14"/>
  <c r="F12" i="14"/>
  <c r="F13" i="14"/>
  <c r="F14" i="14"/>
  <c r="F15" i="14"/>
  <c r="D7" i="14"/>
  <c r="D8" i="14"/>
  <c r="D9" i="14"/>
  <c r="D10" i="14"/>
  <c r="D11" i="14"/>
  <c r="D12" i="14"/>
  <c r="D13" i="14"/>
  <c r="D14" i="14"/>
  <c r="D15" i="14"/>
  <c r="Q6" i="14"/>
  <c r="J6" i="14"/>
  <c r="H6" i="14"/>
  <c r="F6" i="14"/>
  <c r="D6" i="14"/>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Q6" i="13"/>
  <c r="J6" i="13"/>
  <c r="H6" i="13"/>
  <c r="F6" i="13"/>
  <c r="D6" i="13"/>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S6" i="12"/>
  <c r="L6" i="12"/>
  <c r="J6" i="12"/>
  <c r="H6" i="12"/>
  <c r="F6" i="12"/>
  <c r="D6" i="12"/>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Q6" i="9"/>
  <c r="J6" i="9"/>
  <c r="H6" i="9"/>
  <c r="F6" i="9"/>
  <c r="D6" i="9"/>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Q6" i="6"/>
  <c r="J6" i="6"/>
  <c r="H6" i="6"/>
  <c r="F6" i="6"/>
  <c r="D6" i="6"/>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6" i="3"/>
  <c r="Q7" i="17"/>
  <c r="Q8" i="17"/>
  <c r="Q9" i="17"/>
  <c r="Q10" i="17"/>
  <c r="Q11" i="17"/>
  <c r="Q12" i="17"/>
  <c r="Q13" i="17"/>
  <c r="Q14" i="17"/>
  <c r="Q15" i="17"/>
  <c r="Q6" i="17"/>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J6" i="3"/>
  <c r="H6" i="3"/>
  <c r="F6" i="3"/>
  <c r="D6" i="3"/>
  <c r="J7" i="17"/>
  <c r="J8" i="17"/>
  <c r="J9" i="17"/>
  <c r="J10" i="17"/>
  <c r="J11" i="17"/>
  <c r="J12" i="17"/>
  <c r="J13" i="17"/>
  <c r="J14" i="17"/>
  <c r="J15" i="17"/>
  <c r="J6" i="17"/>
  <c r="H7" i="17"/>
  <c r="H8" i="17"/>
  <c r="H9" i="17"/>
  <c r="H10" i="17"/>
  <c r="H11" i="17"/>
  <c r="H12" i="17"/>
  <c r="H13" i="17"/>
  <c r="H14" i="17"/>
  <c r="H15" i="17"/>
  <c r="F7" i="17"/>
  <c r="F8" i="17"/>
  <c r="F9" i="17"/>
  <c r="F10" i="17"/>
  <c r="F11" i="17"/>
  <c r="F12" i="17"/>
  <c r="F13" i="17"/>
  <c r="F14" i="17"/>
  <c r="F15" i="17"/>
  <c r="F6" i="17"/>
  <c r="H6" i="17"/>
  <c r="D7" i="17"/>
  <c r="D8" i="17"/>
  <c r="D9" i="17"/>
  <c r="D10" i="17"/>
  <c r="D11" i="17"/>
  <c r="D12" i="17"/>
  <c r="D13" i="17"/>
  <c r="D14" i="17"/>
  <c r="D15" i="17"/>
  <c r="D6" i="17"/>
  <c r="A69" i="16" l="1"/>
  <c r="V37" i="29" s="1"/>
  <c r="G24" i="32"/>
  <c r="H25" i="32"/>
  <c r="H24" i="32"/>
  <c r="I25" i="32"/>
  <c r="I24" i="32"/>
  <c r="F25" i="32"/>
  <c r="F24" i="32"/>
  <c r="E87" i="7"/>
  <c r="K25" i="29" s="1"/>
  <c r="G87" i="7"/>
  <c r="K26" i="29" s="1"/>
  <c r="I87" i="7"/>
  <c r="K27" i="29" s="1"/>
  <c r="K87" i="7"/>
  <c r="K28" i="29" s="1"/>
  <c r="M87" i="7"/>
  <c r="K29" i="29" s="1"/>
  <c r="V87" i="7"/>
  <c r="E87" i="1"/>
  <c r="C25" i="29" s="1"/>
  <c r="G87" i="1"/>
  <c r="C26" i="29" s="1"/>
  <c r="I87" i="1"/>
  <c r="C27" i="29" s="1"/>
  <c r="K87" i="1"/>
  <c r="C28" i="29" s="1"/>
  <c r="M87" i="1"/>
  <c r="C29" i="29" s="1"/>
  <c r="V56" i="24"/>
  <c r="U56" i="24"/>
  <c r="V89" i="11"/>
  <c r="U90" i="11"/>
  <c r="U91" i="11" s="1"/>
  <c r="V89" i="10"/>
  <c r="U90" i="10"/>
  <c r="U91" i="10" s="1"/>
  <c r="A108" i="16" a="1"/>
  <c r="A108" i="16" s="1"/>
  <c r="A52" i="16"/>
  <c r="AV47" i="20"/>
  <c r="BD31" i="20"/>
  <c r="BC31" i="20"/>
  <c r="BB31" i="20"/>
  <c r="BA31" i="20"/>
  <c r="AV31" i="20"/>
  <c r="AW31" i="20" s="1"/>
  <c r="BD15" i="20"/>
  <c r="BC15" i="20"/>
  <c r="BB15" i="20"/>
  <c r="BA15" i="20"/>
  <c r="AV15" i="20"/>
  <c r="BM63" i="20"/>
  <c r="N52" i="33" s="1"/>
  <c r="BN63" i="20"/>
  <c r="P52" i="33" s="1"/>
  <c r="BO63" i="20"/>
  <c r="R52" i="33" s="1"/>
  <c r="BP63" i="20"/>
  <c r="T52" i="33" s="1"/>
  <c r="BH63" i="20"/>
  <c r="BF51" i="20"/>
  <c r="BF35" i="20"/>
  <c r="BF19" i="20"/>
  <c r="BM6" i="20"/>
  <c r="BN7" i="20"/>
  <c r="BM8" i="20"/>
  <c r="BM9" i="20"/>
  <c r="BM10" i="20"/>
  <c r="BM12" i="20"/>
  <c r="BF3" i="20"/>
  <c r="AH35" i="20"/>
  <c r="AH19" i="20"/>
  <c r="AH3" i="20"/>
  <c r="AT3" i="20"/>
  <c r="AT19" i="20"/>
  <c r="AT35" i="20"/>
  <c r="V35" i="20"/>
  <c r="V19" i="20"/>
  <c r="V3" i="20"/>
  <c r="K19" i="20"/>
  <c r="K35" i="20"/>
  <c r="W48" i="20"/>
  <c r="K48" i="20"/>
  <c r="W32" i="20"/>
  <c r="K32" i="20"/>
  <c r="W16" i="20"/>
  <c r="K16" i="20"/>
  <c r="AU48" i="20"/>
  <c r="AU32" i="20"/>
  <c r="AU16" i="20"/>
  <c r="AI48" i="20"/>
  <c r="AI32" i="20"/>
  <c r="AI16" i="20"/>
  <c r="AK40" i="20"/>
  <c r="AK42" i="20"/>
  <c r="AJ48" i="20"/>
  <c r="AK48" i="20" s="1"/>
  <c r="AL48" i="20" s="1"/>
  <c r="AJ32" i="20"/>
  <c r="AK32" i="20" s="1"/>
  <c r="AL32" i="20" s="1"/>
  <c r="AJ16" i="20"/>
  <c r="AI38" i="20"/>
  <c r="AR38" i="20" s="1"/>
  <c r="AI39" i="20"/>
  <c r="AR39" i="20" s="1"/>
  <c r="AI40" i="20"/>
  <c r="AR40" i="20" s="1"/>
  <c r="AI41" i="20"/>
  <c r="AR41" i="20" s="1"/>
  <c r="AI42" i="20"/>
  <c r="AR42" i="20" s="1"/>
  <c r="AI43" i="20"/>
  <c r="AR43" i="20" s="1"/>
  <c r="AI44" i="20"/>
  <c r="AR44" i="20" s="1"/>
  <c r="AI45" i="20"/>
  <c r="AR45" i="20" s="1"/>
  <c r="AI46" i="20"/>
  <c r="AR46" i="20" s="1"/>
  <c r="AI47" i="20"/>
  <c r="AR47" i="20" s="1"/>
  <c r="AI22" i="20"/>
  <c r="AQ22" i="20" s="1"/>
  <c r="AI23" i="20"/>
  <c r="AR23" i="20" s="1"/>
  <c r="AI24" i="20"/>
  <c r="AR24" i="20" s="1"/>
  <c r="AI25" i="20"/>
  <c r="AR25" i="20" s="1"/>
  <c r="AI26" i="20"/>
  <c r="AR26" i="20" s="1"/>
  <c r="AI27" i="20"/>
  <c r="AQ27" i="20" s="1"/>
  <c r="AI28" i="20"/>
  <c r="AR28" i="20" s="1"/>
  <c r="AI29" i="20"/>
  <c r="AR29" i="20" s="1"/>
  <c r="AI30" i="20"/>
  <c r="AR30" i="20" s="1"/>
  <c r="AI31" i="20"/>
  <c r="AR31" i="20" s="1"/>
  <c r="AI6" i="20"/>
  <c r="AO6" i="20" s="1"/>
  <c r="AI7" i="20"/>
  <c r="AO7" i="20" s="1"/>
  <c r="AI8" i="20"/>
  <c r="AO8" i="20" s="1"/>
  <c r="AI9" i="20"/>
  <c r="AQ9" i="20" s="1"/>
  <c r="AI10" i="20"/>
  <c r="AP10" i="20" s="1"/>
  <c r="AI11" i="20"/>
  <c r="AP11" i="20" s="1"/>
  <c r="AI12" i="20"/>
  <c r="AO12" i="20" s="1"/>
  <c r="AI13" i="20"/>
  <c r="AO13" i="20" s="1"/>
  <c r="AI14" i="20"/>
  <c r="AO14" i="20" s="1"/>
  <c r="AI15" i="20"/>
  <c r="AR15" i="20" s="1"/>
  <c r="AI37" i="20"/>
  <c r="AR37" i="20" s="1"/>
  <c r="AI21" i="20"/>
  <c r="AR21" i="20" s="1"/>
  <c r="AI5" i="20"/>
  <c r="AP5" i="20" s="1"/>
  <c r="AU38" i="20"/>
  <c r="AU39" i="20"/>
  <c r="AU40" i="20"/>
  <c r="AU41" i="20"/>
  <c r="AU42" i="20"/>
  <c r="AU43" i="20"/>
  <c r="AU44" i="20"/>
  <c r="AU45" i="20"/>
  <c r="AU46" i="20"/>
  <c r="AU47" i="20"/>
  <c r="AU22" i="20"/>
  <c r="BB22" i="20" s="1"/>
  <c r="AU23" i="20"/>
  <c r="BB23" i="20" s="1"/>
  <c r="AU24" i="20"/>
  <c r="BD24" i="20" s="1"/>
  <c r="AU25" i="20"/>
  <c r="BD25" i="20" s="1"/>
  <c r="AU26" i="20"/>
  <c r="BD26" i="20" s="1"/>
  <c r="AU27" i="20"/>
  <c r="BD27" i="20" s="1"/>
  <c r="AU28" i="20"/>
  <c r="BD28" i="20" s="1"/>
  <c r="AU29" i="20"/>
  <c r="BD29" i="20" s="1"/>
  <c r="AU30" i="20"/>
  <c r="BB30" i="20" s="1"/>
  <c r="AU31" i="20"/>
  <c r="AU6" i="20"/>
  <c r="AU7" i="20"/>
  <c r="BD7" i="20" s="1"/>
  <c r="AU8" i="20"/>
  <c r="BD8" i="20" s="1"/>
  <c r="AU9" i="20"/>
  <c r="BD9" i="20" s="1"/>
  <c r="AU10" i="20"/>
  <c r="BD10" i="20" s="1"/>
  <c r="AU11" i="20"/>
  <c r="BD11" i="20" s="1"/>
  <c r="AU12" i="20"/>
  <c r="BD12" i="20" s="1"/>
  <c r="AU13" i="20"/>
  <c r="BD13" i="20" s="1"/>
  <c r="AU14" i="20"/>
  <c r="BC14" i="20" s="1"/>
  <c r="AU15" i="20"/>
  <c r="AU37" i="20"/>
  <c r="AU21" i="20"/>
  <c r="BA21" i="20" s="1"/>
  <c r="AU5" i="20"/>
  <c r="BA5" i="20" s="1"/>
  <c r="W14" i="20"/>
  <c r="W30" i="20"/>
  <c r="W31" i="20"/>
  <c r="W47" i="20"/>
  <c r="AF47" i="20" s="1"/>
  <c r="W46" i="20"/>
  <c r="AF46" i="20" s="1"/>
  <c r="W15" i="20"/>
  <c r="AE15" i="20" s="1"/>
  <c r="M47" i="20"/>
  <c r="M46" i="20"/>
  <c r="M45" i="20"/>
  <c r="N45" i="20" s="1"/>
  <c r="M44" i="20"/>
  <c r="M43" i="20"/>
  <c r="M42" i="20"/>
  <c r="N42" i="20" s="1"/>
  <c r="M41" i="20"/>
  <c r="M39" i="20"/>
  <c r="N39" i="20" s="1"/>
  <c r="O39" i="20" s="1"/>
  <c r="M38" i="20"/>
  <c r="M22" i="20"/>
  <c r="M23" i="20"/>
  <c r="M24" i="20"/>
  <c r="M25" i="20"/>
  <c r="M26" i="20"/>
  <c r="M27" i="20"/>
  <c r="M28" i="20"/>
  <c r="M29" i="20"/>
  <c r="M30" i="20"/>
  <c r="M31" i="20"/>
  <c r="M37" i="20"/>
  <c r="M21" i="20"/>
  <c r="M14" i="20"/>
  <c r="Q38" i="20"/>
  <c r="R38" i="20"/>
  <c r="S38" i="20"/>
  <c r="T38" i="20"/>
  <c r="Q39" i="20"/>
  <c r="R39" i="20"/>
  <c r="S39" i="20"/>
  <c r="T39" i="20"/>
  <c r="Q40" i="20"/>
  <c r="R40" i="20"/>
  <c r="S40" i="20"/>
  <c r="T40" i="20"/>
  <c r="Q41" i="20"/>
  <c r="R41" i="20"/>
  <c r="S41" i="20"/>
  <c r="T41" i="20"/>
  <c r="Q42" i="20"/>
  <c r="R42" i="20"/>
  <c r="S42" i="20"/>
  <c r="T42" i="20"/>
  <c r="Q43" i="20"/>
  <c r="R43" i="20"/>
  <c r="S43" i="20"/>
  <c r="T43" i="20"/>
  <c r="Q44" i="20"/>
  <c r="R44" i="20"/>
  <c r="S44" i="20"/>
  <c r="T44" i="20"/>
  <c r="Q45" i="20"/>
  <c r="R45" i="20"/>
  <c r="S45" i="20"/>
  <c r="T45" i="20"/>
  <c r="Q46" i="20"/>
  <c r="R46" i="20"/>
  <c r="S46" i="20"/>
  <c r="T46" i="20"/>
  <c r="Q47" i="20"/>
  <c r="R47" i="20"/>
  <c r="S47" i="20"/>
  <c r="T47" i="20"/>
  <c r="T22" i="20"/>
  <c r="T23" i="20"/>
  <c r="T24" i="20"/>
  <c r="T25" i="20"/>
  <c r="T26" i="20"/>
  <c r="T27" i="20"/>
  <c r="T28" i="20"/>
  <c r="T29" i="20"/>
  <c r="T30" i="20"/>
  <c r="T31" i="20"/>
  <c r="S22" i="20"/>
  <c r="S23" i="20"/>
  <c r="S24" i="20"/>
  <c r="S25" i="20"/>
  <c r="S26" i="20"/>
  <c r="S27" i="20"/>
  <c r="S28" i="20"/>
  <c r="S29" i="20"/>
  <c r="S30" i="20"/>
  <c r="S31" i="20"/>
  <c r="R22" i="20"/>
  <c r="R23" i="20"/>
  <c r="R24" i="20"/>
  <c r="R25" i="20"/>
  <c r="R26" i="20"/>
  <c r="R27" i="20"/>
  <c r="R28" i="20"/>
  <c r="R29" i="20"/>
  <c r="R30" i="20"/>
  <c r="R31" i="20"/>
  <c r="Q22" i="20"/>
  <c r="Q23" i="20"/>
  <c r="Q24" i="20"/>
  <c r="Q25" i="20"/>
  <c r="Q26" i="20"/>
  <c r="Q27" i="20"/>
  <c r="Q28" i="20"/>
  <c r="Q29" i="20"/>
  <c r="Q30" i="20"/>
  <c r="Q31" i="20"/>
  <c r="T37" i="20"/>
  <c r="S37" i="20"/>
  <c r="R37" i="20"/>
  <c r="Q37" i="20"/>
  <c r="T21" i="20"/>
  <c r="S21" i="20"/>
  <c r="R21" i="20"/>
  <c r="Q21" i="20"/>
  <c r="Q6" i="20"/>
  <c r="R6" i="20"/>
  <c r="S6" i="20"/>
  <c r="T6" i="20"/>
  <c r="Q7" i="20"/>
  <c r="R7" i="20"/>
  <c r="S7" i="20"/>
  <c r="T7" i="20"/>
  <c r="Q8" i="20"/>
  <c r="R8" i="20"/>
  <c r="S8" i="20"/>
  <c r="T8" i="20"/>
  <c r="Q9" i="20"/>
  <c r="R9" i="20"/>
  <c r="S9" i="20"/>
  <c r="T9" i="20"/>
  <c r="Q10" i="20"/>
  <c r="R10" i="20"/>
  <c r="S10" i="20"/>
  <c r="T10" i="20"/>
  <c r="Q11" i="20"/>
  <c r="R11" i="20"/>
  <c r="S11" i="20"/>
  <c r="T11" i="20"/>
  <c r="Q12" i="20"/>
  <c r="R12" i="20"/>
  <c r="S12" i="20"/>
  <c r="T12" i="20"/>
  <c r="Q13" i="20"/>
  <c r="R13" i="20"/>
  <c r="S13" i="20"/>
  <c r="T13" i="20"/>
  <c r="Q14" i="20"/>
  <c r="R14" i="20"/>
  <c r="S14" i="20"/>
  <c r="T14" i="20"/>
  <c r="Q15" i="20"/>
  <c r="R15" i="20"/>
  <c r="S15" i="20"/>
  <c r="T15" i="20"/>
  <c r="R5" i="20"/>
  <c r="S5" i="20"/>
  <c r="T5" i="20"/>
  <c r="Q5" i="20"/>
  <c r="B4" i="14"/>
  <c r="B4" i="13"/>
  <c r="B4" i="12"/>
  <c r="B4" i="11"/>
  <c r="B4" i="10"/>
  <c r="B4" i="9"/>
  <c r="B4" i="8"/>
  <c r="B4" i="7"/>
  <c r="B4" i="6"/>
  <c r="B4" i="4"/>
  <c r="B4" i="3"/>
  <c r="B4" i="2"/>
  <c r="B4" i="17"/>
  <c r="B4" i="1"/>
  <c r="U36" i="8"/>
  <c r="U37" i="8"/>
  <c r="U38" i="8"/>
  <c r="U39" i="8"/>
  <c r="U40" i="8"/>
  <c r="U41" i="8"/>
  <c r="U42" i="8"/>
  <c r="U43" i="8"/>
  <c r="U44" i="8"/>
  <c r="U45" i="8"/>
  <c r="U46" i="8"/>
  <c r="U47" i="8"/>
  <c r="U48" i="8"/>
  <c r="U49" i="8"/>
  <c r="U50" i="8"/>
  <c r="U51" i="8"/>
  <c r="U52" i="8"/>
  <c r="U53" i="8"/>
  <c r="U54" i="8"/>
  <c r="U55" i="8"/>
  <c r="U56" i="8"/>
  <c r="U57" i="8"/>
  <c r="U58" i="8"/>
  <c r="U59" i="8"/>
  <c r="U60" i="8"/>
  <c r="U36" i="4"/>
  <c r="U37" i="4"/>
  <c r="U38" i="4"/>
  <c r="U39" i="4"/>
  <c r="U40" i="4"/>
  <c r="U41" i="4"/>
  <c r="U42" i="4"/>
  <c r="U43" i="4"/>
  <c r="U44" i="4"/>
  <c r="U45" i="4"/>
  <c r="U46" i="4"/>
  <c r="U47" i="4"/>
  <c r="U48" i="4"/>
  <c r="U49" i="4"/>
  <c r="U50" i="4"/>
  <c r="U51" i="4"/>
  <c r="U52" i="4"/>
  <c r="U53" i="4"/>
  <c r="U54" i="4"/>
  <c r="U55" i="4"/>
  <c r="U56" i="4"/>
  <c r="U57" i="4"/>
  <c r="U58" i="4"/>
  <c r="U59" i="4"/>
  <c r="U60" i="4"/>
  <c r="U36" i="2"/>
  <c r="U37" i="2"/>
  <c r="U38" i="2"/>
  <c r="U39" i="2"/>
  <c r="U40" i="2"/>
  <c r="U41" i="2"/>
  <c r="U42" i="2"/>
  <c r="U43" i="2"/>
  <c r="U44" i="2"/>
  <c r="U45" i="2"/>
  <c r="U46" i="2"/>
  <c r="U47" i="2"/>
  <c r="U48" i="2"/>
  <c r="U49" i="2"/>
  <c r="U50" i="2"/>
  <c r="U51" i="2"/>
  <c r="U52" i="2"/>
  <c r="U53" i="2"/>
  <c r="U54" i="2"/>
  <c r="U55" i="2"/>
  <c r="U56" i="2"/>
  <c r="U57" i="2"/>
  <c r="U58" i="2"/>
  <c r="U59" i="2"/>
  <c r="U60" i="2"/>
  <c r="U36" i="7"/>
  <c r="U37" i="7"/>
  <c r="U38" i="7"/>
  <c r="U39" i="7"/>
  <c r="U40" i="7"/>
  <c r="U41" i="7"/>
  <c r="U42" i="7"/>
  <c r="U43" i="7"/>
  <c r="U44" i="7"/>
  <c r="U45" i="7"/>
  <c r="U46" i="7"/>
  <c r="U47" i="7"/>
  <c r="U48" i="7"/>
  <c r="U49" i="7"/>
  <c r="U50" i="7"/>
  <c r="U51" i="7"/>
  <c r="U52" i="7"/>
  <c r="U53" i="7"/>
  <c r="U54" i="7"/>
  <c r="U55" i="7"/>
  <c r="U56" i="7"/>
  <c r="U57" i="7"/>
  <c r="U58" i="7"/>
  <c r="U59" i="7"/>
  <c r="U60" i="7"/>
  <c r="K37" i="12"/>
  <c r="U36" i="1"/>
  <c r="U37" i="1"/>
  <c r="U38" i="1"/>
  <c r="U39" i="1"/>
  <c r="U40" i="1"/>
  <c r="U41" i="1"/>
  <c r="U42" i="1"/>
  <c r="U43" i="1"/>
  <c r="U44" i="1"/>
  <c r="U45" i="1"/>
  <c r="U46" i="1"/>
  <c r="U47" i="1"/>
  <c r="U48" i="1"/>
  <c r="U49" i="1"/>
  <c r="U50" i="1"/>
  <c r="U51" i="1"/>
  <c r="U52" i="1"/>
  <c r="U53" i="1"/>
  <c r="U54" i="1"/>
  <c r="U55" i="1"/>
  <c r="U56" i="1"/>
  <c r="U57" i="1"/>
  <c r="U58" i="1"/>
  <c r="U59" i="1"/>
  <c r="U60" i="1"/>
  <c r="P6" i="17"/>
  <c r="P7" i="17"/>
  <c r="P8" i="17"/>
  <c r="P9" i="17"/>
  <c r="P10" i="17"/>
  <c r="P11" i="17"/>
  <c r="P12" i="17"/>
  <c r="P13" i="17"/>
  <c r="P14" i="17"/>
  <c r="P15" i="17"/>
  <c r="O17" i="17"/>
  <c r="N17" i="17"/>
  <c r="M17" i="17"/>
  <c r="L17" i="17"/>
  <c r="I17" i="17"/>
  <c r="G17" i="17"/>
  <c r="E17" i="17"/>
  <c r="C17" i="17"/>
  <c r="I37" i="13"/>
  <c r="G37" i="13"/>
  <c r="E37" i="13"/>
  <c r="C37" i="13"/>
  <c r="P35" i="13"/>
  <c r="P34" i="13"/>
  <c r="P33" i="13"/>
  <c r="P32" i="13"/>
  <c r="P31" i="13"/>
  <c r="P30" i="13"/>
  <c r="P29" i="13"/>
  <c r="P28" i="13"/>
  <c r="P27" i="13"/>
  <c r="P26" i="13"/>
  <c r="P25" i="13"/>
  <c r="P24" i="13"/>
  <c r="P23" i="13"/>
  <c r="P22" i="13"/>
  <c r="P21" i="13"/>
  <c r="P20" i="13"/>
  <c r="P19" i="13"/>
  <c r="P18" i="13"/>
  <c r="P17" i="13"/>
  <c r="P16" i="13"/>
  <c r="P15" i="13"/>
  <c r="P14" i="13"/>
  <c r="P13" i="13"/>
  <c r="P12" i="13"/>
  <c r="P11" i="13"/>
  <c r="P10" i="13"/>
  <c r="P9" i="13"/>
  <c r="P8" i="13"/>
  <c r="P7" i="13"/>
  <c r="P6" i="13"/>
  <c r="I37" i="12"/>
  <c r="G37" i="12"/>
  <c r="E37" i="12"/>
  <c r="C37" i="12"/>
  <c r="R35" i="12"/>
  <c r="R34" i="12"/>
  <c r="R33" i="12"/>
  <c r="R32" i="12"/>
  <c r="R31" i="12"/>
  <c r="R30" i="12"/>
  <c r="R29" i="12"/>
  <c r="R28" i="12"/>
  <c r="R27" i="12"/>
  <c r="R26" i="12"/>
  <c r="R25" i="12"/>
  <c r="R24" i="12"/>
  <c r="R23" i="12"/>
  <c r="R22" i="12"/>
  <c r="R21" i="12"/>
  <c r="R20" i="12"/>
  <c r="R19" i="12"/>
  <c r="R18" i="12"/>
  <c r="R17" i="12"/>
  <c r="R16" i="12"/>
  <c r="R15" i="12"/>
  <c r="R14" i="12"/>
  <c r="R13" i="12"/>
  <c r="R12" i="12"/>
  <c r="R11" i="12"/>
  <c r="R10" i="12"/>
  <c r="R9" i="12"/>
  <c r="R8" i="12"/>
  <c r="R7" i="12"/>
  <c r="R6" i="12"/>
  <c r="I37" i="9"/>
  <c r="G37" i="9"/>
  <c r="E37" i="9"/>
  <c r="C37"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6" i="9"/>
  <c r="U35" i="8"/>
  <c r="U34" i="8"/>
  <c r="U33" i="8"/>
  <c r="U32" i="8"/>
  <c r="U31" i="8"/>
  <c r="U30" i="8"/>
  <c r="U29" i="8"/>
  <c r="U28" i="8"/>
  <c r="U27" i="8"/>
  <c r="U26" i="8"/>
  <c r="U25" i="8"/>
  <c r="U24" i="8"/>
  <c r="U23" i="8"/>
  <c r="U22" i="8"/>
  <c r="U21" i="8"/>
  <c r="U20" i="8"/>
  <c r="U19" i="8"/>
  <c r="U18" i="8"/>
  <c r="U17" i="8"/>
  <c r="U16" i="8"/>
  <c r="U15" i="8"/>
  <c r="U14" i="8"/>
  <c r="U13" i="8"/>
  <c r="U12" i="8"/>
  <c r="U11" i="8"/>
  <c r="U10" i="8"/>
  <c r="U9" i="8"/>
  <c r="U8" i="8"/>
  <c r="U7" i="8"/>
  <c r="U6" i="8"/>
  <c r="U35" i="7"/>
  <c r="U34" i="7"/>
  <c r="U33" i="7"/>
  <c r="U32" i="7"/>
  <c r="U31" i="7"/>
  <c r="U30" i="7"/>
  <c r="U29" i="7"/>
  <c r="U28" i="7"/>
  <c r="U27" i="7"/>
  <c r="U26" i="7"/>
  <c r="U25" i="7"/>
  <c r="U24" i="7"/>
  <c r="U23" i="7"/>
  <c r="U22" i="7"/>
  <c r="U21" i="7"/>
  <c r="U20" i="7"/>
  <c r="U19" i="7"/>
  <c r="U18" i="7"/>
  <c r="U17" i="7"/>
  <c r="U16" i="7"/>
  <c r="U15" i="7"/>
  <c r="U14" i="7"/>
  <c r="U13" i="7"/>
  <c r="U12" i="7"/>
  <c r="U11" i="7"/>
  <c r="U10" i="7"/>
  <c r="U9" i="7"/>
  <c r="U8" i="7"/>
  <c r="U7" i="7"/>
  <c r="U6" i="7"/>
  <c r="O37" i="6"/>
  <c r="N37" i="6"/>
  <c r="M37" i="6"/>
  <c r="L37" i="6"/>
  <c r="I37" i="6"/>
  <c r="G37" i="6"/>
  <c r="E37" i="6"/>
  <c r="C37"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39" i="3"/>
  <c r="P37" i="3"/>
  <c r="D2" i="7"/>
  <c r="P17" i="17"/>
  <c r="P19" i="17"/>
  <c r="P37" i="13"/>
  <c r="P39" i="13"/>
  <c r="R37" i="12"/>
  <c r="R39" i="12"/>
  <c r="P37" i="9"/>
  <c r="P39" i="9"/>
  <c r="P37" i="6"/>
  <c r="P39" i="6"/>
  <c r="P40" i="3"/>
  <c r="P42" i="3"/>
  <c r="P41" i="3"/>
  <c r="D2" i="2"/>
  <c r="P15" i="14"/>
  <c r="P14" i="14"/>
  <c r="P13" i="14"/>
  <c r="P12" i="14"/>
  <c r="P11" i="14"/>
  <c r="P10" i="14"/>
  <c r="P9" i="14"/>
  <c r="P8" i="14"/>
  <c r="P7" i="14"/>
  <c r="P6" i="1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6" i="1"/>
  <c r="C2" i="14"/>
  <c r="C2" i="13"/>
  <c r="C2" i="12"/>
  <c r="D2" i="11"/>
  <c r="D2" i="10"/>
  <c r="C2" i="9"/>
  <c r="D2" i="8"/>
  <c r="C2" i="6"/>
  <c r="D2" i="4"/>
  <c r="C2" i="3"/>
  <c r="O17" i="14"/>
  <c r="N17" i="14"/>
  <c r="M17" i="14"/>
  <c r="L17" i="14"/>
  <c r="I17" i="14"/>
  <c r="G17" i="14"/>
  <c r="E17" i="14"/>
  <c r="C17" i="14"/>
  <c r="I37" i="3"/>
  <c r="G37" i="3"/>
  <c r="E37" i="3"/>
  <c r="C37" i="3"/>
  <c r="P20" i="17"/>
  <c r="P17" i="14"/>
  <c r="P40" i="13"/>
  <c r="R40" i="12"/>
  <c r="R41" i="12"/>
  <c r="P40" i="9"/>
  <c r="P41" i="9"/>
  <c r="P40" i="6"/>
  <c r="P21" i="17"/>
  <c r="P22" i="17"/>
  <c r="P19" i="14"/>
  <c r="P20" i="14"/>
  <c r="P21" i="14"/>
  <c r="R42" i="12"/>
  <c r="P41" i="13"/>
  <c r="P42" i="13"/>
  <c r="P42" i="9"/>
  <c r="P41" i="6"/>
  <c r="P42" i="6"/>
  <c r="P22" i="14"/>
  <c r="X47" i="29" l="1"/>
  <c r="BC41" i="20"/>
  <c r="BD41" i="20"/>
  <c r="BA41" i="20"/>
  <c r="BB41" i="20"/>
  <c r="BD40" i="20"/>
  <c r="BA40" i="20"/>
  <c r="BC40" i="20"/>
  <c r="BB40" i="20"/>
  <c r="BD42" i="20"/>
  <c r="BB42" i="20"/>
  <c r="BC42" i="20"/>
  <c r="BA42" i="20"/>
  <c r="BD38" i="20"/>
  <c r="BC38" i="20"/>
  <c r="BB38" i="20"/>
  <c r="BA38" i="20"/>
  <c r="BB37" i="20"/>
  <c r="BC37" i="20"/>
  <c r="BA37" i="20"/>
  <c r="BD37" i="20"/>
  <c r="BA46" i="20"/>
  <c r="BB46" i="20"/>
  <c r="BC46" i="20"/>
  <c r="BD46" i="20"/>
  <c r="BA45" i="20"/>
  <c r="BB45" i="20"/>
  <c r="BC45" i="20"/>
  <c r="BD45" i="20"/>
  <c r="BA44" i="20"/>
  <c r="BC44" i="20"/>
  <c r="BB44" i="20"/>
  <c r="BD44" i="20"/>
  <c r="BA39" i="20"/>
  <c r="BD39" i="20"/>
  <c r="BB39" i="20"/>
  <c r="BC39" i="20"/>
  <c r="BB43" i="20"/>
  <c r="BA43" i="20"/>
  <c r="BD43" i="20"/>
  <c r="BC43" i="20"/>
  <c r="BC30" i="20"/>
  <c r="BD30" i="20"/>
  <c r="BD14" i="20"/>
  <c r="AV14" i="20"/>
  <c r="AV46" i="20"/>
  <c r="BA14" i="20"/>
  <c r="BB14" i="20"/>
  <c r="AV30" i="20"/>
  <c r="AW30" i="20" s="1"/>
  <c r="BA30" i="20"/>
  <c r="BH21" i="20"/>
  <c r="BI21" i="20" s="1"/>
  <c r="N28" i="33"/>
  <c r="N10" i="33"/>
  <c r="L28" i="33"/>
  <c r="L10" i="33"/>
  <c r="J28" i="33"/>
  <c r="J10" i="33"/>
  <c r="L27" i="33"/>
  <c r="L9" i="33"/>
  <c r="P27" i="33"/>
  <c r="P9" i="33"/>
  <c r="P8" i="33"/>
  <c r="P26" i="33"/>
  <c r="P28" i="33"/>
  <c r="P10" i="33"/>
  <c r="N8" i="33"/>
  <c r="N26" i="33"/>
  <c r="L8" i="33"/>
  <c r="L26" i="33"/>
  <c r="J8" i="33"/>
  <c r="J26" i="33"/>
  <c r="J27" i="33"/>
  <c r="J9" i="33"/>
  <c r="N27" i="33"/>
  <c r="N9" i="33"/>
  <c r="V45" i="29"/>
  <c r="AB45" i="29" s="1"/>
  <c r="J11" i="19" s="1"/>
  <c r="U92" i="11"/>
  <c r="U87" i="1"/>
  <c r="U89" i="2"/>
  <c r="V87" i="1"/>
  <c r="A109" i="16"/>
  <c r="A110" i="16" s="1"/>
  <c r="U57" i="24"/>
  <c r="U58" i="24" s="1"/>
  <c r="V57" i="24"/>
  <c r="V90" i="11"/>
  <c r="U92" i="10"/>
  <c r="V90" i="10"/>
  <c r="U89" i="7"/>
  <c r="U90" i="7" s="1"/>
  <c r="U89" i="8"/>
  <c r="U89" i="4"/>
  <c r="U90" i="4" s="1"/>
  <c r="U89" i="1"/>
  <c r="U90" i="1" s="1"/>
  <c r="AV6" i="20"/>
  <c r="AW6" i="20" s="1"/>
  <c r="AX6" i="20" s="1"/>
  <c r="AV45" i="20"/>
  <c r="BG62" i="20"/>
  <c r="BF16" i="20"/>
  <c r="BD23" i="20"/>
  <c r="BA10" i="20"/>
  <c r="BD22" i="20"/>
  <c r="BC11" i="20"/>
  <c r="BC13" i="20"/>
  <c r="AV21" i="20"/>
  <c r="AW21" i="20" s="1"/>
  <c r="AV5" i="20"/>
  <c r="AW5" i="20" s="1"/>
  <c r="BA27" i="20"/>
  <c r="BA13" i="20"/>
  <c r="BA25" i="20"/>
  <c r="BA12" i="20"/>
  <c r="BA8" i="20"/>
  <c r="BC21" i="20"/>
  <c r="BC27" i="20"/>
  <c r="BB6" i="20"/>
  <c r="BD6" i="20"/>
  <c r="BA29" i="20"/>
  <c r="BA11" i="20"/>
  <c r="BA28" i="20"/>
  <c r="AV37" i="20"/>
  <c r="AW37" i="20" s="1"/>
  <c r="AX37" i="20" s="1"/>
  <c r="BC29" i="20"/>
  <c r="BA9" i="20"/>
  <c r="BC12" i="20"/>
  <c r="BA26" i="20"/>
  <c r="BC28" i="20"/>
  <c r="BA7" i="20"/>
  <c r="BC10" i="20"/>
  <c r="BA24" i="20"/>
  <c r="BC26" i="20"/>
  <c r="AV44" i="20"/>
  <c r="AW44" i="20" s="1"/>
  <c r="BA6" i="20"/>
  <c r="BC9" i="20"/>
  <c r="BA23" i="20"/>
  <c r="BC25" i="20"/>
  <c r="AV43" i="20"/>
  <c r="AW43" i="20" s="1"/>
  <c r="BB5" i="20"/>
  <c r="BC8" i="20"/>
  <c r="BA22" i="20"/>
  <c r="BC24" i="20"/>
  <c r="AV42" i="20"/>
  <c r="AW42" i="20" s="1"/>
  <c r="AX42" i="20" s="1"/>
  <c r="AY42" i="20" s="1"/>
  <c r="AV13" i="20"/>
  <c r="BC5" i="20"/>
  <c r="BC7" i="20"/>
  <c r="BB21" i="20"/>
  <c r="BC23" i="20"/>
  <c r="AV41" i="20"/>
  <c r="AW41" i="20" s="1"/>
  <c r="AV12" i="20"/>
  <c r="AW12" i="20" s="1"/>
  <c r="BD5" i="20"/>
  <c r="BC6" i="20"/>
  <c r="AV29" i="20"/>
  <c r="AW29" i="20" s="1"/>
  <c r="AX29" i="20" s="1"/>
  <c r="BC22" i="20"/>
  <c r="AV40" i="20"/>
  <c r="AW40" i="20" s="1"/>
  <c r="BH31" i="20"/>
  <c r="BI31" i="20" s="1"/>
  <c r="BJ31" i="20" s="1"/>
  <c r="BK31" i="20" s="1"/>
  <c r="AV11" i="20"/>
  <c r="AW11" i="20" s="1"/>
  <c r="AX11" i="20" s="1"/>
  <c r="AV28" i="20"/>
  <c r="AW28" i="20" s="1"/>
  <c r="BD21" i="20"/>
  <c r="AV39" i="20"/>
  <c r="AW39" i="20" s="1"/>
  <c r="AX39" i="20" s="1"/>
  <c r="AY39" i="20" s="1"/>
  <c r="AV10" i="20"/>
  <c r="AW10" i="20" s="1"/>
  <c r="AX10" i="20" s="1"/>
  <c r="AY10" i="20" s="1"/>
  <c r="AZ10" i="20" s="1"/>
  <c r="AV27" i="20"/>
  <c r="AW27" i="20" s="1"/>
  <c r="BB29" i="20"/>
  <c r="AV38" i="20"/>
  <c r="AW38" i="20" s="1"/>
  <c r="AV9" i="20"/>
  <c r="AW9" i="20" s="1"/>
  <c r="AX9" i="20" s="1"/>
  <c r="BB13" i="20"/>
  <c r="AV26" i="20"/>
  <c r="AW26" i="20" s="1"/>
  <c r="BB28" i="20"/>
  <c r="AV8" i="20"/>
  <c r="AW8" i="20" s="1"/>
  <c r="AX8" i="20" s="1"/>
  <c r="AY8" i="20" s="1"/>
  <c r="AZ8" i="20" s="1"/>
  <c r="BB12" i="20"/>
  <c r="AV25" i="20"/>
  <c r="AW25" i="20" s="1"/>
  <c r="AX25" i="20" s="1"/>
  <c r="AY25" i="20" s="1"/>
  <c r="AZ25" i="20" s="1"/>
  <c r="BB27" i="20"/>
  <c r="AV7" i="20"/>
  <c r="AW7" i="20" s="1"/>
  <c r="BB11" i="20"/>
  <c r="AV24" i="20"/>
  <c r="AW24" i="20" s="1"/>
  <c r="BB26" i="20"/>
  <c r="BB10" i="20"/>
  <c r="AV23" i="20"/>
  <c r="AW23" i="20" s="1"/>
  <c r="BB25" i="20"/>
  <c r="BB9" i="20"/>
  <c r="AV22" i="20"/>
  <c r="AW22" i="20" s="1"/>
  <c r="AX22" i="20" s="1"/>
  <c r="BB24" i="20"/>
  <c r="BB8" i="20"/>
  <c r="BF32" i="20"/>
  <c r="BB7" i="20"/>
  <c r="BF48" i="20"/>
  <c r="AX31" i="20"/>
  <c r="AY31" i="20" s="1"/>
  <c r="AX30" i="20"/>
  <c r="BH15" i="20"/>
  <c r="BI15" i="20" s="1"/>
  <c r="BJ15" i="20" s="1"/>
  <c r="BG63" i="20"/>
  <c r="BG56" i="20"/>
  <c r="BO9" i="20"/>
  <c r="BM7" i="20"/>
  <c r="BG53" i="20"/>
  <c r="BP6" i="20"/>
  <c r="BG61" i="20"/>
  <c r="BG59" i="20"/>
  <c r="BM5" i="20"/>
  <c r="BN5" i="20"/>
  <c r="BO14" i="20"/>
  <c r="BO6" i="20"/>
  <c r="BN6" i="20"/>
  <c r="BP15" i="20"/>
  <c r="BO15" i="20"/>
  <c r="BH6" i="20"/>
  <c r="BG58" i="20"/>
  <c r="BG57" i="20"/>
  <c r="BP11" i="20"/>
  <c r="BP59" i="20" s="1"/>
  <c r="T48" i="33" s="1"/>
  <c r="BO11" i="20"/>
  <c r="BG55" i="20"/>
  <c r="BN11" i="20"/>
  <c r="BG54" i="20"/>
  <c r="BM11" i="20"/>
  <c r="BP10" i="20"/>
  <c r="BO10" i="20"/>
  <c r="BO5" i="20"/>
  <c r="BN10" i="20"/>
  <c r="BN15" i="20"/>
  <c r="BP5" i="20"/>
  <c r="BM15" i="20"/>
  <c r="BP14" i="20"/>
  <c r="BP62" i="20" s="1"/>
  <c r="T51" i="33" s="1"/>
  <c r="BP9" i="20"/>
  <c r="BP57" i="20" s="1"/>
  <c r="T46" i="33" s="1"/>
  <c r="BN14" i="20"/>
  <c r="BN9" i="20"/>
  <c r="BH47" i="20"/>
  <c r="BM14" i="20"/>
  <c r="BP13" i="20"/>
  <c r="BP61" i="20" s="1"/>
  <c r="T50" i="33" s="1"/>
  <c r="BP8" i="20"/>
  <c r="BO13" i="20"/>
  <c r="BO8" i="20"/>
  <c r="BN13" i="20"/>
  <c r="BN8" i="20"/>
  <c r="BM13" i="20"/>
  <c r="BP12" i="20"/>
  <c r="BP7" i="20"/>
  <c r="BG60" i="20"/>
  <c r="BO12" i="20"/>
  <c r="BO7" i="20"/>
  <c r="BN12" i="20"/>
  <c r="BH38" i="20"/>
  <c r="BI38" i="20" s="1"/>
  <c r="BH30" i="20"/>
  <c r="BI30" i="20" s="1"/>
  <c r="BH29" i="20"/>
  <c r="BI29" i="20" s="1"/>
  <c r="BH28" i="20"/>
  <c r="BI28" i="20" s="1"/>
  <c r="BH27" i="20"/>
  <c r="BI27" i="20" s="1"/>
  <c r="BH26" i="20"/>
  <c r="BI26" i="20" s="1"/>
  <c r="BJ26" i="20" s="1"/>
  <c r="BK26" i="20" s="1"/>
  <c r="BH25" i="20"/>
  <c r="BH24" i="20"/>
  <c r="BI24" i="20" s="1"/>
  <c r="BH5" i="20"/>
  <c r="BH23" i="20"/>
  <c r="BI23" i="20" s="1"/>
  <c r="BH22" i="20"/>
  <c r="BI22" i="20" s="1"/>
  <c r="BH14" i="20"/>
  <c r="BH37" i="20"/>
  <c r="BH13" i="20"/>
  <c r="BH12" i="20"/>
  <c r="BH46" i="20"/>
  <c r="BI46" i="20" s="1"/>
  <c r="BH11" i="20"/>
  <c r="BH45" i="20"/>
  <c r="BI45" i="20" s="1"/>
  <c r="BH10" i="20"/>
  <c r="BH44" i="20"/>
  <c r="BI44" i="20" s="1"/>
  <c r="BH9" i="20"/>
  <c r="BH43" i="20"/>
  <c r="BI43" i="20" s="1"/>
  <c r="BJ43" i="20" s="1"/>
  <c r="BH8" i="20"/>
  <c r="BH42" i="20"/>
  <c r="BI42" i="20" s="1"/>
  <c r="BH7" i="20"/>
  <c r="BH41" i="20"/>
  <c r="BI41" i="20" s="1"/>
  <c r="BH40" i="20"/>
  <c r="BI40" i="20" s="1"/>
  <c r="BJ40" i="20" s="1"/>
  <c r="BH39" i="20"/>
  <c r="BI39" i="20" s="1"/>
  <c r="L48" i="20"/>
  <c r="M48" i="20" s="1"/>
  <c r="N48" i="20" s="1"/>
  <c r="AJ50" i="20"/>
  <c r="AK16" i="20"/>
  <c r="AL16" i="20" s="1"/>
  <c r="M16" i="20"/>
  <c r="N16" i="20" s="1"/>
  <c r="L32" i="20"/>
  <c r="M32" i="20" s="1"/>
  <c r="N32" i="20" s="1"/>
  <c r="AM48" i="20"/>
  <c r="AN48" i="20" s="1"/>
  <c r="AM32" i="20"/>
  <c r="AN32" i="20" s="1"/>
  <c r="AO23" i="20"/>
  <c r="AR27" i="20"/>
  <c r="AO28" i="20"/>
  <c r="AP28" i="20"/>
  <c r="AQ28" i="20"/>
  <c r="AO29" i="20"/>
  <c r="AP30" i="20"/>
  <c r="AQ15" i="20"/>
  <c r="AO38" i="20"/>
  <c r="AR14" i="20"/>
  <c r="AP38" i="20"/>
  <c r="AQ14" i="20"/>
  <c r="AQ38" i="20"/>
  <c r="AP14" i="20"/>
  <c r="AQ12" i="20"/>
  <c r="AO39" i="20"/>
  <c r="AP9" i="20"/>
  <c r="AP40" i="20"/>
  <c r="AR8" i="20"/>
  <c r="AO43" i="20"/>
  <c r="AQ8" i="20"/>
  <c r="AP43" i="20"/>
  <c r="AP8" i="20"/>
  <c r="AQ43" i="20"/>
  <c r="AR7" i="20"/>
  <c r="AQ7" i="20"/>
  <c r="AO44" i="20"/>
  <c r="AR22" i="20"/>
  <c r="AP45" i="20"/>
  <c r="AP15" i="20"/>
  <c r="AP23" i="20"/>
  <c r="AQ23" i="20"/>
  <c r="AO24" i="20"/>
  <c r="AR13" i="20"/>
  <c r="AP7" i="20"/>
  <c r="AP24" i="20"/>
  <c r="AP29" i="20"/>
  <c r="AP39" i="20"/>
  <c r="AP44" i="20"/>
  <c r="AQ13" i="20"/>
  <c r="AR6" i="20"/>
  <c r="AQ24" i="20"/>
  <c r="AQ29" i="20"/>
  <c r="AQ39" i="20"/>
  <c r="AQ44" i="20"/>
  <c r="AP13" i="20"/>
  <c r="AQ6" i="20"/>
  <c r="AO5" i="20"/>
  <c r="AR12" i="20"/>
  <c r="AP6" i="20"/>
  <c r="AO25" i="20"/>
  <c r="AO30" i="20"/>
  <c r="AO40" i="20"/>
  <c r="AO45" i="20"/>
  <c r="AO15" i="20"/>
  <c r="AR5" i="20"/>
  <c r="AP25" i="20"/>
  <c r="AP12" i="20"/>
  <c r="AQ5" i="20"/>
  <c r="AQ25" i="20"/>
  <c r="AQ30" i="20"/>
  <c r="AQ40" i="20"/>
  <c r="AQ45" i="20"/>
  <c r="AR11" i="20"/>
  <c r="AQ11" i="20"/>
  <c r="AO21" i="20"/>
  <c r="AO26" i="20"/>
  <c r="AO31" i="20"/>
  <c r="AO41" i="20"/>
  <c r="AO46" i="20"/>
  <c r="AO11" i="20"/>
  <c r="AP21" i="20"/>
  <c r="AP26" i="20"/>
  <c r="AP31" i="20"/>
  <c r="AP41" i="20"/>
  <c r="AP46" i="20"/>
  <c r="AO10" i="20"/>
  <c r="AR10" i="20"/>
  <c r="AQ21" i="20"/>
  <c r="AQ26" i="20"/>
  <c r="AQ31" i="20"/>
  <c r="AQ41" i="20"/>
  <c r="AQ46" i="20"/>
  <c r="AO9" i="20"/>
  <c r="AQ10" i="20"/>
  <c r="AO22" i="20"/>
  <c r="AO27" i="20"/>
  <c r="AO37" i="20"/>
  <c r="AO42" i="20"/>
  <c r="AO47" i="20"/>
  <c r="AR9" i="20"/>
  <c r="AP22" i="20"/>
  <c r="AP27" i="20"/>
  <c r="AP37" i="20"/>
  <c r="AP42" i="20"/>
  <c r="AP47" i="20"/>
  <c r="AQ37" i="20"/>
  <c r="AQ42" i="20"/>
  <c r="AQ47" i="20"/>
  <c r="AK30" i="20"/>
  <c r="AK14" i="20"/>
  <c r="AK47" i="20"/>
  <c r="AK46" i="20"/>
  <c r="AL40" i="20"/>
  <c r="AM40" i="20" s="1"/>
  <c r="AL42" i="20"/>
  <c r="AM42" i="20" s="1"/>
  <c r="AK44" i="20"/>
  <c r="AL44" i="20" s="1"/>
  <c r="AK38" i="20"/>
  <c r="AW47" i="20"/>
  <c r="AW46" i="20"/>
  <c r="AW15" i="20"/>
  <c r="W45" i="20"/>
  <c r="AC14" i="20"/>
  <c r="AC31" i="20"/>
  <c r="AC30" i="20"/>
  <c r="W29" i="20"/>
  <c r="W13" i="20"/>
  <c r="L20" i="33" s="1"/>
  <c r="W41" i="20"/>
  <c r="W26" i="20"/>
  <c r="W5" i="20"/>
  <c r="X5" i="20" s="1"/>
  <c r="W11" i="20"/>
  <c r="W7" i="20"/>
  <c r="W39" i="20"/>
  <c r="W40" i="20"/>
  <c r="W38" i="20"/>
  <c r="W42" i="20"/>
  <c r="W43" i="20"/>
  <c r="W44" i="20"/>
  <c r="W21" i="20"/>
  <c r="W12" i="20"/>
  <c r="W10" i="20"/>
  <c r="W9" i="20"/>
  <c r="W28" i="20"/>
  <c r="W8" i="20"/>
  <c r="W27" i="20"/>
  <c r="W6" i="20"/>
  <c r="W25" i="20"/>
  <c r="W24" i="20"/>
  <c r="W37" i="20"/>
  <c r="W23" i="20"/>
  <c r="W22" i="20"/>
  <c r="AC15" i="20"/>
  <c r="X31" i="20"/>
  <c r="X30" i="20"/>
  <c r="AD31" i="20"/>
  <c r="AE31" i="20"/>
  <c r="AE30" i="20"/>
  <c r="AD30" i="20"/>
  <c r="AF31" i="20"/>
  <c r="AF30" i="20"/>
  <c r="X15" i="20"/>
  <c r="Y15" i="20" s="1"/>
  <c r="Z15" i="20" s="1"/>
  <c r="X14" i="20"/>
  <c r="Y14" i="20" s="1"/>
  <c r="X46" i="20"/>
  <c r="AC46" i="20"/>
  <c r="AD46" i="20"/>
  <c r="AE46" i="20"/>
  <c r="X47" i="20"/>
  <c r="AC47" i="20"/>
  <c r="AD47" i="20"/>
  <c r="AE47" i="20"/>
  <c r="AD15" i="20"/>
  <c r="AD14" i="20"/>
  <c r="AE14" i="20"/>
  <c r="AF15" i="20"/>
  <c r="AF14" i="20"/>
  <c r="N43" i="20"/>
  <c r="O43" i="20" s="1"/>
  <c r="N31" i="20"/>
  <c r="O31" i="20" s="1"/>
  <c r="N30" i="20"/>
  <c r="N29" i="20"/>
  <c r="N28" i="20"/>
  <c r="N27" i="20"/>
  <c r="N26" i="20"/>
  <c r="N25" i="20"/>
  <c r="O25" i="20" s="1"/>
  <c r="N24" i="20"/>
  <c r="N23" i="20"/>
  <c r="O23" i="20" s="1"/>
  <c r="N22" i="20"/>
  <c r="M6" i="20"/>
  <c r="N6" i="20" s="1"/>
  <c r="O6" i="20" s="1"/>
  <c r="M12" i="20"/>
  <c r="N12" i="20" s="1"/>
  <c r="O42" i="20"/>
  <c r="P42" i="20" s="1"/>
  <c r="M40" i="20"/>
  <c r="N44" i="20"/>
  <c r="O44" i="20" s="1"/>
  <c r="P44" i="20" s="1"/>
  <c r="N46" i="20"/>
  <c r="O46" i="20" s="1"/>
  <c r="P39" i="20"/>
  <c r="N41" i="20"/>
  <c r="O41" i="20" s="1"/>
  <c r="O45" i="20"/>
  <c r="N47" i="20"/>
  <c r="O47" i="20" s="1"/>
  <c r="N38" i="20"/>
  <c r="O38" i="20" s="1"/>
  <c r="P38" i="20" s="1"/>
  <c r="N37" i="20"/>
  <c r="N21" i="20"/>
  <c r="M13" i="20"/>
  <c r="M11" i="20"/>
  <c r="N11" i="20" s="1"/>
  <c r="M10" i="20"/>
  <c r="N10" i="20" s="1"/>
  <c r="M9" i="20"/>
  <c r="N9" i="20" s="1"/>
  <c r="M8" i="20"/>
  <c r="N8" i="20" s="1"/>
  <c r="O8" i="20" s="1"/>
  <c r="M7" i="20"/>
  <c r="N7" i="20" s="1"/>
  <c r="O7" i="20" s="1"/>
  <c r="N14" i="20"/>
  <c r="M15" i="20"/>
  <c r="M5" i="20"/>
  <c r="A100" i="16"/>
  <c r="A101" i="16" s="1"/>
  <c r="A59" i="16"/>
  <c r="D37" i="6"/>
  <c r="H42" i="29" s="1"/>
  <c r="F17" i="14"/>
  <c r="P43" i="29" s="1"/>
  <c r="Q17" i="17"/>
  <c r="Q17" i="14"/>
  <c r="L37" i="12"/>
  <c r="D37" i="13"/>
  <c r="N42" i="29" s="1"/>
  <c r="H17" i="14"/>
  <c r="P44" i="29" s="1"/>
  <c r="J17" i="14"/>
  <c r="P45" i="29" s="1"/>
  <c r="F17" i="17"/>
  <c r="D43" i="29" s="1"/>
  <c r="D37" i="3"/>
  <c r="F42" i="29" s="1"/>
  <c r="F37" i="6"/>
  <c r="H43" i="29" s="1"/>
  <c r="J37" i="9"/>
  <c r="J45" i="29" s="1"/>
  <c r="H37" i="9"/>
  <c r="J44" i="29" s="1"/>
  <c r="Q37" i="9"/>
  <c r="D37" i="12"/>
  <c r="L42" i="29" s="1"/>
  <c r="J37" i="12"/>
  <c r="L45" i="29" s="1"/>
  <c r="S37" i="12"/>
  <c r="J17" i="17"/>
  <c r="D45" i="29" s="1"/>
  <c r="F37" i="3"/>
  <c r="F43" i="29" s="1"/>
  <c r="D17" i="17"/>
  <c r="D42" i="29" s="1"/>
  <c r="J37" i="3"/>
  <c r="F45" i="29" s="1"/>
  <c r="H37" i="3"/>
  <c r="F44" i="29" s="1"/>
  <c r="Q37" i="3"/>
  <c r="J37" i="6"/>
  <c r="H45" i="29" s="1"/>
  <c r="H37" i="6"/>
  <c r="H44" i="29" s="1"/>
  <c r="Q37" i="6"/>
  <c r="V89" i="8"/>
  <c r="D37" i="9"/>
  <c r="J42" i="29" s="1"/>
  <c r="F37" i="9"/>
  <c r="J43" i="29" s="1"/>
  <c r="H37" i="12"/>
  <c r="L44" i="29" s="1"/>
  <c r="F37" i="12"/>
  <c r="L43" i="29" s="1"/>
  <c r="H37" i="13"/>
  <c r="N44" i="29" s="1"/>
  <c r="F37" i="13"/>
  <c r="N43" i="29" s="1"/>
  <c r="J37" i="13"/>
  <c r="N45" i="29" s="1"/>
  <c r="Q37" i="13"/>
  <c r="D17" i="14"/>
  <c r="P42" i="29" s="1"/>
  <c r="H17" i="17"/>
  <c r="D44" i="29" s="1"/>
  <c r="A53" i="16"/>
  <c r="BN62" i="20" l="1"/>
  <c r="P51" i="33" s="1"/>
  <c r="N11" i="33"/>
  <c r="H14" i="33"/>
  <c r="AK50" i="20"/>
  <c r="H30" i="33"/>
  <c r="L11" i="33"/>
  <c r="BH62" i="20"/>
  <c r="BI62" i="20" s="1"/>
  <c r="BM62" i="20"/>
  <c r="N51" i="33" s="1"/>
  <c r="BO62" i="20"/>
  <c r="R51" i="33" s="1"/>
  <c r="J29" i="33"/>
  <c r="J11" i="33"/>
  <c r="L29" i="33"/>
  <c r="N29" i="33"/>
  <c r="P29" i="33"/>
  <c r="P11" i="33"/>
  <c r="V58" i="24"/>
  <c r="Q31" i="29" s="1"/>
  <c r="Z46" i="29"/>
  <c r="D56" i="29" s="1"/>
  <c r="AB46" i="29"/>
  <c r="J12" i="19" s="1"/>
  <c r="V41" i="29"/>
  <c r="V44" i="29"/>
  <c r="V42" i="29"/>
  <c r="V43" i="29"/>
  <c r="Z45" i="29"/>
  <c r="J9" i="19"/>
  <c r="Q19" i="14"/>
  <c r="AX28" i="20"/>
  <c r="AY28" i="20" s="1"/>
  <c r="AZ28" i="20" s="1"/>
  <c r="A29" i="16"/>
  <c r="V91" i="11"/>
  <c r="V91" i="10"/>
  <c r="V92" i="10" s="1"/>
  <c r="U91" i="7"/>
  <c r="U92" i="7" s="1"/>
  <c r="U90" i="8"/>
  <c r="U91" i="8" s="1"/>
  <c r="U91" i="4"/>
  <c r="U92" i="4" s="1"/>
  <c r="U90" i="2"/>
  <c r="U91" i="2" s="1"/>
  <c r="U91" i="1"/>
  <c r="U92" i="1" s="1"/>
  <c r="V90" i="8"/>
  <c r="V91" i="8" s="1"/>
  <c r="V92" i="8" s="1"/>
  <c r="A60" i="16"/>
  <c r="A61" i="16" s="1"/>
  <c r="AV32" i="20"/>
  <c r="BO60" i="20"/>
  <c r="R49" i="33" s="1"/>
  <c r="BN55" i="20"/>
  <c r="P44" i="33" s="1"/>
  <c r="BO57" i="20"/>
  <c r="R46" i="33" s="1"/>
  <c r="AX21" i="20"/>
  <c r="AY21" i="20" s="1"/>
  <c r="AZ21" i="20" s="1"/>
  <c r="AX26" i="20"/>
  <c r="AY26" i="20" s="1"/>
  <c r="AZ26" i="20" s="1"/>
  <c r="AY29" i="20"/>
  <c r="AZ29" i="20" s="1"/>
  <c r="AV16" i="20"/>
  <c r="AY22" i="20"/>
  <c r="AZ22" i="20" s="1"/>
  <c r="BO55" i="20"/>
  <c r="R44" i="33" s="1"/>
  <c r="AX24" i="20"/>
  <c r="AY24" i="20" s="1"/>
  <c r="BM56" i="20"/>
  <c r="N45" i="33" s="1"/>
  <c r="BM60" i="20"/>
  <c r="N49" i="33" s="1"/>
  <c r="AX27" i="20"/>
  <c r="AY27" i="20" s="1"/>
  <c r="BM57" i="20"/>
  <c r="N46" i="33" s="1"/>
  <c r="AX23" i="20"/>
  <c r="AZ31" i="20"/>
  <c r="AY30" i="20"/>
  <c r="AZ30" i="20" s="1"/>
  <c r="BI13" i="20"/>
  <c r="BJ13" i="20" s="1"/>
  <c r="BH61" i="20"/>
  <c r="BI61" i="20" s="1"/>
  <c r="BO56" i="20"/>
  <c r="R45" i="33" s="1"/>
  <c r="BM59" i="20"/>
  <c r="N48" i="33" s="1"/>
  <c r="BO61" i="20"/>
  <c r="R50" i="33" s="1"/>
  <c r="BP55" i="20"/>
  <c r="T44" i="33" s="1"/>
  <c r="BM54" i="20"/>
  <c r="N43" i="33" s="1"/>
  <c r="BM61" i="20"/>
  <c r="N50" i="33" s="1"/>
  <c r="BO59" i="20"/>
  <c r="R48" i="33" s="1"/>
  <c r="BN60" i="20"/>
  <c r="P49" i="33" s="1"/>
  <c r="BN61" i="20"/>
  <c r="P50" i="33" s="1"/>
  <c r="BP54" i="20"/>
  <c r="T43" i="33" s="1"/>
  <c r="BM55" i="20"/>
  <c r="N44" i="33" s="1"/>
  <c r="BI5" i="20"/>
  <c r="BJ5" i="20" s="1"/>
  <c r="BH53" i="20"/>
  <c r="BI53" i="20" s="1"/>
  <c r="BM58" i="20"/>
  <c r="N47" i="33" s="1"/>
  <c r="BN59" i="20"/>
  <c r="P48" i="33" s="1"/>
  <c r="BP60" i="20"/>
  <c r="T49" i="33" s="1"/>
  <c r="BI7" i="20"/>
  <c r="BJ7" i="20" s="1"/>
  <c r="BH55" i="20"/>
  <c r="BI55" i="20" s="1"/>
  <c r="BP56" i="20"/>
  <c r="T45" i="33" s="1"/>
  <c r="BP53" i="20"/>
  <c r="T42" i="33" s="1"/>
  <c r="BI8" i="20"/>
  <c r="BJ8" i="20" s="1"/>
  <c r="BH56" i="20"/>
  <c r="BI56" i="20" s="1"/>
  <c r="BN54" i="20"/>
  <c r="P43" i="33" s="1"/>
  <c r="BP58" i="20"/>
  <c r="T47" i="33" s="1"/>
  <c r="BH57" i="20"/>
  <c r="BI57" i="20" s="1"/>
  <c r="BO54" i="20"/>
  <c r="R43" i="33" s="1"/>
  <c r="BH58" i="20"/>
  <c r="BI58" i="20" s="1"/>
  <c r="BN56" i="20"/>
  <c r="P45" i="33" s="1"/>
  <c r="BN53" i="20"/>
  <c r="P42" i="33" s="1"/>
  <c r="BN58" i="20"/>
  <c r="P47" i="33" s="1"/>
  <c r="BM53" i="20"/>
  <c r="N42" i="33" s="1"/>
  <c r="BH59" i="20"/>
  <c r="BI59" i="20" s="1"/>
  <c r="BO53" i="20"/>
  <c r="R42" i="33" s="1"/>
  <c r="BN57" i="20"/>
  <c r="P46" i="33" s="1"/>
  <c r="BI6" i="20"/>
  <c r="BJ6" i="20" s="1"/>
  <c r="BH54" i="20"/>
  <c r="BI54" i="20" s="1"/>
  <c r="BH60" i="20"/>
  <c r="BI60" i="20" s="1"/>
  <c r="BO58" i="20"/>
  <c r="R47" i="33" s="1"/>
  <c r="BI63" i="20"/>
  <c r="BJ63" i="20" s="1"/>
  <c r="BK63" i="20" s="1"/>
  <c r="BI47" i="20"/>
  <c r="BJ47" i="20" s="1"/>
  <c r="BI10" i="20"/>
  <c r="BJ10" i="20" s="1"/>
  <c r="BI12" i="20"/>
  <c r="BJ12" i="20" s="1"/>
  <c r="BI9" i="20"/>
  <c r="BJ9" i="20" s="1"/>
  <c r="BI11" i="20"/>
  <c r="BJ11" i="20" s="1"/>
  <c r="BI14" i="20"/>
  <c r="BJ14" i="20" s="1"/>
  <c r="AM16" i="20"/>
  <c r="AN16" i="20" s="1"/>
  <c r="BH16" i="20"/>
  <c r="BI16" i="20" s="1"/>
  <c r="BJ16" i="20" s="1"/>
  <c r="BM32" i="20"/>
  <c r="BH32" i="20"/>
  <c r="BI32" i="20" s="1"/>
  <c r="BJ32" i="20" s="1"/>
  <c r="BI25" i="20"/>
  <c r="BJ25" i="20" s="1"/>
  <c r="BK25" i="20" s="1"/>
  <c r="BL25" i="20" s="1"/>
  <c r="BO48" i="20"/>
  <c r="O48" i="20"/>
  <c r="P48" i="20" s="1"/>
  <c r="BH48" i="20"/>
  <c r="BI48" i="20" s="1"/>
  <c r="BN16" i="20"/>
  <c r="BN32" i="20"/>
  <c r="BM48" i="20"/>
  <c r="AL50" i="20"/>
  <c r="AM50" i="20" s="1"/>
  <c r="AN50" i="20" s="1"/>
  <c r="BM16" i="20"/>
  <c r="BP16" i="20"/>
  <c r="BP32" i="20"/>
  <c r="BI37" i="20"/>
  <c r="BJ37" i="20" s="1"/>
  <c r="BP48" i="20"/>
  <c r="BO16" i="20"/>
  <c r="BO32" i="20"/>
  <c r="BN48" i="20"/>
  <c r="BK43" i="20"/>
  <c r="BL43" i="20" s="1"/>
  <c r="BJ39" i="20"/>
  <c r="BK39" i="20" s="1"/>
  <c r="BJ45" i="20"/>
  <c r="BK45" i="20" s="1"/>
  <c r="BK40" i="20"/>
  <c r="BL40" i="20" s="1"/>
  <c r="BJ46" i="20"/>
  <c r="BK46" i="20" s="1"/>
  <c r="BJ41" i="20"/>
  <c r="BK41" i="20" s="1"/>
  <c r="BJ42" i="20"/>
  <c r="BK42" i="20" s="1"/>
  <c r="BJ38" i="20"/>
  <c r="BK38" i="20" s="1"/>
  <c r="BJ44" i="20"/>
  <c r="BK44" i="20" s="1"/>
  <c r="BL31" i="20"/>
  <c r="BJ27" i="20"/>
  <c r="BJ22" i="20"/>
  <c r="BK22" i="20" s="1"/>
  <c r="BJ23" i="20"/>
  <c r="BJ29" i="20"/>
  <c r="BL26" i="20"/>
  <c r="BJ24" i="20"/>
  <c r="BK24" i="20" s="1"/>
  <c r="BJ28" i="20"/>
  <c r="BK28" i="20" s="1"/>
  <c r="BJ30" i="20"/>
  <c r="BK30" i="20" s="1"/>
  <c r="BJ21" i="20"/>
  <c r="BK21" i="20" s="1"/>
  <c r="BL21" i="20" s="1"/>
  <c r="BK15" i="20"/>
  <c r="BL15" i="20" s="1"/>
  <c r="A111" i="16"/>
  <c r="B31" i="33" s="1"/>
  <c r="AA15" i="20"/>
  <c r="AB15" i="20" s="1"/>
  <c r="AW45" i="20"/>
  <c r="AX45" i="20" s="1"/>
  <c r="AY45" i="20" s="1"/>
  <c r="AV48" i="20"/>
  <c r="O16" i="20"/>
  <c r="P16" i="20" s="1"/>
  <c r="O32" i="20"/>
  <c r="P32" i="20" s="1"/>
  <c r="AW13" i="20"/>
  <c r="AX13" i="20" s="1"/>
  <c r="AY13" i="20" s="1"/>
  <c r="AZ13" i="20" s="1"/>
  <c r="L50" i="20"/>
  <c r="AL46" i="20"/>
  <c r="AM46" i="20" s="1"/>
  <c r="AN46" i="20" s="1"/>
  <c r="AL38" i="20"/>
  <c r="AM38" i="20" s="1"/>
  <c r="AN38" i="20" s="1"/>
  <c r="AM44" i="20"/>
  <c r="AN44" i="20" s="1"/>
  <c r="AK45" i="20"/>
  <c r="AK31" i="20"/>
  <c r="AL31" i="20" s="1"/>
  <c r="AK29" i="20"/>
  <c r="AK43" i="20"/>
  <c r="AK27" i="20"/>
  <c r="AL27" i="20" s="1"/>
  <c r="AM27" i="20" s="1"/>
  <c r="AK41" i="20"/>
  <c r="AL41" i="20" s="1"/>
  <c r="AN42" i="20"/>
  <c r="AL47" i="20"/>
  <c r="AM47" i="20" s="1"/>
  <c r="AK25" i="20"/>
  <c r="AL25" i="20" s="1"/>
  <c r="AK39" i="20"/>
  <c r="AN40" i="20"/>
  <c r="AK5" i="20"/>
  <c r="AK23" i="20"/>
  <c r="AL23" i="20" s="1"/>
  <c r="AM23" i="20" s="1"/>
  <c r="AK37" i="20"/>
  <c r="AK21" i="20"/>
  <c r="AL21" i="20" s="1"/>
  <c r="AM21" i="20" s="1"/>
  <c r="AK28" i="20"/>
  <c r="AL28" i="20" s="1"/>
  <c r="AK12" i="20"/>
  <c r="AL12" i="20" s="1"/>
  <c r="AK26" i="20"/>
  <c r="AK10" i="20"/>
  <c r="AL10" i="20" s="1"/>
  <c r="AK24" i="20"/>
  <c r="AK8" i="20"/>
  <c r="AL8" i="20" s="1"/>
  <c r="AM8" i="20" s="1"/>
  <c r="AK22" i="20"/>
  <c r="AK6" i="20"/>
  <c r="AL6" i="20" s="1"/>
  <c r="AM6" i="20" s="1"/>
  <c r="AN6" i="20" s="1"/>
  <c r="AK15" i="20"/>
  <c r="AL14" i="20"/>
  <c r="AM14" i="20" s="1"/>
  <c r="AN14" i="20" s="1"/>
  <c r="AK13" i="20"/>
  <c r="AK11" i="20"/>
  <c r="AL11" i="20" s="1"/>
  <c r="AL30" i="20"/>
  <c r="AK9" i="20"/>
  <c r="AK7" i="20"/>
  <c r="AF39" i="20"/>
  <c r="AC7" i="20"/>
  <c r="AF37" i="20"/>
  <c r="AF26" i="20"/>
  <c r="AF29" i="20"/>
  <c r="AF40" i="20"/>
  <c r="AF24" i="20"/>
  <c r="AF41" i="20"/>
  <c r="AF25" i="20"/>
  <c r="X6" i="20"/>
  <c r="Y6" i="20" s="1"/>
  <c r="AF27" i="20"/>
  <c r="X8" i="20"/>
  <c r="Y8" i="20" s="1"/>
  <c r="AF28" i="20"/>
  <c r="AF9" i="20"/>
  <c r="AF22" i="20"/>
  <c r="AF10" i="20"/>
  <c r="AF23" i="20"/>
  <c r="AE21" i="20"/>
  <c r="AF45" i="20"/>
  <c r="AF43" i="20"/>
  <c r="AF44" i="20"/>
  <c r="AF42" i="20"/>
  <c r="AC13" i="20"/>
  <c r="AC11" i="20"/>
  <c r="Y5" i="20"/>
  <c r="Z5" i="20" s="1"/>
  <c r="AA5" i="20" s="1"/>
  <c r="AF38" i="20"/>
  <c r="AX12" i="20"/>
  <c r="AY12" i="20" s="1"/>
  <c r="AZ12" i="20" s="1"/>
  <c r="AE45" i="20"/>
  <c r="X45" i="20"/>
  <c r="AC45" i="20"/>
  <c r="AD45" i="20"/>
  <c r="AW14" i="20"/>
  <c r="AX14" i="20" s="1"/>
  <c r="AY14" i="20" s="1"/>
  <c r="AY6" i="20"/>
  <c r="AZ6" i="20" s="1"/>
  <c r="AX46" i="20"/>
  <c r="AY46" i="20" s="1"/>
  <c r="X29" i="20"/>
  <c r="AX38" i="20"/>
  <c r="AY38" i="20" s="1"/>
  <c r="AZ38" i="20" s="1"/>
  <c r="AX40" i="20"/>
  <c r="AY40" i="20" s="1"/>
  <c r="AZ40" i="20" s="1"/>
  <c r="AX44" i="20"/>
  <c r="AY44" i="20" s="1"/>
  <c r="AZ44" i="20" s="1"/>
  <c r="AZ42" i="20"/>
  <c r="AY11" i="20"/>
  <c r="AZ11" i="20" s="1"/>
  <c r="AY9" i="20"/>
  <c r="AZ9" i="20" s="1"/>
  <c r="AX7" i="20"/>
  <c r="AZ39" i="20"/>
  <c r="AX43" i="20"/>
  <c r="AX41" i="20"/>
  <c r="AY41" i="20" s="1"/>
  <c r="AX47" i="20"/>
  <c r="AY47" i="20" s="1"/>
  <c r="AY37" i="20"/>
  <c r="AZ37" i="20" s="1"/>
  <c r="AX15" i="20"/>
  <c r="AY15" i="20" s="1"/>
  <c r="AZ15" i="20" s="1"/>
  <c r="AX5" i="20"/>
  <c r="AC29" i="20"/>
  <c r="AD29" i="20"/>
  <c r="AE29" i="20"/>
  <c r="AD13" i="20"/>
  <c r="AE13" i="20"/>
  <c r="AC40" i="20"/>
  <c r="AF13" i="20"/>
  <c r="X13" i="20"/>
  <c r="AC38" i="20"/>
  <c r="AD38" i="20"/>
  <c r="X42" i="20"/>
  <c r="Y42" i="20" s="1"/>
  <c r="X40" i="20"/>
  <c r="Y40" i="20" s="1"/>
  <c r="Z40" i="20" s="1"/>
  <c r="AE38" i="20"/>
  <c r="AC26" i="20"/>
  <c r="X12" i="20"/>
  <c r="Y12" i="20" s="1"/>
  <c r="X38" i="20"/>
  <c r="Y38" i="20" s="1"/>
  <c r="X11" i="20"/>
  <c r="Y11" i="20" s="1"/>
  <c r="Z11" i="20" s="1"/>
  <c r="AA11" i="20" s="1"/>
  <c r="X44" i="20"/>
  <c r="Y44" i="20" s="1"/>
  <c r="AC28" i="20"/>
  <c r="AC41" i="20"/>
  <c r="AE41" i="20"/>
  <c r="AC42" i="20"/>
  <c r="AD10" i="20"/>
  <c r="X10" i="20"/>
  <c r="Y10" i="20" s="1"/>
  <c r="Z10" i="20" s="1"/>
  <c r="AA10" i="20" s="1"/>
  <c r="AB10" i="20" s="1"/>
  <c r="X41" i="20"/>
  <c r="Y41" i="20" s="1"/>
  <c r="AC21" i="20"/>
  <c r="X21" i="20"/>
  <c r="Y21" i="20" s="1"/>
  <c r="Z21" i="20" s="1"/>
  <c r="AE42" i="20"/>
  <c r="AD41" i="20"/>
  <c r="AE10" i="20"/>
  <c r="AE40" i="20"/>
  <c r="AC27" i="20"/>
  <c r="AD42" i="20"/>
  <c r="X39" i="20"/>
  <c r="Y39" i="20" s="1"/>
  <c r="AD40" i="20"/>
  <c r="AE26" i="20"/>
  <c r="X7" i="20"/>
  <c r="Y7" i="20" s="1"/>
  <c r="AD26" i="20"/>
  <c r="X26" i="20"/>
  <c r="Y26" i="20" s="1"/>
  <c r="Z26" i="20" s="1"/>
  <c r="AC5" i="20"/>
  <c r="AE6" i="20"/>
  <c r="AC12" i="20"/>
  <c r="AF21" i="20"/>
  <c r="P45" i="20"/>
  <c r="N13" i="20"/>
  <c r="O13" i="20" s="1"/>
  <c r="X24" i="20"/>
  <c r="Y24" i="20" s="1"/>
  <c r="Z24" i="20" s="1"/>
  <c r="AC8" i="20"/>
  <c r="AE39" i="20"/>
  <c r="X27" i="20"/>
  <c r="Y27" i="20" s="1"/>
  <c r="AD6" i="20"/>
  <c r="AD39" i="20"/>
  <c r="X28" i="20"/>
  <c r="Y28" i="20" s="1"/>
  <c r="AD9" i="20"/>
  <c r="AE27" i="20"/>
  <c r="AC39" i="20"/>
  <c r="AD23" i="20"/>
  <c r="AE23" i="20"/>
  <c r="AC6" i="20"/>
  <c r="X37" i="20"/>
  <c r="Y37" i="20" s="1"/>
  <c r="Z37" i="20" s="1"/>
  <c r="AC23" i="20"/>
  <c r="AD24" i="20"/>
  <c r="AE24" i="20"/>
  <c r="AD25" i="20"/>
  <c r="AE25" i="20"/>
  <c r="AE43" i="20"/>
  <c r="AC24" i="20"/>
  <c r="AD27" i="20"/>
  <c r="AE28" i="20"/>
  <c r="AD43" i="20"/>
  <c r="X25" i="20"/>
  <c r="Y25" i="20" s="1"/>
  <c r="AD37" i="20"/>
  <c r="AD28" i="20"/>
  <c r="AE37" i="20"/>
  <c r="AE44" i="20"/>
  <c r="AD22" i="20"/>
  <c r="AC22" i="20"/>
  <c r="AD44" i="20"/>
  <c r="X22" i="20"/>
  <c r="Y22" i="20" s="1"/>
  <c r="X23" i="20"/>
  <c r="Y23" i="20" s="1"/>
  <c r="AE9" i="20"/>
  <c r="AE22" i="20"/>
  <c r="AC44" i="20"/>
  <c r="AC9" i="20"/>
  <c r="AC43" i="20"/>
  <c r="AC25" i="20"/>
  <c r="AC10" i="20"/>
  <c r="AC37" i="20"/>
  <c r="X43" i="20"/>
  <c r="Y43" i="20" s="1"/>
  <c r="Z43" i="20" s="1"/>
  <c r="AF6" i="20"/>
  <c r="X9" i="20"/>
  <c r="Y9" i="20" s="1"/>
  <c r="Z9" i="20" s="1"/>
  <c r="AD21" i="20"/>
  <c r="Y47" i="20"/>
  <c r="Y46" i="20"/>
  <c r="Y31" i="20"/>
  <c r="Y30" i="20"/>
  <c r="Z14" i="20"/>
  <c r="AA14" i="20" s="1"/>
  <c r="AB14" i="20" s="1"/>
  <c r="AE5" i="20"/>
  <c r="AF5" i="20"/>
  <c r="AD5" i="20"/>
  <c r="AF8" i="20"/>
  <c r="AD8" i="20"/>
  <c r="AE8" i="20"/>
  <c r="AF12" i="20"/>
  <c r="AD12" i="20"/>
  <c r="AE12" i="20"/>
  <c r="AF11" i="20"/>
  <c r="AD11" i="20"/>
  <c r="AE11" i="20"/>
  <c r="AF7" i="20"/>
  <c r="AD7" i="20"/>
  <c r="AE7" i="20"/>
  <c r="O22" i="20"/>
  <c r="P22" i="20" s="1"/>
  <c r="P23" i="20"/>
  <c r="O24" i="20"/>
  <c r="P24" i="20" s="1"/>
  <c r="O26" i="20"/>
  <c r="P26" i="20" s="1"/>
  <c r="P25" i="20"/>
  <c r="O27" i="20"/>
  <c r="P27" i="20" s="1"/>
  <c r="O28" i="20"/>
  <c r="P28" i="20" s="1"/>
  <c r="O29" i="20"/>
  <c r="P29" i="20" s="1"/>
  <c r="O30" i="20"/>
  <c r="P30" i="20" s="1"/>
  <c r="P43" i="20"/>
  <c r="P46" i="20"/>
  <c r="P31" i="20"/>
  <c r="P41" i="20"/>
  <c r="P47" i="20"/>
  <c r="N40" i="20"/>
  <c r="O40" i="20" s="1"/>
  <c r="P40" i="20" s="1"/>
  <c r="O37" i="20"/>
  <c r="P37" i="20" s="1"/>
  <c r="O21" i="20"/>
  <c r="P21" i="20" s="1"/>
  <c r="P6" i="20"/>
  <c r="P7" i="20"/>
  <c r="P8" i="20"/>
  <c r="O11" i="20"/>
  <c r="P11" i="20" s="1"/>
  <c r="O10" i="20"/>
  <c r="P10" i="20" s="1"/>
  <c r="O9" i="20"/>
  <c r="P9" i="20" s="1"/>
  <c r="O12" i="20"/>
  <c r="P12" i="20" s="1"/>
  <c r="N15" i="20"/>
  <c r="O14" i="20"/>
  <c r="P14" i="20" s="1"/>
  <c r="N5" i="20"/>
  <c r="O5" i="20" s="1"/>
  <c r="A102" i="16"/>
  <c r="A103" i="16" s="1"/>
  <c r="H44" i="31"/>
  <c r="H48" i="31" s="1"/>
  <c r="E48" i="31"/>
  <c r="D48" i="31"/>
  <c r="G44" i="31"/>
  <c r="G48" i="31" s="1"/>
  <c r="F48" i="31"/>
  <c r="Q39" i="9"/>
  <c r="V89" i="7"/>
  <c r="V89" i="2"/>
  <c r="Q19" i="17"/>
  <c r="V89" i="4"/>
  <c r="Q39" i="3"/>
  <c r="S39" i="12"/>
  <c r="Q39" i="6"/>
  <c r="Q39" i="13"/>
  <c r="V89" i="1"/>
  <c r="A54" i="16"/>
  <c r="A55" i="16" s="1"/>
  <c r="A43" i="16" l="1"/>
  <c r="J14" i="19" s="1"/>
  <c r="A36" i="16"/>
  <c r="H10" i="33"/>
  <c r="J10" i="19"/>
  <c r="P38" i="19" s="1"/>
  <c r="BJ60" i="20"/>
  <c r="BK60" i="20" s="1"/>
  <c r="P65" i="29"/>
  <c r="P66" i="29" s="1"/>
  <c r="M65" i="29"/>
  <c r="M66" i="29" s="1"/>
  <c r="J65" i="29"/>
  <c r="J66" i="29" s="1"/>
  <c r="D73" i="29"/>
  <c r="D74" i="29" s="1"/>
  <c r="G65" i="29"/>
  <c r="G66" i="29" s="1"/>
  <c r="D65" i="29"/>
  <c r="D66" i="29" s="1"/>
  <c r="P73" i="29"/>
  <c r="P74" i="29" s="1"/>
  <c r="M73" i="29"/>
  <c r="M74" i="29" s="1"/>
  <c r="J73" i="29"/>
  <c r="J74" i="29" s="1"/>
  <c r="G73" i="29"/>
  <c r="G74" i="29" s="1"/>
  <c r="Z43" i="29"/>
  <c r="L59" i="33"/>
  <c r="Z42" i="29"/>
  <c r="J59" i="33"/>
  <c r="Z44" i="29"/>
  <c r="N59" i="33"/>
  <c r="Z41" i="29"/>
  <c r="H59" i="33"/>
  <c r="M50" i="20"/>
  <c r="N50" i="20" s="1"/>
  <c r="O50" i="20" s="1"/>
  <c r="P50" i="20" s="1"/>
  <c r="H12" i="33"/>
  <c r="P35" i="33"/>
  <c r="P17" i="33"/>
  <c r="T53" i="33"/>
  <c r="N58" i="33" s="1"/>
  <c r="P34" i="33"/>
  <c r="P16" i="33"/>
  <c r="J36" i="33"/>
  <c r="J18" i="33"/>
  <c r="J16" i="33"/>
  <c r="J34" i="33"/>
  <c r="N35" i="33"/>
  <c r="N17" i="33"/>
  <c r="L34" i="33"/>
  <c r="L16" i="33"/>
  <c r="R53" i="33"/>
  <c r="L58" i="33" s="1"/>
  <c r="L36" i="33"/>
  <c r="L18" i="33"/>
  <c r="N53" i="33"/>
  <c r="H58" i="33" s="1"/>
  <c r="J35" i="33"/>
  <c r="J17" i="33"/>
  <c r="P53" i="33"/>
  <c r="J58" i="33" s="1"/>
  <c r="N36" i="33"/>
  <c r="N18" i="33"/>
  <c r="L35" i="33"/>
  <c r="L17" i="33"/>
  <c r="P36" i="33"/>
  <c r="P18" i="33"/>
  <c r="H35" i="33"/>
  <c r="N16" i="33"/>
  <c r="N34" i="33"/>
  <c r="H29" i="33"/>
  <c r="H9" i="33"/>
  <c r="I31" i="29"/>
  <c r="M31" i="29"/>
  <c r="V92" i="11"/>
  <c r="O31" i="29" s="1"/>
  <c r="C73" i="29"/>
  <c r="C65" i="29"/>
  <c r="Q20" i="14"/>
  <c r="Q21" i="14" s="1"/>
  <c r="Q22" i="14" s="1"/>
  <c r="T38" i="31"/>
  <c r="F47" i="31"/>
  <c r="V38" i="31"/>
  <c r="G47" i="31"/>
  <c r="N43" i="31"/>
  <c r="E47" i="31"/>
  <c r="H47" i="31"/>
  <c r="D47" i="31"/>
  <c r="U92" i="8"/>
  <c r="U92" i="2"/>
  <c r="A30" i="16"/>
  <c r="Q40" i="9"/>
  <c r="Q41" i="9" s="1"/>
  <c r="Q42" i="9" s="1"/>
  <c r="S40" i="12"/>
  <c r="S41" i="12" s="1"/>
  <c r="S42" i="12" s="1"/>
  <c r="Q40" i="3"/>
  <c r="Q41" i="3" s="1"/>
  <c r="Q42" i="3" s="1"/>
  <c r="Q40" i="13"/>
  <c r="Q41" i="13" s="1"/>
  <c r="Q42" i="13" s="1"/>
  <c r="A62" i="16"/>
  <c r="R11" i="29" s="1"/>
  <c r="V90" i="2"/>
  <c r="V91" i="2" s="1"/>
  <c r="V90" i="7"/>
  <c r="V91" i="7" s="1"/>
  <c r="V92" i="7" s="1"/>
  <c r="V90" i="4"/>
  <c r="V91" i="4" s="1"/>
  <c r="V92" i="4" s="1"/>
  <c r="Q20" i="17"/>
  <c r="Q21" i="17" s="1"/>
  <c r="Q22" i="17" s="1"/>
  <c r="V90" i="1"/>
  <c r="V91" i="1" s="1"/>
  <c r="V92" i="1" s="1"/>
  <c r="AZ24" i="20"/>
  <c r="AZ27" i="20"/>
  <c r="AY23" i="20"/>
  <c r="AZ23" i="20" s="1"/>
  <c r="BK8" i="20"/>
  <c r="BL8" i="20" s="1"/>
  <c r="BJ54" i="20"/>
  <c r="BK54" i="20" s="1"/>
  <c r="BL54" i="20" s="1"/>
  <c r="BJ53" i="20"/>
  <c r="BK53" i="20" s="1"/>
  <c r="BK13" i="20"/>
  <c r="BL13" i="20" s="1"/>
  <c r="BK5" i="20"/>
  <c r="BL5" i="20" s="1"/>
  <c r="BK6" i="20"/>
  <c r="BL6" i="20" s="1"/>
  <c r="BK7" i="20"/>
  <c r="BL7" i="20" s="1"/>
  <c r="BL63" i="20"/>
  <c r="X48" i="20"/>
  <c r="Y48" i="20" s="1"/>
  <c r="Z48" i="20" s="1"/>
  <c r="AA48" i="20" s="1"/>
  <c r="AB48" i="20" s="1"/>
  <c r="BJ57" i="20"/>
  <c r="BK57" i="20" s="1"/>
  <c r="BJ61" i="20"/>
  <c r="BK61" i="20" s="1"/>
  <c r="BL61" i="20" s="1"/>
  <c r="BK10" i="20"/>
  <c r="BL10" i="20" s="1"/>
  <c r="BK11" i="20"/>
  <c r="BL11" i="20" s="1"/>
  <c r="BJ58" i="20"/>
  <c r="BK58" i="20" s="1"/>
  <c r="BK14" i="20"/>
  <c r="BL14" i="20" s="1"/>
  <c r="BK12" i="20"/>
  <c r="BL12" i="20" s="1"/>
  <c r="BJ62" i="20"/>
  <c r="BK62" i="20" s="1"/>
  <c r="BK9" i="20"/>
  <c r="BL9" i="20" s="1"/>
  <c r="BJ59" i="20"/>
  <c r="BK59" i="20" s="1"/>
  <c r="BJ55" i="20"/>
  <c r="BK55" i="20" s="1"/>
  <c r="BJ56" i="20"/>
  <c r="BK56" i="20" s="1"/>
  <c r="BH64" i="20"/>
  <c r="BK16" i="20"/>
  <c r="BL16" i="20" s="1"/>
  <c r="BO64" i="20"/>
  <c r="BM64" i="20"/>
  <c r="BP64" i="20"/>
  <c r="BN64" i="20"/>
  <c r="Z6" i="20"/>
  <c r="AA6" i="20" s="1"/>
  <c r="AB6" i="20" s="1"/>
  <c r="Y45" i="20"/>
  <c r="Z45" i="20" s="1"/>
  <c r="AA45" i="20" s="1"/>
  <c r="BL38" i="20"/>
  <c r="BL44" i="20"/>
  <c r="BL45" i="20"/>
  <c r="BL39" i="20"/>
  <c r="BK37" i="20"/>
  <c r="BL37" i="20" s="1"/>
  <c r="BL22" i="20"/>
  <c r="BL30" i="20"/>
  <c r="BL28" i="20"/>
  <c r="BK29" i="20"/>
  <c r="BL29" i="20" s="1"/>
  <c r="BK23" i="20"/>
  <c r="BL23" i="20" s="1"/>
  <c r="BL41" i="20"/>
  <c r="BJ48" i="20"/>
  <c r="BL42" i="20"/>
  <c r="BL46" i="20"/>
  <c r="BK47" i="20"/>
  <c r="BL47" i="20" s="1"/>
  <c r="BK27" i="20"/>
  <c r="BL27" i="20" s="1"/>
  <c r="BK32" i="20"/>
  <c r="BL32" i="20" s="1"/>
  <c r="BL24" i="20"/>
  <c r="Y29" i="20"/>
  <c r="Z29" i="20" s="1"/>
  <c r="AA29" i="20" s="1"/>
  <c r="X32" i="20"/>
  <c r="AW32" i="20"/>
  <c r="AX32" i="20" s="1"/>
  <c r="Y13" i="20"/>
  <c r="Z13" i="20" s="1"/>
  <c r="X16" i="20"/>
  <c r="AW16" i="20"/>
  <c r="AX16" i="20" s="1"/>
  <c r="AV50" i="20"/>
  <c r="H38" i="33" s="1"/>
  <c r="AW48" i="20"/>
  <c r="AX48" i="20" s="1"/>
  <c r="Z8" i="20"/>
  <c r="AA8" i="20" s="1"/>
  <c r="AB8" i="20" s="1"/>
  <c r="AL29" i="20"/>
  <c r="AM29" i="20" s="1"/>
  <c r="AN29" i="20" s="1"/>
  <c r="AM30" i="20"/>
  <c r="AN30" i="20" s="1"/>
  <c r="AL24" i="20"/>
  <c r="AM24" i="20" s="1"/>
  <c r="AL13" i="20"/>
  <c r="AM13" i="20" s="1"/>
  <c r="AN13" i="20" s="1"/>
  <c r="AM12" i="20"/>
  <c r="AN12" i="20" s="1"/>
  <c r="AM10" i="20"/>
  <c r="AN10" i="20" s="1"/>
  <c r="AM25" i="20"/>
  <c r="AN25" i="20" s="1"/>
  <c r="AM41" i="20"/>
  <c r="AN41" i="20" s="1"/>
  <c r="AL39" i="20"/>
  <c r="AM39" i="20" s="1"/>
  <c r="AM28" i="20"/>
  <c r="AN28" i="20" s="1"/>
  <c r="AL37" i="20"/>
  <c r="AM37" i="20" s="1"/>
  <c r="AN37" i="20" s="1"/>
  <c r="AN27" i="20"/>
  <c r="AL9" i="20"/>
  <c r="AL26" i="20"/>
  <c r="AM26" i="20" s="1"/>
  <c r="AN23" i="20"/>
  <c r="AM31" i="20"/>
  <c r="AN31" i="20" s="1"/>
  <c r="AL22" i="20"/>
  <c r="AL43" i="20"/>
  <c r="AM43" i="20" s="1"/>
  <c r="AN43" i="20" s="1"/>
  <c r="AL45" i="20"/>
  <c r="AM45" i="20" s="1"/>
  <c r="AN8" i="20"/>
  <c r="AM11" i="20"/>
  <c r="AN11" i="20" s="1"/>
  <c r="AL15" i="20"/>
  <c r="AM15" i="20" s="1"/>
  <c r="AN21" i="20"/>
  <c r="AL5" i="20"/>
  <c r="AM5" i="20" s="1"/>
  <c r="AL7" i="20"/>
  <c r="AM7" i="20" s="1"/>
  <c r="AN47" i="20"/>
  <c r="H28" i="33" s="1"/>
  <c r="AZ14" i="20"/>
  <c r="AZ46" i="20"/>
  <c r="AY43" i="20"/>
  <c r="AZ43" i="20" s="1"/>
  <c r="AZ41" i="20"/>
  <c r="AZ45" i="20"/>
  <c r="AY7" i="20"/>
  <c r="AZ7" i="20" s="1"/>
  <c r="AZ47" i="20"/>
  <c r="AY5" i="20"/>
  <c r="AZ5" i="20" s="1"/>
  <c r="AB11" i="20"/>
  <c r="P13" i="20"/>
  <c r="Z12" i="20"/>
  <c r="AA12" i="20" s="1"/>
  <c r="AB12" i="20" s="1"/>
  <c r="Z7" i="20"/>
  <c r="AA7" i="20" s="1"/>
  <c r="AA9" i="20"/>
  <c r="AB9" i="20" s="1"/>
  <c r="AA37" i="20"/>
  <c r="AB37" i="20" s="1"/>
  <c r="Z42" i="20"/>
  <c r="AA43" i="20"/>
  <c r="AB43" i="20" s="1"/>
  <c r="Z44" i="20"/>
  <c r="AA44" i="20" s="1"/>
  <c r="AB44" i="20" s="1"/>
  <c r="Z38" i="20"/>
  <c r="AA38" i="20" s="1"/>
  <c r="Z39" i="20"/>
  <c r="AA39" i="20" s="1"/>
  <c r="AA40" i="20"/>
  <c r="AB40" i="20" s="1"/>
  <c r="Z46" i="20"/>
  <c r="AA46" i="20" s="1"/>
  <c r="Z41" i="20"/>
  <c r="AA41" i="20" s="1"/>
  <c r="Z47" i="20"/>
  <c r="AA47" i="20" s="1"/>
  <c r="AA21" i="20"/>
  <c r="AB21" i="20" s="1"/>
  <c r="Z27" i="20"/>
  <c r="Z23" i="20"/>
  <c r="AA23" i="20" s="1"/>
  <c r="AA26" i="20"/>
  <c r="AB26" i="20" s="1"/>
  <c r="AA24" i="20"/>
  <c r="AB24" i="20" s="1"/>
  <c r="Z28" i="20"/>
  <c r="AA28" i="20" s="1"/>
  <c r="Z30" i="20"/>
  <c r="AA30" i="20" s="1"/>
  <c r="Z25" i="20"/>
  <c r="AA25" i="20" s="1"/>
  <c r="Z31" i="20"/>
  <c r="AA31" i="20" s="1"/>
  <c r="AB31" i="20" s="1"/>
  <c r="Z22" i="20"/>
  <c r="AA22" i="20" s="1"/>
  <c r="AB5" i="20"/>
  <c r="O15" i="20"/>
  <c r="P15" i="20" s="1"/>
  <c r="P5" i="20"/>
  <c r="C48" i="31"/>
  <c r="Q40" i="6"/>
  <c r="Q41" i="6" s="1"/>
  <c r="Q42" i="6" s="1"/>
  <c r="A104" i="16"/>
  <c r="H36" i="33" l="1"/>
  <c r="H34" i="33"/>
  <c r="BL60" i="20"/>
  <c r="L49" i="33" s="1"/>
  <c r="L43" i="33"/>
  <c r="AB47" i="29"/>
  <c r="AB48" i="29" s="1"/>
  <c r="H8" i="33"/>
  <c r="L60" i="33"/>
  <c r="N60" i="33"/>
  <c r="J60" i="33"/>
  <c r="H60" i="33"/>
  <c r="N19" i="33"/>
  <c r="BI64" i="20"/>
  <c r="BJ64" i="20" s="1"/>
  <c r="L54" i="33"/>
  <c r="J16" i="19" s="1"/>
  <c r="J38" i="19" s="1"/>
  <c r="N37" i="33"/>
  <c r="J37" i="33"/>
  <c r="H11" i="33"/>
  <c r="L37" i="33"/>
  <c r="L19" i="33"/>
  <c r="J19" i="33"/>
  <c r="P19" i="33"/>
  <c r="P37" i="33"/>
  <c r="L50" i="33"/>
  <c r="H16" i="33"/>
  <c r="H27" i="33"/>
  <c r="G31" i="29"/>
  <c r="K31" i="29"/>
  <c r="C31" i="29"/>
  <c r="A72" i="16"/>
  <c r="F46" i="29"/>
  <c r="H46" i="29"/>
  <c r="N46" i="29"/>
  <c r="L46" i="29"/>
  <c r="P46" i="29"/>
  <c r="J46" i="29"/>
  <c r="D46" i="29"/>
  <c r="C47" i="31"/>
  <c r="P11" i="29"/>
  <c r="A79" i="16"/>
  <c r="A86" i="16" s="1"/>
  <c r="A44" i="16"/>
  <c r="A37" i="16"/>
  <c r="A31" i="16"/>
  <c r="V92" i="2"/>
  <c r="BL53" i="20"/>
  <c r="L42" i="33" s="1"/>
  <c r="BL62" i="20"/>
  <c r="L51" i="33" s="1"/>
  <c r="BL57" i="20"/>
  <c r="L46" i="33" s="1"/>
  <c r="BL56" i="20"/>
  <c r="L45" i="33" s="1"/>
  <c r="BL58" i="20"/>
  <c r="L47" i="33" s="1"/>
  <c r="BL59" i="20"/>
  <c r="L48" i="33" s="1"/>
  <c r="BL55" i="20"/>
  <c r="L44" i="33" s="1"/>
  <c r="AY32" i="20"/>
  <c r="AZ32" i="20" s="1"/>
  <c r="AY16" i="20"/>
  <c r="AZ16" i="20" s="1"/>
  <c r="AA13" i="20"/>
  <c r="AB13" i="20" s="1"/>
  <c r="BK48" i="20"/>
  <c r="BL48" i="20" s="1"/>
  <c r="AY48" i="20"/>
  <c r="AZ48" i="20" s="1"/>
  <c r="AW50" i="20"/>
  <c r="Y16" i="20"/>
  <c r="Z16" i="20" s="1"/>
  <c r="X50" i="20"/>
  <c r="H20" i="33" s="1"/>
  <c r="Y32" i="20"/>
  <c r="Z32" i="20" s="1"/>
  <c r="AN39" i="20"/>
  <c r="AN45" i="20"/>
  <c r="AN26" i="20"/>
  <c r="AN24" i="20"/>
  <c r="AN15" i="20"/>
  <c r="H26" i="33" s="1"/>
  <c r="AM9" i="20"/>
  <c r="AN9" i="20" s="1"/>
  <c r="AN7" i="20"/>
  <c r="AN5" i="20"/>
  <c r="AM22" i="20"/>
  <c r="AN22" i="20" s="1"/>
  <c r="AB7" i="20"/>
  <c r="AB41" i="20"/>
  <c r="AB22" i="20"/>
  <c r="AB25" i="20"/>
  <c r="AB30" i="20"/>
  <c r="AB28" i="20"/>
  <c r="AB39" i="20"/>
  <c r="AB38" i="20"/>
  <c r="AA42" i="20"/>
  <c r="AB42" i="20" s="1"/>
  <c r="AB47" i="20"/>
  <c r="AB45" i="20"/>
  <c r="H18" i="33" s="1"/>
  <c r="AB46" i="20"/>
  <c r="AB23" i="20"/>
  <c r="AA27" i="20"/>
  <c r="AB27" i="20" s="1"/>
  <c r="AB29" i="20"/>
  <c r="L38" i="19" l="1"/>
  <c r="O38" i="19"/>
  <c r="A87" i="16"/>
  <c r="A88" i="16" s="1"/>
  <c r="A93" i="16"/>
  <c r="H17" i="33"/>
  <c r="A73" i="16"/>
  <c r="A74" i="16" s="1"/>
  <c r="A75" i="16" s="1"/>
  <c r="A76" i="16" s="1"/>
  <c r="E31" i="29"/>
  <c r="A80" i="16"/>
  <c r="A45" i="16"/>
  <c r="A46" i="16" s="1"/>
  <c r="A38" i="16"/>
  <c r="A32" i="16"/>
  <c r="BK64" i="20"/>
  <c r="BL64" i="20" s="1"/>
  <c r="AA32" i="20"/>
  <c r="AB32" i="20" s="1"/>
  <c r="AA16" i="20"/>
  <c r="AB16" i="20" s="1"/>
  <c r="Y50" i="20"/>
  <c r="AX50" i="20"/>
  <c r="Z47" i="29" l="1"/>
  <c r="A94" i="16"/>
  <c r="A95" i="16" s="1"/>
  <c r="A96" i="16" s="1"/>
  <c r="A81" i="16"/>
  <c r="A82" i="16" s="1"/>
  <c r="A83" i="16" s="1"/>
  <c r="L53" i="33"/>
  <c r="A89" i="16"/>
  <c r="A90" i="16" s="1"/>
  <c r="A47" i="16"/>
  <c r="V34" i="29" s="1"/>
  <c r="A39" i="16"/>
  <c r="A40" i="16" s="1"/>
  <c r="A33" i="16"/>
  <c r="V31" i="29" s="1"/>
  <c r="AY50" i="20"/>
  <c r="Z50" i="20"/>
  <c r="A97" i="16" l="1"/>
  <c r="B37" i="33" s="1"/>
  <c r="B33" i="33"/>
  <c r="B35" i="33"/>
  <c r="V47" i="29"/>
  <c r="AA50" i="20"/>
  <c r="AB50" i="20" s="1"/>
  <c r="AZ50" i="20"/>
  <c r="H37" i="33" s="1"/>
  <c r="H19" i="3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<sst xmlns="http://schemas.openxmlformats.org/spreadsheetml/2006/main" count="5679" uniqueCount="1157">
  <si>
    <t>Meat</t>
  </si>
  <si>
    <t>Wood</t>
  </si>
  <si>
    <t>Coal</t>
  </si>
  <si>
    <t>Iron</t>
  </si>
  <si>
    <t>Sawmill</t>
  </si>
  <si>
    <t>Coal Mine</t>
  </si>
  <si>
    <t>Shelter</t>
  </si>
  <si>
    <t>Iron Mine</t>
  </si>
  <si>
    <t>Hunter's Hut</t>
  </si>
  <si>
    <t>Infantry Camp</t>
  </si>
  <si>
    <t>Embassy</t>
  </si>
  <si>
    <t>Infirmary</t>
  </si>
  <si>
    <t>Marksman Camp</t>
  </si>
  <si>
    <t>Research Center</t>
  </si>
  <si>
    <t>Lancer Camp</t>
  </si>
  <si>
    <t>Command Center</t>
  </si>
  <si>
    <t>Resource Cost</t>
  </si>
  <si>
    <t>Building Time</t>
  </si>
  <si>
    <t>Seconds</t>
  </si>
  <si>
    <t>Minutes</t>
  </si>
  <si>
    <t>Hours</t>
  </si>
  <si>
    <t>Days</t>
  </si>
  <si>
    <t>Preqrequisite Levels</t>
  </si>
  <si>
    <t>Furnace</t>
  </si>
  <si>
    <t>Remaining</t>
  </si>
  <si>
    <t>Total</t>
  </si>
  <si>
    <t>Level For F30</t>
  </si>
  <si>
    <t>-</t>
  </si>
  <si>
    <t>Lists</t>
  </si>
  <si>
    <t>Barricade</t>
  </si>
  <si>
    <t>Cost</t>
  </si>
  <si>
    <t>Available</t>
  </si>
  <si>
    <t>Needed</t>
  </si>
  <si>
    <t>Time</t>
  </si>
  <si>
    <t>30-1</t>
  </si>
  <si>
    <t>30-2</t>
  </si>
  <si>
    <t>30-3</t>
  </si>
  <si>
    <t>30-4</t>
  </si>
  <si>
    <t>FC1</t>
  </si>
  <si>
    <t>FC1-1</t>
  </si>
  <si>
    <t>FC1-2</t>
  </si>
  <si>
    <t>FC1-3</t>
  </si>
  <si>
    <t>FC1-4</t>
  </si>
  <si>
    <t>FC2</t>
  </si>
  <si>
    <t>FC2-1</t>
  </si>
  <si>
    <t>FC2-2</t>
  </si>
  <si>
    <t>FC2-3</t>
  </si>
  <si>
    <t>FC2-4</t>
  </si>
  <si>
    <t>FC3</t>
  </si>
  <si>
    <t>FC3-1</t>
  </si>
  <si>
    <t>FC3-2</t>
  </si>
  <si>
    <t>FC3-3</t>
  </si>
  <si>
    <t>FC3-4</t>
  </si>
  <si>
    <t>FC4</t>
  </si>
  <si>
    <t>FC4-1</t>
  </si>
  <si>
    <t>FC4-2</t>
  </si>
  <si>
    <t>FC4-3</t>
  </si>
  <si>
    <t>FC4-4</t>
  </si>
  <si>
    <t>FC5</t>
  </si>
  <si>
    <t>Fire Crystals</t>
  </si>
  <si>
    <t>Hyena Skill (Builder's Aide) %</t>
  </si>
  <si>
    <t>TotalSecs</t>
  </si>
  <si>
    <t>ReducedSecs</t>
  </si>
  <si>
    <t>DTBASecs</t>
  </si>
  <si>
    <t>Version</t>
  </si>
  <si>
    <t>Last Updated</t>
  </si>
  <si>
    <t>Quantity</t>
  </si>
  <si>
    <t>ConstSpeedupSecs</t>
  </si>
  <si>
    <t>GenSpeedupSecs</t>
  </si>
  <si>
    <t>h</t>
  </si>
  <si>
    <t>d</t>
  </si>
  <si>
    <t>m</t>
  </si>
  <si>
    <t>s</t>
  </si>
  <si>
    <t>AllSpeedupSecs</t>
  </si>
  <si>
    <t>What to expect on each day of SVS Prep</t>
  </si>
  <si>
    <t>Tier</t>
  </si>
  <si>
    <t>Training Capacity</t>
  </si>
  <si>
    <t>Training Speed %</t>
  </si>
  <si>
    <t>Points</t>
  </si>
  <si>
    <t>Power</t>
  </si>
  <si>
    <t>Cudgel</t>
  </si>
  <si>
    <t>Gear Colors</t>
  </si>
  <si>
    <t>Green</t>
  </si>
  <si>
    <t>Blue</t>
  </si>
  <si>
    <t>Purple</t>
  </si>
  <si>
    <t>Purple T1</t>
  </si>
  <si>
    <t>Gold</t>
  </si>
  <si>
    <t>Gold T1</t>
  </si>
  <si>
    <t>Gold T2</t>
  </si>
  <si>
    <t>Legendary</t>
  </si>
  <si>
    <t>Legendary T1</t>
  </si>
  <si>
    <t>Legendary T2</t>
  </si>
  <si>
    <t>Legendary T3</t>
  </si>
  <si>
    <t>Chief Gear</t>
  </si>
  <si>
    <t>Hardened Alloy</t>
  </si>
  <si>
    <t>Polishing Solution</t>
  </si>
  <si>
    <t>Design Plans</t>
  </si>
  <si>
    <t>Lunar Amber</t>
  </si>
  <si>
    <t>Current</t>
  </si>
  <si>
    <t>Desired</t>
  </si>
  <si>
    <t>Chief Charms</t>
  </si>
  <si>
    <t>Charm Guides</t>
  </si>
  <si>
    <t>Charm Designs</t>
  </si>
  <si>
    <t>Remaining Hat</t>
  </si>
  <si>
    <t>Remaining Watch</t>
  </si>
  <si>
    <t>Remaining Coat</t>
  </si>
  <si>
    <t>Remaining Pants</t>
  </si>
  <si>
    <t>Remaining Ring</t>
  </si>
  <si>
    <t>Remaining Cudgel</t>
  </si>
  <si>
    <t>Remaining Hat L</t>
  </si>
  <si>
    <t>Remaining Hat T</t>
  </si>
  <si>
    <t>Remaining Hat R</t>
  </si>
  <si>
    <t>Remaining Watch L</t>
  </si>
  <si>
    <t>Remaining Watch T</t>
  </si>
  <si>
    <t>Remaining Watch R</t>
  </si>
  <si>
    <t>Remaining Cost L</t>
  </si>
  <si>
    <t>Remaining Coat T</t>
  </si>
  <si>
    <t>Remaining Coat R</t>
  </si>
  <si>
    <t>Remaining Pants L</t>
  </si>
  <si>
    <t>Remaining Pants T</t>
  </si>
  <si>
    <t>Remaining Pants R</t>
  </si>
  <si>
    <t>Remaining Ring L</t>
  </si>
  <si>
    <t>Remaining Ring T</t>
  </si>
  <si>
    <t>Remaining Ring R</t>
  </si>
  <si>
    <t>Remaining Cudgel L</t>
  </si>
  <si>
    <t>Remaining Cudgel T</t>
  </si>
  <si>
    <t>Remaining Cudgel R</t>
  </si>
  <si>
    <t>Needed Polishing Solution</t>
  </si>
  <si>
    <t>Needed Hardened Alloy</t>
  </si>
  <si>
    <t>Needed Lunar Amber</t>
  </si>
  <si>
    <t>Needed Charm Guides</t>
  </si>
  <si>
    <t>Needed Charm Designs</t>
  </si>
  <si>
    <t>Needed Design Plans</t>
  </si>
  <si>
    <t>Remaining Coat L</t>
  </si>
  <si>
    <t>Chief Items Needed For Desired Upgrades</t>
  </si>
  <si>
    <t>War Chant Custom Chests</t>
  </si>
  <si>
    <t>Increase</t>
  </si>
  <si>
    <t>Hat</t>
  </si>
  <si>
    <t>Watch</t>
  </si>
  <si>
    <t>Coat</t>
  </si>
  <si>
    <t>Pants</t>
  </si>
  <si>
    <t>Ring</t>
  </si>
  <si>
    <t>Hat L</t>
  </si>
  <si>
    <t>Hat T</t>
  </si>
  <si>
    <t>Hat R</t>
  </si>
  <si>
    <t>Watch L</t>
  </si>
  <si>
    <t>Watch T</t>
  </si>
  <si>
    <t>Watch R</t>
  </si>
  <si>
    <t>Coat L</t>
  </si>
  <si>
    <t>Coat T</t>
  </si>
  <si>
    <t>Coat R</t>
  </si>
  <si>
    <t>Pants L</t>
  </si>
  <si>
    <t>Pants T</t>
  </si>
  <si>
    <t>Pants R</t>
  </si>
  <si>
    <t>Ring L</t>
  </si>
  <si>
    <t>Ring T</t>
  </si>
  <si>
    <t>Ring R</t>
  </si>
  <si>
    <t>Cudgel L</t>
  </si>
  <si>
    <t>Cudgel T</t>
  </si>
  <si>
    <t>Cudgel R</t>
  </si>
  <si>
    <t>Level Up Gear Score</t>
  </si>
  <si>
    <t>Time (s)</t>
  </si>
  <si>
    <t>Infantry</t>
  </si>
  <si>
    <t>Lancer</t>
  </si>
  <si>
    <t>Marksman</t>
  </si>
  <si>
    <t>Base Time (s)</t>
  </si>
  <si>
    <t>Adjusted (s)</t>
  </si>
  <si>
    <t>Tier Upgrading From</t>
  </si>
  <si>
    <t>Level Up Charm Score</t>
  </si>
  <si>
    <t>Train/Upgrade X Number Of Troops</t>
  </si>
  <si>
    <t>Total:</t>
  </si>
  <si>
    <t/>
  </si>
  <si>
    <t>TroopSpeedupSecs</t>
  </si>
  <si>
    <t>Existing Troops</t>
  </si>
  <si>
    <t>Level</t>
  </si>
  <si>
    <t>to T10</t>
  </si>
  <si>
    <t>Train Troops - Full Build</t>
  </si>
  <si>
    <t>Upgrade Troops - Full Build</t>
  </si>
  <si>
    <t>Train X Number Of Troops</t>
  </si>
  <si>
    <t>Upgrade X Number Of Troops</t>
  </si>
  <si>
    <t>Upgrade ALL Troops</t>
  </si>
  <si>
    <t>Mass Troop Upgrade Resource Check</t>
  </si>
  <si>
    <t>* Note That This Doesn't Include Your Custom Resource Chests</t>
  </si>
  <si>
    <t xml:space="preserve">Blue </t>
  </si>
  <si>
    <t>Green 1*</t>
  </si>
  <si>
    <t>Blue 1*</t>
  </si>
  <si>
    <t>Blue 2*</t>
  </si>
  <si>
    <t>Blue 3*</t>
  </si>
  <si>
    <t>Purple 1*</t>
  </si>
  <si>
    <t>Purple 2*</t>
  </si>
  <si>
    <t>Purple 3*</t>
  </si>
  <si>
    <t>Purple T1 1*</t>
  </si>
  <si>
    <t>Purple T1 2*</t>
  </si>
  <si>
    <t>Purple T1 3*</t>
  </si>
  <si>
    <t>Gold 1*</t>
  </si>
  <si>
    <t>Gold 2*</t>
  </si>
  <si>
    <t>Gold 3*</t>
  </si>
  <si>
    <t>Gold T1 1*</t>
  </si>
  <si>
    <t>Gold T1 2*</t>
  </si>
  <si>
    <t>Gold T1 3*</t>
  </si>
  <si>
    <t>Gold T2 1*</t>
  </si>
  <si>
    <t>Gold T2 2*</t>
  </si>
  <si>
    <t>Gold T2 3*</t>
  </si>
  <si>
    <t>Legendary 1*</t>
  </si>
  <si>
    <t>Legendary 2*</t>
  </si>
  <si>
    <t>Legendary 3*</t>
  </si>
  <si>
    <t>Legendary T1 1*</t>
  </si>
  <si>
    <t>Legendary T1 2*</t>
  </si>
  <si>
    <t>Legendary T1 3*</t>
  </si>
  <si>
    <t>Legendary T2 1*</t>
  </si>
  <si>
    <t>Legendary T2 2*</t>
  </si>
  <si>
    <t>Legendary T2 3*</t>
  </si>
  <si>
    <t>Legendary T3 1*</t>
  </si>
  <si>
    <t>Legendary T3 2*</t>
  </si>
  <si>
    <t>Legendary T3 3*</t>
  </si>
  <si>
    <t>Comm. Ctr.</t>
  </si>
  <si>
    <t>Research Ctr.</t>
  </si>
  <si>
    <t>Speedups</t>
  </si>
  <si>
    <t>General</t>
  </si>
  <si>
    <t>Construction</t>
  </si>
  <si>
    <t>Fire Crystal Buildings</t>
  </si>
  <si>
    <t>Other Buildings</t>
  </si>
  <si>
    <t>FC's</t>
  </si>
  <si>
    <t>Unboosted Time</t>
  </si>
  <si>
    <t>Chests</t>
  </si>
  <si>
    <t>Speedups (in Minutes)</t>
  </si>
  <si>
    <t>How To Find Your Speedup Minutes</t>
  </si>
  <si>
    <t>Total Resource Cost</t>
  </si>
  <si>
    <t>Refined FCs</t>
  </si>
  <si>
    <t>Refined</t>
  </si>
  <si>
    <t>FC5-1</t>
  </si>
  <si>
    <t>FC5-2</t>
  </si>
  <si>
    <t>FC5-3</t>
  </si>
  <si>
    <t>FC5-4</t>
  </si>
  <si>
    <t>FC6</t>
  </si>
  <si>
    <t>FC6-1</t>
  </si>
  <si>
    <t>FC6-2</t>
  </si>
  <si>
    <t>FC6-3</t>
  </si>
  <si>
    <t>FC6-4</t>
  </si>
  <si>
    <t>FC7</t>
  </si>
  <si>
    <t>FC7-1</t>
  </si>
  <si>
    <t>FC7-2</t>
  </si>
  <si>
    <t>FC7-3</t>
  </si>
  <si>
    <t>FC7-4</t>
  </si>
  <si>
    <t>FC8</t>
  </si>
  <si>
    <t>War Academy</t>
  </si>
  <si>
    <t>Resources Available</t>
  </si>
  <si>
    <t>Refined FC</t>
  </si>
  <si>
    <t>Adjusted Time (Mercantilism, VP, Double Time, &amp; Builder's Aide)</t>
  </si>
  <si>
    <t>Resources Needed</t>
  </si>
  <si>
    <t>FC</t>
  </si>
  <si>
    <t>Sublime</t>
  </si>
  <si>
    <t>Alloy</t>
  </si>
  <si>
    <t>Polish</t>
  </si>
  <si>
    <t>Plans</t>
  </si>
  <si>
    <t>Exquisite</t>
  </si>
  <si>
    <t>Classic</t>
  </si>
  <si>
    <t>Left</t>
  </si>
  <si>
    <t>Top</t>
  </si>
  <si>
    <t>Right</t>
  </si>
  <si>
    <t>Pet Food</t>
  </si>
  <si>
    <t>Common Marks</t>
  </si>
  <si>
    <t>Advanced Marks</t>
  </si>
  <si>
    <t>Pet Mats Chest</t>
  </si>
  <si>
    <t># (of 3)</t>
  </si>
  <si>
    <t>Troop Training Variables</t>
  </si>
  <si>
    <t>Add Minister Of Education?</t>
  </si>
  <si>
    <t>All 3</t>
  </si>
  <si>
    <t>Training Speed</t>
  </si>
  <si>
    <t>Add Training Capacity Buff?</t>
  </si>
  <si>
    <t>&lt; Needs Verified</t>
  </si>
  <si>
    <t>To Train 1 Batch Of New Troops/Upgrade Existing Troops</t>
  </si>
  <si>
    <t>To Train/Upgrade X Number Of Troops (Set X In The Box To The Left)</t>
  </si>
  <si>
    <t>General Speedups (After Construction)</t>
  </si>
  <si>
    <t>Add Vice President Instead?</t>
  </si>
  <si>
    <t>GenAfterConstruction</t>
  </si>
  <si>
    <t>GenAndTroopSecs</t>
  </si>
  <si>
    <t>Troop Training Speedups</t>
  </si>
  <si>
    <t>Chief Stars</t>
  </si>
  <si>
    <t>Rank</t>
  </si>
  <si>
    <t>Max Shards</t>
  </si>
  <si>
    <t>Shards</t>
  </si>
  <si>
    <t>From (Left) to (Top)</t>
  </si>
  <si>
    <t>Unlocked</t>
  </si>
  <si>
    <t>Essence Stones</t>
  </si>
  <si>
    <t>Mythic Gear</t>
  </si>
  <si>
    <t>Goggles 1</t>
  </si>
  <si>
    <t>Gauntlets 1</t>
  </si>
  <si>
    <t>Belt 1</t>
  </si>
  <si>
    <t>Boots 1</t>
  </si>
  <si>
    <t>Goggles 2</t>
  </si>
  <si>
    <t>Gauntlets 2</t>
  </si>
  <si>
    <t>Belt 2</t>
  </si>
  <si>
    <t>Boots 2</t>
  </si>
  <si>
    <t>Goggles 3</t>
  </si>
  <si>
    <t>Gauntlets 3</t>
  </si>
  <si>
    <t>Belt 3</t>
  </si>
  <si>
    <t>Boots 3</t>
  </si>
  <si>
    <t>From 0 to 20</t>
  </si>
  <si>
    <t>Heroes</t>
  </si>
  <si>
    <t>Generation</t>
  </si>
  <si>
    <t>Smith</t>
  </si>
  <si>
    <t>Eugene</t>
  </si>
  <si>
    <t>Charlie</t>
  </si>
  <si>
    <t>Cloris</t>
  </si>
  <si>
    <t>Sergey</t>
  </si>
  <si>
    <t>Patrick</t>
  </si>
  <si>
    <t>Jessie</t>
  </si>
  <si>
    <t>Bahiti</t>
  </si>
  <si>
    <t>Gina</t>
  </si>
  <si>
    <t>Walis Bokan</t>
  </si>
  <si>
    <t>Jasser</t>
  </si>
  <si>
    <t>Seo Yoon</t>
  </si>
  <si>
    <t>Jeronimo</t>
  </si>
  <si>
    <t>Natalia</t>
  </si>
  <si>
    <t>Molly</t>
  </si>
  <si>
    <t>Zinman</t>
  </si>
  <si>
    <t>Flint</t>
  </si>
  <si>
    <t>Philly</t>
  </si>
  <si>
    <t>Alonso</t>
  </si>
  <si>
    <t>Logan</t>
  </si>
  <si>
    <t>Mia</t>
  </si>
  <si>
    <t>Greg</t>
  </si>
  <si>
    <t>Ahmose</t>
  </si>
  <si>
    <t>Reina</t>
  </si>
  <si>
    <t>Lynn</t>
  </si>
  <si>
    <t>Hector</t>
  </si>
  <si>
    <t>Norah</t>
  </si>
  <si>
    <t>Gwen</t>
  </si>
  <si>
    <t>Wu Ming</t>
  </si>
  <si>
    <t>Renee</t>
  </si>
  <si>
    <t>Wayne</t>
  </si>
  <si>
    <t>Widgets</t>
  </si>
  <si>
    <t>Hero Star Levels</t>
  </si>
  <si>
    <t>Widgets Needed</t>
  </si>
  <si>
    <t>Hero</t>
  </si>
  <si>
    <t>Affordable?</t>
  </si>
  <si>
    <t>Gen 1</t>
  </si>
  <si>
    <t>Gen 2</t>
  </si>
  <si>
    <t>Gen 3</t>
  </si>
  <si>
    <t>Gen 4</t>
  </si>
  <si>
    <t>Gen 5</t>
  </si>
  <si>
    <t>Gen 6</t>
  </si>
  <si>
    <t>Mythic Shards Spent</t>
  </si>
  <si>
    <t>Mythic General Shards Spent</t>
  </si>
  <si>
    <t>Epic Shards Spent</t>
  </si>
  <si>
    <t>Epic General Shards Spent</t>
  </si>
  <si>
    <t>Rare Shards Spent</t>
  </si>
  <si>
    <t>Rare General Shards Spent</t>
  </si>
  <si>
    <t>Gear</t>
  </si>
  <si>
    <t>Pet</t>
  </si>
  <si>
    <t>Food</t>
  </si>
  <si>
    <t>Manuals</t>
  </si>
  <si>
    <t>Potions</t>
  </si>
  <si>
    <t>Serum</t>
  </si>
  <si>
    <t>SVS Points</t>
  </si>
  <si>
    <t>Cave Hyena</t>
  </si>
  <si>
    <t>Arctic Wolf</t>
  </si>
  <si>
    <t>Musk Ox</t>
  </si>
  <si>
    <t>Giant Tapir</t>
  </si>
  <si>
    <t>Titan Roc</t>
  </si>
  <si>
    <t>Giant Elk</t>
  </si>
  <si>
    <t>Snow Leopard</t>
  </si>
  <si>
    <t>Cave Lion</t>
  </si>
  <si>
    <t>Common Wild Marks</t>
  </si>
  <si>
    <t>Remaining Chests</t>
  </si>
  <si>
    <t>Resource</t>
  </si>
  <si>
    <t># Mats</t>
  </si>
  <si>
    <t>Chests To Open</t>
  </si>
  <si>
    <t>Resource Rcvd</t>
  </si>
  <si>
    <t>Taming Manual</t>
  </si>
  <si>
    <t>Advanced Wild Marks</t>
  </si>
  <si>
    <t>Energizing Potion</t>
  </si>
  <si>
    <t>Strengthening Serum</t>
  </si>
  <si>
    <t>Locked</t>
  </si>
  <si>
    <t>Manual</t>
  </si>
  <si>
    <t>Potion</t>
  </si>
  <si>
    <t>SVS</t>
  </si>
  <si>
    <t>Base</t>
  </si>
  <si>
    <t>Required</t>
  </si>
  <si>
    <t>Goggles 4</t>
  </si>
  <si>
    <t>Gauntlets 4</t>
  </si>
  <si>
    <t>Belt 4</t>
  </si>
  <si>
    <t>Boots 4</t>
  </si>
  <si>
    <t>Goggles 5</t>
  </si>
  <si>
    <t>Gauntlets 5</t>
  </si>
  <si>
    <t>Belt 5</t>
  </si>
  <si>
    <t>Boots 5</t>
  </si>
  <si>
    <t>Goggles 6</t>
  </si>
  <si>
    <t>Gauntlets 6</t>
  </si>
  <si>
    <t>Belt 6</t>
  </si>
  <si>
    <t>Boots 6</t>
  </si>
  <si>
    <t>Mastery Forging (Primary Gear)</t>
  </si>
  <si>
    <t>Mastery Forging (Backup Gear)</t>
  </si>
  <si>
    <t>Charms</t>
  </si>
  <si>
    <t>Snow Ape</t>
  </si>
  <si>
    <t>Custom Pet Chest Pack (Choose 3 From Each Tier)</t>
  </si>
  <si>
    <t>Construction &amp; General Speedups Available</t>
  </si>
  <si>
    <t>ConstAndGenSpeedupSecs</t>
  </si>
  <si>
    <t>Chests From Custom Pet Chest Pack</t>
  </si>
  <si>
    <t>From Chests/Pack</t>
  </si>
  <si>
    <t>Excess</t>
  </si>
  <si>
    <t>Chests Remaining</t>
  </si>
  <si>
    <t>Artisan's Trove (Chief Gear) Calculator</t>
  </si>
  <si>
    <t>Artisan's Trove (Charms) Calculator</t>
  </si>
  <si>
    <t>Excess Design Plans</t>
  </si>
  <si>
    <t>Multiplier</t>
  </si>
  <si>
    <t>Exchange For</t>
  </si>
  <si>
    <t>Contents</t>
  </si>
  <si>
    <t>Dawn Market Calculator</t>
  </si>
  <si>
    <t>Yes</t>
  </si>
  <si>
    <t>No</t>
  </si>
  <si>
    <t>Buy</t>
  </si>
  <si>
    <t>Buy / -</t>
  </si>
  <si>
    <t>Yes / No</t>
  </si>
  <si>
    <t>Custom Artistry Chest</t>
  </si>
  <si>
    <t>Iron Rhino</t>
  </si>
  <si>
    <t>Sabertooth Tiger</t>
  </si>
  <si>
    <t>Return</t>
  </si>
  <si>
    <t>Return %</t>
  </si>
  <si>
    <t>Tier 1</t>
  </si>
  <si>
    <t>Expected Return</t>
  </si>
  <si>
    <t>Return per FC</t>
  </si>
  <si>
    <t>Tier 2</t>
  </si>
  <si>
    <t>Tier 3</t>
  </si>
  <si>
    <t>Tier 4</t>
  </si>
  <si>
    <t>Tier 5</t>
  </si>
  <si>
    <t>RFC per FC</t>
  </si>
  <si>
    <t>Weekly Cost</t>
  </si>
  <si>
    <t>Minimal Cost T1</t>
  </si>
  <si>
    <t>7 T1 (1x per day)</t>
  </si>
  <si>
    <t>20 T1 day 1 + 6 T2 (1x per day )</t>
  </si>
  <si>
    <t>Minimal Cost T3</t>
  </si>
  <si>
    <t>20 T1/T2 day 1 + 6 T3</t>
  </si>
  <si>
    <t>Minimal Cost T4</t>
  </si>
  <si>
    <t>20 T1/T2/T3 day 1 + 6 T4</t>
  </si>
  <si>
    <t>Maximum Cost T1</t>
  </si>
  <si>
    <t>Maximum Cost T2</t>
  </si>
  <si>
    <t>Minimal Cost T2</t>
  </si>
  <si>
    <t>14 T1 (day 7)</t>
  </si>
  <si>
    <t>6 T1 (1x days 1-6)</t>
  </si>
  <si>
    <t>1 T2 (days 2-7)</t>
  </si>
  <si>
    <t>1 T3 (days 2-7)</t>
  </si>
  <si>
    <t>1 T4 (days 2-7)</t>
  </si>
  <si>
    <t>20 T1 &amp; 14 T2 (day 1)</t>
  </si>
  <si>
    <t>20 T1, T2, T3 &amp; 14 T4 (day 1)</t>
  </si>
  <si>
    <t>1 T5 (days 2-7)</t>
  </si>
  <si>
    <t>20 T1, T2, T3, T4 &amp; 14 T5 (day 1)</t>
  </si>
  <si>
    <t>20 T1, T2 &amp; 14 T3 (day 1)</t>
  </si>
  <si>
    <t>Max Weekly Expected</t>
  </si>
  <si>
    <t>FC8-1</t>
  </si>
  <si>
    <t>FC8-2</t>
  </si>
  <si>
    <t>FC8-3</t>
  </si>
  <si>
    <t>FC8-4</t>
  </si>
  <si>
    <t>FC9</t>
  </si>
  <si>
    <t>FC9-1</t>
  </si>
  <si>
    <t>FC9-2</t>
  </si>
  <si>
    <t>FC9-3</t>
  </si>
  <si>
    <t>FC9-4</t>
  </si>
  <si>
    <t>FC10</t>
  </si>
  <si>
    <t>Maximum Cost T3</t>
  </si>
  <si>
    <t>Maximum Cost T4</t>
  </si>
  <si>
    <t>Maximum Cost T5</t>
  </si>
  <si>
    <t>Numerical</t>
  </si>
  <si>
    <t>Mammoth</t>
  </si>
  <si>
    <t>Pet Advancement Calculator (X= Food Only To Level, X.1 = Advanced With Items)</t>
  </si>
  <si>
    <t>Minimum Cost</t>
  </si>
  <si>
    <t>How Many Weeks To Desired Build Per Super Refinement Tier (Refined Fire Crystals)</t>
  </si>
  <si>
    <t>RFC Expected Return</t>
  </si>
  <si>
    <t>1 x T1</t>
  </si>
  <si>
    <t>1 x T2</t>
  </si>
  <si>
    <t>1 x T3</t>
  </si>
  <si>
    <t>1 x T4</t>
  </si>
  <si>
    <t>1 x T5</t>
  </si>
  <si>
    <t>20 T1, 20 T2, 20 T3 (60 Total)</t>
  </si>
  <si>
    <t>20 T1, 20 T2 (40 Total)</t>
  </si>
  <si>
    <t>20 T1 (20 Total)</t>
  </si>
  <si>
    <t>20 T1, 20 T2, 20 T3, 20 T4 (80 Total)</t>
  </si>
  <si>
    <t>14 x T1</t>
  </si>
  <si>
    <t>1 x T1 (1 Total)</t>
  </si>
  <si>
    <t>20 T1, 14 T2 (34 Total)</t>
  </si>
  <si>
    <t>20 T1, 20 T2, 14 T3 (54 Total)</t>
  </si>
  <si>
    <t>20 T1, 20 T2, 20 T3, 14 T4 (74 Total)</t>
  </si>
  <si>
    <t>20 T1, T2, T3, T4, 14 T5 (94 Total)</t>
  </si>
  <si>
    <t>Choose what you'll be doing, get to your chosen tier on Monday</t>
  </si>
  <si>
    <t>Maximum Cost (while still being efficient)</t>
  </si>
  <si>
    <t>Day 1 Super Refinement</t>
  </si>
  <si>
    <t>Days 2-7 Super Refinement</t>
  </si>
  <si>
    <t>FC Cost Per Week</t>
  </si>
  <si>
    <t>Total Expected FC Cost</t>
  </si>
  <si>
    <t>What is your Construction Speed Percentage?</t>
  </si>
  <si>
    <t>Add Mercantilism 10% Bonus?</t>
  </si>
  <si>
    <t>Resources</t>
  </si>
  <si>
    <t>Refined FC's</t>
  </si>
  <si>
    <t>Bonuses</t>
  </si>
  <si>
    <t>Chief Gear Items</t>
  </si>
  <si>
    <t>Chief Charm Items</t>
  </si>
  <si>
    <t>(631) Zerethusta's Whiteout Survival Chief Gear &amp; Charms Calculator</t>
  </si>
  <si>
    <t>Enhancement Material Exchange</t>
  </si>
  <si>
    <t>Chief Items from Exchange and Chests</t>
  </si>
  <si>
    <t>Chief  Power Gains</t>
  </si>
  <si>
    <t>Pet Advancement Mats. Custom Chests</t>
  </si>
  <si>
    <t>(631) Zerethusta's Whiteout Survival Pet Upgrades Calculator</t>
  </si>
  <si>
    <t>Pet Upgrades</t>
  </si>
  <si>
    <t>SVS Points from Pets</t>
  </si>
  <si>
    <t>Wild Marks</t>
  </si>
  <si>
    <t>Common</t>
  </si>
  <si>
    <t>Advanced</t>
  </si>
  <si>
    <t>Hat (Lancer)</t>
  </si>
  <si>
    <t>Watch (Lancer)</t>
  </si>
  <si>
    <t>Coat (Infantry)</t>
  </si>
  <si>
    <t>Pants (Infantry)</t>
  </si>
  <si>
    <t>Ring (Marksman)</t>
  </si>
  <si>
    <t>Cudgel (Marksman)</t>
  </si>
  <si>
    <t>Construction Time</t>
  </si>
  <si>
    <t>Raw Time Unadjusted</t>
  </si>
  <si>
    <t>Time Cost</t>
  </si>
  <si>
    <t>NeededSpeedupSecs</t>
  </si>
  <si>
    <t>Only Input Data In The Orange Boxes.  Don't Blame Me If You Put Info In Other Boxes And It No Longer Works.</t>
  </si>
  <si>
    <t>-Z</t>
  </si>
  <si>
    <t>Refined Fire Crystal Information</t>
  </si>
  <si>
    <t>20x Tier 1 unlocks Tier 2, 20x Tier 2 unlocks Tier 3, etc.</t>
  </si>
  <si>
    <t>Your FIRST Super Refinement every day gets a 50% discount</t>
  </si>
  <si>
    <t>Maximize the discount by doing at least 1 refinement Tuesday to Sunday</t>
  </si>
  <si>
    <t>See the Fire Crystal Refinement tab for the data if you're interested</t>
  </si>
  <si>
    <t>Refined FC's Needed For Your Build</t>
  </si>
  <si>
    <t>&lt;- How many refinements to do on Monday</t>
  </si>
  <si>
    <t>&lt;- How many refinements to do Tuesday-Sunday</t>
  </si>
  <si>
    <t>&lt;- How many FC's per week it will cost</t>
  </si>
  <si>
    <t>&lt;- How many Refined FC's you can expect per week</t>
  </si>
  <si>
    <t>&lt;- How many weeks to get the Refined FC's needed for your build</t>
  </si>
  <si>
    <t>&lt;- Total expected FC cost</t>
  </si>
  <si>
    <t>(631) Zerethusta's Whiteout Survival Chief Hero Calculator</t>
  </si>
  <si>
    <t>Specific</t>
  </si>
  <si>
    <t>Gen 7</t>
  </si>
  <si>
    <t>Gen 8</t>
  </si>
  <si>
    <t>Gen 9</t>
  </si>
  <si>
    <t>Edith</t>
  </si>
  <si>
    <t>Gordon</t>
  </si>
  <si>
    <t>Bradley</t>
  </si>
  <si>
    <t>Gatot</t>
  </si>
  <si>
    <t>Sonya</t>
  </si>
  <si>
    <t>Hendrik</t>
  </si>
  <si>
    <t>Magnus</t>
  </si>
  <si>
    <t>Fred</t>
  </si>
  <si>
    <t>Xura</t>
  </si>
  <si>
    <t>&lt;- May be lower based on # of helps, or if not using speedups for all builds</t>
  </si>
  <si>
    <t>Total SVS Points</t>
  </si>
  <si>
    <t>Gen  6</t>
  </si>
  <si>
    <t>(631) Zerethusta's Whiteout Survival Troop Training Calculator</t>
  </si>
  <si>
    <t>Troop Training Speedups (Mins)</t>
  </si>
  <si>
    <t>Wed</t>
  </si>
  <si>
    <t>Thurs</t>
  </si>
  <si>
    <t>Construction Calculator (See other sheets for other calculators)</t>
  </si>
  <si>
    <t>Troop + General Speedups Available</t>
  </si>
  <si>
    <t>Infantry Set 1</t>
  </si>
  <si>
    <t>Lancer Set 1</t>
  </si>
  <si>
    <t>Marksman Set 1</t>
  </si>
  <si>
    <t>Infantry Set 2</t>
  </si>
  <si>
    <t>Lancer Set 2</t>
  </si>
  <si>
    <t>Marksman Set 2</t>
  </si>
  <si>
    <t>Infantry Set 3</t>
  </si>
  <si>
    <t>Lancer Set 3</t>
  </si>
  <si>
    <t>Marksman Set 3</t>
  </si>
  <si>
    <t>Hero Gear</t>
  </si>
  <si>
    <t>Base Costs</t>
  </si>
  <si>
    <t>Goggles</t>
  </si>
  <si>
    <t>Gloves</t>
  </si>
  <si>
    <t>Belt</t>
  </si>
  <si>
    <t>Boots</t>
  </si>
  <si>
    <t>XP</t>
  </si>
  <si>
    <t>Mythril</t>
  </si>
  <si>
    <t>Mastery</t>
  </si>
  <si>
    <t>Stones</t>
  </si>
  <si>
    <t>Reforge Table</t>
  </si>
  <si>
    <t>Total XP</t>
  </si>
  <si>
    <t>Infantry Gear Set 1</t>
  </si>
  <si>
    <t>Infantry Gear Set 2</t>
  </si>
  <si>
    <t>Infantry Gear Set 3</t>
  </si>
  <si>
    <t>Reforge</t>
  </si>
  <si>
    <t>Mithril</t>
  </si>
  <si>
    <t>Lancer Gear Set 1</t>
  </si>
  <si>
    <t>Lancer Gear Set 2</t>
  </si>
  <si>
    <t>Lancer Gear Set 3</t>
  </si>
  <si>
    <t>Marksman Gear Set 1</t>
  </si>
  <si>
    <t>Marksman Gear Set 2</t>
  </si>
  <si>
    <t>Marksman Gear Set 3</t>
  </si>
  <si>
    <t>In Backpack</t>
  </si>
  <si>
    <t>Hero Gear Upgrade Costs</t>
  </si>
  <si>
    <t>Gear Breakdown Value (Quantity of Each Type in Backpack)</t>
  </si>
  <si>
    <t>Wishful Emporium</t>
  </si>
  <si>
    <t>Green Hero Gear XP</t>
  </si>
  <si>
    <t>Use all your grey/green/blue/purple hero gear then reforge into XP for easier math</t>
  </si>
  <si>
    <t>Hero Gear XP</t>
  </si>
  <si>
    <t>Purple Hero Gear XP</t>
  </si>
  <si>
    <t>Grey</t>
  </si>
  <si>
    <t>Do not include from packs in this sheet</t>
  </si>
  <si>
    <t>Mythic Gear Chests</t>
  </si>
  <si>
    <t>Reforge Available</t>
  </si>
  <si>
    <t>Mastery Upgrade Costs</t>
  </si>
  <si>
    <t>Custom Armament Chest</t>
  </si>
  <si>
    <t>Lucky Hero Gear Chests</t>
  </si>
  <si>
    <t>100 (Purple) Hero Gear XP</t>
  </si>
  <si>
    <t>Expected Result</t>
  </si>
  <si>
    <t>Available After Construction</t>
  </si>
  <si>
    <t>Highest Troop Tier</t>
  </si>
  <si>
    <t>Speedups After Upgrades &amp; Training</t>
  </si>
  <si>
    <t>SpeedupsAfterTroops</t>
  </si>
  <si>
    <t>&lt;- Training 1 Full Set Of Top Tier Troops</t>
  </si>
  <si>
    <t>&lt;- Upgrading Troops From Whichever Tier You Choose To The Left</t>
  </si>
  <si>
    <t>&lt;- Training The Number Of Top Tier Troops You Choose To The Left</t>
  </si>
  <si>
    <t>&lt;- From Speedups</t>
  </si>
  <si>
    <t>&lt;- From Troops</t>
  </si>
  <si>
    <t>SVS Points From Troops -&gt;</t>
  </si>
  <si>
    <t>&lt;- SVS Points From Speedups</t>
  </si>
  <si>
    <t>(631) Zerethusta's Hero Gear Calculator</t>
  </si>
  <si>
    <t>(631) Zerethusta's Refined Fire Crystal Information Page</t>
  </si>
  <si>
    <t>Zinman's Middle Expedition Skill (Resourceful) %</t>
  </si>
  <si>
    <t>You can super refine 100 times per week once FC6 unlocks in your state.</t>
  </si>
  <si>
    <t>Gear Boost Chests</t>
  </si>
  <si>
    <t>Hero Gear Chests</t>
  </si>
  <si>
    <t>Upgrade Chief CHARMS</t>
  </si>
  <si>
    <t>Upgrade Chief GEAR</t>
  </si>
  <si>
    <t>Use FIRE CRYSTALS for Building</t>
  </si>
  <si>
    <t>Use REFINED Fire Crystals for Building</t>
  </si>
  <si>
    <t>Use FIRE CRYSTAL SHARDS for Research</t>
  </si>
  <si>
    <t>Use SPEEDUPS for RESEARCH</t>
  </si>
  <si>
    <t>Use SPEEDUPS for CONSTRUCTION</t>
  </si>
  <si>
    <t>Use SPEEDUPS for TROOPS</t>
  </si>
  <si>
    <t>Spin LUCKY WHEEL</t>
  </si>
  <si>
    <t>Upgrade heroes with RARE HERO SHARDS</t>
  </si>
  <si>
    <t>Upgrade heroes with EPIC HERO SHARDS</t>
  </si>
  <si>
    <t>Upgrade heroes with MYTHIC HERO SHARDS</t>
  </si>
  <si>
    <t>Gather 1000 MEAT</t>
  </si>
  <si>
    <t>Gather 1000 WOOD</t>
  </si>
  <si>
    <t>Gather 200 COAL</t>
  </si>
  <si>
    <t>Gather 50 IRON</t>
  </si>
  <si>
    <t>ADVANCE pets with ITEMS</t>
  </si>
  <si>
    <t>Pet refinement with COMMON WILD MARKS</t>
  </si>
  <si>
    <t>Pet refinement with ADVANCED WILD MARKS</t>
  </si>
  <si>
    <t>CALL RALLY against Polar Terror</t>
  </si>
  <si>
    <t>SLAY BEASTS Level 1-25</t>
  </si>
  <si>
    <t>SLAY BEASTS Level 26-30</t>
  </si>
  <si>
    <t>Use ESSENCE STONES to upgrade hero gear</t>
  </si>
  <si>
    <t>Use WIDGETS to upgrade heroes</t>
  </si>
  <si>
    <t>Train/Promote Troops</t>
  </si>
  <si>
    <t>What Gives Points During SVS</t>
  </si>
  <si>
    <t>What day does your state use presidential Construction Buff?</t>
  </si>
  <si>
    <t>What day does your state use presidential Research Buff?</t>
  </si>
  <si>
    <t>70 per point (complex)</t>
  </si>
  <si>
    <t>36 per point (complex)</t>
  </si>
  <si>
    <t>2,000 each</t>
  </si>
  <si>
    <t>30,000 each</t>
  </si>
  <si>
    <t>1,000 each</t>
  </si>
  <si>
    <t>30 per minute</t>
  </si>
  <si>
    <t>8,000 per spin</t>
  </si>
  <si>
    <t>350 per shard</t>
  </si>
  <si>
    <t>1,220 per shard</t>
  </si>
  <si>
    <t>3,040 per shard</t>
  </si>
  <si>
    <t>50 per point (complex)</t>
  </si>
  <si>
    <t>1,150 per mark</t>
  </si>
  <si>
    <t>15,000 per mark</t>
  </si>
  <si>
    <t>30,000 per rally</t>
  </si>
  <si>
    <t>11,250 per beast</t>
  </si>
  <si>
    <t>12,000 per beast</t>
  </si>
  <si>
    <t>4,000 per stone</t>
  </si>
  <si>
    <t>8,000 per widget</t>
  </si>
  <si>
    <t>Complex</t>
  </si>
  <si>
    <t>Monday/Tuesday/Friday</t>
  </si>
  <si>
    <t>Monday</t>
  </si>
  <si>
    <t>Tuesday</t>
  </si>
  <si>
    <t>Friday</t>
  </si>
  <si>
    <t>Best Day For Each Activity</t>
  </si>
  <si>
    <t>Notes</t>
  </si>
  <si>
    <t>Use MITHRIL to upgrade HERO GEAR</t>
  </si>
  <si>
    <t>Training/Promoting troops is more valuable per point than the speedups are, especially if you are upgrading troops that are one level below your maximum</t>
  </si>
  <si>
    <t>Don't do activity on this day</t>
  </si>
  <si>
    <t>Definitely do it on this day</t>
  </si>
  <si>
    <t>&lt;- This one is used in SVS Points on SVS Prep Week page</t>
  </si>
  <si>
    <t>To Equalize:</t>
  </si>
  <si>
    <t>Inf</t>
  </si>
  <si>
    <t>Lan</t>
  </si>
  <si>
    <t>Mar</t>
  </si>
  <si>
    <t>2 per 1,000 gathered</t>
  </si>
  <si>
    <t>2 per 200 gathered</t>
  </si>
  <si>
    <t>2 per 50 gathered</t>
  </si>
  <si>
    <t>Today?</t>
  </si>
  <si>
    <t>Up to you which day you do this activity (use the dropdown to select it)</t>
  </si>
  <si>
    <t>Enter how many spins you will each day (Tues and Wed)</t>
  </si>
  <si>
    <t>Garrison Leads</t>
  </si>
  <si>
    <t>Bear Rally Leads</t>
  </si>
  <si>
    <t>Epic</t>
  </si>
  <si>
    <t>Rare</t>
  </si>
  <si>
    <t>Attack</t>
  </si>
  <si>
    <t>Type</t>
  </si>
  <si>
    <t>Ling Xue</t>
  </si>
  <si>
    <t>Defense</t>
  </si>
  <si>
    <t>Gen 10</t>
  </si>
  <si>
    <t>Gregory</t>
  </si>
  <si>
    <t>Freya</t>
  </si>
  <si>
    <t>Blanchette</t>
  </si>
  <si>
    <t>Name</t>
  </si>
  <si>
    <t>Varies based on your activity level</t>
  </si>
  <si>
    <t>Input your points from Research Calculator</t>
  </si>
  <si>
    <t>Troop</t>
  </si>
  <si>
    <t>T1</t>
  </si>
  <si>
    <t>T2</t>
  </si>
  <si>
    <t>T3</t>
  </si>
  <si>
    <t>T4</t>
  </si>
  <si>
    <t>T5</t>
  </si>
  <si>
    <t>T6</t>
  </si>
  <si>
    <t>T7</t>
  </si>
  <si>
    <t>T8</t>
  </si>
  <si>
    <t>T9</t>
  </si>
  <si>
    <t>T10</t>
  </si>
  <si>
    <t>Upgrading 1 Troop to T10 at 170% Training Speed</t>
  </si>
  <si>
    <t>P/S</t>
  </si>
  <si>
    <t>54s to train 1 t10</t>
  </si>
  <si>
    <t xml:space="preserve">Attack </t>
  </si>
  <si>
    <t>Atk/Def</t>
  </si>
  <si>
    <t>(631) Zerethusta's Rally Setup Page</t>
  </si>
  <si>
    <t>Saved Marches</t>
  </si>
  <si>
    <t>March #1</t>
  </si>
  <si>
    <t>Ratio</t>
  </si>
  <si>
    <t>March #2</t>
  </si>
  <si>
    <t>March #3</t>
  </si>
  <si>
    <t>March #4</t>
  </si>
  <si>
    <t>March #5</t>
  </si>
  <si>
    <t>March #6</t>
  </si>
  <si>
    <t>March #7</t>
  </si>
  <si>
    <t>March #8</t>
  </si>
  <si>
    <t>Alternate Marches</t>
  </si>
  <si>
    <t>All Heroes</t>
  </si>
  <si>
    <t>Arena Formation</t>
  </si>
  <si>
    <t>If these turn red it's because you have the same hero in multiple saved rallies.  You may or may not have enough unlocked to avoid this.</t>
  </si>
  <si>
    <t>All the orange cells have data validation to limit the hero type to the slot.  It's likely easier to type and let it filter than scroll through.  The hero columns will update as you unlock them on the "Heroes" sheet.</t>
  </si>
  <si>
    <t>Charm Secrets</t>
  </si>
  <si>
    <t>Chief Charm Material Exchange</t>
  </si>
  <si>
    <t>Guides</t>
  </si>
  <si>
    <t>40 Guides = 1 Secret</t>
  </si>
  <si>
    <t>Secrets</t>
  </si>
  <si>
    <t>Max 500</t>
  </si>
  <si>
    <t>Max 50</t>
  </si>
  <si>
    <t>Exchange</t>
  </si>
  <si>
    <t>Charm Craftsman Value Pack</t>
  </si>
  <si>
    <t># of 100</t>
  </si>
  <si>
    <t>2 Designs = 1 Guide</t>
  </si>
  <si>
    <t>Designs</t>
  </si>
  <si>
    <t>2 Guides = 1 Design</t>
  </si>
  <si>
    <t>40 Designs = 1 Secret</t>
  </si>
  <si>
    <t>Speedups give more points training troops on Thursday than per minute on other days, this just shows you what you WOULD get</t>
  </si>
  <si>
    <t>SvS Points</t>
  </si>
  <si>
    <t>Svs Points</t>
  </si>
  <si>
    <t>HatTopCurrentLevel</t>
  </si>
  <si>
    <t>HatLeftCurrentLevel</t>
  </si>
  <si>
    <t>HatRightCurrentLevel</t>
  </si>
  <si>
    <t>CoatTopCurrentLevel</t>
  </si>
  <si>
    <t>CoatLeftCurrentLevel</t>
  </si>
  <si>
    <t>CoatRightCurrentLevel</t>
  </si>
  <si>
    <t>RingTopCurrentLevel</t>
  </si>
  <si>
    <t>HatTopDesiredLevel</t>
  </si>
  <si>
    <t>HatLeftDesiredLevel</t>
  </si>
  <si>
    <t>CoatTopDesiredLevel</t>
  </si>
  <si>
    <t>CoatLeftDesiredLevel</t>
  </si>
  <si>
    <t>CoatRightDesiredLevel</t>
  </si>
  <si>
    <t>RingTopDesiredLevel</t>
  </si>
  <si>
    <t>RingLeftCurrentLevel</t>
  </si>
  <si>
    <t>RingLeftDesiredLevel</t>
  </si>
  <si>
    <t>RingRightCurrentLevel</t>
  </si>
  <si>
    <t>WatchTopCurrentLevel</t>
  </si>
  <si>
    <t>WatchLeftCurrentLevel</t>
  </si>
  <si>
    <t>WatchRightCurrentLevel</t>
  </si>
  <si>
    <t>PantsTopCurrentLevel</t>
  </si>
  <si>
    <t>PantsLeftCurrentLevel</t>
  </si>
  <si>
    <t>PantsRightCurrentLevel</t>
  </si>
  <si>
    <t>CudgelTopCurrentLevel</t>
  </si>
  <si>
    <t>CudgelLeftCurrentLevel</t>
  </si>
  <si>
    <t>CudgelRightCurrentLevel</t>
  </si>
  <si>
    <t>HatRightDesiredLevel</t>
  </si>
  <si>
    <t>RingRightDesiredLevel</t>
  </si>
  <si>
    <t>WatchTopDesiredLevel</t>
  </si>
  <si>
    <t>WatchLeftDesiredLevel</t>
  </si>
  <si>
    <t>WatchRightDesiredLevel</t>
  </si>
  <si>
    <t>PantsTopDesiredLevel</t>
  </si>
  <si>
    <t>PantsLeftDesiredLevel</t>
  </si>
  <si>
    <t>PantsRightDesiredLevel</t>
  </si>
  <si>
    <t>CudgelTopDesiredLevel</t>
  </si>
  <si>
    <t>CudgelLeftDesiredLevel</t>
  </si>
  <si>
    <t>CudgelRightDesiredLevel</t>
  </si>
  <si>
    <t>Charm Upgrade Costs</t>
  </si>
  <si>
    <t>Cpower</t>
  </si>
  <si>
    <t>Dpower</t>
  </si>
  <si>
    <t>Amber</t>
  </si>
  <si>
    <t>HatCurrentLevel</t>
  </si>
  <si>
    <t>#</t>
  </si>
  <si>
    <t>HatDesiredLevel</t>
  </si>
  <si>
    <t>CoatCurrentLevel</t>
  </si>
  <si>
    <t>CoatDesiredLevel</t>
  </si>
  <si>
    <t>RingCurrentLevel</t>
  </si>
  <si>
    <t>RingDesiredLevel</t>
  </si>
  <si>
    <t>WatchCurrentLevel</t>
  </si>
  <si>
    <t>WatchDesiredLevel</t>
  </si>
  <si>
    <t>PantsCurrentLevel</t>
  </si>
  <si>
    <t>PantsDesiredLevel</t>
  </si>
  <si>
    <t>CudgelDesiredLevel</t>
  </si>
  <si>
    <t>CudgelCurrentLevel</t>
  </si>
  <si>
    <t>Gear Level</t>
  </si>
  <si>
    <t>Charm Craftsman Pack</t>
  </si>
  <si>
    <t># of $5</t>
  </si>
  <si>
    <t>Maximum 20 Per Day</t>
  </si>
  <si>
    <t>Attack Rally Leads</t>
  </si>
  <si>
    <t>For How Many Weeks?</t>
  </si>
  <si>
    <t>Frost Gorilla</t>
  </si>
  <si>
    <t>Frostscale Chameleon</t>
  </si>
  <si>
    <t>Research</t>
  </si>
  <si>
    <t>Gather</t>
  </si>
  <si>
    <t>Lucky Wheel</t>
  </si>
  <si>
    <t>Hero Shards</t>
  </si>
  <si>
    <t>Beasts</t>
  </si>
  <si>
    <t>Troops</t>
  </si>
  <si>
    <t>Pets</t>
  </si>
  <si>
    <t>(631) Zerethusta's Dawn Academy Information Page</t>
  </si>
  <si>
    <t>Cyrille</t>
  </si>
  <si>
    <t>Agnes</t>
  </si>
  <si>
    <t>Romulus</t>
  </si>
  <si>
    <t>Holger</t>
  </si>
  <si>
    <t>Relationship</t>
  </si>
  <si>
    <t>Stranger</t>
  </si>
  <si>
    <t>Acquaintance 1</t>
  </si>
  <si>
    <t>Acquaintance 2</t>
  </si>
  <si>
    <t>Acquaintance 3</t>
  </si>
  <si>
    <t>Casual 1</t>
  </si>
  <si>
    <t>Casual 2</t>
  </si>
  <si>
    <t>Casual 3</t>
  </si>
  <si>
    <t>Close 1</t>
  </si>
  <si>
    <t>Close 2</t>
  </si>
  <si>
    <t>Close 3</t>
  </si>
  <si>
    <t>Intimate</t>
  </si>
  <si>
    <t>Affinity</t>
  </si>
  <si>
    <t>Sigils</t>
  </si>
  <si>
    <t>Entrapment</t>
  </si>
  <si>
    <t>Scavenging</t>
  </si>
  <si>
    <t>Weapon Master</t>
  </si>
  <si>
    <t>Ursa's Bane</t>
  </si>
  <si>
    <t>Efficient Recon</t>
  </si>
  <si>
    <t>Optimization</t>
  </si>
  <si>
    <t>Covert Knowledge</t>
  </si>
  <si>
    <t>Call of War</t>
  </si>
  <si>
    <t>Last Line</t>
  </si>
  <si>
    <t>Spirit of Aeetes</t>
  </si>
  <si>
    <t>One Heart</t>
  </si>
  <si>
    <t>Arena Elite</t>
  </si>
  <si>
    <t>Crowd Pleaser</t>
  </si>
  <si>
    <t>Arena Star</t>
  </si>
  <si>
    <t>Legacy</t>
  </si>
  <si>
    <t>Project Mgmt.</t>
  </si>
  <si>
    <t>Books</t>
  </si>
  <si>
    <t>Leth/Hlth</t>
  </si>
  <si>
    <t>Use 1 Book of Knowledge</t>
  </si>
  <si>
    <t>Use any 1 Expert Sigil</t>
  </si>
  <si>
    <t>Legendary T4</t>
  </si>
  <si>
    <t>Chief Gear upgrades to T4 have been added, but are missing the SVS points.  I will add when I find the data.</t>
  </si>
  <si>
    <t>Does your state have Supreme Presidency?</t>
  </si>
  <si>
    <t>Holger Upgrade Costs</t>
  </si>
  <si>
    <t>Romulus Upgrade Costs</t>
  </si>
  <si>
    <t>Agnes Upgrade Costs</t>
  </si>
  <si>
    <t>Cyrille Upgrade Costs</t>
  </si>
  <si>
    <t>Expert Inventory</t>
  </si>
  <si>
    <t>Compass</t>
  </si>
  <si>
    <t>Fiery Heart</t>
  </si>
  <si>
    <t>Sail of Conquest</t>
  </si>
  <si>
    <t>Books of Knowledge</t>
  </si>
  <si>
    <t>Dawn of Wisdom - Expert Treasure Pack</t>
  </si>
  <si>
    <t>Common Expert Sigils</t>
  </si>
  <si>
    <t>Sigils &amp; Skills</t>
  </si>
  <si>
    <t>Skills</t>
  </si>
  <si>
    <t>Learning Speedups (Hours)</t>
  </si>
  <si>
    <t>Common Sigils Needed</t>
  </si>
  <si>
    <t>XP Needed</t>
  </si>
  <si>
    <t>Total Affinity</t>
  </si>
  <si>
    <t>60 per book</t>
  </si>
  <si>
    <t>6,000 per expert sigil</t>
  </si>
  <si>
    <t>Current Affinity</t>
  </si>
  <si>
    <t>Affinity Cost</t>
  </si>
  <si>
    <t>XP Cost</t>
  </si>
  <si>
    <t>XP (in time)</t>
  </si>
  <si>
    <t>Common Sigils</t>
  </si>
  <si>
    <t>Specific Sigils</t>
  </si>
  <si>
    <t>Learning XP</t>
  </si>
  <si>
    <t>Bear Essence Stones Up</t>
  </si>
  <si>
    <t>Bear Hero Gear XP Up</t>
  </si>
  <si>
    <t>Bear Rally Cap Up</t>
  </si>
  <si>
    <t>Bear Deployment Cap Up</t>
  </si>
  <si>
    <t>Intel Missions Up</t>
  </si>
  <si>
    <t>Stamina Gain Up</t>
  </si>
  <si>
    <t>Construction Up</t>
  </si>
  <si>
    <t>Mystery Badges Up</t>
  </si>
  <si>
    <t>Troops/Enlistment Up</t>
  </si>
  <si>
    <t>Atk/Def Up</t>
  </si>
  <si>
    <t>Leth/Health Up</t>
  </si>
  <si>
    <t>Rally Cap Up</t>
  </si>
  <si>
    <t>Arena Atk/Health Up</t>
  </si>
  <si>
    <t>Arena Tokens Up</t>
  </si>
  <si>
    <t>Arena Shop Discount</t>
  </si>
  <si>
    <t>Note: Not all data has been validated, be warned it may be incorrect (but it does seem to pass the sniff test) ~ Z</t>
  </si>
  <si>
    <t>Cyrille Skills</t>
  </si>
  <si>
    <t>Agnes Skills</t>
  </si>
  <si>
    <t>Romulus Skills</t>
  </si>
  <si>
    <t>Holger Skills</t>
  </si>
  <si>
    <t>Desired (Max 10)</t>
  </si>
  <si>
    <t>Desired (Max 5)</t>
  </si>
  <si>
    <t>Desired (Max 20)</t>
  </si>
  <si>
    <t>Abyssal Shelldragon</t>
  </si>
  <si>
    <t>1h Learning Speedups</t>
  </si>
  <si>
    <t>Supreme Presidency is on Construction Page, mark it there if appropriate</t>
  </si>
  <si>
    <t>(631) Zerethusta's Whiteout Survival  Calculator (RIP 631, now 646)</t>
  </si>
  <si>
    <t>Gen 11</t>
  </si>
  <si>
    <t>Gen 12</t>
  </si>
  <si>
    <t>Gen 13</t>
  </si>
  <si>
    <t>Eleonora</t>
  </si>
  <si>
    <t>Rufus</t>
  </si>
  <si>
    <t>Hervor</t>
  </si>
  <si>
    <t>Karol</t>
  </si>
  <si>
    <t>Ligeia</t>
  </si>
  <si>
    <t>Gisela</t>
  </si>
  <si>
    <t>Flora</t>
  </si>
  <si>
    <t>Vulcanus</t>
  </si>
  <si>
    <t>Lloyd</t>
  </si>
  <si>
    <t>3h Learning Speedups</t>
  </si>
  <si>
    <t>1m Learning Speedups</t>
  </si>
  <si>
    <t>Assuming these will be the next pets, keeping with the SSR costs for the last several released</t>
  </si>
  <si>
    <t>Packs &amp; Speedups</t>
  </si>
  <si>
    <t>XP (60/Min)</t>
  </si>
  <si>
    <t>Packs/Chests/Exchg</t>
  </si>
  <si>
    <t>Expert Levels</t>
  </si>
  <si>
    <t>Expert Skills</t>
  </si>
  <si>
    <t>Expert Level Costs</t>
  </si>
  <si>
    <t>Expert Skill Costs</t>
  </si>
  <si>
    <t>All Expert Upgrade Costs</t>
  </si>
  <si>
    <t>Affinity Items</t>
  </si>
  <si>
    <t>1m Speedups</t>
  </si>
  <si>
    <t>1h Speedups</t>
  </si>
  <si>
    <t>3h Speedups</t>
  </si>
  <si>
    <t>Skill Items</t>
  </si>
  <si>
    <t>Skill Items/Learning Speedups</t>
  </si>
  <si>
    <t>Total Time</t>
  </si>
  <si>
    <t>Total Learning Speedups Time</t>
  </si>
  <si>
    <t>Project Management</t>
  </si>
  <si>
    <t>Spirit of Aetees</t>
  </si>
  <si>
    <t>VERY LIKELY this will most benefit you on Tuesday, as it's the only day that overlaps with Books of Knowledge</t>
  </si>
  <si>
    <t>VERY LIKELY this will most benefit you on Tuesday, as it's the only day that overlaps with Learning Speedups</t>
  </si>
  <si>
    <t>Use SPEEDUPS for LEARNING (Expert Skills)</t>
  </si>
  <si>
    <t>Change</t>
  </si>
  <si>
    <t>100 Hero Gear XP per Bear Hunt</t>
  </si>
  <si>
    <t>Extra Essence Stones per Bear Hunt</t>
  </si>
  <si>
    <t>Extra Intel Missions Daily</t>
  </si>
  <si>
    <t>Extra Stamina from Storehouse</t>
  </si>
  <si>
    <t>Construction Speed Up on New Builds</t>
  </si>
  <si>
    <t>Items</t>
  </si>
  <si>
    <t>Badges</t>
  </si>
  <si>
    <t>Additional Mystery Badges and Mystery Shop Refreshes</t>
  </si>
  <si>
    <t>Refresh</t>
  </si>
  <si>
    <t>%</t>
  </si>
  <si>
    <t>Increased Arena Tokens (Daily and Weekly)</t>
  </si>
  <si>
    <t>Increased Arena Attack and Health %</t>
  </si>
  <si>
    <t>More items in Arena Shop + Discount</t>
  </si>
  <si>
    <t>Discount</t>
  </si>
  <si>
    <t>Additional Free Troops and Loyalty Tags Daily</t>
  </si>
  <si>
    <t>Tags</t>
  </si>
  <si>
    <t>Atk/Def %</t>
  </si>
  <si>
    <t>Increase Troop Lethality and Health %</t>
  </si>
  <si>
    <t>Increase Troop Attack and Defense %</t>
  </si>
  <si>
    <t>Lth/Hel %</t>
  </si>
  <si>
    <t>Increase Rally Capacity</t>
  </si>
  <si>
    <t>Rally Cap</t>
  </si>
  <si>
    <t>Bear +</t>
  </si>
  <si>
    <t>Cap</t>
  </si>
  <si>
    <t>Chance</t>
  </si>
  <si>
    <t>Deploy</t>
  </si>
  <si>
    <t>Bear Points Up %</t>
  </si>
  <si>
    <t>Troop Attack %</t>
  </si>
  <si>
    <t>Troop Defense %</t>
  </si>
  <si>
    <t>Chests &amp; Cap</t>
  </si>
  <si>
    <t>Troop Atk/Def %</t>
  </si>
  <si>
    <t>Chests % &amp; #</t>
  </si>
  <si>
    <t>Troop Leth/Hlth %</t>
  </si>
  <si>
    <t>Deployment +</t>
  </si>
  <si>
    <t>Bear Rally Cap +</t>
  </si>
  <si>
    <t>Extra Hero Gear XP</t>
  </si>
  <si>
    <t>Extra Essence Stones</t>
  </si>
  <si>
    <t>Bear Deployment +</t>
  </si>
  <si>
    <t>Experts</t>
  </si>
  <si>
    <t>VERY LIKELY this will most benefit you on Tuesday, as it's the only day that overlaps with Learning Speedups and Books of Knowledge</t>
  </si>
  <si>
    <t>144.000 per mithril</t>
  </si>
  <si>
    <t>Extra Daily Intel</t>
  </si>
  <si>
    <t>Increased Stamina</t>
  </si>
  <si>
    <t>Construction Speed +</t>
  </si>
  <si>
    <t>Attack/Defense %</t>
  </si>
  <si>
    <t>Lethality/Health %</t>
  </si>
  <si>
    <t>Arena Attack/Health</t>
  </si>
  <si>
    <t>Arena Tokens +</t>
  </si>
  <si>
    <t>Arena Shop Cost -</t>
  </si>
  <si>
    <t>Badge &amp; Refresh +</t>
  </si>
  <si>
    <t>Power Gain</t>
  </si>
  <si>
    <t>Free Troops &amp; Tags</t>
  </si>
  <si>
    <t>Many expert skills have prerequisites (some require a minimum number of total skill levels acquired for that expert, some require minimum Affinity levels.  I think I was able to max Cyrille at level 70.1 aka Close 1).  I don't have all that data, so just assume you'll have to bring up all skills roughly equally or…  Find out what you can pull off as you level up.                                                                                                                                                             -Z</t>
  </si>
  <si>
    <t>Baldur</t>
  </si>
  <si>
    <t>Fabian</t>
  </si>
  <si>
    <t>Blazing Sunrise</t>
  </si>
  <si>
    <t>Honored Conquest</t>
  </si>
  <si>
    <t>Bounty Hunter</t>
  </si>
  <si>
    <t>Dawn Hymm</t>
  </si>
  <si>
    <t>Additional Alliance Mobilization Points, Monument Tiers</t>
  </si>
  <si>
    <t>Tiers</t>
  </si>
  <si>
    <t>Additional Alliance Champ Badges, Items in Shop</t>
  </si>
  <si>
    <t>Additional Crazy Joe Points, Chests</t>
  </si>
  <si>
    <t>Additional Alliance Showdown Points, Milestone Rewards</t>
  </si>
  <si>
    <t>Rewards</t>
  </si>
  <si>
    <t>Salvager</t>
  </si>
  <si>
    <t>Crisis Rescue</t>
  </si>
  <si>
    <t>Heightened Firepower</t>
  </si>
  <si>
    <t>Battle Bulwark</t>
  </si>
  <si>
    <t>Cost -%</t>
  </si>
  <si>
    <t>Chest +%</t>
  </si>
  <si>
    <t xml:space="preserve">Fabian </t>
  </si>
  <si>
    <t>Fabian Upgrade Costs</t>
  </si>
  <si>
    <t>Baldur Upgrade Costs</t>
  </si>
  <si>
    <t>Baldur Skills</t>
  </si>
  <si>
    <t>Cost - &amp; Chest +</t>
  </si>
  <si>
    <t>Troop Atk/Def%</t>
  </si>
  <si>
    <t>Fabian Skills</t>
  </si>
  <si>
    <t>Mobilization Boosts</t>
  </si>
  <si>
    <t>Alliance Champ</t>
  </si>
  <si>
    <t>Crazy Joe Boosts</t>
  </si>
  <si>
    <t>Dawn Hymn</t>
  </si>
  <si>
    <t>Alliance Showdown +</t>
  </si>
  <si>
    <t>Aresenal Tokens</t>
  </si>
  <si>
    <t>Troop Recovery</t>
  </si>
  <si>
    <t>Event Leth/Health%</t>
  </si>
  <si>
    <t>Events Rally Cap</t>
  </si>
  <si>
    <t>Event Atk</t>
  </si>
  <si>
    <t>Event Def</t>
  </si>
  <si>
    <t>Additional Arsenal Tokens</t>
  </si>
  <si>
    <t>Instant Troop Recovery in Foundry &amp; Hellfire</t>
  </si>
  <si>
    <t>Lethality &amp; Health in Foundry &amp; Hellfire</t>
  </si>
  <si>
    <t>Increased Rally Cap in Foundry &amp; Hellfire</t>
  </si>
  <si>
    <t>Tokens</t>
  </si>
  <si>
    <t>Ursas's Bane</t>
  </si>
  <si>
    <t>Uncommon</t>
  </si>
  <si>
    <t>Uncommon (1-Star)</t>
  </si>
  <si>
    <t>Rare (1-Star)</t>
  </si>
  <si>
    <t>Rare (2-Star)</t>
  </si>
  <si>
    <t>Rare (3-Star)</t>
  </si>
  <si>
    <t>Epic (1-Star)</t>
  </si>
  <si>
    <t>Epic (2-Star)</t>
  </si>
  <si>
    <t>Epic (3-Star)</t>
  </si>
  <si>
    <t>Epic T1</t>
  </si>
  <si>
    <t>Epic T1 (1-Star)</t>
  </si>
  <si>
    <t>Epic T1 (3-Star)</t>
  </si>
  <si>
    <t>Epic T1 (2-Star)</t>
  </si>
  <si>
    <t>Mythic</t>
  </si>
  <si>
    <t>Mythic (1-Star)</t>
  </si>
  <si>
    <t>Mythic (2-Star)</t>
  </si>
  <si>
    <t>Mythic (3-Star)</t>
  </si>
  <si>
    <t>Mythic T1 (1-Star)</t>
  </si>
  <si>
    <t>Mythic T1 (3-Star)</t>
  </si>
  <si>
    <t>Mythic T1 (2-Star)</t>
  </si>
  <si>
    <t>Mythic T1</t>
  </si>
  <si>
    <t>Mythic T2</t>
  </si>
  <si>
    <t>Mythic T2 (1-Star)</t>
  </si>
  <si>
    <t>Mythic T2 (2-Star)</t>
  </si>
  <si>
    <t>Mythic T2 (3-Star)</t>
  </si>
  <si>
    <t>Mythic T2 (3-Star Status: 1)</t>
  </si>
  <si>
    <t>Mythic T2 (3-Star Status: 2)</t>
  </si>
  <si>
    <t>Mythic T2 (3-Star Status: 3)</t>
  </si>
  <si>
    <t>Legendary (Status: 1)</t>
  </si>
  <si>
    <t>Legendary (Status: 2)</t>
  </si>
  <si>
    <t>Legendary (Status: 3)</t>
  </si>
  <si>
    <t>Legendary (1-Star)</t>
  </si>
  <si>
    <t>Legendary (1-Star Status: 2)</t>
  </si>
  <si>
    <t>Legendary (1-Star Status: 1)</t>
  </si>
  <si>
    <t>Legendary (1-Star Status: 3)</t>
  </si>
  <si>
    <t>Legendary (2-Star)</t>
  </si>
  <si>
    <t>Legendary (2-Star Status: 1)</t>
  </si>
  <si>
    <t>Legendary (2-Star Status: 2)</t>
  </si>
  <si>
    <t>Legendary (2-Star Status: 3)</t>
  </si>
  <si>
    <t>Legendary (3-Star)</t>
  </si>
  <si>
    <t>Legendary (3-Star Status: 1)</t>
  </si>
  <si>
    <t>Legendary (3-Star Status: 2)</t>
  </si>
  <si>
    <t>Legendary (3-Star Status: 3)</t>
  </si>
  <si>
    <t>Legendary T1 (Status: 1)</t>
  </si>
  <si>
    <t>Legendary T1 (Status: 2)</t>
  </si>
  <si>
    <t>Legendary T1 (Status: 3)</t>
  </si>
  <si>
    <t>Legendary T1 (1-Star)</t>
  </si>
  <si>
    <t>Legendary T1 (1-Star Status: 1)</t>
  </si>
  <si>
    <t>Legendary T1 (1-Star Status: 2)</t>
  </si>
  <si>
    <t>Legendary T1 (1-Star Status: 3)</t>
  </si>
  <si>
    <t>Legendary T1 (2-Star)</t>
  </si>
  <si>
    <t>Legendary T1 (2-Star Status: 1)</t>
  </si>
  <si>
    <t>Legendary T1 (2-Star Status: 2)</t>
  </si>
  <si>
    <t>Legendary T1 (2-Star Status: 3)</t>
  </si>
  <si>
    <t>Legendary T1 (3-Star)</t>
  </si>
  <si>
    <t>Legendary T1 (3-Star Status: 1)</t>
  </si>
  <si>
    <t>Legendary T1 (3-Star Status: 2)</t>
  </si>
  <si>
    <t>Legendary T1 (3-Star Status: 3)</t>
  </si>
  <si>
    <t>Legendary T2 (Status: 1)</t>
  </si>
  <si>
    <t>Legendary T2 (Status: 2)</t>
  </si>
  <si>
    <t>Legendary T2 (Status: 3)</t>
  </si>
  <si>
    <t>Legendary T2 (1-Star)</t>
  </si>
  <si>
    <t>Legendary T2 (1-Star Status: 1)</t>
  </si>
  <si>
    <t>Legendary T2 (1-Star Status: 2)</t>
  </si>
  <si>
    <t>Legendary T2 (1-Star Status: 3)</t>
  </si>
  <si>
    <t>Legendary T2 (2-Star)</t>
  </si>
  <si>
    <t>Legendary T2 (2-Star Status: 1)</t>
  </si>
  <si>
    <t>Legendary T2 (2-Star Status: 2)</t>
  </si>
  <si>
    <t>Legendary T2 (2-Star Status: 3)</t>
  </si>
  <si>
    <t>Legendary T2 (3-Star)</t>
  </si>
  <si>
    <t>Legendary T2 (3-Star Status: 1)</t>
  </si>
  <si>
    <t>Legendary T2 (3-Star Status: 2)</t>
  </si>
  <si>
    <t>Legendary T2 (3-Star Status: 3)</t>
  </si>
  <si>
    <t>Legendary T3 (Status: 1)</t>
  </si>
  <si>
    <t>Legendary T3 (Status: 2)</t>
  </si>
  <si>
    <t>Legendary T3 (Status: 3)</t>
  </si>
  <si>
    <t>Legendary T3 (1-Star)</t>
  </si>
  <si>
    <t>Legendary T3 (1-Star Status: 1)</t>
  </si>
  <si>
    <t>Legendary T3 (1-Star Status: 2)</t>
  </si>
  <si>
    <t>Legendary T3 (1-Star Status: 3)</t>
  </si>
  <si>
    <t>Legendary T3 (2-Star)</t>
  </si>
  <si>
    <t>Legendary T3 (2-Star Status: 1)</t>
  </si>
  <si>
    <t>Legendary T3 (2-Star Status: 2)</t>
  </si>
  <si>
    <t>Legendary T3 (2-Star Status: 3)</t>
  </si>
  <si>
    <t>Legendary T3 (3-Star)</t>
  </si>
  <si>
    <t>Legendary T3 (3-Star Status: 1)</t>
  </si>
  <si>
    <t>Legendary T3 (3-Star Status: 2)</t>
  </si>
  <si>
    <t>Legendary T3 (3-Star Status: 3)</t>
  </si>
  <si>
    <t>Legendary T3 (3-Star Status: 4)</t>
  </si>
  <si>
    <t>Legendary T4 (Status: 2)</t>
  </si>
  <si>
    <t>Legendary T4 (Status: 1)</t>
  </si>
  <si>
    <t>Legendary T4 (Status: 3)</t>
  </si>
  <si>
    <t>Legendary T4 (Status: 4)</t>
  </si>
  <si>
    <t>Legendary T4 (1-Star)</t>
  </si>
  <si>
    <t>Legendary T4 (1-Star Status: 1)</t>
  </si>
  <si>
    <t>Legendary T4 (1-Star Status: 2)</t>
  </si>
  <si>
    <t>Legendary T4 (1-Star Status: 3)</t>
  </si>
  <si>
    <t>Legendary T4 (1-Star Status: 4)</t>
  </si>
  <si>
    <t>Legendary T4 (2-Star)</t>
  </si>
  <si>
    <t>Legendary T4 (2-Star Status: 1)</t>
  </si>
  <si>
    <t>Legendary T4 (2-Star Status: 2)</t>
  </si>
  <si>
    <t>Legendary T4 (2-Star Status: 3)</t>
  </si>
  <si>
    <t>Legendary T4 (2-Star Status: 4)</t>
  </si>
  <si>
    <t>Legendary T4 (3-Star)</t>
  </si>
  <si>
    <t>T3 3* -&gt; T4 3*</t>
  </si>
  <si>
    <t>X6</t>
  </si>
  <si>
    <t>3.1b</t>
  </si>
  <si>
    <t>Troop Leth/Hlth%</t>
  </si>
  <si>
    <t>Event Atk/Def%</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</si>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</sst>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_(&quot;$&quot;* #,##0.00_);_(&quot;$&quot;* \(#,##0.00\);_(&quot;$&quot;* &quot;-&quot;??_);_(@_)"/>
    <numFmt numFmtId="166" formatCode="_(* #,##0.00_);_(* \(#,##0.00\);_(* &quot;-&quot;??_);_(@_)"/>
    <numFmt numFmtId="167" formatCode="_(* #,##0_);_(* \(#,##0\);_(* &quot;-&quot;??_);_(@_)"/>
    <numFmt numFmtId="168" formatCode="[$-409]mmmm\ d\,\ yyyy;@"/>
    <numFmt numFmtId="169" formatCode="0.0"/>
    <numFmt numFmtId="170" formatCode="&quot;$&quot;#,##0"/>
    <numFmt numFmtId="171" formatCode="0.0%"/>
    <numFmt numFmtId="172" formatCode="#,##0.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3F3F76"/>
      <name val="Aptos Narrow"/>
      <family val="2"/>
      <scheme val="minor"/>
    </font>
    <font>
      <b/>
      <sz val="11"/>
      <color rgb="FF3F3F76"/>
      <name val="Aptos Narrow"/>
      <family val="2"/>
      <scheme val="minor"/>
    </font>
    <font>
      <b/>
      <sz val="20"/>
      <color theme="0"/>
      <name val="Aptos Narrow"/>
      <family val="2"/>
      <scheme val="minor"/>
    </font>
    <font>
      <b/>
      <sz val="28"/>
      <color theme="0"/>
      <name val="Aptos Narrow"/>
      <family val="2"/>
      <scheme val="minor"/>
    </font>
    <font>
      <sz val="11"/>
      <color theme="0"/>
      <name val="Aptos Narrow"/>
      <family val="2"/>
      <scheme val="minor"/>
    </font>
    <font>
      <sz val="11"/>
      <color rgb="FFFF0000"/>
      <name val="Aptos Narrow"/>
      <family val="2"/>
      <scheme val="minor"/>
    </font>
    <font>
      <b/>
      <sz val="26"/>
      <color theme="0"/>
      <name val="Aptos Narrow"/>
      <family val="2"/>
      <scheme val="minor"/>
    </font>
    <font>
      <b/>
      <sz val="10"/>
      <color theme="0"/>
      <name val="Aptos Narrow"/>
      <family val="2"/>
      <scheme val="minor"/>
    </font>
    <font>
      <b/>
      <sz val="10"/>
      <color theme="1"/>
      <name val="Aptos Narrow"/>
      <family val="2"/>
      <scheme val="minor"/>
    </font>
    <font>
      <sz val="8"/>
      <name val="Aptos Narrow"/>
      <family val="2"/>
      <scheme val="minor"/>
    </font>
    <font>
      <b/>
      <sz val="12"/>
      <color theme="0"/>
      <name val="Aptos Narrow"/>
      <family val="2"/>
      <scheme val="minor"/>
    </font>
    <font>
      <b/>
      <sz val="12"/>
      <color theme="1"/>
      <name val="Aptos Narrow"/>
      <family val="2"/>
      <scheme val="minor"/>
    </font>
    <font>
      <b/>
      <sz val="11"/>
      <color theme="2"/>
      <name val="Aptos Narrow"/>
      <family val="2"/>
      <scheme val="minor"/>
    </font>
    <font>
      <sz val="11"/>
      <name val="Aptos Narrow"/>
      <family val="2"/>
      <scheme val="minor"/>
    </font>
    <font>
      <b/>
      <sz val="11"/>
      <name val="Aptos Narrow"/>
      <family val="2"/>
      <scheme val="minor"/>
    </font>
    <font>
      <sz val="8"/>
      <color rgb="FF000000"/>
      <name val="Segoe UI"/>
      <family val="2"/>
    </font>
    <font>
      <sz val="10"/>
      <color theme="1"/>
      <name val="Aptos Narrow"/>
      <family val="2"/>
      <scheme val="minor"/>
    </font>
    <font>
      <b/>
      <sz val="14"/>
      <color theme="0"/>
      <name val="Aptos Narrow"/>
      <family val="2"/>
      <scheme val="minor"/>
    </font>
    <font>
      <b/>
      <sz val="22"/>
      <color theme="0"/>
      <name val="Aptos Narrow"/>
      <family val="2"/>
      <scheme val="minor"/>
    </font>
    <font>
      <b/>
      <sz val="24"/>
      <color theme="0"/>
      <name val="Aptos Narrow"/>
      <family val="2"/>
      <scheme val="minor"/>
    </font>
    <font>
      <b/>
      <sz val="9"/>
      <color theme="0"/>
      <name val="Aptos Narrow"/>
      <family val="2"/>
      <scheme val="minor"/>
    </font>
    <font>
      <sz val="9"/>
      <color theme="1"/>
      <name val="Aptos Narrow"/>
      <family val="2"/>
      <scheme val="minor"/>
    </font>
    <font>
      <b/>
      <sz val="9"/>
      <color theme="1"/>
      <name val="Aptos Narrow"/>
      <family val="2"/>
      <scheme val="minor"/>
    </font>
    <font>
      <sz val="11"/>
      <color rgb="FF006100"/>
      <name val="Aptos Narrow"/>
      <family val="2"/>
      <scheme val="minor"/>
    </font>
    <font>
      <sz val="11"/>
      <color rgb="FF9C0006"/>
      <name val="Aptos Narrow"/>
      <family val="2"/>
      <scheme val="minor"/>
    </font>
    <font>
      <b/>
      <sz val="11"/>
      <color rgb="FF9C0006"/>
      <name val="Aptos Narrow"/>
      <family val="2"/>
      <scheme val="minor"/>
    </font>
    <font>
      <b/>
      <sz val="20"/>
      <color theme="1"/>
      <name val="Aptos Narrow"/>
      <family val="2"/>
      <scheme val="minor"/>
    </font>
    <font>
      <b/>
      <sz val="16"/>
      <color theme="0"/>
      <name val="Aptos Narrow"/>
      <family val="2"/>
      <scheme val="minor"/>
    </font>
    <font>
      <sz val="10"/>
      <color rgb="FF3F3F76"/>
      <name val="Aptos Narrow"/>
      <family val="2"/>
      <scheme val="minor"/>
    </font>
  </fonts>
  <fills count="29">
    <fill>
      <patternFill patternType="none"/>
    </fill>
    <fill>
      <patternFill patternType="gray125"/>
    </fill>
    <fill>
      <patternFill patternType="solid">
        <fgColor theme="1" tint="0.499984740745262"/>
        <bgColor indexed="64"/>
      </patternFill>
    </fill>
    <fill>
      <patternFill patternType="solid">
        <fgColor rgb="FFFFCC99"/>
      </patternFill>
    </fill>
    <fill>
      <patternFill patternType="solid">
        <fgColor theme="1"/>
        <bgColor indexed="64"/>
      </patternFill>
    </fill>
    <fill>
      <patternFill patternType="solid">
        <fgColor theme="1" tint="0.34998626667073579"/>
        <bgColor indexed="64"/>
      </patternFill>
    </fill>
    <fill>
      <patternFill patternType="solid">
        <fgColor theme="9"/>
      </patternFill>
    </fill>
    <fill>
      <patternFill patternType="solid">
        <fgColor rgb="FFFFFFFF"/>
        <bgColor indexed="64"/>
      </patternFill>
    </fill>
    <fill>
      <patternFill patternType="solid">
        <fgColor theme="0"/>
        <bgColor indexed="64"/>
      </patternFill>
    </fill>
    <fill>
      <patternFill patternType="solid">
        <fgColor theme="7" tint="0.39997558519241921"/>
        <bgColor indexed="64"/>
      </patternFill>
    </fill>
    <fill>
      <patternFill patternType="solid">
        <fgColor theme="2" tint="-0.499984740745262"/>
        <bgColor indexed="64"/>
      </patternFill>
    </fill>
    <fill>
      <patternFill patternType="solid">
        <fgColor theme="7" tint="0.59999389629810485"/>
        <bgColor indexed="65"/>
      </patternFill>
    </fill>
    <fill>
      <patternFill patternType="solid">
        <fgColor theme="8" tint="0.59999389629810485"/>
        <bgColor indexed="65"/>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5" tint="0.79998168889431442"/>
        <bgColor indexed="65"/>
      </patternFill>
    </fill>
    <fill>
      <patternFill patternType="solid">
        <fgColor theme="9" tint="0.79998168889431442"/>
        <bgColor indexed="64"/>
      </patternFill>
    </fill>
    <fill>
      <patternFill patternType="solid">
        <fgColor theme="8" tint="0.79998168889431442"/>
        <bgColor indexed="64"/>
      </patternFill>
    </fill>
    <fill>
      <patternFill patternType="solid">
        <fgColor rgb="FFC6EFCE"/>
      </patternFill>
    </fill>
    <fill>
      <patternFill patternType="solid">
        <fgColor rgb="FFFFC7CE"/>
      </patternFill>
    </fill>
    <fill>
      <patternFill patternType="solid">
        <fgColor theme="9" tint="0.39997558519241921"/>
        <bgColor indexed="65"/>
      </patternFill>
    </fill>
    <fill>
      <patternFill patternType="solid">
        <fgColor theme="2" tint="-0.249977111117893"/>
        <bgColor indexed="64"/>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
      <patternFill patternType="solid">
        <fgColor rgb="FFFFFF00"/>
        <bgColor indexed="64"/>
      </patternFill>
    </fill>
  </fills>
  <borders count="69">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indexed="64"/>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indexed="64"/>
      </right>
      <top style="thin">
        <color indexed="64"/>
      </top>
      <bottom style="thin">
        <color rgb="FF7F7F7F"/>
      </bottom>
      <diagonal/>
    </border>
    <border>
      <left/>
      <right style="thin">
        <color rgb="FF7F7F7F"/>
      </right>
      <top style="thin">
        <color rgb="FF7F7F7F"/>
      </top>
      <bottom style="thin">
        <color rgb="FF7F7F7F"/>
      </bottom>
      <diagonal/>
    </border>
    <border>
      <left/>
      <right/>
      <top style="thin">
        <color indexed="64"/>
      </top>
      <bottom style="thin">
        <color indexed="64"/>
      </bottom>
      <diagonal/>
    </border>
    <border>
      <left/>
      <right style="thin">
        <color rgb="FF7F7F7F"/>
      </right>
      <top/>
      <bottom style="thin">
        <color rgb="FF7F7F7F"/>
      </bottom>
      <diagonal/>
    </border>
    <border>
      <left style="thin">
        <color indexed="64"/>
      </left>
      <right style="thin">
        <color indexed="64"/>
      </right>
      <top/>
      <bottom/>
      <diagonal/>
    </border>
    <border>
      <left style="medium">
        <color rgb="FFEEEEEE"/>
      </left>
      <right style="medium">
        <color rgb="FFEEEEEE"/>
      </right>
      <top style="medium">
        <color rgb="FFEEEEEE"/>
      </top>
      <bottom style="medium">
        <color rgb="FFEEEEEE"/>
      </bottom>
      <diagonal/>
    </border>
    <border>
      <left style="medium">
        <color rgb="FFEEEEEE"/>
      </left>
      <right/>
      <top style="medium">
        <color rgb="FFEEEEEE"/>
      </top>
      <bottom style="medium">
        <color rgb="FFEEEEEE"/>
      </bottom>
      <diagonal/>
    </border>
    <border>
      <left style="medium">
        <color rgb="FFEEEEEE"/>
      </left>
      <right style="medium">
        <color rgb="FFEEEEEE"/>
      </right>
      <top/>
      <bottom style="medium">
        <color rgb="FFEEEEEE"/>
      </bottom>
      <diagonal/>
    </border>
    <border>
      <left style="medium">
        <color rgb="FFEEEEEE"/>
      </left>
      <right style="medium">
        <color rgb="FFEEEEEE"/>
      </right>
      <top/>
      <bottom/>
      <diagonal/>
    </border>
    <border>
      <left style="thin">
        <color indexed="64"/>
      </left>
      <right style="thin">
        <color indexed="64"/>
      </right>
      <top style="thin">
        <color rgb="FF7F7F7F"/>
      </top>
      <bottom style="thin">
        <color indexed="64"/>
      </bottom>
      <diagonal/>
    </border>
    <border>
      <left/>
      <right style="thin">
        <color indexed="64"/>
      </right>
      <top style="thin">
        <color rgb="FF7F7F7F"/>
      </top>
      <bottom style="thin">
        <color indexed="64"/>
      </bottom>
      <diagonal/>
    </border>
    <border>
      <left/>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theme="1"/>
      </right>
      <top/>
      <bottom/>
      <diagonal/>
    </border>
    <border>
      <left style="thin">
        <color theme="1"/>
      </left>
      <right/>
      <top/>
      <bottom/>
      <diagonal/>
    </border>
    <border>
      <left style="thin">
        <color rgb="FF7F7F7F"/>
      </left>
      <right/>
      <top style="thin">
        <color rgb="FF7F7F7F"/>
      </top>
      <bottom style="thin">
        <color rgb="FF7F7F7F"/>
      </bottom>
      <diagonal/>
    </border>
    <border>
      <left/>
      <right style="thin">
        <color rgb="FF7F7F7F"/>
      </right>
      <top style="thin">
        <color rgb="FF7F7F7F"/>
      </top>
      <bottom/>
      <diagonal/>
    </border>
    <border>
      <left style="thin">
        <color rgb="FF7F7F7F"/>
      </left>
      <right style="thin">
        <color indexed="64"/>
      </right>
      <top/>
      <bottom style="thin">
        <color rgb="FF7F7F7F"/>
      </bottom>
      <diagonal/>
    </border>
    <border>
      <left style="thin">
        <color indexed="64"/>
      </left>
      <right style="thin">
        <color rgb="FF7F7F7F"/>
      </right>
      <top style="thin">
        <color indexed="64"/>
      </top>
      <bottom style="thin">
        <color indexed="64"/>
      </bottom>
      <diagonal/>
    </border>
    <border>
      <left style="thin">
        <color rgb="FF7F7F7F"/>
      </left>
      <right style="thin">
        <color indexed="64"/>
      </right>
      <top style="thin">
        <color indexed="64"/>
      </top>
      <bottom style="thin">
        <color indexed="64"/>
      </bottom>
      <diagonal/>
    </border>
    <border>
      <left style="thin">
        <color rgb="FF7F7F7F"/>
      </left>
      <right/>
      <top/>
      <bottom style="thin">
        <color rgb="FF7F7F7F"/>
      </bottom>
      <diagonal/>
    </border>
    <border>
      <left/>
      <right/>
      <top style="thin">
        <color rgb="FF7F7F7F"/>
      </top>
      <bottom style="thin">
        <color indexed="64"/>
      </bottom>
      <diagonal/>
    </border>
    <border>
      <left style="thin">
        <color rgb="FF7F7F7F"/>
      </left>
      <right style="thin">
        <color rgb="FF7F7F7F"/>
      </right>
      <top style="thin">
        <color rgb="FF7F7F7F"/>
      </top>
      <bottom/>
      <diagonal/>
    </border>
    <border>
      <left/>
      <right style="thin">
        <color theme="0"/>
      </right>
      <top/>
      <bottom/>
      <diagonal/>
    </border>
    <border>
      <left style="thin">
        <color theme="0"/>
      </left>
      <right/>
      <top/>
      <bottom/>
      <diagonal/>
    </border>
    <border>
      <left/>
      <right style="thin">
        <color theme="2"/>
      </right>
      <top/>
      <bottom/>
      <diagonal/>
    </border>
    <border>
      <left style="thin">
        <color theme="2"/>
      </left>
      <right/>
      <top/>
      <bottom/>
      <diagonal/>
    </border>
    <border>
      <left style="thin">
        <color indexed="64"/>
      </left>
      <right style="thin">
        <color rgb="FF7F7F7F"/>
      </right>
      <top style="thin">
        <color indexed="64"/>
      </top>
      <bottom style="thin">
        <color rgb="FF7F7F7F"/>
      </bottom>
      <diagonal/>
    </border>
    <border>
      <left style="thin">
        <color rgb="FF7F7F7F"/>
      </left>
      <right style="thin">
        <color rgb="FF7F7F7F"/>
      </right>
      <top style="thin">
        <color indexed="64"/>
      </top>
      <bottom style="thin">
        <color rgb="FF7F7F7F"/>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rgb="FF7F7F7F"/>
      </left>
      <right style="thin">
        <color rgb="FF7F7F7F"/>
      </right>
      <top style="thin">
        <color indexed="64"/>
      </top>
      <bottom style="thin">
        <color indexed="64"/>
      </bottom>
      <diagonal/>
    </border>
    <border>
      <left style="thin">
        <color indexed="64"/>
      </left>
      <right style="thin">
        <color rgb="FF7F7F7F"/>
      </right>
      <top/>
      <bottom style="thin">
        <color rgb="FF7F7F7F"/>
      </bottom>
      <diagonal/>
    </border>
    <border>
      <left/>
      <right/>
      <top style="thin">
        <color rgb="FF7F7F7F"/>
      </top>
      <bottom/>
      <diagonal/>
    </border>
    <border>
      <left style="thin">
        <color rgb="FF7F7F7F"/>
      </left>
      <right style="thin">
        <color indexed="64"/>
      </right>
      <top style="thin">
        <color rgb="FF7F7F7F"/>
      </top>
      <bottom style="thin">
        <color indexed="64"/>
      </bottom>
      <diagonal/>
    </border>
    <border>
      <left style="thin">
        <color indexed="64"/>
      </left>
      <right style="thin">
        <color rgb="FF7F7F7F"/>
      </right>
      <top style="thin">
        <color indexed="64"/>
      </top>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diagonal/>
    </border>
    <border>
      <left style="thin">
        <color indexed="64"/>
      </left>
      <right style="thin">
        <color indexed="64"/>
      </right>
      <top style="thin">
        <color indexed="64"/>
      </top>
      <bottom style="thin">
        <color rgb="FF7F7F7F"/>
      </bottom>
      <diagonal/>
    </border>
    <border>
      <left style="thin">
        <color indexed="64"/>
      </left>
      <right style="thin">
        <color indexed="64"/>
      </right>
      <top style="thin">
        <color rgb="FF7F7F7F"/>
      </top>
      <bottom style="thin">
        <color rgb="FF7F7F7F"/>
      </bottom>
      <diagonal/>
    </border>
    <border>
      <left/>
      <right style="thin">
        <color rgb="FF7F7F7F"/>
      </right>
      <top/>
      <bottom/>
      <diagonal/>
    </border>
    <border>
      <left style="thin">
        <color indexed="64"/>
      </left>
      <right style="thin">
        <color rgb="FF7F7F7F"/>
      </right>
      <top/>
      <bottom/>
      <diagonal/>
    </border>
    <border>
      <left style="thin">
        <color rgb="FF7F7F7F"/>
      </left>
      <right style="thin">
        <color rgb="FF7F7F7F"/>
      </right>
      <top/>
      <bottom/>
      <diagonal/>
    </border>
    <border>
      <left style="thin">
        <color rgb="FF7F7F7F"/>
      </left>
      <right style="thin">
        <color indexed="64"/>
      </right>
      <top/>
      <bottom/>
      <diagonal/>
    </border>
    <border>
      <left style="thin">
        <color rgb="FF7F7F7F"/>
      </left>
      <right/>
      <top style="thin">
        <color indexed="64"/>
      </top>
      <bottom style="thin">
        <color rgb="FF7F7F7F"/>
      </bottom>
      <diagonal/>
    </border>
    <border>
      <left/>
      <right/>
      <top style="thin">
        <color indexed="64"/>
      </top>
      <bottom style="thin">
        <color rgb="FF7F7F7F"/>
      </bottom>
      <diagonal/>
    </border>
    <border>
      <left style="thin">
        <color theme="0"/>
      </left>
      <right/>
      <top/>
      <bottom style="thin">
        <color indexed="64"/>
      </bottom>
      <diagonal/>
    </border>
    <border>
      <left style="thin">
        <color rgb="FF7F7F7F"/>
      </left>
      <right/>
      <top style="thin">
        <color rgb="FF7F7F7F"/>
      </top>
      <bottom/>
      <diagonal/>
    </border>
    <border>
      <left style="thin">
        <color indexed="64"/>
      </left>
      <right style="thin">
        <color rgb="FF7F7F7F"/>
      </right>
      <top/>
      <bottom style="thin">
        <color indexed="64"/>
      </bottom>
      <diagonal/>
    </border>
    <border>
      <left style="thin">
        <color rgb="FF7F7F7F"/>
      </left>
      <right style="thin">
        <color indexed="64"/>
      </right>
      <top/>
      <bottom style="thin">
        <color indexed="64"/>
      </bottom>
      <diagonal/>
    </border>
    <border>
      <left style="thin">
        <color rgb="FF7F7F7F"/>
      </left>
      <right style="thin">
        <color indexed="64"/>
      </right>
      <top style="thin">
        <color indexed="64"/>
      </top>
      <bottom/>
      <diagonal/>
    </border>
  </borders>
  <cellStyleXfs count="12">
    <xf numFmtId="0" fontId="0" fillId="0" borderId="0"/>
    <xf numFmtId="166" fontId="1" fillId="0" borderId="0" applyFont="0" applyFill="0" applyBorder="0" applyAlignment="0" applyProtection="0"/>
    <xf numFmtId="9" fontId="1" fillId="0" borderId="0" applyFont="0" applyFill="0" applyBorder="0" applyAlignment="0" applyProtection="0"/>
    <xf numFmtId="0" fontId="4" fillId="3" borderId="1" applyNumberFormat="0" applyAlignment="0" applyProtection="0"/>
    <xf numFmtId="0" fontId="8" fillId="6"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165" fontId="1" fillId="0" borderId="0" applyFont="0" applyFill="0" applyBorder="0" applyAlignment="0" applyProtection="0"/>
    <xf numFmtId="0" fontId="1" fillId="16" borderId="0" applyNumberFormat="0" applyBorder="0" applyAlignment="0" applyProtection="0"/>
    <xf numFmtId="0" fontId="27" fillId="19" borderId="0" applyNumberFormat="0" applyBorder="0" applyAlignment="0" applyProtection="0"/>
    <xf numFmtId="0" fontId="28" fillId="20" borderId="0" applyNumberFormat="0" applyBorder="0" applyAlignment="0" applyProtection="0"/>
    <xf numFmtId="0" fontId="1" fillId="21" borderId="0" applyNumberFormat="0" applyBorder="0" applyAlignment="0" applyProtection="0"/>
  </cellStyleXfs>
  <cellXfs count="821">
    <xf numFmtId="0" fontId="0" fillId="0" borderId="0" xfId="0"/>
    <xf numFmtId="0" fontId="0" fillId="0" borderId="0" xfId="0" applyAlignment="1">
      <alignment horizontal="center"/>
    </xf>
    <xf numFmtId="0" fontId="3" fillId="0" borderId="0" xfId="0" applyFont="1" applyAlignment="1">
      <alignment horizontal="center"/>
    </xf>
    <xf numFmtId="0" fontId="3" fillId="0" borderId="0" xfId="0" applyFont="1"/>
    <xf numFmtId="167" fontId="0" fillId="0" borderId="0" xfId="1" applyNumberFormat="1" applyFont="1"/>
    <xf numFmtId="167" fontId="0" fillId="0" borderId="0" xfId="0" applyNumberFormat="1"/>
    <xf numFmtId="167" fontId="0" fillId="0" borderId="0" xfId="1" applyNumberFormat="1" applyFont="1" applyAlignment="1">
      <alignment horizontal="center"/>
    </xf>
    <xf numFmtId="0" fontId="0" fillId="0" borderId="0" xfId="1" applyNumberFormat="1" applyFont="1" applyAlignment="1">
      <alignment horizontal="center"/>
    </xf>
    <xf numFmtId="0" fontId="0" fillId="0" borderId="0" xfId="0" applyAlignment="1">
      <alignment horizontal="left"/>
    </xf>
    <xf numFmtId="0" fontId="0" fillId="0" borderId="0" xfId="0" applyAlignment="1">
      <alignment horizontal="right"/>
    </xf>
    <xf numFmtId="167" fontId="0" fillId="0" borderId="0" xfId="0" applyNumberFormat="1" applyAlignment="1">
      <alignment horizontal="left"/>
    </xf>
    <xf numFmtId="0" fontId="3" fillId="0" borderId="0" xfId="0" applyFont="1" applyAlignment="1">
      <alignment horizontal="right"/>
    </xf>
    <xf numFmtId="167" fontId="0" fillId="0" borderId="0" xfId="1" applyNumberFormat="1" applyFont="1" applyAlignment="1">
      <alignment horizontal="left"/>
    </xf>
    <xf numFmtId="0" fontId="2" fillId="4" borderId="0" xfId="0" applyFont="1" applyFill="1" applyAlignment="1">
      <alignment horizontal="center"/>
    </xf>
    <xf numFmtId="0" fontId="2" fillId="2" borderId="10" xfId="0" applyFont="1" applyFill="1" applyBorder="1" applyAlignment="1">
      <alignment horizontal="center"/>
    </xf>
    <xf numFmtId="0" fontId="0" fillId="0" borderId="5" xfId="0" applyBorder="1" applyAlignment="1">
      <alignment horizontal="center"/>
    </xf>
    <xf numFmtId="0" fontId="2" fillId="2" borderId="12" xfId="0" applyFont="1" applyFill="1" applyBorder="1" applyAlignment="1">
      <alignment horizontal="center"/>
    </xf>
    <xf numFmtId="0" fontId="0" fillId="0" borderId="7" xfId="0" applyBorder="1" applyAlignment="1">
      <alignment horizontal="center"/>
    </xf>
    <xf numFmtId="0" fontId="0" fillId="0" borderId="8" xfId="0" applyBorder="1"/>
    <xf numFmtId="0" fontId="0" fillId="0" borderId="6" xfId="0" applyBorder="1"/>
    <xf numFmtId="0" fontId="0" fillId="0" borderId="2"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8" fillId="6" borderId="10" xfId="4" applyBorder="1"/>
    <xf numFmtId="0" fontId="0" fillId="0" borderId="5" xfId="0" applyBorder="1"/>
    <xf numFmtId="0" fontId="0" fillId="0" borderId="4" xfId="0" applyBorder="1"/>
    <xf numFmtId="0" fontId="0" fillId="0" borderId="9" xfId="0" applyBorder="1"/>
    <xf numFmtId="0" fontId="0" fillId="0" borderId="7" xfId="0" applyBorder="1"/>
    <xf numFmtId="0" fontId="2" fillId="2" borderId="14" xfId="0" applyFont="1" applyFill="1" applyBorder="1" applyAlignment="1">
      <alignment horizontal="center"/>
    </xf>
    <xf numFmtId="167" fontId="0" fillId="0" borderId="0" xfId="1" applyNumberFormat="1" applyFont="1" applyAlignment="1">
      <alignment horizontal="right"/>
    </xf>
    <xf numFmtId="166" fontId="0" fillId="0" borderId="0" xfId="2" applyNumberFormat="1" applyFont="1" applyAlignment="1">
      <alignment horizontal="left"/>
    </xf>
    <xf numFmtId="0" fontId="0" fillId="0" borderId="21" xfId="0" applyBorder="1" applyAlignment="1">
      <alignment horizontal="center" vertical="center"/>
    </xf>
    <xf numFmtId="3" fontId="0" fillId="0" borderId="21" xfId="0" applyNumberFormat="1" applyBorder="1" applyAlignment="1">
      <alignment horizontal="center" vertical="center"/>
    </xf>
    <xf numFmtId="0" fontId="0" fillId="7" borderId="21" xfId="0" applyFill="1" applyBorder="1" applyAlignment="1">
      <alignment vertical="center"/>
    </xf>
    <xf numFmtId="3" fontId="0" fillId="7" borderId="21" xfId="0" applyNumberFormat="1" applyFill="1" applyBorder="1" applyAlignment="1">
      <alignment vertical="center"/>
    </xf>
    <xf numFmtId="0" fontId="0" fillId="7" borderId="21" xfId="0" applyFill="1" applyBorder="1" applyAlignment="1">
      <alignment horizontal="right" vertical="center"/>
    </xf>
    <xf numFmtId="0" fontId="0" fillId="0" borderId="21" xfId="0" applyBorder="1" applyAlignment="1">
      <alignment horizontal="right" vertical="center"/>
    </xf>
    <xf numFmtId="0" fontId="3" fillId="0" borderId="23" xfId="0" applyFont="1" applyBorder="1" applyAlignment="1">
      <alignment horizontal="center" vertical="center"/>
    </xf>
    <xf numFmtId="3" fontId="0" fillId="0" borderId="0" xfId="0" applyNumberFormat="1"/>
    <xf numFmtId="0" fontId="3" fillId="7" borderId="23" xfId="0" applyFont="1" applyFill="1" applyBorder="1" applyAlignment="1">
      <alignment horizontal="center" vertical="center"/>
    </xf>
    <xf numFmtId="0" fontId="3" fillId="7" borderId="22" xfId="0" applyFont="1" applyFill="1" applyBorder="1" applyAlignment="1">
      <alignment horizontal="left" vertical="center"/>
    </xf>
    <xf numFmtId="0" fontId="3" fillId="0" borderId="24" xfId="0" applyFont="1" applyBorder="1" applyAlignment="1">
      <alignment horizontal="center" vertical="center"/>
    </xf>
    <xf numFmtId="0" fontId="2" fillId="2" borderId="13" xfId="0" applyFont="1" applyFill="1" applyBorder="1" applyAlignment="1">
      <alignment vertical="center"/>
    </xf>
    <xf numFmtId="0" fontId="2" fillId="2" borderId="18" xfId="0" applyFont="1" applyFill="1" applyBorder="1" applyAlignment="1">
      <alignment vertical="center"/>
    </xf>
    <xf numFmtId="0" fontId="2" fillId="2" borderId="14" xfId="0" applyFont="1" applyFill="1" applyBorder="1" applyAlignment="1">
      <alignment vertical="center"/>
    </xf>
    <xf numFmtId="167" fontId="3" fillId="0" borderId="0" xfId="1" applyNumberFormat="1" applyFont="1" applyAlignment="1">
      <alignment horizontal="center"/>
    </xf>
    <xf numFmtId="1" fontId="0" fillId="0" borderId="0" xfId="0" applyNumberFormat="1"/>
    <xf numFmtId="0" fontId="4" fillId="3" borderId="10" xfId="3" applyBorder="1" applyAlignment="1" applyProtection="1">
      <alignment horizontal="center"/>
      <protection locked="0"/>
    </xf>
    <xf numFmtId="10" fontId="4" fillId="3" borderId="10" xfId="2" applyNumberFormat="1" applyFont="1" applyFill="1" applyBorder="1" applyAlignment="1" applyProtection="1">
      <alignment horizontal="center"/>
      <protection locked="0"/>
    </xf>
    <xf numFmtId="0" fontId="4" fillId="3" borderId="1" xfId="3" applyAlignment="1" applyProtection="1">
      <alignment horizontal="center"/>
      <protection locked="0"/>
    </xf>
    <xf numFmtId="0" fontId="0" fillId="0" borderId="0" xfId="0" quotePrefix="1"/>
    <xf numFmtId="0" fontId="3" fillId="0" borderId="0" xfId="0" applyFont="1" applyAlignment="1">
      <alignment horizontal="left"/>
    </xf>
    <xf numFmtId="37" fontId="0" fillId="0" borderId="2" xfId="1" applyNumberFormat="1" applyFont="1" applyBorder="1" applyAlignment="1">
      <alignment horizontal="center"/>
    </xf>
    <xf numFmtId="37" fontId="0" fillId="0" borderId="5" xfId="1" applyNumberFormat="1" applyFont="1" applyBorder="1" applyAlignment="1">
      <alignment horizontal="center"/>
    </xf>
    <xf numFmtId="37" fontId="0" fillId="0" borderId="7" xfId="1" applyNumberFormat="1" applyFont="1" applyBorder="1" applyAlignment="1">
      <alignment horizontal="center"/>
    </xf>
    <xf numFmtId="37" fontId="3" fillId="0" borderId="0" xfId="1" applyNumberFormat="1" applyFont="1" applyBorder="1" applyAlignment="1">
      <alignment horizontal="center"/>
    </xf>
    <xf numFmtId="37" fontId="3" fillId="0" borderId="8" xfId="1" applyNumberFormat="1" applyFont="1" applyBorder="1" applyAlignment="1">
      <alignment horizontal="center"/>
    </xf>
    <xf numFmtId="37" fontId="3" fillId="0" borderId="3" xfId="1" applyNumberFormat="1" applyFont="1" applyBorder="1" applyAlignment="1">
      <alignment horizontal="center"/>
    </xf>
    <xf numFmtId="37" fontId="0" fillId="0" borderId="5" xfId="0" applyNumberFormat="1" applyBorder="1" applyAlignment="1">
      <alignment horizontal="center"/>
    </xf>
    <xf numFmtId="37" fontId="0" fillId="0" borderId="0" xfId="0" applyNumberFormat="1" applyAlignment="1">
      <alignment horizontal="center"/>
    </xf>
    <xf numFmtId="37" fontId="0" fillId="0" borderId="7" xfId="0" applyNumberFormat="1" applyBorder="1" applyAlignment="1">
      <alignment horizontal="center"/>
    </xf>
    <xf numFmtId="37" fontId="0" fillId="0" borderId="8" xfId="0" applyNumberFormat="1" applyBorder="1" applyAlignment="1">
      <alignment horizontal="center"/>
    </xf>
    <xf numFmtId="167" fontId="2" fillId="2" borderId="0" xfId="1" applyNumberFormat="1" applyFont="1" applyFill="1" applyAlignment="1">
      <alignment horizontal="center"/>
    </xf>
    <xf numFmtId="167" fontId="3" fillId="0" borderId="0" xfId="1" applyNumberFormat="1" applyFont="1"/>
    <xf numFmtId="167" fontId="3" fillId="0" borderId="0" xfId="1" applyNumberFormat="1" applyFont="1" applyAlignment="1">
      <alignment horizontal="right"/>
    </xf>
    <xf numFmtId="3" fontId="0" fillId="0" borderId="2" xfId="0" applyNumberFormat="1" applyBorder="1" applyAlignment="1">
      <alignment horizontal="center"/>
    </xf>
    <xf numFmtId="3" fontId="0" fillId="0" borderId="4" xfId="0" applyNumberFormat="1" applyBorder="1" applyAlignment="1">
      <alignment horizontal="center"/>
    </xf>
    <xf numFmtId="3" fontId="0" fillId="0" borderId="5" xfId="0" applyNumberFormat="1" applyBorder="1" applyAlignment="1">
      <alignment horizontal="center"/>
    </xf>
    <xf numFmtId="3" fontId="0" fillId="0" borderId="6" xfId="0" applyNumberFormat="1" applyBorder="1" applyAlignment="1">
      <alignment horizontal="center"/>
    </xf>
    <xf numFmtId="3" fontId="0" fillId="0" borderId="7" xfId="0" applyNumberFormat="1" applyBorder="1" applyAlignment="1">
      <alignment horizontal="center"/>
    </xf>
    <xf numFmtId="3" fontId="0" fillId="0" borderId="9" xfId="0" applyNumberFormat="1" applyBorder="1" applyAlignment="1">
      <alignment horizontal="center"/>
    </xf>
    <xf numFmtId="37" fontId="0" fillId="0" borderId="2" xfId="0" applyNumberFormat="1" applyBorder="1" applyAlignment="1">
      <alignment horizontal="center"/>
    </xf>
    <xf numFmtId="37" fontId="0" fillId="0" borderId="10" xfId="0" applyNumberFormat="1" applyBorder="1" applyAlignment="1">
      <alignment horizontal="center"/>
    </xf>
    <xf numFmtId="37" fontId="0" fillId="0" borderId="3" xfId="1" applyNumberFormat="1" applyFont="1" applyBorder="1" applyAlignment="1">
      <alignment horizontal="center"/>
    </xf>
    <xf numFmtId="37" fontId="0" fillId="0" borderId="4" xfId="1" applyNumberFormat="1" applyFont="1" applyBorder="1" applyAlignment="1">
      <alignment horizontal="center"/>
    </xf>
    <xf numFmtId="37" fontId="0" fillId="0" borderId="0" xfId="1" applyNumberFormat="1" applyFont="1" applyBorder="1" applyAlignment="1">
      <alignment horizontal="center"/>
    </xf>
    <xf numFmtId="37" fontId="0" fillId="0" borderId="6" xfId="1" applyNumberFormat="1" applyFont="1" applyBorder="1" applyAlignment="1">
      <alignment horizontal="center"/>
    </xf>
    <xf numFmtId="37" fontId="0" fillId="0" borderId="9" xfId="1" applyNumberFormat="1" applyFont="1" applyBorder="1" applyAlignment="1">
      <alignment horizontal="center"/>
    </xf>
    <xf numFmtId="37" fontId="0" fillId="0" borderId="8" xfId="1" applyNumberFormat="1" applyFont="1" applyBorder="1" applyAlignment="1">
      <alignment horizontal="center"/>
    </xf>
    <xf numFmtId="0" fontId="2" fillId="5" borderId="0" xfId="0" applyFont="1" applyFill="1" applyAlignment="1">
      <alignment horizontal="center"/>
    </xf>
    <xf numFmtId="3" fontId="0" fillId="0" borderId="3" xfId="0" applyNumberFormat="1" applyBorder="1" applyAlignment="1">
      <alignment horizontal="center"/>
    </xf>
    <xf numFmtId="3" fontId="0" fillId="0" borderId="12" xfId="0" applyNumberFormat="1" applyBorder="1" applyAlignment="1">
      <alignment horizontal="center"/>
    </xf>
    <xf numFmtId="3" fontId="0" fillId="0" borderId="20" xfId="0" applyNumberFormat="1" applyBorder="1" applyAlignment="1">
      <alignment horizontal="center"/>
    </xf>
    <xf numFmtId="3" fontId="0" fillId="0" borderId="8" xfId="0" applyNumberFormat="1" applyBorder="1" applyAlignment="1">
      <alignment horizontal="center"/>
    </xf>
    <xf numFmtId="3" fontId="0" fillId="0" borderId="15" xfId="0" applyNumberFormat="1" applyBorder="1" applyAlignment="1">
      <alignment horizontal="center"/>
    </xf>
    <xf numFmtId="3" fontId="2" fillId="2" borderId="10" xfId="0" applyNumberFormat="1" applyFont="1" applyFill="1" applyBorder="1" applyAlignment="1">
      <alignment horizontal="center"/>
    </xf>
    <xf numFmtId="0" fontId="0" fillId="0" borderId="3" xfId="0" applyBorder="1"/>
    <xf numFmtId="3" fontId="0" fillId="0" borderId="10" xfId="0" applyNumberFormat="1" applyBorder="1" applyAlignment="1">
      <alignment horizontal="center"/>
    </xf>
    <xf numFmtId="3" fontId="0" fillId="0" borderId="0" xfId="0" applyNumberFormat="1" applyAlignment="1">
      <alignment horizontal="center"/>
    </xf>
    <xf numFmtId="164" fontId="16" fillId="2" borderId="12" xfId="0" applyNumberFormat="1" applyFont="1" applyFill="1" applyBorder="1" applyAlignment="1">
      <alignment horizontal="center"/>
    </xf>
    <xf numFmtId="3" fontId="4" fillId="3" borderId="25" xfId="3" applyNumberFormat="1" applyBorder="1" applyAlignment="1" applyProtection="1">
      <alignment horizontal="center"/>
      <protection locked="0"/>
    </xf>
    <xf numFmtId="3" fontId="4" fillId="3" borderId="26" xfId="3" applyNumberFormat="1" applyBorder="1" applyAlignment="1" applyProtection="1">
      <alignment horizontal="center"/>
      <protection locked="0"/>
    </xf>
    <xf numFmtId="3" fontId="4" fillId="3" borderId="37" xfId="3" applyNumberFormat="1" applyBorder="1" applyAlignment="1" applyProtection="1">
      <alignment horizontal="center"/>
      <protection locked="0"/>
    </xf>
    <xf numFmtId="0" fontId="3" fillId="0" borderId="6" xfId="0" applyFont="1" applyBorder="1" applyAlignment="1">
      <alignment horizontal="center"/>
    </xf>
    <xf numFmtId="0" fontId="0" fillId="0" borderId="10" xfId="0" applyBorder="1"/>
    <xf numFmtId="3" fontId="0" fillId="0" borderId="3" xfId="1" applyNumberFormat="1" applyFont="1" applyBorder="1" applyAlignment="1">
      <alignment horizontal="center"/>
    </xf>
    <xf numFmtId="3" fontId="0" fillId="0" borderId="4" xfId="1" applyNumberFormat="1" applyFont="1" applyBorder="1" applyAlignment="1">
      <alignment horizontal="center"/>
    </xf>
    <xf numFmtId="3" fontId="0" fillId="0" borderId="0" xfId="1" applyNumberFormat="1" applyFont="1" applyBorder="1" applyAlignment="1">
      <alignment horizontal="center"/>
    </xf>
    <xf numFmtId="3" fontId="0" fillId="0" borderId="6" xfId="1" applyNumberFormat="1" applyFont="1" applyBorder="1" applyAlignment="1">
      <alignment horizontal="center"/>
    </xf>
    <xf numFmtId="37" fontId="0" fillId="0" borderId="3" xfId="0" applyNumberFormat="1" applyBorder="1" applyAlignment="1">
      <alignment horizontal="center"/>
    </xf>
    <xf numFmtId="167" fontId="3" fillId="0" borderId="0" xfId="1" applyNumberFormat="1" applyFont="1" applyBorder="1" applyAlignment="1">
      <alignment horizontal="center"/>
    </xf>
    <xf numFmtId="0" fontId="0" fillId="4" borderId="0" xfId="0" applyFill="1" applyAlignment="1">
      <alignment horizontal="center"/>
    </xf>
    <xf numFmtId="0" fontId="0" fillId="4" borderId="6" xfId="0" applyFill="1" applyBorder="1" applyAlignment="1">
      <alignment horizontal="center"/>
    </xf>
    <xf numFmtId="167" fontId="3" fillId="0" borderId="6" xfId="1" applyNumberFormat="1" applyFont="1" applyBorder="1" applyAlignment="1">
      <alignment horizontal="center"/>
    </xf>
    <xf numFmtId="0" fontId="0" fillId="0" borderId="15" xfId="0" applyBorder="1" applyAlignment="1">
      <alignment horizontal="center"/>
    </xf>
    <xf numFmtId="0" fontId="0" fillId="0" borderId="20" xfId="0" applyBorder="1" applyAlignment="1">
      <alignment horizontal="center"/>
    </xf>
    <xf numFmtId="0" fontId="0" fillId="0" borderId="12" xfId="0" applyBorder="1" applyAlignment="1">
      <alignment horizontal="center"/>
    </xf>
    <xf numFmtId="0" fontId="4" fillId="3" borderId="13" xfId="3" applyBorder="1" applyAlignment="1" applyProtection="1">
      <alignment horizontal="center"/>
      <protection locked="0"/>
    </xf>
    <xf numFmtId="0" fontId="2" fillId="5" borderId="12" xfId="0" applyFont="1" applyFill="1" applyBorder="1" applyAlignment="1">
      <alignment horizontal="center"/>
    </xf>
    <xf numFmtId="0" fontId="2" fillId="5" borderId="2" xfId="0" applyFont="1" applyFill="1" applyBorder="1" applyAlignment="1">
      <alignment horizontal="center"/>
    </xf>
    <xf numFmtId="0" fontId="2" fillId="5" borderId="4" xfId="0" applyFont="1" applyFill="1" applyBorder="1" applyAlignment="1">
      <alignment horizontal="center"/>
    </xf>
    <xf numFmtId="0" fontId="2" fillId="5" borderId="20" xfId="0" applyFont="1" applyFill="1" applyBorder="1" applyAlignment="1">
      <alignment horizontal="center"/>
    </xf>
    <xf numFmtId="3" fontId="0" fillId="0" borderId="2" xfId="1" applyNumberFormat="1" applyFont="1" applyBorder="1" applyAlignment="1">
      <alignment horizontal="center"/>
    </xf>
    <xf numFmtId="3" fontId="0" fillId="0" borderId="5" xfId="1" applyNumberFormat="1" applyFont="1" applyBorder="1" applyAlignment="1">
      <alignment horizontal="center"/>
    </xf>
    <xf numFmtId="0" fontId="8" fillId="2" borderId="14" xfId="0" applyFont="1" applyFill="1" applyBorder="1" applyAlignment="1">
      <alignment horizontal="center"/>
    </xf>
    <xf numFmtId="3" fontId="0" fillId="0" borderId="10" xfId="1" applyNumberFormat="1" applyFont="1" applyBorder="1" applyAlignment="1">
      <alignment horizontal="center"/>
    </xf>
    <xf numFmtId="3" fontId="3" fillId="0" borderId="10" xfId="1" applyNumberFormat="1" applyFont="1" applyBorder="1" applyAlignment="1">
      <alignment horizontal="center"/>
    </xf>
    <xf numFmtId="37" fontId="4" fillId="3" borderId="10" xfId="3" applyNumberFormat="1" applyBorder="1" applyAlignment="1" applyProtection="1">
      <alignment horizontal="center"/>
      <protection locked="0"/>
    </xf>
    <xf numFmtId="3" fontId="17" fillId="8" borderId="13" xfId="0" applyNumberFormat="1" applyFont="1" applyFill="1" applyBorder="1" applyAlignment="1">
      <alignment horizontal="center"/>
    </xf>
    <xf numFmtId="3" fontId="3" fillId="0" borderId="10" xfId="0" applyNumberFormat="1" applyFont="1" applyBorder="1" applyAlignment="1">
      <alignment horizontal="center"/>
    </xf>
    <xf numFmtId="0" fontId="18" fillId="0" borderId="10" xfId="0" applyFont="1" applyBorder="1" applyAlignment="1">
      <alignment horizontal="center"/>
    </xf>
    <xf numFmtId="3" fontId="4" fillId="3" borderId="10" xfId="3" applyNumberFormat="1" applyBorder="1" applyAlignment="1" applyProtection="1">
      <alignment horizontal="center"/>
      <protection locked="0"/>
    </xf>
    <xf numFmtId="3" fontId="0" fillId="0" borderId="14" xfId="0" applyNumberFormat="1" applyBorder="1" applyAlignment="1">
      <alignment horizontal="center"/>
    </xf>
    <xf numFmtId="169" fontId="0" fillId="0" borderId="20" xfId="0" applyNumberFormat="1" applyBorder="1" applyAlignment="1">
      <alignment horizontal="center"/>
    </xf>
    <xf numFmtId="0" fontId="0" fillId="0" borderId="10" xfId="0" applyBorder="1" applyAlignment="1">
      <alignment horizontal="center"/>
    </xf>
    <xf numFmtId="0" fontId="4" fillId="3" borderId="28" xfId="3" applyBorder="1" applyAlignment="1" applyProtection="1">
      <alignment horizontal="center"/>
      <protection locked="0"/>
    </xf>
    <xf numFmtId="3" fontId="4" fillId="3" borderId="1" xfId="3" applyNumberFormat="1" applyAlignment="1" applyProtection="1">
      <alignment horizontal="center"/>
      <protection locked="0"/>
    </xf>
    <xf numFmtId="0" fontId="0" fillId="4" borderId="0" xfId="0" applyFill="1"/>
    <xf numFmtId="170" fontId="0" fillId="0" borderId="10" xfId="0" applyNumberFormat="1" applyBorder="1" applyAlignment="1">
      <alignment horizontal="center"/>
    </xf>
    <xf numFmtId="3" fontId="4" fillId="3" borderId="43" xfId="3" applyNumberFormat="1" applyBorder="1" applyAlignment="1" applyProtection="1">
      <alignment horizontal="center"/>
      <protection locked="0"/>
    </xf>
    <xf numFmtId="3" fontId="4" fillId="3" borderId="44" xfId="3" applyNumberFormat="1" applyBorder="1" applyAlignment="1" applyProtection="1">
      <alignment horizontal="center"/>
      <protection locked="0"/>
    </xf>
    <xf numFmtId="3" fontId="4" fillId="3" borderId="16" xfId="3" applyNumberFormat="1" applyBorder="1" applyAlignment="1" applyProtection="1">
      <alignment horizontal="center"/>
      <protection locked="0"/>
    </xf>
    <xf numFmtId="0" fontId="18" fillId="0" borderId="0" xfId="0" applyFont="1" applyAlignment="1">
      <alignment horizontal="center"/>
    </xf>
    <xf numFmtId="9" fontId="0" fillId="0" borderId="0" xfId="2" applyFont="1" applyAlignment="1">
      <alignment horizontal="center"/>
    </xf>
    <xf numFmtId="9" fontId="2" fillId="2" borderId="10" xfId="2" applyFont="1" applyFill="1" applyBorder="1" applyAlignment="1">
      <alignment horizontal="center"/>
    </xf>
    <xf numFmtId="9" fontId="0" fillId="0" borderId="12" xfId="2" applyFont="1" applyBorder="1" applyAlignment="1">
      <alignment horizontal="center"/>
    </xf>
    <xf numFmtId="9" fontId="0" fillId="0" borderId="20" xfId="2" applyFont="1" applyBorder="1" applyAlignment="1">
      <alignment horizontal="center"/>
    </xf>
    <xf numFmtId="9" fontId="0" fillId="0" borderId="15" xfId="2" applyFont="1" applyBorder="1" applyAlignment="1">
      <alignment horizontal="center"/>
    </xf>
    <xf numFmtId="9" fontId="2" fillId="2" borderId="12" xfId="2" applyFont="1" applyFill="1" applyBorder="1" applyAlignment="1">
      <alignment horizontal="center"/>
    </xf>
    <xf numFmtId="9" fontId="0" fillId="0" borderId="4" xfId="2" applyFont="1" applyBorder="1" applyAlignment="1">
      <alignment horizontal="center"/>
    </xf>
    <xf numFmtId="9" fontId="0" fillId="0" borderId="6" xfId="2" applyFont="1" applyBorder="1" applyAlignment="1">
      <alignment horizontal="center"/>
    </xf>
    <xf numFmtId="171" fontId="0" fillId="0" borderId="9" xfId="2" applyNumberFormat="1" applyFont="1" applyBorder="1" applyAlignment="1">
      <alignment horizontal="center"/>
    </xf>
    <xf numFmtId="171" fontId="0" fillId="0" borderId="6" xfId="2" applyNumberFormat="1"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8" xfId="0" applyBorder="1" applyAlignment="1">
      <alignment horizontal="center"/>
    </xf>
    <xf numFmtId="167" fontId="0" fillId="0" borderId="8" xfId="1" applyNumberFormat="1" applyFont="1" applyBorder="1" applyAlignment="1">
      <alignment horizontal="center"/>
    </xf>
    <xf numFmtId="0" fontId="3" fillId="0" borderId="0" xfId="1" applyNumberFormat="1" applyFont="1" applyAlignment="1">
      <alignment horizontal="center"/>
    </xf>
    <xf numFmtId="167" fontId="3" fillId="0" borderId="8" xfId="1" applyNumberFormat="1" applyFont="1" applyBorder="1" applyAlignment="1">
      <alignment horizontal="right"/>
    </xf>
    <xf numFmtId="167" fontId="0" fillId="0" borderId="8" xfId="1" applyNumberFormat="1" applyFont="1" applyBorder="1"/>
    <xf numFmtId="0" fontId="0" fillId="0" borderId="8" xfId="1" applyNumberFormat="1" applyFont="1" applyBorder="1" applyAlignment="1">
      <alignment horizontal="center"/>
    </xf>
    <xf numFmtId="0" fontId="1" fillId="0" borderId="0" xfId="1" applyNumberFormat="1" applyFont="1" applyAlignment="1">
      <alignment horizontal="center"/>
    </xf>
    <xf numFmtId="0" fontId="1" fillId="0" borderId="8" xfId="1" applyNumberFormat="1" applyFont="1" applyBorder="1" applyAlignment="1">
      <alignment horizontal="center"/>
    </xf>
    <xf numFmtId="0" fontId="0" fillId="0" borderId="2" xfId="0" applyBorder="1"/>
    <xf numFmtId="0" fontId="4" fillId="3" borderId="31" xfId="3" applyBorder="1" applyAlignment="1" applyProtection="1">
      <alignment horizontal="center"/>
      <protection locked="0"/>
    </xf>
    <xf numFmtId="0" fontId="3" fillId="0" borderId="10" xfId="0" applyFont="1" applyBorder="1" applyAlignment="1">
      <alignment horizontal="center"/>
    </xf>
    <xf numFmtId="0" fontId="2" fillId="2" borderId="18" xfId="0" applyFont="1" applyFill="1" applyBorder="1" applyAlignment="1">
      <alignment horizontal="center"/>
    </xf>
    <xf numFmtId="171" fontId="5" fillId="3" borderId="32" xfId="3" applyNumberFormat="1" applyFont="1" applyBorder="1" applyAlignment="1" applyProtection="1">
      <alignment horizontal="center" vertical="center"/>
      <protection locked="0"/>
    </xf>
    <xf numFmtId="0" fontId="5" fillId="3" borderId="17" xfId="3" applyFont="1" applyBorder="1" applyAlignment="1" applyProtection="1">
      <alignment horizontal="center"/>
      <protection locked="0"/>
    </xf>
    <xf numFmtId="9" fontId="5" fillId="3" borderId="19" xfId="2" applyFont="1" applyFill="1" applyBorder="1" applyAlignment="1" applyProtection="1">
      <alignment horizontal="center"/>
      <protection locked="0"/>
    </xf>
    <xf numFmtId="9" fontId="5" fillId="3" borderId="17" xfId="2" applyFont="1" applyFill="1" applyBorder="1" applyAlignment="1" applyProtection="1">
      <alignment horizontal="center"/>
      <protection locked="0"/>
    </xf>
    <xf numFmtId="0" fontId="3" fillId="14" borderId="10" xfId="0" applyFont="1" applyFill="1" applyBorder="1" applyAlignment="1">
      <alignment horizontal="center" vertical="center"/>
    </xf>
    <xf numFmtId="0" fontId="2" fillId="15" borderId="10" xfId="0" applyFont="1" applyFill="1" applyBorder="1" applyAlignment="1">
      <alignment horizontal="center" vertical="center"/>
    </xf>
    <xf numFmtId="164" fontId="8" fillId="0" borderId="10" xfId="0" applyNumberFormat="1" applyFont="1" applyBorder="1" applyAlignment="1" applyProtection="1">
      <alignment horizontal="left"/>
      <protection locked="0"/>
    </xf>
    <xf numFmtId="3" fontId="8" fillId="0" borderId="10" xfId="0" applyNumberFormat="1" applyFont="1" applyBorder="1" applyAlignment="1" applyProtection="1">
      <alignment horizontal="left"/>
      <protection locked="0"/>
    </xf>
    <xf numFmtId="0" fontId="8" fillId="0" borderId="10" xfId="0" applyFont="1" applyBorder="1" applyAlignment="1" applyProtection="1">
      <alignment horizontal="center"/>
      <protection locked="0"/>
    </xf>
    <xf numFmtId="0" fontId="8" fillId="0" borderId="14" xfId="0" applyFont="1" applyBorder="1" applyAlignment="1" applyProtection="1">
      <alignment horizontal="center"/>
      <protection locked="0"/>
    </xf>
    <xf numFmtId="3" fontId="8" fillId="0" borderId="10" xfId="0" applyNumberFormat="1" applyFont="1" applyBorder="1" applyAlignment="1" applyProtection="1">
      <alignment horizontal="center"/>
      <protection locked="0"/>
    </xf>
    <xf numFmtId="3" fontId="8" fillId="0" borderId="14" xfId="0" applyNumberFormat="1" applyFont="1" applyBorder="1" applyAlignment="1" applyProtection="1">
      <alignment horizontal="center"/>
      <protection locked="0"/>
    </xf>
    <xf numFmtId="0" fontId="8" fillId="0" borderId="10" xfId="0" applyFont="1" applyBorder="1" applyProtection="1">
      <protection locked="0"/>
    </xf>
    <xf numFmtId="0" fontId="4" fillId="3" borderId="1" xfId="3" applyAlignment="1" applyProtection="1">
      <alignment horizontal="center" vertical="center"/>
      <protection locked="0"/>
    </xf>
    <xf numFmtId="0" fontId="4" fillId="3" borderId="12" xfId="3" applyBorder="1" applyAlignment="1" applyProtection="1">
      <alignment horizontal="center"/>
      <protection locked="0"/>
    </xf>
    <xf numFmtId="0" fontId="11" fillId="5" borderId="10" xfId="0" applyFont="1" applyFill="1" applyBorder="1" applyAlignment="1">
      <alignment horizontal="center"/>
    </xf>
    <xf numFmtId="0" fontId="8" fillId="2" borderId="10" xfId="0" applyFont="1" applyFill="1" applyBorder="1" applyAlignment="1">
      <alignment horizontal="center"/>
    </xf>
    <xf numFmtId="3" fontId="0" fillId="0" borderId="0" xfId="2" applyNumberFormat="1" applyFont="1"/>
    <xf numFmtId="3" fontId="0" fillId="0" borderId="0" xfId="1" applyNumberFormat="1" applyFont="1"/>
    <xf numFmtId="167" fontId="3" fillId="0" borderId="4" xfId="1" applyNumberFormat="1" applyFont="1" applyBorder="1" applyAlignment="1">
      <alignment horizontal="center"/>
    </xf>
    <xf numFmtId="0" fontId="4" fillId="3" borderId="17" xfId="3" applyBorder="1" applyAlignment="1" applyProtection="1">
      <alignment horizontal="center"/>
      <protection locked="0"/>
    </xf>
    <xf numFmtId="0" fontId="3" fillId="4" borderId="6" xfId="0" applyFont="1" applyFill="1" applyBorder="1" applyAlignment="1">
      <alignment horizontal="center"/>
    </xf>
    <xf numFmtId="167" fontId="3" fillId="0" borderId="9" xfId="1" applyNumberFormat="1" applyFont="1" applyBorder="1" applyAlignment="1">
      <alignment horizontal="center"/>
    </xf>
    <xf numFmtId="0" fontId="3" fillId="11" borderId="10" xfId="5" applyFont="1" applyBorder="1" applyAlignment="1">
      <alignment horizontal="center"/>
    </xf>
    <xf numFmtId="0" fontId="3" fillId="12" borderId="15" xfId="6" applyFont="1" applyBorder="1" applyAlignment="1">
      <alignment horizontal="center"/>
    </xf>
    <xf numFmtId="0" fontId="3" fillId="12" borderId="10" xfId="6" applyFont="1" applyBorder="1" applyAlignment="1">
      <alignment horizontal="center"/>
    </xf>
    <xf numFmtId="37" fontId="4" fillId="3" borderId="12" xfId="3" applyNumberFormat="1" applyBorder="1" applyAlignment="1" applyProtection="1">
      <alignment horizontal="center"/>
      <protection locked="0"/>
    </xf>
    <xf numFmtId="9" fontId="0" fillId="0" borderId="0" xfId="2" applyFont="1"/>
    <xf numFmtId="0" fontId="3" fillId="14" borderId="10" xfId="0" applyFont="1" applyFill="1" applyBorder="1" applyAlignment="1">
      <alignment horizontal="center"/>
    </xf>
    <xf numFmtId="0" fontId="3" fillId="14" borderId="12" xfId="0" applyFont="1" applyFill="1" applyBorder="1" applyAlignment="1">
      <alignment horizontal="center"/>
    </xf>
    <xf numFmtId="0" fontId="3" fillId="14" borderId="15" xfId="0" applyFont="1" applyFill="1" applyBorder="1" applyAlignment="1">
      <alignment horizontal="center"/>
    </xf>
    <xf numFmtId="0" fontId="4" fillId="3" borderId="19" xfId="3" applyBorder="1" applyAlignment="1" applyProtection="1">
      <alignment horizontal="center"/>
      <protection locked="0"/>
    </xf>
    <xf numFmtId="0" fontId="4" fillId="3" borderId="36" xfId="3" applyBorder="1" applyAlignment="1" applyProtection="1">
      <alignment horizontal="center"/>
      <protection locked="0"/>
    </xf>
    <xf numFmtId="3" fontId="4" fillId="3" borderId="27" xfId="3" applyNumberFormat="1" applyBorder="1" applyAlignment="1" applyProtection="1">
      <alignment horizontal="center"/>
      <protection locked="0"/>
    </xf>
    <xf numFmtId="170" fontId="0" fillId="0" borderId="10" xfId="7" applyNumberFormat="1" applyFont="1" applyBorder="1" applyAlignment="1">
      <alignment horizontal="center"/>
    </xf>
    <xf numFmtId="3" fontId="8" fillId="2" borderId="14" xfId="0" applyNumberFormat="1" applyFont="1" applyFill="1" applyBorder="1" applyAlignment="1">
      <alignment horizontal="center"/>
    </xf>
    <xf numFmtId="3" fontId="4" fillId="3" borderId="17" xfId="3" applyNumberFormat="1" applyBorder="1" applyAlignment="1" applyProtection="1">
      <alignment horizontal="center"/>
      <protection locked="0"/>
    </xf>
    <xf numFmtId="3" fontId="4" fillId="3" borderId="49" xfId="3" applyNumberFormat="1" applyBorder="1" applyAlignment="1" applyProtection="1">
      <alignment horizontal="center"/>
      <protection locked="0"/>
    </xf>
    <xf numFmtId="3" fontId="4" fillId="3" borderId="28" xfId="3" applyNumberFormat="1" applyBorder="1" applyAlignment="1" applyProtection="1">
      <alignment horizontal="center"/>
      <protection locked="0"/>
    </xf>
    <xf numFmtId="3" fontId="4" fillId="3" borderId="33" xfId="3" applyNumberFormat="1" applyBorder="1" applyAlignment="1" applyProtection="1">
      <alignment horizontal="center"/>
      <protection locked="0"/>
    </xf>
    <xf numFmtId="3" fontId="4" fillId="3" borderId="32" xfId="3" applyNumberFormat="1" applyBorder="1" applyAlignment="1" applyProtection="1">
      <alignment horizontal="center"/>
      <protection locked="0"/>
    </xf>
    <xf numFmtId="172" fontId="0" fillId="0" borderId="0" xfId="0" applyNumberFormat="1" applyAlignment="1">
      <alignment horizontal="center"/>
    </xf>
    <xf numFmtId="0" fontId="5" fillId="3" borderId="10" xfId="3" applyFont="1" applyBorder="1" applyAlignment="1" applyProtection="1">
      <alignment horizontal="center"/>
      <protection locked="0"/>
    </xf>
    <xf numFmtId="0" fontId="20" fillId="0" borderId="10" xfId="0" applyFont="1" applyBorder="1" applyAlignment="1">
      <alignment horizontal="center"/>
    </xf>
    <xf numFmtId="0" fontId="3" fillId="0" borderId="0" xfId="0" applyFont="1" applyAlignment="1">
      <alignment vertical="center" wrapText="1"/>
    </xf>
    <xf numFmtId="0" fontId="26" fillId="12" borderId="10" xfId="6" applyFont="1" applyBorder="1" applyAlignment="1">
      <alignment horizontal="center"/>
    </xf>
    <xf numFmtId="0" fontId="0" fillId="2" borderId="6" xfId="0" applyFill="1" applyBorder="1"/>
    <xf numFmtId="0" fontId="11" fillId="2" borderId="10" xfId="0" applyFont="1" applyFill="1" applyBorder="1" applyAlignment="1">
      <alignment horizontal="center"/>
    </xf>
    <xf numFmtId="0" fontId="0" fillId="5" borderId="10" xfId="0" applyFill="1" applyBorder="1"/>
    <xf numFmtId="0" fontId="4" fillId="3" borderId="16" xfId="3" applyBorder="1" applyAlignment="1" applyProtection="1">
      <alignment horizontal="center"/>
      <protection locked="0"/>
    </xf>
    <xf numFmtId="0" fontId="4" fillId="3" borderId="11" xfId="3" applyBorder="1" applyAlignment="1" applyProtection="1">
      <alignment horizontal="center"/>
      <protection locked="0"/>
    </xf>
    <xf numFmtId="0" fontId="4" fillId="3" borderId="51" xfId="3" applyBorder="1" applyAlignment="1" applyProtection="1">
      <alignment horizontal="center"/>
      <protection locked="0"/>
    </xf>
    <xf numFmtId="0" fontId="2" fillId="4" borderId="10" xfId="0" applyFont="1" applyFill="1" applyBorder="1" applyAlignment="1">
      <alignment horizontal="center"/>
    </xf>
    <xf numFmtId="0" fontId="3" fillId="0" borderId="7"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5" xfId="0" applyFont="1" applyBorder="1" applyAlignment="1">
      <alignment horizontal="center"/>
    </xf>
    <xf numFmtId="0" fontId="28" fillId="20" borderId="10" xfId="10" applyBorder="1"/>
    <xf numFmtId="0" fontId="1" fillId="21" borderId="10" xfId="11" applyBorder="1"/>
    <xf numFmtId="3" fontId="12" fillId="0" borderId="10" xfId="0" applyNumberFormat="1" applyFont="1" applyBorder="1" applyAlignment="1">
      <alignment horizontal="center"/>
    </xf>
    <xf numFmtId="0" fontId="20" fillId="0" borderId="20" xfId="0" applyFont="1" applyBorder="1" applyAlignment="1">
      <alignment horizontal="center"/>
    </xf>
    <xf numFmtId="0" fontId="20" fillId="0" borderId="15" xfId="0" applyFont="1" applyBorder="1" applyAlignment="1">
      <alignment horizontal="center"/>
    </xf>
    <xf numFmtId="0" fontId="3" fillId="0" borderId="15" xfId="0" applyFont="1" applyBorder="1" applyAlignment="1">
      <alignment horizontal="center"/>
    </xf>
    <xf numFmtId="0" fontId="3" fillId="0" borderId="12" xfId="0" applyFont="1" applyBorder="1" applyAlignment="1">
      <alignment horizontal="center"/>
    </xf>
    <xf numFmtId="0" fontId="3" fillId="0" borderId="20" xfId="0" applyFont="1" applyBorder="1" applyAlignment="1">
      <alignment horizontal="center"/>
    </xf>
    <xf numFmtId="0" fontId="12" fillId="0" borderId="15" xfId="0" applyFont="1" applyBorder="1" applyAlignment="1">
      <alignment horizontal="center"/>
    </xf>
    <xf numFmtId="0" fontId="12" fillId="0" borderId="20" xfId="0" applyFont="1" applyBorder="1" applyAlignment="1">
      <alignment horizontal="center"/>
    </xf>
    <xf numFmtId="0" fontId="3" fillId="21" borderId="10" xfId="11" applyFont="1" applyBorder="1" applyAlignment="1" applyProtection="1">
      <alignment horizontal="center"/>
      <protection locked="0"/>
    </xf>
    <xf numFmtId="0" fontId="3" fillId="0" borderId="4" xfId="0" applyFont="1" applyBorder="1"/>
    <xf numFmtId="0" fontId="3" fillId="0" borderId="5" xfId="0" applyFont="1" applyBorder="1"/>
    <xf numFmtId="0" fontId="2" fillId="6" borderId="10" xfId="4" applyFont="1" applyBorder="1"/>
    <xf numFmtId="0" fontId="3" fillId="0" borderId="6" xfId="0" applyFont="1" applyBorder="1"/>
    <xf numFmtId="0" fontId="29" fillId="20" borderId="10" xfId="10" applyFont="1" applyBorder="1"/>
    <xf numFmtId="0" fontId="3" fillId="0" borderId="7" xfId="0" applyFont="1" applyBorder="1"/>
    <xf numFmtId="0" fontId="3" fillId="0" borderId="8" xfId="0" applyFont="1" applyBorder="1"/>
    <xf numFmtId="0" fontId="3" fillId="0" borderId="9" xfId="0" applyFont="1" applyBorder="1"/>
    <xf numFmtId="0" fontId="2" fillId="2" borderId="20" xfId="0" applyFont="1" applyFill="1" applyBorder="1" applyAlignment="1">
      <alignment horizontal="center"/>
    </xf>
    <xf numFmtId="3" fontId="4" fillId="3" borderId="52" xfId="3" applyNumberFormat="1" applyBorder="1" applyAlignment="1" applyProtection="1">
      <alignment horizontal="center"/>
      <protection locked="0"/>
    </xf>
    <xf numFmtId="3" fontId="1" fillId="16" borderId="10" xfId="8" applyNumberFormat="1" applyBorder="1" applyAlignment="1" applyProtection="1">
      <alignment horizontal="center"/>
      <protection locked="0"/>
    </xf>
    <xf numFmtId="0" fontId="24" fillId="2" borderId="10" xfId="0" applyFont="1" applyFill="1" applyBorder="1" applyAlignment="1">
      <alignment horizontal="center"/>
    </xf>
    <xf numFmtId="0" fontId="0" fillId="0" borderId="12" xfId="0" applyBorder="1" applyAlignment="1">
      <alignment horizontal="center" vertical="center"/>
    </xf>
    <xf numFmtId="0" fontId="0" fillId="0" borderId="20" xfId="0" applyBorder="1" applyAlignment="1">
      <alignment horizontal="center" vertical="center"/>
    </xf>
    <xf numFmtId="0" fontId="20" fillId="0" borderId="15" xfId="0" applyFont="1" applyBorder="1" applyAlignment="1">
      <alignment horizontal="center" vertical="center"/>
    </xf>
    <xf numFmtId="16" fontId="2" fillId="4" borderId="10" xfId="0" applyNumberFormat="1" applyFont="1" applyFill="1" applyBorder="1" applyAlignment="1">
      <alignment horizontal="center"/>
    </xf>
    <xf numFmtId="0" fontId="30" fillId="0" borderId="0" xfId="0" applyFont="1" applyAlignment="1">
      <alignment vertical="center" wrapText="1"/>
    </xf>
    <xf numFmtId="9" fontId="4" fillId="3" borderId="1" xfId="3" applyNumberFormat="1" applyAlignment="1" applyProtection="1">
      <alignment horizontal="center"/>
      <protection locked="0"/>
    </xf>
    <xf numFmtId="0" fontId="20" fillId="0" borderId="7" xfId="0" applyFont="1" applyBorder="1" applyAlignment="1">
      <alignment horizontal="center"/>
    </xf>
    <xf numFmtId="3" fontId="3" fillId="0" borderId="5" xfId="0" applyNumberFormat="1" applyFont="1" applyBorder="1" applyAlignment="1">
      <alignment horizontal="center"/>
    </xf>
    <xf numFmtId="3" fontId="3" fillId="0" borderId="7" xfId="0" applyNumberFormat="1" applyFont="1" applyBorder="1" applyAlignment="1">
      <alignment horizontal="center"/>
    </xf>
    <xf numFmtId="0" fontId="0" fillId="0" borderId="13" xfId="0" applyBorder="1" applyAlignment="1">
      <alignment horizontal="center"/>
    </xf>
    <xf numFmtId="0" fontId="0" fillId="0" borderId="18" xfId="0" applyBorder="1" applyAlignment="1">
      <alignment horizontal="center"/>
    </xf>
    <xf numFmtId="0" fontId="0" fillId="0" borderId="14" xfId="0" applyBorder="1" applyAlignment="1">
      <alignment horizontal="center"/>
    </xf>
    <xf numFmtId="0" fontId="2" fillId="2" borderId="0" xfId="0" applyFont="1" applyFill="1" applyAlignment="1">
      <alignment horizontal="center"/>
    </xf>
    <xf numFmtId="0" fontId="2" fillId="5" borderId="10" xfId="0" applyFont="1" applyFill="1" applyBorder="1" applyAlignment="1">
      <alignment horizontal="center"/>
    </xf>
    <xf numFmtId="0" fontId="2" fillId="5" borderId="10" xfId="0" applyFont="1" applyFill="1" applyBorder="1"/>
    <xf numFmtId="0" fontId="0" fillId="4" borderId="20" xfId="0" applyFill="1" applyBorder="1" applyAlignment="1">
      <alignment horizontal="center"/>
    </xf>
    <xf numFmtId="0" fontId="0" fillId="4" borderId="15" xfId="0" applyFill="1" applyBorder="1" applyAlignment="1">
      <alignment horizontal="center"/>
    </xf>
    <xf numFmtId="0" fontId="4" fillId="3" borderId="56" xfId="3" applyNumberFormat="1" applyBorder="1" applyAlignment="1" applyProtection="1">
      <alignment horizontal="center"/>
      <protection locked="0"/>
    </xf>
    <xf numFmtId="0" fontId="4" fillId="3" borderId="57" xfId="3" applyNumberFormat="1" applyBorder="1" applyAlignment="1" applyProtection="1">
      <alignment horizontal="center"/>
      <protection locked="0"/>
    </xf>
    <xf numFmtId="0" fontId="4" fillId="3" borderId="25" xfId="3" applyNumberFormat="1" applyBorder="1" applyAlignment="1" applyProtection="1">
      <alignment horizontal="center"/>
      <protection locked="0"/>
    </xf>
    <xf numFmtId="164" fontId="17" fillId="0" borderId="4" xfId="0" applyNumberFormat="1" applyFont="1" applyBorder="1" applyAlignment="1" applyProtection="1">
      <alignment horizontal="center"/>
      <protection locked="0"/>
    </xf>
    <xf numFmtId="0" fontId="4" fillId="3" borderId="38" xfId="3" applyBorder="1" applyAlignment="1" applyProtection="1">
      <alignment horizontal="center"/>
      <protection locked="0"/>
    </xf>
    <xf numFmtId="3" fontId="0" fillId="0" borderId="0" xfId="0" applyNumberFormat="1" applyAlignment="1">
      <alignment horizontal="right"/>
    </xf>
    <xf numFmtId="3" fontId="3" fillId="0" borderId="0" xfId="0" applyNumberFormat="1" applyFont="1" applyAlignment="1">
      <alignment horizontal="right"/>
    </xf>
    <xf numFmtId="3" fontId="2" fillId="4" borderId="18" xfId="0" applyNumberFormat="1" applyFont="1" applyFill="1" applyBorder="1" applyAlignment="1">
      <alignment horizontal="center"/>
    </xf>
    <xf numFmtId="3" fontId="2" fillId="4" borderId="10" xfId="0" applyNumberFormat="1" applyFont="1" applyFill="1" applyBorder="1" applyAlignment="1">
      <alignment horizontal="center"/>
    </xf>
    <xf numFmtId="0" fontId="4" fillId="3" borderId="58" xfId="3" applyBorder="1" applyAlignment="1" applyProtection="1">
      <alignment horizontal="center"/>
      <protection locked="0"/>
    </xf>
    <xf numFmtId="0" fontId="2" fillId="2" borderId="15" xfId="0" applyFont="1" applyFill="1" applyBorder="1" applyAlignment="1">
      <alignment horizontal="center"/>
    </xf>
    <xf numFmtId="0" fontId="0" fillId="4" borderId="10" xfId="0" applyFill="1" applyBorder="1"/>
    <xf numFmtId="0" fontId="4" fillId="3" borderId="14" xfId="3" applyBorder="1" applyAlignment="1" applyProtection="1">
      <alignment horizontal="center"/>
      <protection locked="0"/>
    </xf>
    <xf numFmtId="0" fontId="3" fillId="0" borderId="9" xfId="0" applyFont="1" applyBorder="1" applyAlignment="1">
      <alignment horizontal="center"/>
    </xf>
    <xf numFmtId="0" fontId="3" fillId="0" borderId="4" xfId="0" applyFont="1" applyBorder="1" applyAlignment="1">
      <alignment horizontal="center"/>
    </xf>
    <xf numFmtId="3" fontId="4" fillId="3" borderId="59" xfId="1" applyNumberFormat="1" applyFont="1" applyFill="1" applyBorder="1" applyAlignment="1" applyProtection="1">
      <alignment horizontal="center"/>
      <protection locked="0"/>
    </xf>
    <xf numFmtId="3" fontId="4" fillId="3" borderId="60" xfId="1" applyNumberFormat="1" applyFont="1" applyFill="1" applyBorder="1" applyAlignment="1" applyProtection="1">
      <alignment horizontal="center"/>
      <protection locked="0"/>
    </xf>
    <xf numFmtId="3" fontId="4" fillId="3" borderId="61" xfId="1" applyNumberFormat="1" applyFont="1" applyFill="1" applyBorder="1" applyAlignment="1" applyProtection="1">
      <alignment horizontal="center"/>
      <protection locked="0"/>
    </xf>
    <xf numFmtId="0" fontId="4" fillId="3" borderId="15" xfId="3" applyBorder="1" applyAlignment="1" applyProtection="1">
      <alignment horizontal="center"/>
      <protection locked="0"/>
    </xf>
    <xf numFmtId="37" fontId="4" fillId="3" borderId="15" xfId="3" applyNumberFormat="1" applyBorder="1" applyAlignment="1" applyProtection="1">
      <alignment horizontal="center"/>
      <protection locked="0"/>
    </xf>
    <xf numFmtId="0" fontId="20" fillId="0" borderId="0" xfId="0" applyFont="1" applyAlignment="1">
      <alignment horizontal="center"/>
    </xf>
    <xf numFmtId="0" fontId="0" fillId="4" borderId="3" xfId="0" applyFill="1" applyBorder="1" applyAlignment="1">
      <alignment horizontal="center"/>
    </xf>
    <xf numFmtId="0" fontId="0" fillId="4" borderId="8" xfId="0" applyFill="1" applyBorder="1" applyAlignment="1">
      <alignment horizontal="center"/>
    </xf>
    <xf numFmtId="0" fontId="20" fillId="0" borderId="20" xfId="0" applyFont="1" applyBorder="1" applyAlignment="1">
      <alignment horizontal="center" vertical="center"/>
    </xf>
    <xf numFmtId="0" fontId="3" fillId="4" borderId="4" xfId="0" applyFont="1" applyFill="1" applyBorder="1" applyAlignment="1">
      <alignment horizontal="center"/>
    </xf>
    <xf numFmtId="0" fontId="3" fillId="4" borderId="9" xfId="0" applyFont="1" applyFill="1" applyBorder="1" applyAlignment="1">
      <alignment horizontal="center"/>
    </xf>
    <xf numFmtId="0" fontId="0" fillId="4" borderId="3" xfId="0" applyFill="1" applyBorder="1"/>
    <xf numFmtId="0" fontId="0" fillId="4" borderId="8" xfId="0" applyFill="1" applyBorder="1"/>
    <xf numFmtId="3" fontId="0" fillId="0" borderId="0" xfId="1" applyNumberFormat="1" applyFont="1" applyAlignment="1">
      <alignment horizontal="center"/>
    </xf>
    <xf numFmtId="0" fontId="3" fillId="0" borderId="0" xfId="0" applyFont="1" applyAlignment="1">
      <alignment horizontal="right" vertical="center"/>
    </xf>
    <xf numFmtId="0" fontId="15" fillId="0" borderId="0" xfId="0" applyFont="1" applyAlignment="1">
      <alignment vertical="center"/>
    </xf>
    <xf numFmtId="0" fontId="5" fillId="3" borderId="1" xfId="3" applyFont="1" applyAlignment="1" applyProtection="1">
      <alignment horizontal="center"/>
      <protection locked="0"/>
    </xf>
    <xf numFmtId="3" fontId="0" fillId="0" borderId="13" xfId="0" applyNumberFormat="1" applyBorder="1" applyAlignment="1">
      <alignment horizontal="center"/>
    </xf>
    <xf numFmtId="3" fontId="0" fillId="0" borderId="18" xfId="0" applyNumberFormat="1" applyBorder="1" applyAlignment="1">
      <alignment horizontal="center"/>
    </xf>
    <xf numFmtId="3" fontId="0" fillId="0" borderId="0" xfId="2" applyNumberFormat="1" applyFont="1" applyProtection="1"/>
    <xf numFmtId="10" fontId="0" fillId="0" borderId="0" xfId="2" applyNumberFormat="1" applyFont="1" applyProtection="1"/>
    <xf numFmtId="3" fontId="0" fillId="4" borderId="18" xfId="0" applyNumberFormat="1" applyFill="1" applyBorder="1" applyAlignment="1">
      <alignment horizontal="center"/>
    </xf>
    <xf numFmtId="0" fontId="2" fillId="15" borderId="10" xfId="0" applyFont="1" applyFill="1" applyBorder="1" applyAlignment="1">
      <alignment horizontal="center"/>
    </xf>
    <xf numFmtId="10" fontId="0" fillId="0" borderId="0" xfId="2" applyNumberFormat="1" applyFont="1" applyAlignment="1" applyProtection="1">
      <alignment horizontal="right"/>
    </xf>
    <xf numFmtId="3" fontId="0" fillId="4" borderId="13" xfId="0" applyNumberFormat="1" applyFill="1" applyBorder="1" applyAlignment="1">
      <alignment horizontal="center"/>
    </xf>
    <xf numFmtId="3" fontId="0" fillId="4" borderId="13" xfId="2" applyNumberFormat="1" applyFont="1" applyFill="1" applyBorder="1" applyAlignment="1" applyProtection="1">
      <alignment horizontal="center"/>
    </xf>
    <xf numFmtId="0" fontId="20" fillId="0" borderId="0" xfId="0" applyFont="1" applyAlignment="1">
      <alignment horizontal="right"/>
    </xf>
    <xf numFmtId="3" fontId="0" fillId="4" borderId="0" xfId="0" applyNumberFormat="1" applyFill="1" applyAlignment="1">
      <alignment horizontal="center"/>
    </xf>
    <xf numFmtId="10" fontId="0" fillId="4" borderId="0" xfId="2" applyNumberFormat="1" applyFont="1" applyFill="1" applyProtection="1"/>
    <xf numFmtId="0" fontId="9" fillId="0" borderId="0" xfId="0" applyFont="1" applyAlignment="1">
      <alignment horizontal="center"/>
    </xf>
    <xf numFmtId="3" fontId="3" fillId="0" borderId="15" xfId="0" applyNumberFormat="1" applyFont="1" applyBorder="1" applyAlignment="1">
      <alignment horizontal="center"/>
    </xf>
    <xf numFmtId="3" fontId="3" fillId="4" borderId="10" xfId="0" applyNumberFormat="1" applyFont="1" applyFill="1" applyBorder="1" applyAlignment="1">
      <alignment horizontal="center"/>
    </xf>
    <xf numFmtId="3" fontId="3" fillId="0" borderId="20" xfId="0" applyNumberFormat="1" applyFont="1" applyBorder="1" applyAlignment="1">
      <alignment horizontal="center"/>
    </xf>
    <xf numFmtId="3" fontId="20" fillId="0" borderId="10" xfId="0" applyNumberFormat="1" applyFont="1" applyBorder="1" applyAlignment="1">
      <alignment horizontal="center"/>
    </xf>
    <xf numFmtId="3" fontId="20" fillId="0" borderId="12" xfId="0" applyNumberFormat="1" applyFont="1" applyBorder="1" applyAlignment="1">
      <alignment horizontal="center"/>
    </xf>
    <xf numFmtId="10" fontId="2" fillId="15" borderId="10" xfId="2" applyNumberFormat="1" applyFont="1" applyFill="1" applyBorder="1" applyAlignment="1" applyProtection="1">
      <alignment horizontal="center"/>
    </xf>
    <xf numFmtId="0" fontId="0" fillId="4" borderId="13" xfId="0" applyFill="1" applyBorder="1"/>
    <xf numFmtId="0" fontId="0" fillId="4" borderId="18" xfId="0" applyFill="1" applyBorder="1"/>
    <xf numFmtId="0" fontId="0" fillId="4" borderId="14" xfId="0" applyFill="1" applyBorder="1"/>
    <xf numFmtId="10" fontId="0" fillId="0" borderId="3" xfId="2" applyNumberFormat="1" applyFont="1" applyBorder="1" applyAlignment="1" applyProtection="1">
      <alignment horizontal="center"/>
    </xf>
    <xf numFmtId="10" fontId="0" fillId="0" borderId="4" xfId="2" applyNumberFormat="1" applyFont="1" applyBorder="1" applyAlignment="1" applyProtection="1">
      <alignment horizontal="center"/>
    </xf>
    <xf numFmtId="10" fontId="0" fillId="0" borderId="0" xfId="2" applyNumberFormat="1" applyFont="1" applyBorder="1" applyAlignment="1" applyProtection="1">
      <alignment horizontal="center"/>
    </xf>
    <xf numFmtId="10" fontId="0" fillId="0" borderId="6" xfId="2" applyNumberFormat="1" applyFont="1" applyBorder="1" applyAlignment="1" applyProtection="1">
      <alignment horizontal="center"/>
    </xf>
    <xf numFmtId="0" fontId="24" fillId="22" borderId="10" xfId="0" applyFont="1" applyFill="1" applyBorder="1" applyAlignment="1">
      <alignment horizontal="center" vertical="center" wrapText="1"/>
    </xf>
    <xf numFmtId="0" fontId="2" fillId="22" borderId="10" xfId="0" applyFont="1" applyFill="1" applyBorder="1" applyAlignment="1">
      <alignment horizontal="center" vertical="center" wrapText="1"/>
    </xf>
    <xf numFmtId="3" fontId="0" fillId="4" borderId="5" xfId="0" applyNumberFormat="1" applyFill="1" applyBorder="1" applyAlignment="1">
      <alignment horizontal="center"/>
    </xf>
    <xf numFmtId="3" fontId="0" fillId="4" borderId="6" xfId="0" applyNumberFormat="1" applyFill="1" applyBorder="1" applyAlignment="1">
      <alignment horizontal="center"/>
    </xf>
    <xf numFmtId="10" fontId="0" fillId="0" borderId="8" xfId="2" applyNumberFormat="1" applyFont="1" applyBorder="1" applyAlignment="1" applyProtection="1">
      <alignment horizontal="center"/>
    </xf>
    <xf numFmtId="10" fontId="0" fillId="0" borderId="9" xfId="2" applyNumberFormat="1" applyFont="1" applyBorder="1" applyAlignment="1" applyProtection="1">
      <alignment horizontal="center"/>
    </xf>
    <xf numFmtId="3" fontId="0" fillId="4" borderId="7" xfId="0" applyNumberFormat="1" applyFill="1" applyBorder="1" applyAlignment="1">
      <alignment horizontal="center"/>
    </xf>
    <xf numFmtId="3" fontId="0" fillId="4" borderId="9" xfId="0" applyNumberFormat="1" applyFill="1" applyBorder="1" applyAlignment="1">
      <alignment horizontal="center"/>
    </xf>
    <xf numFmtId="0" fontId="20" fillId="0" borderId="12" xfId="0" applyFont="1" applyBorder="1" applyAlignment="1">
      <alignment horizontal="center" vertical="center"/>
    </xf>
    <xf numFmtId="0" fontId="3" fillId="4" borderId="15" xfId="0" applyFont="1" applyFill="1" applyBorder="1" applyAlignment="1">
      <alignment horizontal="center"/>
    </xf>
    <xf numFmtId="0" fontId="0" fillId="0" borderId="3" xfId="0" applyBorder="1" applyProtection="1">
      <protection locked="0"/>
    </xf>
    <xf numFmtId="0" fontId="0" fillId="0" borderId="0" xfId="0" applyProtection="1">
      <protection locked="0"/>
    </xf>
    <xf numFmtId="0" fontId="12" fillId="0" borderId="12" xfId="0" applyFont="1" applyBorder="1" applyAlignment="1">
      <alignment horizontal="center"/>
    </xf>
    <xf numFmtId="3" fontId="0" fillId="0" borderId="7" xfId="0" quotePrefix="1" applyNumberFormat="1" applyBorder="1" applyAlignment="1">
      <alignment horizontal="center"/>
    </xf>
    <xf numFmtId="0" fontId="0" fillId="0" borderId="0" xfId="0" applyAlignment="1">
      <alignment vertical="center" wrapText="1"/>
    </xf>
    <xf numFmtId="0" fontId="0" fillId="0" borderId="0" xfId="0" applyAlignment="1">
      <alignment vertical="center"/>
    </xf>
    <xf numFmtId="3" fontId="0" fillId="4" borderId="8" xfId="0" applyNumberFormat="1" applyFill="1" applyBorder="1" applyAlignment="1">
      <alignment horizontal="center"/>
    </xf>
    <xf numFmtId="0" fontId="2" fillId="22" borderId="15" xfId="0" applyFont="1" applyFill="1" applyBorder="1" applyAlignment="1">
      <alignment horizontal="center" vertical="center" wrapText="1"/>
    </xf>
    <xf numFmtId="9" fontId="0" fillId="0" borderId="3" xfId="2" applyFont="1" applyBorder="1" applyAlignment="1">
      <alignment horizontal="center"/>
    </xf>
    <xf numFmtId="9" fontId="0" fillId="0" borderId="0" xfId="2" applyFont="1" applyBorder="1" applyAlignment="1">
      <alignment horizontal="center"/>
    </xf>
    <xf numFmtId="9" fontId="0" fillId="0" borderId="8" xfId="2" applyFont="1" applyBorder="1" applyAlignment="1">
      <alignment horizontal="center"/>
    </xf>
    <xf numFmtId="9" fontId="0" fillId="0" borderId="2" xfId="2" applyFont="1" applyBorder="1" applyAlignment="1">
      <alignment horizontal="center"/>
    </xf>
    <xf numFmtId="9" fontId="0" fillId="0" borderId="5" xfId="2" applyFont="1" applyBorder="1" applyAlignment="1">
      <alignment horizontal="center"/>
    </xf>
    <xf numFmtId="9" fontId="0" fillId="0" borderId="7" xfId="2" applyFont="1" applyBorder="1" applyAlignment="1">
      <alignment horizontal="center"/>
    </xf>
    <xf numFmtId="171" fontId="0" fillId="0" borderId="3" xfId="2" applyNumberFormat="1" applyFont="1" applyBorder="1" applyAlignment="1">
      <alignment horizontal="center"/>
    </xf>
    <xf numFmtId="171" fontId="0" fillId="0" borderId="0" xfId="2" applyNumberFormat="1" applyFont="1" applyBorder="1" applyAlignment="1">
      <alignment horizontal="center"/>
    </xf>
    <xf numFmtId="171" fontId="0" fillId="0" borderId="8" xfId="2" applyNumberFormat="1" applyFont="1" applyBorder="1" applyAlignment="1">
      <alignment horizontal="center"/>
    </xf>
    <xf numFmtId="0" fontId="2" fillId="22" borderId="10" xfId="0" applyFont="1" applyFill="1" applyBorder="1" applyAlignment="1">
      <alignment horizontal="center" vertical="center"/>
    </xf>
    <xf numFmtId="0" fontId="0" fillId="4" borderId="4" xfId="0" applyFill="1" applyBorder="1"/>
    <xf numFmtId="9" fontId="0" fillId="0" borderId="3" xfId="2" applyFont="1" applyBorder="1" applyAlignment="1" applyProtection="1">
      <alignment horizontal="center"/>
    </xf>
    <xf numFmtId="9" fontId="0" fillId="0" borderId="0" xfId="2" applyFont="1" applyBorder="1" applyAlignment="1" applyProtection="1">
      <alignment horizontal="center"/>
    </xf>
    <xf numFmtId="9" fontId="0" fillId="0" borderId="8" xfId="2" applyFont="1" applyBorder="1" applyAlignment="1" applyProtection="1">
      <alignment horizontal="center"/>
    </xf>
    <xf numFmtId="3" fontId="0" fillId="0" borderId="3" xfId="2" applyNumberFormat="1" applyFont="1" applyBorder="1" applyAlignment="1" applyProtection="1">
      <alignment horizontal="center"/>
    </xf>
    <xf numFmtId="3" fontId="0" fillId="0" borderId="0" xfId="2" applyNumberFormat="1" applyFont="1" applyBorder="1" applyAlignment="1" applyProtection="1">
      <alignment horizontal="center"/>
    </xf>
    <xf numFmtId="3" fontId="0" fillId="0" borderId="8" xfId="2" applyNumberFormat="1" applyFont="1" applyBorder="1" applyAlignment="1" applyProtection="1">
      <alignment horizontal="center"/>
    </xf>
    <xf numFmtId="3" fontId="0" fillId="0" borderId="4" xfId="2" applyNumberFormat="1" applyFont="1" applyBorder="1" applyAlignment="1" applyProtection="1">
      <alignment horizontal="center"/>
    </xf>
    <xf numFmtId="3" fontId="0" fillId="0" borderId="6" xfId="2" applyNumberFormat="1" applyFont="1" applyBorder="1" applyAlignment="1" applyProtection="1">
      <alignment horizontal="center"/>
    </xf>
    <xf numFmtId="3" fontId="0" fillId="0" borderId="9" xfId="2" applyNumberFormat="1" applyFont="1" applyBorder="1" applyAlignment="1" applyProtection="1">
      <alignment horizontal="center"/>
    </xf>
    <xf numFmtId="0" fontId="20" fillId="0" borderId="0" xfId="0" applyFont="1" applyAlignment="1">
      <alignment horizontal="left"/>
    </xf>
    <xf numFmtId="10" fontId="0" fillId="0" borderId="0" xfId="2" applyNumberFormat="1" applyFont="1" applyAlignment="1" applyProtection="1">
      <alignment horizontal="left"/>
    </xf>
    <xf numFmtId="0" fontId="0" fillId="0" borderId="0" xfId="2" applyNumberFormat="1" applyFont="1" applyProtection="1"/>
    <xf numFmtId="0" fontId="0" fillId="0" borderId="3" xfId="2" applyNumberFormat="1" applyFont="1" applyBorder="1" applyAlignment="1">
      <alignment horizontal="center"/>
    </xf>
    <xf numFmtId="0" fontId="0" fillId="0" borderId="0" xfId="2" applyNumberFormat="1" applyFont="1" applyBorder="1" applyAlignment="1">
      <alignment horizontal="center"/>
    </xf>
    <xf numFmtId="0" fontId="0" fillId="0" borderId="8" xfId="2" applyNumberFormat="1" applyFont="1" applyBorder="1" applyAlignment="1">
      <alignment horizontal="center"/>
    </xf>
    <xf numFmtId="3" fontId="0" fillId="4" borderId="2" xfId="0" applyNumberFormat="1" applyFill="1" applyBorder="1" applyAlignment="1">
      <alignment horizontal="center"/>
    </xf>
    <xf numFmtId="3" fontId="0" fillId="4" borderId="4" xfId="0" applyNumberFormat="1" applyFill="1" applyBorder="1" applyAlignment="1">
      <alignment horizontal="center"/>
    </xf>
    <xf numFmtId="171" fontId="0" fillId="4" borderId="3" xfId="2" applyNumberFormat="1" applyFont="1" applyFill="1" applyBorder="1" applyAlignment="1">
      <alignment horizontal="center"/>
    </xf>
    <xf numFmtId="3" fontId="0" fillId="4" borderId="3" xfId="0" applyNumberFormat="1" applyFill="1" applyBorder="1" applyAlignment="1">
      <alignment horizontal="center"/>
    </xf>
    <xf numFmtId="171" fontId="0" fillId="4" borderId="0" xfId="2" applyNumberFormat="1" applyFont="1" applyFill="1" applyBorder="1" applyAlignment="1">
      <alignment horizontal="center"/>
    </xf>
    <xf numFmtId="171" fontId="0" fillId="4" borderId="8" xfId="2" applyNumberFormat="1" applyFont="1" applyFill="1" applyBorder="1" applyAlignment="1">
      <alignment horizontal="center"/>
    </xf>
    <xf numFmtId="3" fontId="0" fillId="0" borderId="3" xfId="2" applyNumberFormat="1" applyFont="1" applyBorder="1" applyAlignment="1">
      <alignment horizontal="center"/>
    </xf>
    <xf numFmtId="3" fontId="0" fillId="0" borderId="0" xfId="2" applyNumberFormat="1" applyFont="1" applyBorder="1" applyAlignment="1">
      <alignment horizontal="center"/>
    </xf>
    <xf numFmtId="3" fontId="0" fillId="0" borderId="8" xfId="2" applyNumberFormat="1" applyFont="1" applyBorder="1" applyAlignment="1">
      <alignment horizontal="center"/>
    </xf>
    <xf numFmtId="3" fontId="0" fillId="0" borderId="0" xfId="0" applyNumberFormat="1" applyAlignment="1">
      <alignment horizontal="left"/>
    </xf>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4" borderId="10" xfId="0" applyFill="1" applyBorder="1"/>
    <xf numFmtId="0" fontId="0" fillId="25" borderId="10" xfId="0" applyFill="1" applyBorder="1"/>
    <xf numFmtId="0" fontId="0" fillId="26" borderId="10" xfId="0" applyFill="1" applyBorder="1"/>
    <xf numFmtId="0" fontId="0" fillId="28" borderId="10" xfId="0" applyFill="1" applyBorder="1"/>
    <xf numFmtId="0" fontId="0" fillId="27" borderId="10" xfId="0" applyFill="1" applyBorder="1"/>
    <xf numFmtId="0" fontId="2" fillId="2" borderId="10" xfId="0" applyFont="1" applyFill="1" applyBorder="1" applyAlignment="1">
      <alignment horizontal="center"/>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0" xfId="0" applyFont="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3" fillId="0" borderId="9" xfId="0" applyFont="1" applyBorder="1" applyAlignment="1">
      <alignment horizontal="center" vertical="top" wrapText="1"/>
    </xf>
    <xf numFmtId="0" fontId="0" fillId="0" borderId="7" xfId="0" applyBorder="1" applyAlignment="1">
      <alignment horizontal="right"/>
    </xf>
    <xf numFmtId="0" fontId="0" fillId="0" borderId="8" xfId="0" applyBorder="1" applyAlignment="1">
      <alignment horizontal="right"/>
    </xf>
    <xf numFmtId="0" fontId="0" fillId="0" borderId="9" xfId="0" applyBorder="1" applyAlignment="1">
      <alignment horizontal="right"/>
    </xf>
    <xf numFmtId="0" fontId="2" fillId="2" borderId="13" xfId="0" applyFont="1" applyFill="1" applyBorder="1" applyAlignment="1">
      <alignment horizontal="center"/>
    </xf>
    <xf numFmtId="0" fontId="2" fillId="2" borderId="14" xfId="0" applyFont="1" applyFill="1" applyBorder="1" applyAlignment="1">
      <alignment horizontal="center"/>
    </xf>
    <xf numFmtId="37" fontId="0" fillId="0" borderId="0" xfId="1" applyNumberFormat="1" applyFont="1" applyBorder="1" applyAlignment="1">
      <alignment horizontal="center"/>
    </xf>
    <xf numFmtId="37" fontId="0" fillId="0" borderId="6" xfId="1" applyNumberFormat="1"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37" fontId="0" fillId="0" borderId="8" xfId="1" applyNumberFormat="1" applyFont="1" applyBorder="1" applyAlignment="1">
      <alignment horizontal="center"/>
    </xf>
    <xf numFmtId="37" fontId="0" fillId="0" borderId="9" xfId="1" applyNumberFormat="1" applyFont="1" applyBorder="1" applyAlignment="1">
      <alignment horizontal="center"/>
    </xf>
    <xf numFmtId="0" fontId="5" fillId="3" borderId="10" xfId="3" applyFont="1" applyBorder="1" applyAlignment="1" applyProtection="1">
      <alignment horizontal="center" vertical="center"/>
      <protection locked="0"/>
    </xf>
    <xf numFmtId="0" fontId="3" fillId="0" borderId="30" xfId="0" applyFont="1" applyBorder="1" applyAlignment="1">
      <alignment horizontal="center"/>
    </xf>
    <xf numFmtId="0" fontId="3" fillId="0" borderId="29" xfId="0" applyFont="1" applyBorder="1" applyAlignment="1">
      <alignment horizontal="center"/>
    </xf>
    <xf numFmtId="37" fontId="0" fillId="0" borderId="3" xfId="1" applyNumberFormat="1" applyFont="1" applyBorder="1" applyAlignment="1">
      <alignment horizontal="center"/>
    </xf>
    <xf numFmtId="37" fontId="0" fillId="0" borderId="4" xfId="1" applyNumberFormat="1" applyFont="1" applyBorder="1" applyAlignment="1">
      <alignment horizontal="center"/>
    </xf>
    <xf numFmtId="0" fontId="2" fillId="4" borderId="13" xfId="0" applyFont="1" applyFill="1" applyBorder="1" applyAlignment="1">
      <alignment horizontal="center"/>
    </xf>
    <xf numFmtId="0" fontId="2" fillId="4" borderId="18"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2" fillId="4" borderId="0" xfId="0" applyFont="1" applyFill="1" applyAlignment="1">
      <alignment horizontal="center"/>
    </xf>
    <xf numFmtId="3" fontId="4" fillId="3" borderId="38" xfId="3" applyNumberFormat="1" applyBorder="1" applyAlignment="1" applyProtection="1">
      <alignment horizontal="center"/>
      <protection locked="0"/>
    </xf>
    <xf numFmtId="3" fontId="4" fillId="3" borderId="1" xfId="3" applyNumberFormat="1" applyAlignment="1" applyProtection="1">
      <alignment horizontal="center"/>
      <protection locked="0"/>
    </xf>
    <xf numFmtId="0" fontId="0" fillId="0" borderId="2" xfId="0" applyBorder="1" applyAlignment="1">
      <alignment horizontal="right" vertical="center"/>
    </xf>
    <xf numFmtId="0" fontId="0" fillId="0" borderId="3" xfId="0" applyBorder="1" applyAlignment="1">
      <alignment horizontal="right" vertical="center"/>
    </xf>
    <xf numFmtId="0" fontId="0" fillId="0" borderId="4" xfId="0" applyBorder="1" applyAlignment="1">
      <alignment horizontal="right" vertical="center"/>
    </xf>
    <xf numFmtId="0" fontId="0" fillId="0" borderId="5" xfId="0" applyBorder="1" applyAlignment="1">
      <alignment horizontal="right" vertical="center"/>
    </xf>
    <xf numFmtId="0" fontId="0" fillId="0" borderId="0" xfId="0" applyAlignment="1">
      <alignment horizontal="right" vertical="center"/>
    </xf>
    <xf numFmtId="0" fontId="0" fillId="0" borderId="6" xfId="0" applyBorder="1" applyAlignment="1">
      <alignment horizontal="right" vertical="center"/>
    </xf>
    <xf numFmtId="0" fontId="0" fillId="0" borderId="5" xfId="0" applyBorder="1" applyAlignment="1">
      <alignment horizontal="right"/>
    </xf>
    <xf numFmtId="0" fontId="0" fillId="0" borderId="0" xfId="0" applyAlignment="1">
      <alignment horizontal="right"/>
    </xf>
    <xf numFmtId="0" fontId="0" fillId="0" borderId="6" xfId="0" applyBorder="1" applyAlignment="1">
      <alignment horizontal="right"/>
    </xf>
    <xf numFmtId="0" fontId="21" fillId="4" borderId="0" xfId="0" applyFont="1" applyFill="1" applyAlignment="1">
      <alignment horizontal="center" vertical="center" wrapText="1"/>
    </xf>
    <xf numFmtId="0" fontId="14" fillId="4" borderId="0" xfId="0" quotePrefix="1" applyFont="1" applyFill="1" applyAlignment="1">
      <alignment horizontal="center" vertical="center" wrapText="1"/>
    </xf>
    <xf numFmtId="0" fontId="14" fillId="4" borderId="0" xfId="0" applyFont="1" applyFill="1" applyAlignment="1">
      <alignment horizontal="center" vertical="center" wrapText="1"/>
    </xf>
    <xf numFmtId="0" fontId="2" fillId="4" borderId="0" xfId="0" applyFont="1" applyFill="1" applyAlignment="1">
      <alignment horizontal="center" vertical="center"/>
    </xf>
    <xf numFmtId="169" fontId="3" fillId="8" borderId="10" xfId="0" applyNumberFormat="1" applyFont="1" applyFill="1" applyBorder="1" applyAlignment="1">
      <alignment horizontal="center" vertical="center"/>
    </xf>
    <xf numFmtId="0" fontId="7" fillId="4" borderId="5" xfId="0" applyFont="1" applyFill="1" applyBorder="1" applyAlignment="1">
      <alignment horizontal="center" vertical="center"/>
    </xf>
    <xf numFmtId="0" fontId="7" fillId="4" borderId="0" xfId="0" applyFont="1" applyFill="1" applyAlignment="1">
      <alignment horizontal="center" vertical="center"/>
    </xf>
    <xf numFmtId="168" fontId="0" fillId="0" borderId="10" xfId="0" applyNumberFormat="1" applyBorder="1" applyAlignment="1">
      <alignment horizontal="center"/>
    </xf>
    <xf numFmtId="0" fontId="2" fillId="4" borderId="8" xfId="0" applyFont="1" applyFill="1" applyBorder="1" applyAlignment="1">
      <alignment horizontal="center"/>
    </xf>
    <xf numFmtId="0" fontId="5" fillId="3" borderId="34" xfId="3" applyFont="1" applyBorder="1" applyAlignment="1" applyProtection="1">
      <alignment horizontal="center"/>
      <protection locked="0"/>
    </xf>
    <xf numFmtId="0" fontId="5" fillId="3" borderId="35" xfId="3" applyFont="1" applyBorder="1" applyAlignment="1" applyProtection="1">
      <alignment horizontal="center"/>
      <protection locked="0"/>
    </xf>
    <xf numFmtId="3" fontId="0" fillId="0" borderId="2" xfId="0" applyNumberFormat="1" applyBorder="1" applyAlignment="1">
      <alignment horizontal="center"/>
    </xf>
    <xf numFmtId="3" fontId="0" fillId="0" borderId="4" xfId="0" applyNumberFormat="1" applyBorder="1" applyAlignment="1">
      <alignment horizontal="center"/>
    </xf>
    <xf numFmtId="3" fontId="0" fillId="0" borderId="5" xfId="0" applyNumberFormat="1" applyBorder="1" applyAlignment="1">
      <alignment horizontal="center"/>
    </xf>
    <xf numFmtId="3" fontId="0" fillId="0" borderId="6" xfId="0" applyNumberFormat="1" applyBorder="1" applyAlignment="1">
      <alignment horizontal="center"/>
    </xf>
    <xf numFmtId="3" fontId="0" fillId="0" borderId="7" xfId="0" applyNumberFormat="1" applyBorder="1" applyAlignment="1">
      <alignment horizontal="center"/>
    </xf>
    <xf numFmtId="3" fontId="0" fillId="0" borderId="9" xfId="0" applyNumberFormat="1" applyBorder="1" applyAlignment="1">
      <alignment horizontal="center"/>
    </xf>
    <xf numFmtId="0" fontId="3" fillId="0" borderId="0" xfId="0" applyFont="1" applyAlignment="1">
      <alignment horizontal="center"/>
    </xf>
    <xf numFmtId="37" fontId="0" fillId="0" borderId="5" xfId="1" applyNumberFormat="1" applyFont="1" applyBorder="1" applyAlignment="1">
      <alignment horizontal="center"/>
    </xf>
    <xf numFmtId="37" fontId="0" fillId="0" borderId="7" xfId="1" applyNumberFormat="1" applyFont="1" applyBorder="1" applyAlignment="1">
      <alignment horizontal="center"/>
    </xf>
    <xf numFmtId="0" fontId="12" fillId="0" borderId="5" xfId="0" applyFont="1" applyBorder="1" applyAlignment="1">
      <alignment horizontal="right"/>
    </xf>
    <xf numFmtId="0" fontId="12" fillId="0" borderId="29" xfId="0" applyFont="1" applyBorder="1" applyAlignment="1">
      <alignment horizontal="right"/>
    </xf>
    <xf numFmtId="37" fontId="0" fillId="0" borderId="2" xfId="1" applyNumberFormat="1" applyFont="1" applyBorder="1" applyAlignment="1">
      <alignment horizontal="center"/>
    </xf>
    <xf numFmtId="0" fontId="3" fillId="0" borderId="10" xfId="0" applyFont="1" applyBorder="1" applyAlignment="1">
      <alignment horizontal="center"/>
    </xf>
    <xf numFmtId="0" fontId="23" fillId="4" borderId="0" xfId="0" applyFont="1" applyFill="1" applyAlignment="1">
      <alignment horizontal="center" vertical="center"/>
    </xf>
    <xf numFmtId="0" fontId="4" fillId="3" borderId="10" xfId="3" applyBorder="1" applyAlignment="1" applyProtection="1">
      <alignment horizontal="center" vertical="center"/>
      <protection locked="0"/>
    </xf>
    <xf numFmtId="0" fontId="4" fillId="3" borderId="34" xfId="3" applyBorder="1" applyAlignment="1" applyProtection="1">
      <alignment horizontal="center"/>
      <protection locked="0"/>
    </xf>
    <xf numFmtId="0" fontId="4" fillId="3" borderId="35" xfId="3" applyBorder="1" applyAlignment="1" applyProtection="1">
      <alignment horizontal="center"/>
      <protection locked="0"/>
    </xf>
    <xf numFmtId="0" fontId="2" fillId="4" borderId="10" xfId="0" applyFont="1" applyFill="1" applyBorder="1" applyAlignment="1">
      <alignment horizontal="center"/>
    </xf>
    <xf numFmtId="0" fontId="2" fillId="4" borderId="5" xfId="0" applyFont="1" applyFill="1" applyBorder="1" applyAlignment="1">
      <alignment horizontal="center"/>
    </xf>
    <xf numFmtId="0" fontId="5" fillId="3" borderId="13" xfId="3" applyFont="1" applyBorder="1" applyAlignment="1" applyProtection="1">
      <alignment horizontal="center" vertical="center"/>
      <protection locked="0"/>
    </xf>
    <xf numFmtId="0" fontId="5" fillId="3" borderId="14" xfId="3" applyFont="1" applyBorder="1" applyAlignment="1" applyProtection="1">
      <alignment horizontal="center" vertical="center"/>
      <protection locked="0"/>
    </xf>
    <xf numFmtId="0" fontId="2" fillId="2" borderId="18" xfId="0" applyFont="1" applyFill="1" applyBorder="1" applyAlignment="1">
      <alignment horizontal="center"/>
    </xf>
    <xf numFmtId="0" fontId="3" fillId="0" borderId="18" xfId="0" applyFont="1" applyBorder="1" applyAlignment="1">
      <alignment horizontal="center"/>
    </xf>
    <xf numFmtId="37" fontId="0" fillId="0" borderId="2" xfId="0" applyNumberFormat="1" applyBorder="1" applyAlignment="1">
      <alignment horizontal="center"/>
    </xf>
    <xf numFmtId="37" fontId="0" fillId="0" borderId="4" xfId="0" applyNumberFormat="1" applyBorder="1" applyAlignment="1">
      <alignment horizontal="center"/>
    </xf>
    <xf numFmtId="0" fontId="12" fillId="0" borderId="10" xfId="0" applyFont="1" applyBorder="1" applyAlignment="1">
      <alignment horizontal="right"/>
    </xf>
    <xf numFmtId="3" fontId="3" fillId="0" borderId="7" xfId="0" applyNumberFormat="1" applyFont="1" applyBorder="1" applyAlignment="1">
      <alignment horizontal="center"/>
    </xf>
    <xf numFmtId="3" fontId="3" fillId="0" borderId="9" xfId="0" applyNumberFormat="1" applyFont="1" applyBorder="1" applyAlignment="1">
      <alignment horizontal="center"/>
    </xf>
    <xf numFmtId="0" fontId="0" fillId="0" borderId="4" xfId="0" applyBorder="1" applyAlignment="1">
      <alignment horizontal="center"/>
    </xf>
    <xf numFmtId="37" fontId="0" fillId="0" borderId="5" xfId="0" applyNumberFormat="1"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2" fillId="4" borderId="0" xfId="0" applyFont="1" applyFill="1" applyAlignment="1">
      <alignment horizontal="center" vertical="center" wrapText="1"/>
    </xf>
    <xf numFmtId="0" fontId="2" fillId="4" borderId="8" xfId="0" applyFont="1" applyFill="1" applyBorder="1" applyAlignment="1">
      <alignment horizontal="center" vertical="center" wrapText="1"/>
    </xf>
    <xf numFmtId="3" fontId="3" fillId="0" borderId="5" xfId="0" applyNumberFormat="1" applyFont="1" applyBorder="1" applyAlignment="1">
      <alignment horizontal="center"/>
    </xf>
    <xf numFmtId="3" fontId="3" fillId="0" borderId="6" xfId="0" applyNumberFormat="1" applyFont="1" applyBorder="1" applyAlignment="1">
      <alignment horizontal="center"/>
    </xf>
    <xf numFmtId="37" fontId="3" fillId="0" borderId="7" xfId="0" applyNumberFormat="1" applyFont="1" applyBorder="1" applyAlignment="1">
      <alignment horizontal="center"/>
    </xf>
    <xf numFmtId="37" fontId="3" fillId="0" borderId="9" xfId="0" applyNumberFormat="1" applyFont="1" applyBorder="1" applyAlignment="1">
      <alignment horizontal="center"/>
    </xf>
    <xf numFmtId="37" fontId="3" fillId="0" borderId="2" xfId="0" applyNumberFormat="1" applyFont="1" applyBorder="1" applyAlignment="1">
      <alignment horizontal="center"/>
    </xf>
    <xf numFmtId="37" fontId="3" fillId="0" borderId="4" xfId="0" applyNumberFormat="1" applyFont="1" applyBorder="1" applyAlignment="1">
      <alignment horizontal="center"/>
    </xf>
    <xf numFmtId="37" fontId="3" fillId="0" borderId="5" xfId="0" applyNumberFormat="1" applyFont="1" applyBorder="1" applyAlignment="1">
      <alignment horizontal="center"/>
    </xf>
    <xf numFmtId="37" fontId="3" fillId="0" borderId="6" xfId="0" applyNumberFormat="1" applyFont="1" applyBorder="1" applyAlignment="1">
      <alignment horizontal="center"/>
    </xf>
    <xf numFmtId="0" fontId="2" fillId="4" borderId="8" xfId="0" applyFont="1" applyFill="1" applyBorder="1" applyAlignment="1">
      <alignment horizontal="center" vertical="center"/>
    </xf>
    <xf numFmtId="3" fontId="3" fillId="0" borderId="2" xfId="0" applyNumberFormat="1" applyFont="1" applyBorder="1" applyAlignment="1">
      <alignment horizontal="center"/>
    </xf>
    <xf numFmtId="3" fontId="3" fillId="0" borderId="4" xfId="0" applyNumberFormat="1" applyFont="1" applyBorder="1" applyAlignment="1">
      <alignment horizont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0" fillId="0" borderId="18" xfId="0" applyBorder="1" applyAlignment="1">
      <alignment horizontal="center"/>
    </xf>
    <xf numFmtId="0" fontId="20" fillId="0" borderId="13" xfId="0" applyFont="1" applyBorder="1" applyAlignment="1">
      <alignment horizontal="center"/>
    </xf>
    <xf numFmtId="0" fontId="20" fillId="0" borderId="18" xfId="0" applyFont="1" applyBorder="1" applyAlignment="1">
      <alignment horizontal="center"/>
    </xf>
    <xf numFmtId="0" fontId="20" fillId="0" borderId="14" xfId="0" applyFont="1" applyBorder="1" applyAlignment="1">
      <alignment horizontal="center"/>
    </xf>
    <xf numFmtId="0" fontId="2" fillId="10" borderId="0" xfId="0" applyFont="1" applyFill="1" applyAlignment="1">
      <alignment horizontal="center"/>
    </xf>
    <xf numFmtId="0" fontId="3" fillId="14" borderId="13" xfId="0" applyFont="1" applyFill="1" applyBorder="1" applyAlignment="1">
      <alignment horizontal="center"/>
    </xf>
    <xf numFmtId="0" fontId="3" fillId="14" borderId="18" xfId="0" applyFont="1" applyFill="1" applyBorder="1" applyAlignment="1">
      <alignment horizontal="center"/>
    </xf>
    <xf numFmtId="0" fontId="3" fillId="14" borderId="14" xfId="0" applyFont="1" applyFill="1" applyBorder="1" applyAlignment="1">
      <alignment horizontal="center"/>
    </xf>
    <xf numFmtId="3" fontId="0" fillId="0" borderId="13" xfId="0" applyNumberFormat="1" applyBorder="1" applyAlignment="1">
      <alignment horizontal="center"/>
    </xf>
    <xf numFmtId="3" fontId="0" fillId="0" borderId="18" xfId="0" applyNumberFormat="1" applyBorder="1" applyAlignment="1">
      <alignment horizontal="center"/>
    </xf>
    <xf numFmtId="3" fontId="0" fillId="0" borderId="14" xfId="0" applyNumberFormat="1" applyBorder="1" applyAlignment="1">
      <alignment horizontal="center"/>
    </xf>
    <xf numFmtId="2" fontId="3" fillId="0" borderId="13" xfId="0" applyNumberFormat="1" applyFont="1" applyBorder="1" applyAlignment="1">
      <alignment horizontal="center"/>
    </xf>
    <xf numFmtId="2" fontId="3" fillId="0" borderId="18" xfId="0" applyNumberFormat="1" applyFont="1" applyBorder="1" applyAlignment="1">
      <alignment horizontal="center"/>
    </xf>
    <xf numFmtId="2" fontId="3" fillId="0" borderId="14" xfId="0" applyNumberFormat="1" applyFont="1" applyBorder="1" applyAlignment="1">
      <alignment horizontal="center"/>
    </xf>
    <xf numFmtId="3" fontId="3" fillId="0" borderId="13" xfId="0" applyNumberFormat="1" applyFont="1" applyBorder="1" applyAlignment="1">
      <alignment horizontal="center"/>
    </xf>
    <xf numFmtId="3" fontId="3" fillId="0" borderId="18" xfId="0" applyNumberFormat="1" applyFont="1" applyBorder="1" applyAlignment="1">
      <alignment horizontal="center"/>
    </xf>
    <xf numFmtId="3" fontId="3" fillId="0" borderId="14" xfId="0" applyNumberFormat="1" applyFont="1" applyBorder="1" applyAlignment="1">
      <alignment horizontal="center"/>
    </xf>
    <xf numFmtId="0" fontId="11" fillId="4" borderId="0" xfId="0" applyFont="1" applyFill="1" applyAlignment="1">
      <alignment horizontal="center" vertical="center" wrapText="1"/>
    </xf>
    <xf numFmtId="0" fontId="11" fillId="4" borderId="8" xfId="0" applyFont="1" applyFill="1" applyBorder="1" applyAlignment="1">
      <alignment horizontal="center" vertical="center" wrapText="1"/>
    </xf>
    <xf numFmtId="3" fontId="3" fillId="4" borderId="2" xfId="0" applyNumberFormat="1" applyFont="1" applyFill="1" applyBorder="1" applyAlignment="1">
      <alignment horizontal="center"/>
    </xf>
    <xf numFmtId="3" fontId="3" fillId="4" borderId="4" xfId="0" applyNumberFormat="1" applyFont="1" applyFill="1" applyBorder="1" applyAlignment="1">
      <alignment horizontal="center"/>
    </xf>
    <xf numFmtId="3" fontId="3" fillId="4" borderId="5" xfId="0" applyNumberFormat="1" applyFont="1" applyFill="1" applyBorder="1" applyAlignment="1">
      <alignment horizontal="center"/>
    </xf>
    <xf numFmtId="3" fontId="3" fillId="4" borderId="6" xfId="0" applyNumberFormat="1" applyFont="1" applyFill="1" applyBorder="1" applyAlignment="1">
      <alignment horizontal="center"/>
    </xf>
    <xf numFmtId="0" fontId="6" fillId="4" borderId="0" xfId="0" applyFont="1" applyFill="1" applyAlignment="1">
      <alignment horizontal="center" vertical="center"/>
    </xf>
    <xf numFmtId="0" fontId="2" fillId="4" borderId="14" xfId="0" applyFont="1" applyFill="1" applyBorder="1" applyAlignment="1">
      <alignment horizontal="center"/>
    </xf>
    <xf numFmtId="0" fontId="4" fillId="3" borderId="34" xfId="3" applyBorder="1" applyAlignment="1">
      <alignment horizontal="center"/>
    </xf>
    <xf numFmtId="0" fontId="4" fillId="3" borderId="35" xfId="3" applyBorder="1" applyAlignment="1">
      <alignment horizontal="center"/>
    </xf>
    <xf numFmtId="0" fontId="11" fillId="4" borderId="13" xfId="0" applyFont="1" applyFill="1" applyBorder="1" applyAlignment="1">
      <alignment horizontal="center"/>
    </xf>
    <xf numFmtId="0" fontId="11" fillId="4" borderId="14" xfId="0" applyFont="1" applyFill="1" applyBorder="1" applyAlignment="1">
      <alignment horizontal="center"/>
    </xf>
    <xf numFmtId="0" fontId="2" fillId="15" borderId="13" xfId="0" applyFont="1" applyFill="1" applyBorder="1" applyAlignment="1">
      <alignment horizontal="center"/>
    </xf>
    <xf numFmtId="0" fontId="2" fillId="15" borderId="14" xfId="0" applyFont="1" applyFill="1" applyBorder="1" applyAlignment="1">
      <alignment horizontal="center"/>
    </xf>
    <xf numFmtId="0" fontId="32" fillId="3" borderId="34" xfId="3" applyFont="1" applyBorder="1" applyAlignment="1" applyProtection="1">
      <alignment horizontal="center"/>
      <protection locked="0"/>
    </xf>
    <xf numFmtId="0" fontId="32" fillId="3" borderId="35" xfId="3" applyFont="1" applyBorder="1" applyAlignment="1" applyProtection="1">
      <alignment horizontal="center"/>
      <protection locked="0"/>
    </xf>
    <xf numFmtId="0" fontId="2" fillId="2" borderId="18" xfId="0" applyFont="1" applyFill="1" applyBorder="1" applyAlignment="1">
      <alignment horizontal="center" vertical="center"/>
    </xf>
    <xf numFmtId="0" fontId="2" fillId="15" borderId="12" xfId="0" applyFont="1" applyFill="1" applyBorder="1" applyAlignment="1">
      <alignment horizontal="center" wrapText="1"/>
    </xf>
    <xf numFmtId="0" fontId="2" fillId="15" borderId="15" xfId="0" applyFont="1" applyFill="1" applyBorder="1" applyAlignment="1">
      <alignment horizontal="center" wrapText="1"/>
    </xf>
    <xf numFmtId="0" fontId="11" fillId="15" borderId="12" xfId="0" applyFont="1" applyFill="1" applyBorder="1" applyAlignment="1">
      <alignment horizontal="center" wrapText="1"/>
    </xf>
    <xf numFmtId="0" fontId="11" fillId="15" borderId="15" xfId="0" applyFont="1" applyFill="1" applyBorder="1" applyAlignment="1">
      <alignment horizontal="center" wrapText="1"/>
    </xf>
    <xf numFmtId="0" fontId="15" fillId="0" borderId="0" xfId="0" applyFont="1" applyAlignment="1">
      <alignment horizontal="right" vertical="center"/>
    </xf>
    <xf numFmtId="0" fontId="15" fillId="0" borderId="6" xfId="0" applyFont="1" applyBorder="1" applyAlignment="1">
      <alignment horizontal="right" vertical="center"/>
    </xf>
    <xf numFmtId="0" fontId="0" fillId="0" borderId="0" xfId="0" applyAlignment="1">
      <alignment horizontal="center" vertic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5" borderId="7"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3" fontId="2" fillId="5" borderId="5" xfId="0" applyNumberFormat="1" applyFont="1" applyFill="1" applyBorder="1" applyAlignment="1">
      <alignment horizontal="center"/>
    </xf>
    <xf numFmtId="3" fontId="2" fillId="5" borderId="0" xfId="0" applyNumberFormat="1" applyFont="1" applyFill="1" applyAlignment="1">
      <alignment horizontal="center"/>
    </xf>
    <xf numFmtId="3" fontId="2" fillId="5" borderId="6" xfId="0" applyNumberFormat="1" applyFont="1" applyFill="1" applyBorder="1" applyAlignment="1">
      <alignment horizontal="center"/>
    </xf>
    <xf numFmtId="3" fontId="2" fillId="5" borderId="2" xfId="0" applyNumberFormat="1" applyFont="1" applyFill="1" applyBorder="1" applyAlignment="1">
      <alignment horizontal="center"/>
    </xf>
    <xf numFmtId="3" fontId="2" fillId="5" borderId="3" xfId="0" applyNumberFormat="1" applyFont="1" applyFill="1" applyBorder="1" applyAlignment="1">
      <alignment horizontal="center"/>
    </xf>
    <xf numFmtId="3" fontId="2" fillId="5" borderId="4" xfId="0" applyNumberFormat="1" applyFont="1" applyFill="1" applyBorder="1" applyAlignment="1">
      <alignment horizontal="center"/>
    </xf>
    <xf numFmtId="0" fontId="2" fillId="5" borderId="13" xfId="0" applyFont="1" applyFill="1" applyBorder="1" applyAlignment="1">
      <alignment horizontal="center"/>
    </xf>
    <xf numFmtId="0" fontId="2" fillId="5" borderId="18" xfId="0" applyFont="1" applyFill="1" applyBorder="1" applyAlignment="1">
      <alignment horizontal="center"/>
    </xf>
    <xf numFmtId="0" fontId="2" fillId="5" borderId="14" xfId="0" applyFont="1" applyFill="1" applyBorder="1" applyAlignment="1">
      <alignment horizontal="center"/>
    </xf>
    <xf numFmtId="3" fontId="2" fillId="5" borderId="13" xfId="0" applyNumberFormat="1" applyFont="1" applyFill="1" applyBorder="1" applyAlignment="1">
      <alignment horizontal="center"/>
    </xf>
    <xf numFmtId="3" fontId="2" fillId="5" borderId="18" xfId="0" applyNumberFormat="1" applyFont="1" applyFill="1" applyBorder="1" applyAlignment="1">
      <alignment horizontal="center"/>
    </xf>
    <xf numFmtId="3" fontId="2" fillId="5" borderId="14" xfId="0" applyNumberFormat="1" applyFont="1" applyFill="1" applyBorder="1" applyAlignment="1">
      <alignment horizontal="center"/>
    </xf>
    <xf numFmtId="0" fontId="12" fillId="0" borderId="13" xfId="0" applyFont="1" applyBorder="1" applyAlignment="1">
      <alignment horizontal="center"/>
    </xf>
    <xf numFmtId="0" fontId="12" fillId="0" borderId="14" xfId="0" applyFont="1" applyBorder="1" applyAlignment="1">
      <alignment horizontal="center"/>
    </xf>
    <xf numFmtId="0" fontId="15" fillId="0" borderId="0" xfId="0" applyFont="1" applyAlignment="1">
      <alignment horizontal="center" vertical="center" textRotation="45"/>
    </xf>
    <xf numFmtId="0" fontId="31" fillId="4" borderId="2" xfId="0" applyFont="1" applyFill="1" applyBorder="1" applyAlignment="1">
      <alignment horizontal="center" vertical="center" wrapText="1"/>
    </xf>
    <xf numFmtId="0" fontId="31" fillId="4" borderId="3"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0" xfId="0" applyFont="1" applyFill="1" applyAlignment="1">
      <alignment horizontal="center" vertical="center" wrapText="1"/>
    </xf>
    <xf numFmtId="0" fontId="31" fillId="4" borderId="6" xfId="0" applyFont="1" applyFill="1" applyBorder="1" applyAlignment="1">
      <alignment horizontal="center" vertical="center" wrapText="1"/>
    </xf>
    <xf numFmtId="0" fontId="31" fillId="4" borderId="7" xfId="0" applyFont="1" applyFill="1" applyBorder="1" applyAlignment="1">
      <alignment horizontal="center" vertical="center" wrapText="1"/>
    </xf>
    <xf numFmtId="0" fontId="31" fillId="4" borderId="8"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 fillId="0" borderId="0" xfId="0" applyFont="1" applyAlignment="1">
      <alignment horizontal="right" vertical="center"/>
    </xf>
    <xf numFmtId="0" fontId="2" fillId="4" borderId="7" xfId="0" applyFont="1" applyFill="1"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2" xfId="0" applyBorder="1" applyAlignment="1">
      <alignment horizontal="right"/>
    </xf>
    <xf numFmtId="0" fontId="0" fillId="0" borderId="4" xfId="0" applyBorder="1" applyAlignment="1">
      <alignment horizontal="right"/>
    </xf>
    <xf numFmtId="0" fontId="0" fillId="0" borderId="0" xfId="0" applyAlignment="1">
      <alignment horizontal="center"/>
    </xf>
    <xf numFmtId="0" fontId="0" fillId="0" borderId="8" xfId="0" applyBorder="1" applyAlignment="1">
      <alignment horizontal="center"/>
    </xf>
    <xf numFmtId="0" fontId="0" fillId="0" borderId="3" xfId="0" applyBorder="1" applyAlignment="1">
      <alignment horizontal="center"/>
    </xf>
    <xf numFmtId="37" fontId="3" fillId="0" borderId="2" xfId="0" applyNumberFormat="1" applyFont="1" applyBorder="1" applyAlignment="1">
      <alignment horizontal="left"/>
    </xf>
    <xf numFmtId="37" fontId="3" fillId="0" borderId="3" xfId="0" applyNumberFormat="1" applyFont="1" applyBorder="1" applyAlignment="1">
      <alignment horizontal="left"/>
    </xf>
    <xf numFmtId="37" fontId="3" fillId="0" borderId="4" xfId="0" applyNumberFormat="1" applyFont="1" applyBorder="1" applyAlignment="1">
      <alignment horizontal="left"/>
    </xf>
    <xf numFmtId="37" fontId="3" fillId="13" borderId="7" xfId="0" applyNumberFormat="1" applyFont="1" applyFill="1" applyBorder="1" applyAlignment="1">
      <alignment horizontal="left"/>
    </xf>
    <xf numFmtId="37" fontId="3" fillId="13" borderId="8" xfId="0" applyNumberFormat="1" applyFont="1" applyFill="1" applyBorder="1" applyAlignment="1">
      <alignment horizontal="left"/>
    </xf>
    <xf numFmtId="37" fontId="3" fillId="13" borderId="9" xfId="0" applyNumberFormat="1" applyFont="1" applyFill="1" applyBorder="1" applyAlignment="1">
      <alignment horizontal="left"/>
    </xf>
    <xf numFmtId="37" fontId="3" fillId="9" borderId="13" xfId="0" applyNumberFormat="1" applyFont="1" applyFill="1" applyBorder="1" applyAlignment="1">
      <alignment horizontal="left"/>
    </xf>
    <xf numFmtId="37" fontId="3" fillId="9" borderId="18" xfId="0" applyNumberFormat="1" applyFont="1" applyFill="1" applyBorder="1" applyAlignment="1">
      <alignment horizontal="left"/>
    </xf>
    <xf numFmtId="37" fontId="3" fillId="9" borderId="14" xfId="0" applyNumberFormat="1" applyFont="1" applyFill="1" applyBorder="1" applyAlignment="1">
      <alignment horizontal="left"/>
    </xf>
    <xf numFmtId="0" fontId="3" fillId="0" borderId="12" xfId="0" applyFont="1" applyBorder="1" applyAlignment="1">
      <alignment horizontal="center" vertical="center" textRotation="45"/>
    </xf>
    <xf numFmtId="0" fontId="3" fillId="0" borderId="20" xfId="0" applyFont="1" applyBorder="1" applyAlignment="1">
      <alignment horizontal="center" vertical="center" textRotation="45"/>
    </xf>
    <xf numFmtId="0" fontId="3" fillId="0" borderId="15" xfId="0" applyFont="1" applyBorder="1" applyAlignment="1">
      <alignment horizontal="center" vertical="center" textRotation="45"/>
    </xf>
    <xf numFmtId="0" fontId="3" fillId="0" borderId="13" xfId="0" applyFont="1" applyBorder="1" applyAlignment="1">
      <alignment horizontal="right"/>
    </xf>
    <xf numFmtId="0" fontId="3" fillId="0" borderId="18" xfId="0" applyFont="1" applyBorder="1" applyAlignment="1">
      <alignment horizontal="right"/>
    </xf>
    <xf numFmtId="0" fontId="3" fillId="0" borderId="14" xfId="0" applyFont="1" applyBorder="1" applyAlignment="1">
      <alignment horizontal="right"/>
    </xf>
    <xf numFmtId="0" fontId="3" fillId="13" borderId="13" xfId="0" applyFont="1" applyFill="1" applyBorder="1" applyAlignment="1">
      <alignment horizontal="right"/>
    </xf>
    <xf numFmtId="0" fontId="3" fillId="13" borderId="18" xfId="0" applyFont="1" applyFill="1" applyBorder="1" applyAlignment="1">
      <alignment horizontal="right"/>
    </xf>
    <xf numFmtId="0" fontId="3" fillId="13" borderId="14" xfId="0" applyFont="1" applyFill="1" applyBorder="1" applyAlignment="1">
      <alignment horizontal="right"/>
    </xf>
    <xf numFmtId="0" fontId="3" fillId="9" borderId="13" xfId="0" applyFont="1" applyFill="1" applyBorder="1" applyAlignment="1">
      <alignment horizontal="right"/>
    </xf>
    <xf numFmtId="0" fontId="3" fillId="9" borderId="18" xfId="0" applyFont="1" applyFill="1" applyBorder="1" applyAlignment="1">
      <alignment horizontal="right"/>
    </xf>
    <xf numFmtId="0" fontId="3" fillId="9" borderId="14" xfId="0" applyFont="1" applyFill="1" applyBorder="1" applyAlignment="1">
      <alignment horizontal="right"/>
    </xf>
    <xf numFmtId="37" fontId="0" fillId="0" borderId="13" xfId="0" applyNumberFormat="1" applyBorder="1" applyAlignment="1">
      <alignment horizontal="center"/>
    </xf>
    <xf numFmtId="37" fontId="0" fillId="0" borderId="14" xfId="0" applyNumberFormat="1" applyBorder="1" applyAlignment="1">
      <alignment horizontal="center"/>
    </xf>
    <xf numFmtId="0" fontId="2" fillId="4" borderId="64" xfId="0" applyFont="1" applyFill="1" applyBorder="1" applyAlignment="1">
      <alignment horizontal="center"/>
    </xf>
    <xf numFmtId="0" fontId="2" fillId="4" borderId="39" xfId="0" applyFont="1" applyFill="1" applyBorder="1" applyAlignment="1">
      <alignment horizontal="center"/>
    </xf>
    <xf numFmtId="0" fontId="2" fillId="4" borderId="53" xfId="0" applyFont="1" applyFill="1" applyBorder="1" applyAlignment="1">
      <alignment horizontal="center"/>
    </xf>
    <xf numFmtId="0" fontId="2" fillId="4" borderId="54" xfId="0" applyFont="1" applyFill="1" applyBorder="1" applyAlignment="1">
      <alignment horizontal="center"/>
    </xf>
    <xf numFmtId="0" fontId="2" fillId="4" borderId="55" xfId="0" applyFont="1" applyFill="1" applyBorder="1" applyAlignment="1">
      <alignment horizont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5" xfId="0" applyFont="1" applyFill="1" applyBorder="1" applyAlignment="1">
      <alignment horizontal="center"/>
    </xf>
    <xf numFmtId="0" fontId="2" fillId="2" borderId="0" xfId="0" applyFont="1" applyFill="1" applyAlignment="1">
      <alignment horizontal="center"/>
    </xf>
    <xf numFmtId="0" fontId="14" fillId="4" borderId="0" xfId="0" applyFont="1" applyFill="1" applyAlignment="1">
      <alignment horizontal="center" wrapText="1"/>
    </xf>
    <xf numFmtId="0" fontId="14" fillId="4" borderId="8" xfId="0" applyFont="1" applyFill="1" applyBorder="1" applyAlignment="1">
      <alignment horizontal="center" wrapText="1"/>
    </xf>
    <xf numFmtId="0" fontId="0" fillId="17" borderId="13" xfId="0" applyFill="1" applyBorder="1" applyAlignment="1">
      <alignment horizontal="center"/>
    </xf>
    <xf numFmtId="0" fontId="0" fillId="17" borderId="14" xfId="0" applyFill="1" applyBorder="1" applyAlignment="1">
      <alignment horizont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3" fillId="0" borderId="9"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12" fillId="0" borderId="7" xfId="0" applyFont="1" applyBorder="1" applyAlignment="1">
      <alignment horizontal="center" vertical="center"/>
    </xf>
    <xf numFmtId="0" fontId="12" fillId="0" borderId="9" xfId="0" applyFont="1" applyBorder="1" applyAlignment="1">
      <alignment horizontal="center" vertical="center"/>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0" fillId="18" borderId="13" xfId="0" applyFill="1" applyBorder="1" applyAlignment="1">
      <alignment horizontal="center"/>
    </xf>
    <xf numFmtId="0" fontId="0" fillId="18" borderId="14" xfId="0" applyFill="1" applyBorder="1" applyAlignment="1">
      <alignment horizontal="center"/>
    </xf>
    <xf numFmtId="0" fontId="20" fillId="0" borderId="2"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9" xfId="0" applyFont="1" applyBorder="1" applyAlignment="1">
      <alignment horizontal="center" vertical="center" wrapText="1"/>
    </xf>
    <xf numFmtId="0" fontId="10" fillId="4" borderId="0" xfId="0" applyFont="1" applyFill="1" applyAlignment="1">
      <alignment horizontal="center"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4" fillId="3" borderId="1" xfId="3" applyAlignment="1" applyProtection="1">
      <alignment horizontal="center"/>
      <protection locked="0"/>
    </xf>
    <xf numFmtId="0" fontId="4" fillId="3" borderId="31" xfId="3" applyBorder="1" applyAlignment="1" applyProtection="1">
      <alignment horizontal="center"/>
      <protection locked="0"/>
    </xf>
    <xf numFmtId="0" fontId="2" fillId="4" borderId="50" xfId="0" applyFont="1" applyFill="1" applyBorder="1" applyAlignment="1">
      <alignment horizontal="center"/>
    </xf>
    <xf numFmtId="0" fontId="2" fillId="4" borderId="45" xfId="0" applyFont="1" applyFill="1" applyBorder="1" applyAlignment="1">
      <alignment horizontal="center"/>
    </xf>
    <xf numFmtId="0" fontId="2" fillId="4" borderId="47" xfId="0" applyFont="1" applyFill="1" applyBorder="1" applyAlignment="1">
      <alignment horizontal="center"/>
    </xf>
    <xf numFmtId="0" fontId="2" fillId="4" borderId="4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166" fontId="0" fillId="0" borderId="5" xfId="2" applyNumberFormat="1" applyFont="1" applyBorder="1" applyAlignment="1">
      <alignment horizontal="center"/>
    </xf>
    <xf numFmtId="166" fontId="0" fillId="0" borderId="6" xfId="2" applyNumberFormat="1" applyFont="1" applyBorder="1" applyAlignment="1">
      <alignment horizontal="center"/>
    </xf>
    <xf numFmtId="3" fontId="0" fillId="0" borderId="12" xfId="0" applyNumberFormat="1" applyBorder="1" applyAlignment="1">
      <alignment horizontal="center" vertical="center"/>
    </xf>
    <xf numFmtId="3" fontId="0" fillId="0" borderId="15" xfId="0" applyNumberFormat="1" applyBorder="1" applyAlignment="1">
      <alignment horizontal="center" vertical="center"/>
    </xf>
    <xf numFmtId="0" fontId="8" fillId="2" borderId="13" xfId="0" applyFont="1" applyFill="1" applyBorder="1" applyAlignment="1">
      <alignment horizontal="center"/>
    </xf>
    <xf numFmtId="0" fontId="8" fillId="2" borderId="14" xfId="0" applyFont="1" applyFill="1" applyBorder="1" applyAlignment="1">
      <alignment horizontal="center"/>
    </xf>
    <xf numFmtId="166" fontId="0" fillId="0" borderId="2" xfId="2" applyNumberFormat="1" applyFont="1" applyBorder="1" applyAlignment="1">
      <alignment horizontal="center"/>
    </xf>
    <xf numFmtId="166" fontId="0" fillId="0" borderId="4" xfId="2" applyNumberFormat="1" applyFont="1" applyBorder="1" applyAlignment="1">
      <alignment horizontal="center"/>
    </xf>
    <xf numFmtId="0" fontId="4" fillId="3" borderId="13" xfId="3" applyBorder="1" applyAlignment="1" applyProtection="1">
      <alignment horizontal="center"/>
      <protection locked="0"/>
    </xf>
    <xf numFmtId="0" fontId="4" fillId="3" borderId="14" xfId="3" applyBorder="1" applyAlignment="1" applyProtection="1">
      <alignment horizontal="center"/>
      <protection locked="0"/>
    </xf>
    <xf numFmtId="166" fontId="20" fillId="0" borderId="7" xfId="2" applyNumberFormat="1" applyFont="1" applyBorder="1" applyAlignment="1">
      <alignment horizontal="center"/>
    </xf>
    <xf numFmtId="166" fontId="20" fillId="0" borderId="9" xfId="2" applyNumberFormat="1" applyFont="1" applyBorder="1" applyAlignment="1">
      <alignment horizontal="center"/>
    </xf>
    <xf numFmtId="166" fontId="20" fillId="0" borderId="5" xfId="2" applyNumberFormat="1" applyFont="1" applyBorder="1" applyAlignment="1">
      <alignment horizontal="center"/>
    </xf>
    <xf numFmtId="166" fontId="20" fillId="0" borderId="6" xfId="2" applyNumberFormat="1"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xf numFmtId="0" fontId="12" fillId="0" borderId="9" xfId="0" applyFont="1" applyBorder="1"/>
    <xf numFmtId="0" fontId="2" fillId="4" borderId="40" xfId="0" applyFont="1" applyFill="1" applyBorder="1" applyAlignment="1">
      <alignment horizontal="center"/>
    </xf>
    <xf numFmtId="0" fontId="2" fillId="4" borderId="41" xfId="0" applyFont="1" applyFill="1" applyBorder="1" applyAlignment="1">
      <alignment horizontal="center"/>
    </xf>
    <xf numFmtId="0" fontId="2" fillId="4" borderId="42" xfId="0" applyFont="1" applyFill="1" applyBorder="1" applyAlignment="1">
      <alignment horizontal="center"/>
    </xf>
    <xf numFmtId="0" fontId="2" fillId="5" borderId="2" xfId="0" applyFont="1" applyFill="1" applyBorder="1" applyAlignment="1">
      <alignment horizontal="center"/>
    </xf>
    <xf numFmtId="0" fontId="2" fillId="5" borderId="4" xfId="0" applyFont="1" applyFill="1" applyBorder="1" applyAlignment="1">
      <alignment horizontal="center"/>
    </xf>
    <xf numFmtId="0" fontId="2" fillId="5" borderId="0" xfId="0" applyFont="1" applyFill="1" applyAlignment="1">
      <alignment horizontal="center"/>
    </xf>
    <xf numFmtId="37" fontId="4" fillId="3" borderId="13" xfId="1" applyNumberFormat="1" applyFont="1" applyFill="1" applyBorder="1" applyAlignment="1" applyProtection="1">
      <alignment horizontal="center"/>
      <protection locked="0"/>
    </xf>
    <xf numFmtId="37" fontId="4" fillId="3" borderId="14" xfId="1" applyNumberFormat="1" applyFont="1" applyFill="1" applyBorder="1" applyAlignment="1" applyProtection="1">
      <alignment horizontal="center"/>
      <protection locked="0"/>
    </xf>
    <xf numFmtId="37" fontId="0" fillId="0" borderId="13" xfId="1" applyNumberFormat="1" applyFont="1" applyBorder="1" applyAlignment="1">
      <alignment horizontal="center"/>
    </xf>
    <xf numFmtId="37" fontId="0" fillId="0" borderId="14" xfId="1" applyNumberFormat="1" applyFont="1" applyBorder="1" applyAlignment="1">
      <alignment horizontal="center"/>
    </xf>
    <xf numFmtId="37" fontId="4" fillId="3" borderId="0" xfId="1" applyNumberFormat="1" applyFont="1" applyFill="1" applyBorder="1" applyAlignment="1" applyProtection="1">
      <alignment horizontal="center"/>
      <protection locked="0"/>
    </xf>
    <xf numFmtId="37" fontId="4" fillId="3" borderId="6" xfId="1" applyNumberFormat="1" applyFont="1" applyFill="1" applyBorder="1" applyAlignment="1" applyProtection="1">
      <alignment horizontal="center"/>
      <protection locked="0"/>
    </xf>
    <xf numFmtId="3" fontId="0" fillId="0" borderId="6" xfId="1" applyNumberFormat="1" applyFont="1" applyBorder="1" applyAlignment="1">
      <alignment horizontal="center"/>
    </xf>
    <xf numFmtId="37" fontId="0" fillId="0" borderId="3" xfId="0" applyNumberFormat="1" applyBorder="1" applyAlignment="1">
      <alignment horizontal="center"/>
    </xf>
    <xf numFmtId="37" fontId="3" fillId="0" borderId="8" xfId="0" applyNumberFormat="1" applyFont="1" applyBorder="1" applyAlignment="1">
      <alignment horizontal="center"/>
    </xf>
    <xf numFmtId="3" fontId="0" fillId="0" borderId="8" xfId="0" applyNumberFormat="1" applyBorder="1" applyAlignment="1">
      <alignment horizontal="center"/>
    </xf>
    <xf numFmtId="3" fontId="0" fillId="0" borderId="0" xfId="1" applyNumberFormat="1" applyFont="1" applyBorder="1" applyAlignment="1">
      <alignment horizontal="center"/>
    </xf>
    <xf numFmtId="3" fontId="28" fillId="20" borderId="13" xfId="10" applyNumberFormat="1" applyBorder="1" applyAlignment="1">
      <alignment horizontal="center"/>
    </xf>
    <xf numFmtId="3" fontId="28" fillId="20" borderId="14" xfId="10" applyNumberFormat="1" applyBorder="1" applyAlignment="1">
      <alignment horizontal="center"/>
    </xf>
    <xf numFmtId="3" fontId="0" fillId="0" borderId="3" xfId="1" applyNumberFormat="1" applyFont="1" applyBorder="1" applyAlignment="1">
      <alignment horizontal="center"/>
    </xf>
    <xf numFmtId="3" fontId="0" fillId="0" borderId="4" xfId="1" applyNumberFormat="1" applyFont="1" applyBorder="1" applyAlignment="1">
      <alignment horizontal="center"/>
    </xf>
    <xf numFmtId="0" fontId="11" fillId="2" borderId="13" xfId="0" applyFont="1" applyFill="1" applyBorder="1" applyAlignment="1">
      <alignment horizontal="center"/>
    </xf>
    <xf numFmtId="0" fontId="11" fillId="2" borderId="14" xfId="0" applyFont="1" applyFill="1" applyBorder="1" applyAlignment="1">
      <alignment horizontal="center"/>
    </xf>
    <xf numFmtId="3" fontId="0" fillId="0" borderId="8" xfId="1" applyNumberFormat="1" applyFont="1" applyBorder="1" applyAlignment="1">
      <alignment horizontal="center"/>
    </xf>
    <xf numFmtId="3" fontId="0" fillId="0" borderId="9" xfId="1" applyNumberFormat="1" applyFont="1" applyBorder="1" applyAlignment="1">
      <alignment horizontal="center"/>
    </xf>
    <xf numFmtId="3" fontId="3" fillId="0" borderId="0" xfId="0" applyNumberFormat="1" applyFont="1" applyAlignment="1">
      <alignment horizontal="center"/>
    </xf>
    <xf numFmtId="0" fontId="2" fillId="2" borderId="6" xfId="0" applyFont="1" applyFill="1" applyBorder="1" applyAlignment="1">
      <alignment horizontal="center"/>
    </xf>
    <xf numFmtId="0" fontId="2" fillId="4" borderId="3" xfId="0" applyFont="1" applyFill="1" applyBorder="1" applyAlignment="1">
      <alignment horizontal="center" vertical="center" wrapText="1"/>
    </xf>
    <xf numFmtId="167" fontId="2" fillId="4" borderId="0" xfId="1" applyNumberFormat="1" applyFont="1" applyFill="1" applyAlignment="1">
      <alignment horizontal="center"/>
    </xf>
    <xf numFmtId="3" fontId="3" fillId="0" borderId="8" xfId="0" applyNumberFormat="1" applyFont="1" applyBorder="1" applyAlignment="1">
      <alignment horizontal="center"/>
    </xf>
    <xf numFmtId="3" fontId="4" fillId="3" borderId="34" xfId="3" applyNumberFormat="1" applyBorder="1" applyAlignment="1" applyProtection="1">
      <alignment horizontal="center"/>
      <protection locked="0"/>
    </xf>
    <xf numFmtId="3" fontId="4" fillId="3" borderId="48" xfId="3" applyNumberFormat="1" applyBorder="1" applyAlignment="1" applyProtection="1">
      <alignment horizontal="center"/>
      <protection locked="0"/>
    </xf>
    <xf numFmtId="3" fontId="4" fillId="3" borderId="35" xfId="3" applyNumberFormat="1" applyBorder="1" applyAlignment="1" applyProtection="1">
      <alignment horizontal="center"/>
      <protection locked="0"/>
    </xf>
    <xf numFmtId="0" fontId="9" fillId="0" borderId="5" xfId="0" applyFont="1" applyBorder="1" applyAlignment="1">
      <alignment horizontal="center" vertical="center"/>
    </xf>
    <xf numFmtId="3" fontId="27" fillId="19" borderId="13" xfId="9" applyNumberFormat="1" applyBorder="1" applyAlignment="1">
      <alignment horizontal="center"/>
    </xf>
    <xf numFmtId="3" fontId="27" fillId="19" borderId="14" xfId="9" applyNumberFormat="1" applyBorder="1" applyAlignment="1">
      <alignment horizontal="center"/>
    </xf>
    <xf numFmtId="0" fontId="9" fillId="0" borderId="0" xfId="0" applyFont="1" applyAlignment="1">
      <alignment horizontal="center" wrapText="1"/>
    </xf>
    <xf numFmtId="3" fontId="3" fillId="0" borderId="3" xfId="0" applyNumberFormat="1" applyFont="1" applyBorder="1" applyAlignment="1">
      <alignment horizontal="center"/>
    </xf>
    <xf numFmtId="0" fontId="0" fillId="4" borderId="18" xfId="0" applyFill="1" applyBorder="1" applyAlignment="1">
      <alignment horizontal="center"/>
    </xf>
    <xf numFmtId="0" fontId="0" fillId="4" borderId="14" xfId="0" applyFill="1" applyBorder="1" applyAlignment="1">
      <alignment horizontal="center"/>
    </xf>
    <xf numFmtId="167" fontId="3" fillId="0" borderId="0" xfId="1" applyNumberFormat="1" applyFont="1" applyAlignment="1">
      <alignment horizontal="center"/>
    </xf>
    <xf numFmtId="167" fontId="2" fillId="2" borderId="0" xfId="1" applyNumberFormat="1" applyFont="1" applyFill="1" applyBorder="1" applyAlignment="1">
      <alignment horizontal="center"/>
    </xf>
    <xf numFmtId="167" fontId="2" fillId="2" borderId="6" xfId="1" applyNumberFormat="1" applyFont="1" applyFill="1" applyBorder="1" applyAlignment="1">
      <alignment horizontal="center"/>
    </xf>
    <xf numFmtId="167" fontId="2" fillId="2" borderId="5" xfId="1" applyNumberFormat="1" applyFont="1" applyFill="1" applyBorder="1" applyAlignment="1">
      <alignment horizontal="center"/>
    </xf>
    <xf numFmtId="167" fontId="2" fillId="2" borderId="0" xfId="1" applyNumberFormat="1" applyFont="1" applyFill="1" applyAlignment="1">
      <alignment horizontal="center"/>
    </xf>
    <xf numFmtId="167" fontId="2" fillId="2" borderId="0" xfId="1" applyNumberFormat="1" applyFont="1" applyFill="1" applyAlignment="1">
      <alignment horizontal="center" vertical="center"/>
    </xf>
    <xf numFmtId="0" fontId="4" fillId="3" borderId="34" xfId="3" applyNumberFormat="1" applyBorder="1" applyAlignment="1" applyProtection="1">
      <alignment horizontal="center"/>
      <protection locked="0"/>
    </xf>
    <xf numFmtId="0" fontId="4" fillId="3" borderId="35" xfId="3" applyNumberFormat="1" applyBorder="1" applyAlignment="1" applyProtection="1">
      <alignment horizontal="center"/>
      <protection locked="0"/>
    </xf>
    <xf numFmtId="3" fontId="2" fillId="2" borderId="13" xfId="0" applyNumberFormat="1" applyFont="1" applyFill="1" applyBorder="1" applyAlignment="1">
      <alignment horizontal="center"/>
    </xf>
    <xf numFmtId="3" fontId="2" fillId="2" borderId="14" xfId="0" applyNumberFormat="1" applyFont="1" applyFill="1" applyBorder="1" applyAlignment="1">
      <alignment horizontal="center"/>
    </xf>
    <xf numFmtId="10" fontId="2" fillId="15" borderId="13" xfId="2" applyNumberFormat="1" applyFont="1" applyFill="1" applyBorder="1" applyAlignment="1" applyProtection="1">
      <alignment horizontal="center"/>
    </xf>
    <xf numFmtId="10" fontId="2" fillId="15" borderId="18" xfId="2" applyNumberFormat="1" applyFont="1" applyFill="1" applyBorder="1" applyAlignment="1" applyProtection="1">
      <alignment horizontal="center"/>
    </xf>
    <xf numFmtId="10" fontId="2" fillId="15" borderId="14" xfId="2" applyNumberFormat="1" applyFont="1" applyFill="1" applyBorder="1" applyAlignment="1" applyProtection="1">
      <alignment horizontal="center"/>
    </xf>
    <xf numFmtId="9" fontId="0" fillId="0" borderId="13" xfId="2" applyFont="1" applyBorder="1" applyAlignment="1">
      <alignment horizontal="center"/>
    </xf>
    <xf numFmtId="9" fontId="0" fillId="0" borderId="14" xfId="2" applyFont="1" applyBorder="1" applyAlignment="1">
      <alignment horizontal="center"/>
    </xf>
    <xf numFmtId="0" fontId="2" fillId="15" borderId="18" xfId="0" applyFont="1" applyFill="1" applyBorder="1" applyAlignment="1">
      <alignment horizontal="center"/>
    </xf>
    <xf numFmtId="10" fontId="2" fillId="4" borderId="8" xfId="2" applyNumberFormat="1" applyFont="1" applyFill="1" applyBorder="1" applyAlignment="1" applyProtection="1">
      <alignment horizontal="center"/>
    </xf>
    <xf numFmtId="3" fontId="4" fillId="3" borderId="66" xfId="3" applyNumberFormat="1" applyBorder="1" applyAlignment="1" applyProtection="1">
      <alignment horizontal="center"/>
      <protection locked="0"/>
    </xf>
    <xf numFmtId="3" fontId="4" fillId="3" borderId="67" xfId="3" applyNumberFormat="1" applyBorder="1" applyAlignment="1" applyProtection="1">
      <alignment horizontal="center"/>
      <protection locked="0"/>
    </xf>
    <xf numFmtId="10" fontId="2" fillId="15" borderId="7" xfId="2" applyNumberFormat="1" applyFont="1" applyFill="1" applyBorder="1" applyAlignment="1" applyProtection="1">
      <alignment horizontal="center"/>
    </xf>
    <xf numFmtId="10" fontId="2" fillId="15" borderId="8" xfId="2" applyNumberFormat="1" applyFont="1" applyFill="1" applyBorder="1" applyAlignment="1" applyProtection="1">
      <alignment horizontal="center"/>
    </xf>
    <xf numFmtId="0" fontId="4" fillId="3" borderId="59" xfId="3" applyNumberFormat="1" applyBorder="1" applyAlignment="1" applyProtection="1">
      <alignment horizontal="center"/>
      <protection locked="0"/>
    </xf>
    <xf numFmtId="0" fontId="4" fillId="3" borderId="61" xfId="3" applyNumberFormat="1" applyBorder="1" applyAlignment="1" applyProtection="1">
      <alignment horizontal="center"/>
      <protection locked="0"/>
    </xf>
    <xf numFmtId="0" fontId="22" fillId="4" borderId="0" xfId="0" applyFont="1" applyFill="1" applyAlignment="1">
      <alignment horizontal="center" vertical="center"/>
    </xf>
    <xf numFmtId="0" fontId="20" fillId="0" borderId="0" xfId="0" applyFont="1" applyAlignment="1">
      <alignment horizontal="right"/>
    </xf>
    <xf numFmtId="0" fontId="2" fillId="15" borderId="12" xfId="0" applyFont="1" applyFill="1" applyBorder="1" applyAlignment="1">
      <alignment horizontal="center" vertical="center"/>
    </xf>
    <xf numFmtId="0" fontId="2" fillId="15" borderId="20" xfId="0" applyFont="1" applyFill="1" applyBorder="1" applyAlignment="1">
      <alignment horizontal="center" vertical="center"/>
    </xf>
    <xf numFmtId="0" fontId="2" fillId="15" borderId="12" xfId="0" applyFont="1" applyFill="1" applyBorder="1" applyAlignment="1">
      <alignment horizontal="center" vertical="center" wrapText="1"/>
    </xf>
    <xf numFmtId="0" fontId="2" fillId="15" borderId="20" xfId="0" applyFont="1" applyFill="1" applyBorder="1" applyAlignment="1">
      <alignment horizontal="center" vertical="center" wrapText="1"/>
    </xf>
    <xf numFmtId="0" fontId="2" fillId="15" borderId="15" xfId="0" applyFont="1" applyFill="1" applyBorder="1" applyAlignment="1">
      <alignment horizontal="center" vertical="center" wrapText="1"/>
    </xf>
    <xf numFmtId="3" fontId="0" fillId="0" borderId="13" xfId="2" applyNumberFormat="1" applyFont="1" applyBorder="1" applyAlignment="1" applyProtection="1">
      <alignment horizontal="center"/>
    </xf>
    <xf numFmtId="3" fontId="0" fillId="0" borderId="14" xfId="2" applyNumberFormat="1" applyFont="1" applyBorder="1" applyAlignment="1" applyProtection="1">
      <alignment horizontal="center"/>
    </xf>
    <xf numFmtId="0" fontId="4" fillId="3" borderId="52" xfId="3" applyNumberFormat="1" applyBorder="1" applyAlignment="1" applyProtection="1">
      <alignment horizontal="center"/>
      <protection locked="0"/>
    </xf>
    <xf numFmtId="0" fontId="4" fillId="3" borderId="68" xfId="3" applyNumberFormat="1" applyBorder="1" applyAlignment="1" applyProtection="1">
      <alignment horizontal="center"/>
      <protection locked="0"/>
    </xf>
    <xf numFmtId="171" fontId="0" fillId="0" borderId="13" xfId="2" applyNumberFormat="1" applyFont="1" applyBorder="1" applyAlignment="1">
      <alignment horizontal="center"/>
    </xf>
    <xf numFmtId="171" fontId="0" fillId="0" borderId="14" xfId="2" applyNumberFormat="1" applyFont="1" applyBorder="1" applyAlignment="1">
      <alignment horizontal="center"/>
    </xf>
    <xf numFmtId="10" fontId="0" fillId="0" borderId="13" xfId="2" applyNumberFormat="1" applyFont="1" applyBorder="1" applyAlignment="1">
      <alignment horizontal="center"/>
    </xf>
    <xf numFmtId="10" fontId="0" fillId="0" borderId="14" xfId="2" applyNumberFormat="1" applyFont="1" applyBorder="1" applyAlignment="1">
      <alignment horizontal="center"/>
    </xf>
    <xf numFmtId="10" fontId="2" fillId="4" borderId="0" xfId="2" applyNumberFormat="1" applyFont="1" applyFill="1" applyBorder="1" applyAlignment="1" applyProtection="1">
      <alignment horizontal="center"/>
    </xf>
    <xf numFmtId="10" fontId="2" fillId="2" borderId="0" xfId="2" applyNumberFormat="1" applyFont="1" applyFill="1" applyBorder="1" applyAlignment="1" applyProtection="1">
      <alignment horizontal="center"/>
    </xf>
    <xf numFmtId="10" fontId="0" fillId="0" borderId="0" xfId="2" applyNumberFormat="1" applyFont="1" applyAlignment="1">
      <alignment horizontal="center"/>
    </xf>
    <xf numFmtId="10" fontId="2" fillId="2" borderId="13" xfId="2" applyNumberFormat="1" applyFont="1" applyFill="1" applyBorder="1" applyAlignment="1" applyProtection="1">
      <alignment horizontal="center"/>
    </xf>
    <xf numFmtId="10" fontId="2" fillId="2" borderId="14" xfId="2" applyNumberFormat="1" applyFont="1" applyFill="1" applyBorder="1" applyAlignment="1" applyProtection="1">
      <alignment horizontal="center"/>
    </xf>
    <xf numFmtId="0" fontId="4" fillId="3" borderId="66" xfId="3" applyNumberFormat="1" applyBorder="1" applyAlignment="1" applyProtection="1">
      <alignment horizontal="center"/>
      <protection locked="0"/>
    </xf>
    <xf numFmtId="0" fontId="4" fillId="3" borderId="67" xfId="3" applyNumberFormat="1" applyBorder="1" applyAlignment="1" applyProtection="1">
      <alignment horizontal="center"/>
      <protection locked="0"/>
    </xf>
    <xf numFmtId="3" fontId="4" fillId="3" borderId="62" xfId="3" applyNumberFormat="1" applyBorder="1" applyAlignment="1" applyProtection="1">
      <alignment horizontal="center"/>
      <protection locked="0"/>
    </xf>
    <xf numFmtId="3" fontId="4" fillId="3" borderId="63" xfId="3" applyNumberFormat="1" applyBorder="1" applyAlignment="1" applyProtection="1">
      <alignment horizontal="center"/>
      <protection locked="0"/>
    </xf>
    <xf numFmtId="10" fontId="2" fillId="2" borderId="18" xfId="2" applyNumberFormat="1" applyFont="1" applyFill="1" applyBorder="1" applyAlignment="1" applyProtection="1">
      <alignment horizontal="center"/>
    </xf>
    <xf numFmtId="3" fontId="4" fillId="3" borderId="31" xfId="3" applyNumberFormat="1" applyBorder="1" applyAlignment="1" applyProtection="1">
      <alignment horizontal="center"/>
      <protection locked="0"/>
    </xf>
    <xf numFmtId="10" fontId="2" fillId="2" borderId="7" xfId="2" applyNumberFormat="1" applyFont="1" applyFill="1" applyBorder="1" applyAlignment="1" applyProtection="1">
      <alignment horizontal="center"/>
    </xf>
    <xf numFmtId="10" fontId="2" fillId="2" borderId="8" xfId="2" applyNumberFormat="1" applyFont="1" applyFill="1" applyBorder="1" applyAlignment="1" applyProtection="1">
      <alignment horizontal="center"/>
    </xf>
    <xf numFmtId="0" fontId="4" fillId="3" borderId="28" xfId="3" applyNumberFormat="1" applyBorder="1" applyAlignment="1" applyProtection="1">
      <alignment horizontal="center"/>
      <protection locked="0"/>
    </xf>
    <xf numFmtId="3" fontId="0" fillId="0" borderId="13" xfId="2" applyNumberFormat="1" applyFont="1" applyBorder="1" applyAlignment="1">
      <alignment horizontal="center"/>
    </xf>
    <xf numFmtId="3" fontId="0" fillId="0" borderId="14" xfId="2" applyNumberFormat="1" applyFont="1" applyBorder="1" applyAlignment="1">
      <alignment horizontal="center"/>
    </xf>
    <xf numFmtId="3" fontId="20" fillId="0" borderId="13" xfId="0" applyNumberFormat="1" applyFont="1" applyBorder="1" applyAlignment="1">
      <alignment horizontal="center"/>
    </xf>
    <xf numFmtId="3" fontId="20" fillId="0" borderId="14" xfId="0" applyNumberFormat="1" applyFont="1" applyBorder="1" applyAlignment="1">
      <alignment horizontal="center"/>
    </xf>
    <xf numFmtId="0" fontId="2" fillId="5" borderId="5" xfId="0" applyFont="1" applyFill="1" applyBorder="1" applyAlignment="1">
      <alignment horizontal="center"/>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9"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4" fillId="2" borderId="18"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13" xfId="0" quotePrefix="1" applyFont="1" applyFill="1" applyBorder="1" applyAlignment="1">
      <alignment horizontal="center" vertical="center" wrapText="1"/>
    </xf>
    <xf numFmtId="0" fontId="11" fillId="2" borderId="18" xfId="0" quotePrefix="1" applyFont="1" applyFill="1" applyBorder="1" applyAlignment="1">
      <alignment horizontal="center" vertical="center" wrapText="1"/>
    </xf>
    <xf numFmtId="0" fontId="11" fillId="2" borderId="14" xfId="0" quotePrefix="1" applyFont="1" applyFill="1" applyBorder="1" applyAlignment="1">
      <alignment horizontal="center" vertical="center" wrapText="1"/>
    </xf>
    <xf numFmtId="0" fontId="2" fillId="2" borderId="3" xfId="0" applyFont="1" applyFill="1" applyBorder="1" applyAlignment="1">
      <alignment horizontal="center"/>
    </xf>
    <xf numFmtId="3" fontId="27" fillId="19" borderId="7" xfId="9" applyNumberFormat="1" applyBorder="1" applyAlignment="1">
      <alignment horizontal="center"/>
    </xf>
    <xf numFmtId="3" fontId="27" fillId="19" borderId="8" xfId="9" applyNumberFormat="1" applyBorder="1" applyAlignment="1">
      <alignment horizontal="center"/>
    </xf>
    <xf numFmtId="3" fontId="0" fillId="0" borderId="0" xfId="0" applyNumberFormat="1" applyAlignment="1">
      <alignment horizontal="center"/>
    </xf>
    <xf numFmtId="3" fontId="0" fillId="0" borderId="3" xfId="0" applyNumberFormat="1" applyBorder="1" applyAlignment="1">
      <alignment horizontal="center"/>
    </xf>
    <xf numFmtId="3" fontId="28" fillId="20" borderId="5" xfId="10" applyNumberFormat="1" applyBorder="1" applyAlignment="1">
      <alignment horizontal="center"/>
    </xf>
    <xf numFmtId="3" fontId="28" fillId="20" borderId="0" xfId="10" applyNumberFormat="1" applyBorder="1" applyAlignment="1">
      <alignment horizontal="center"/>
    </xf>
    <xf numFmtId="0" fontId="2" fillId="4" borderId="9" xfId="0" applyFont="1" applyFill="1" applyBorder="1" applyAlignment="1">
      <alignment horizontal="center"/>
    </xf>
    <xf numFmtId="0" fontId="0" fillId="0" borderId="3" xfId="0" applyBorder="1" applyAlignment="1">
      <alignment horizontal="right"/>
    </xf>
    <xf numFmtId="0" fontId="5" fillId="3" borderId="13" xfId="3" applyFont="1" applyBorder="1" applyAlignment="1" applyProtection="1">
      <alignment horizontal="center"/>
      <protection locked="0"/>
    </xf>
    <xf numFmtId="0" fontId="5" fillId="3" borderId="18" xfId="3" applyFont="1" applyBorder="1" applyAlignment="1" applyProtection="1">
      <alignment horizontal="center"/>
      <protection locked="0"/>
    </xf>
    <xf numFmtId="0" fontId="5" fillId="3" borderId="14" xfId="3" applyFont="1" applyBorder="1" applyAlignment="1" applyProtection="1">
      <alignment horizontal="center"/>
      <protection locked="0"/>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0" fillId="0" borderId="7"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9" xfId="0" applyFont="1" applyBorder="1" applyAlignment="1">
      <alignment horizontal="center" vertical="center" wrapText="1"/>
    </xf>
    <xf numFmtId="16" fontId="2" fillId="4" borderId="13" xfId="0" applyNumberFormat="1" applyFont="1" applyFill="1" applyBorder="1" applyAlignment="1">
      <alignment horizontal="center"/>
    </xf>
    <xf numFmtId="16" fontId="2" fillId="4" borderId="18" xfId="0" applyNumberFormat="1" applyFont="1" applyFill="1" applyBorder="1" applyAlignment="1">
      <alignment horizontal="center"/>
    </xf>
    <xf numFmtId="16" fontId="2" fillId="4" borderId="14" xfId="0" applyNumberFormat="1" applyFont="1" applyFill="1" applyBorder="1" applyAlignment="1">
      <alignment horizontal="center"/>
    </xf>
    <xf numFmtId="0" fontId="11" fillId="4" borderId="0" xfId="0" applyFont="1" applyFill="1" applyAlignment="1">
      <alignment horizontal="center"/>
    </xf>
    <xf numFmtId="3" fontId="4" fillId="3" borderId="65" xfId="3" applyNumberFormat="1" applyBorder="1" applyAlignment="1" applyProtection="1">
      <alignment horizontal="center"/>
      <protection locked="0"/>
    </xf>
    <xf numFmtId="0" fontId="3" fillId="23" borderId="13" xfId="0" applyFont="1" applyFill="1" applyBorder="1" applyAlignment="1">
      <alignment horizontal="center"/>
    </xf>
    <xf numFmtId="0" fontId="3" fillId="23" borderId="14" xfId="0" applyFont="1" applyFill="1" applyBorder="1" applyAlignment="1">
      <alignment horizontal="center"/>
    </xf>
    <xf numFmtId="3" fontId="4" fillId="3" borderId="34" xfId="3" applyNumberFormat="1" applyBorder="1" applyAlignment="1">
      <alignment horizontal="center"/>
    </xf>
    <xf numFmtId="3" fontId="4" fillId="3" borderId="35" xfId="3" applyNumberFormat="1" applyBorder="1" applyAlignment="1">
      <alignment horizontal="center"/>
    </xf>
    <xf numFmtId="3" fontId="4" fillId="3" borderId="13" xfId="3" applyNumberFormat="1" applyBorder="1" applyAlignment="1">
      <alignment horizontal="center"/>
    </xf>
    <xf numFmtId="3" fontId="4" fillId="3" borderId="14" xfId="3" applyNumberFormat="1" applyBorder="1" applyAlignment="1">
      <alignment horizontal="center"/>
    </xf>
    <xf numFmtId="0" fontId="4" fillId="3" borderId="19" xfId="3" applyNumberFormat="1" applyBorder="1" applyAlignment="1" applyProtection="1">
      <alignment horizontal="center"/>
      <protection locked="0"/>
    </xf>
    <xf numFmtId="0" fontId="4" fillId="3" borderId="36" xfId="3" applyNumberFormat="1" applyBorder="1" applyAlignment="1" applyProtection="1">
      <alignment horizontal="center"/>
      <protection locked="0"/>
    </xf>
    <xf numFmtId="3" fontId="4" fillId="3" borderId="17" xfId="3" applyNumberFormat="1" applyBorder="1" applyAlignment="1" applyProtection="1">
      <alignment horizontal="center"/>
      <protection locked="0"/>
    </xf>
  </cellXfs>
  <cellStyles count="12">
    <cellStyle name="20 % - Accent2" xfId="8" builtinId="34"/>
    <cellStyle name="40 % - Accent4" xfId="5" builtinId="43"/>
    <cellStyle name="40 % - Accent5" xfId="6" builtinId="47"/>
    <cellStyle name="60 % - Accent6" xfId="11" builtinId="52"/>
    <cellStyle name="Accent6" xfId="4" builtinId="49"/>
    <cellStyle name="Entrée" xfId="3" builtinId="20"/>
    <cellStyle name="Insatisfaisant" xfId="10" builtinId="27"/>
    <cellStyle name="Milliers" xfId="1" builtinId="3"/>
    <cellStyle name="Monétaire" xfId="7" builtinId="4"/>
    <cellStyle name="Normal" xfId="0" builtinId="0"/>
    <cellStyle name="Pourcentage" xfId="2" builtinId="5"/>
    <cellStyle name="Satisfaisant" xfId="9" builtinId="26"/>
  </cellStyles>
  <dxfs count="132">
    <dxf>
      <font>
        <color theme="9" tint="0.79998168889431442"/>
      </font>
      <fill>
        <patternFill>
          <bgColor theme="9"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theme="9"/>
        </patternFill>
      </fill>
      <border>
        <left style="thin">
          <color auto="1"/>
        </left>
        <right style="thin">
          <color auto="1"/>
        </right>
        <top style="thin">
          <color auto="1"/>
        </top>
        <bottom style="thin">
          <color auto="1"/>
        </bottom>
      </border>
    </dxf>
    <dxf>
      <font>
        <color rgb="FF006100"/>
      </font>
      <fill>
        <patternFill>
          <bgColor theme="9" tint="0.79998168889431442"/>
        </patternFill>
      </fill>
      <border>
        <left style="thin">
          <color auto="1"/>
        </left>
        <right style="thin">
          <color auto="1"/>
        </right>
        <top style="thin">
          <color auto="1"/>
        </top>
        <bottom style="thin">
          <color auto="1"/>
        </bottom>
      </border>
    </dxf>
    <dxf>
      <font>
        <color rgb="FF006100"/>
      </font>
      <fill>
        <patternFill>
          <bgColor theme="9"/>
        </patternFill>
      </fill>
      <border>
        <left style="thin">
          <color auto="1"/>
        </left>
        <right style="thin">
          <color auto="1"/>
        </right>
        <top style="thin">
          <color auto="1"/>
        </top>
        <bottom style="thin">
          <color auto="1"/>
        </bottom>
      </border>
    </dxf>
    <dxf>
      <font>
        <color rgb="FF006100"/>
      </font>
      <fill>
        <patternFill>
          <bgColor theme="9" tint="0.79998168889431442"/>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9" tint="0.79998168889431442"/>
      </font>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79998168889431442"/>
      </font>
      <fill>
        <patternFill>
          <bgColor theme="9" tint="0.79998168889431442"/>
        </patternFill>
      </fill>
    </dxf>
    <dxf>
      <font>
        <color rgb="FF9C0006"/>
      </font>
      <fill>
        <patternFill>
          <bgColor rgb="FFFFC7CE"/>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fill>
        <patternFill>
          <bgColor theme="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theme="1"/>
        </patternFill>
      </fill>
    </dxf>
    <dxf>
      <font>
        <color rgb="FF006100"/>
      </font>
      <fill>
        <patternFill>
          <bgColor rgb="FFC6EFCE"/>
        </patternFill>
      </fill>
    </dxf>
    <dxf>
      <font>
        <color theme="1"/>
      </font>
      <fill>
        <patternFill>
          <bgColor theme="0"/>
        </patternFill>
      </fill>
    </dxf>
    <dxf>
      <font>
        <color rgb="FF9C0006"/>
      </font>
      <fill>
        <patternFill>
          <bgColor rgb="FFFFC7CE"/>
        </patternFill>
      </fill>
    </dxf>
    <dxf>
      <font>
        <color theme="1"/>
      </font>
      <fill>
        <patternFill>
          <bgColor theme="1"/>
        </patternFill>
      </fill>
    </dxf>
    <dxf>
      <font>
        <color theme="1"/>
      </font>
      <fill>
        <patternFill>
          <bgColor theme="1"/>
        </patternFill>
      </fill>
    </dxf>
    <dxf>
      <fill>
        <patternFill>
          <bgColor theme="1"/>
        </patternFill>
      </fill>
    </dxf>
    <dxf>
      <fill>
        <patternFill>
          <bgColor theme="1"/>
        </patternFill>
      </fill>
    </dxf>
    <dxf>
      <fill>
        <patternFill>
          <bgColor theme="1"/>
        </patternFill>
      </fill>
    </dxf>
    <dxf>
      <font>
        <color rgb="FF9C0006"/>
      </font>
      <fill>
        <patternFill>
          <bgColor rgb="FFFFC7CE"/>
        </patternFill>
      </fill>
    </dxf>
    <dxf>
      <fill>
        <patternFill>
          <bgColor theme="1"/>
        </patternFill>
      </fill>
    </dxf>
    <dxf>
      <font>
        <color rgb="FF9C0006"/>
      </font>
      <fill>
        <patternFill>
          <bgColor rgb="FFFFC7CE"/>
        </patternFill>
      </fill>
    </dxf>
    <dxf>
      <font>
        <color rgb="FF006100"/>
      </font>
      <fill>
        <patternFill>
          <bgColor rgb="FFC6EFCE"/>
        </patternFill>
      </fill>
    </dxf>
    <dxf>
      <fill>
        <patternFill>
          <bgColor theme="1"/>
        </patternFill>
      </fill>
    </dxf>
    <dxf>
      <font>
        <color theme="9" tint="0.79998168889431442"/>
      </font>
      <fill>
        <patternFill>
          <bgColor theme="9"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0"/>
        </patternFill>
      </fill>
    </dxf>
    <dxf>
      <font>
        <color theme="9" tint="0.79998168889431442"/>
      </font>
      <fill>
        <patternFill>
          <bgColor theme="9"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trlProps/ctrlProp1.xml><?xml version="1.0" encoding="utf-8"?>
<formControlPr xmlns="http://schemas.microsoft.com/office/spreadsheetml/2009/9/main" objectType="CheckBox" fmlaLink="$D$71" lockText="1" noThreeD="1"/>
</file>

<file path=xl/ctrlProps/ctrlProp2.xml><?xml version="1.0" encoding="utf-8"?>
<formControlPr xmlns="http://schemas.microsoft.com/office/spreadsheetml/2009/9/main" objectType="CheckBox" fmlaLink="$E$71" lockText="1" noThreeD="1"/>
</file>

<file path=xl/ctrlProps/ctrlProp3.xml><?xml version="1.0" encoding="utf-8"?>
<formControlPr xmlns="http://schemas.microsoft.com/office/spreadsheetml/2009/9/main" objectType="CheckBox" fmlaLink="$F$71" lockText="1" noThreeD="1"/>
</file>

<file path=xl/ctrlProps/ctrlProp4.xml><?xml version="1.0" encoding="utf-8"?>
<formControlPr xmlns="http://schemas.microsoft.com/office/spreadsheetml/2009/9/main" objectType="CheckBox" fmlaLink="$G$71" lockText="1" noThreeD="1"/>
</file>

<file path=xl/ctrlProps/ctrlProp5.xml><?xml version="1.0" encoding="utf-8"?>
<formControlPr xmlns="http://schemas.microsoft.com/office/spreadsheetml/2009/9/main" objectType="CheckBox" fmlaLink="$H$71" lockText="1" noThreeD="1"/>
</file>

<file path=xl/ctrlProps/ctrlProp6.xml><?xml version="1.0" encoding="utf-8"?>
<formControlPr xmlns="http://schemas.microsoft.com/office/spreadsheetml/2009/9/main" objectType="CheckBox" fmlaLink="$Y$90" lockText="1" noThreeD="1"/>
</file>

<file path=xl/ctrlProps/ctrlProp7.xml><?xml version="1.0" encoding="utf-8"?>
<formControlPr xmlns="http://schemas.microsoft.com/office/spreadsheetml/2009/9/main" objectType="CheckBox" fmlaLink="$Z$90" lockText="1" noThreeD="1"/>
</file>

<file path=xl/ctrlProps/ctrlProp8.xml><?xml version="1.0" encoding="utf-8"?>
<formControlPr xmlns="http://schemas.microsoft.com/office/spreadsheetml/2009/9/main" objectType="CheckBox" fmlaLink="$AA$90" lockText="1" noThreeD="1"/>
</file>

<file path=xl/ctrlProps/ctrlProp9.xml><?xml version="1.0" encoding="utf-8"?>
<formControlPr xmlns="http://schemas.microsoft.com/office/spreadsheetml/2009/9/main" objectType="CheckBox" fmlaLink="$AB$107" lockText="1" noThreeD="1"/>
</file>

<file path=xl/ctrlProps/ctrlProp10.xml><?xml version="1.0" encoding="utf-8"?>
<formControlPr xmlns="http://schemas.microsoft.com/office/spreadsheetml/2009/9/main" objectType="CheckBox" fmlaLink="$AC$108" lockText="1" noThreeD="1"/>
</file>

<file path=xl/ctrlProps/ctrlProp11.xml><?xml version="1.0" encoding="utf-8"?>
<formControlPr xmlns="http://schemas.microsoft.com/office/spreadsheetml/2009/9/main" objectType="CheckBox" fmlaLink="$D$73" lockText="1" noThreeD="1"/>
</file>

<file path=xl/ctrlProps/ctrlProp12.xml><?xml version="1.0" encoding="utf-8"?>
<formControlPr xmlns="http://schemas.microsoft.com/office/spreadsheetml/2009/9/main" objectType="CheckBox" fmlaLink="$E$73" lockText="1" noThreeD="1"/>
</file>

<file path=xl/ctrlProps/ctrlProp13.xml><?xml version="1.0" encoding="utf-8"?>
<formControlPr xmlns="http://schemas.microsoft.com/office/spreadsheetml/2009/9/main" objectType="CheckBox" fmlaLink="$F$73" lockText="1" noThreeD="1"/>
</file>

<file path=xl/ctrlProps/ctrlProp14.xml><?xml version="1.0" encoding="utf-8"?>
<formControlPr xmlns="http://schemas.microsoft.com/office/spreadsheetml/2009/9/main" objectType="CheckBox" fmlaLink="$G$73" lockText="1" noThreeD="1"/>
</file>

<file path=xl/ctrlProps/ctrlProp15.xml><?xml version="1.0" encoding="utf-8"?>
<formControlPr xmlns="http://schemas.microsoft.com/office/spreadsheetml/2009/9/main" objectType="CheckBox" fmlaLink="$H$73" lockText="1" noThreeD="1"/>
</file>

<file path=xl/ctrlProps/ctrlProp16.xml><?xml version="1.0" encoding="utf-8"?>
<formControlPr xmlns="http://schemas.microsoft.com/office/spreadsheetml/2009/9/main" objectType="CheckBox" fmlaLink="$D$75" lockText="1" noThreeD="1"/>
</file>

<file path=xl/ctrlProps/ctrlProp17.xml><?xml version="1.0" encoding="utf-8"?>
<formControlPr xmlns="http://schemas.microsoft.com/office/spreadsheetml/2009/9/main" objectType="CheckBox" fmlaLink="$E$75" lockText="1" noThreeD="1"/>
</file>

<file path=xl/ctrlProps/ctrlProp18.xml><?xml version="1.0" encoding="utf-8"?>
<formControlPr xmlns="http://schemas.microsoft.com/office/spreadsheetml/2009/9/main" objectType="CheckBox" fmlaLink="$F$75" lockText="1" noThreeD="1"/>
</file>

<file path=xl/ctrlProps/ctrlProp19.xml><?xml version="1.0" encoding="utf-8"?>
<formControlPr xmlns="http://schemas.microsoft.com/office/spreadsheetml/2009/9/main" objectType="CheckBox" fmlaLink="$G$75" lockText="1" noThreeD="1"/>
</file>

<file path=xl/ctrlProps/ctrlProp20.xml><?xml version="1.0" encoding="utf-8"?>
<formControlPr xmlns="http://schemas.microsoft.com/office/spreadsheetml/2009/9/main" objectType="CheckBox" fmlaLink="$H$75" lockText="1" noThreeD="1"/>
</file>

<file path=xl/ctrlProps/ctrlProp21.xml><?xml version="1.0" encoding="utf-8"?>
<formControlPr xmlns="http://schemas.microsoft.com/office/spreadsheetml/2009/9/main" objectType="CheckBox" fmlaLink="$D$79" lockText="1" noThreeD="1"/>
</file>

<file path=xl/ctrlProps/ctrlProp22.xml><?xml version="1.0" encoding="utf-8"?>
<formControlPr xmlns="http://schemas.microsoft.com/office/spreadsheetml/2009/9/main" objectType="CheckBox" fmlaLink="$E$79" lockText="1" noThreeD="1"/>
</file>

<file path=xl/ctrlProps/ctrlProp23.xml><?xml version="1.0" encoding="utf-8"?>
<formControlPr xmlns="http://schemas.microsoft.com/office/spreadsheetml/2009/9/main" objectType="CheckBox" fmlaLink="$F$79" lockText="1" noThreeD="1"/>
</file>

<file path=xl/ctrlProps/ctrlProp24.xml><?xml version="1.0" encoding="utf-8"?>
<formControlPr xmlns="http://schemas.microsoft.com/office/spreadsheetml/2009/9/main" objectType="CheckBox" fmlaLink="$G$79" lockText="1" noThreeD="1"/>
</file>

<file path=xl/ctrlProps/ctrlProp25.xml><?xml version="1.0" encoding="utf-8"?>
<formControlPr xmlns="http://schemas.microsoft.com/office/spreadsheetml/2009/9/main" objectType="CheckBox" fmlaLink="$H$79" lockText="1" noThreeD="1"/>
</file>

<file path=xl/ctrlProps/ctrlProp26.xml><?xml version="1.0" encoding="utf-8"?>
<formControlPr xmlns="http://schemas.microsoft.com/office/spreadsheetml/2009/9/main" objectType="CheckBox" fmlaLink="$L$56" lockText="1" noThreeD="1"/>
</file>

<file path=xl/ctrlProps/ctrlProp27.xml><?xml version="1.0" encoding="utf-8"?>
<formControlPr xmlns="http://schemas.microsoft.com/office/spreadsheetml/2009/9/main" objectType="CheckBox" fmlaLink="$L$60" lockText="1" noThreeD="1"/>
</file>

<file path=xl/ctrlProps/ctrlProp28.xml><?xml version="1.0" encoding="utf-8"?>
<formControlPr xmlns="http://schemas.microsoft.com/office/spreadsheetml/2009/9/main" objectType="CheckBox" fmlaLink="$M$56" lockText="1" noThreeD="1"/>
</file>

<file path=xl/ctrlProps/ctrlProp29.xml><?xml version="1.0" encoding="utf-8"?>
<formControlPr xmlns="http://schemas.microsoft.com/office/spreadsheetml/2009/9/main" objectType="CheckBox" fmlaLink="$M$60" lockText="1" noThreeD="1"/>
</file>

<file path=xl/ctrlProps/ctrlProp30.xml><?xml version="1.0" encoding="utf-8"?>
<formControlPr xmlns="http://schemas.microsoft.com/office/spreadsheetml/2009/9/main" objectType="CheckBox" fmlaLink="$N$56" lockText="1" noThreeD="1"/>
</file>

<file path=xl/ctrlProps/ctrlProp31.xml><?xml version="1.0" encoding="utf-8"?>
<formControlPr xmlns="http://schemas.microsoft.com/office/spreadsheetml/2009/9/main" objectType="CheckBox" fmlaLink="$O$56" lockText="1" noThreeD="1"/>
</file>

<file path=xl/ctrlProps/ctrlProp32.xml><?xml version="1.0" encoding="utf-8"?>
<formControlPr xmlns="http://schemas.microsoft.com/office/spreadsheetml/2009/9/main" objectType="CheckBox" fmlaLink="$P$56" lockText="1" noThreeD="1"/>
</file>

<file path=xl/ctrlProps/ctrlProp33.xml><?xml version="1.0" encoding="utf-8"?>
<formControlPr xmlns="http://schemas.microsoft.com/office/spreadsheetml/2009/9/main" objectType="CheckBox" fmlaLink="$N$60" lockText="1" noThreeD="1"/>
</file>

<file path=xl/ctrlProps/ctrlProp34.xml><?xml version="1.0" encoding="utf-8"?>
<formControlPr xmlns="http://schemas.microsoft.com/office/spreadsheetml/2009/9/main" objectType="CheckBox" fmlaLink="$O$60" lockText="1" noThreeD="1"/>
</file>

<file path=xl/ctrlProps/ctrlProp35.xml><?xml version="1.0" encoding="utf-8"?>
<formControlPr xmlns="http://schemas.microsoft.com/office/spreadsheetml/2009/9/main" objectType="CheckBox" fmlaLink="$P$60" lockText="1" noThreeD="1"/>
</file>

<file path=xl/ctrlProps/ctrlProp36.xml><?xml version="1.0" encoding="utf-8"?>
<formControlPr xmlns="http://schemas.microsoft.com/office/spreadsheetml/2009/9/main" objectType="CheckBox" fmlaLink="$L$52" lockText="1" noThreeD="1"/>
</file>

<file path=xl/ctrlProps/ctrlProp37.xml><?xml version="1.0" encoding="utf-8"?>
<formControlPr xmlns="http://schemas.microsoft.com/office/spreadsheetml/2009/9/main" objectType="CheckBox" fmlaLink="$M$52" lockText="1" noThreeD="1"/>
</file>

<file path=xl/ctrlProps/ctrlProp38.xml><?xml version="1.0" encoding="utf-8"?>
<formControlPr xmlns="http://schemas.microsoft.com/office/spreadsheetml/2009/9/main" objectType="CheckBox" fmlaLink="$N$52" lockText="1" noThreeD="1"/>
</file>

<file path=xl/ctrlProps/ctrlProp39.xml><?xml version="1.0" encoding="utf-8"?>
<formControlPr xmlns="http://schemas.microsoft.com/office/spreadsheetml/2009/9/main" objectType="CheckBox" fmlaLink="$O$52" lockText="1" noThreeD="1"/>
</file>

<file path=xl/ctrlProps/ctrlProp40.xml><?xml version="1.0" encoding="utf-8"?>
<formControlPr xmlns="http://schemas.microsoft.com/office/spreadsheetml/2009/9/main" objectType="CheckBox" fmlaLink="$P$52" lockText="1" noThreeD="1"/>
</file>

<file path=xl/ctrlProps/ctrlProp41.xml><?xml version="1.0" encoding="utf-8"?>
<formControlPr xmlns="http://schemas.microsoft.com/office/spreadsheetml/2009/9/main" objectType="CheckBox" fmlaLink="$U$51" lockText="1" noThreeD="1"/>
</file>

<file path=xl/ctrlProps/ctrlProp42.xml><?xml version="1.0" encoding="utf-8"?>
<formControlPr xmlns="http://schemas.microsoft.com/office/spreadsheetml/2009/9/main" objectType="CheckBox" fmlaLink="$V$51" lockText="1" noThreeD="1"/>
</file>

<file path=xl/ctrlProps/ctrlProp43.xml><?xml version="1.0" encoding="utf-8"?>
<formControlPr xmlns="http://schemas.microsoft.com/office/spreadsheetml/2009/9/main" objectType="CheckBox" fmlaLink="$W$51" lockText="1" noThreeD="1"/>
</file>

<file path=xl/ctrlProps/ctrlProp44.xml><?xml version="1.0" encoding="utf-8"?>
<formControlPr xmlns="http://schemas.microsoft.com/office/spreadsheetml/2009/9/main" objectType="CheckBox" fmlaLink="$X$51" lockText="1" noThreeD="1"/>
</file>

<file path=xl/ctrlProps/ctrlProp45.xml><?xml version="1.0" encoding="utf-8"?>
<formControlPr xmlns="http://schemas.microsoft.com/office/spreadsheetml/2009/9/main" objectType="CheckBox" fmlaLink="$D$52" lockText="1" noThreeD="1"/>
</file>

<file path=xl/ctrlProps/ctrlProp46.xml><?xml version="1.0" encoding="utf-8"?>
<formControlPr xmlns="http://schemas.microsoft.com/office/spreadsheetml/2009/9/main" objectType="CheckBox" fmlaLink="$E$52" lockText="1" noThreeD="1"/>
</file>

<file path=xl/ctrlProps/ctrlProp47.xml><?xml version="1.0" encoding="utf-8"?>
<formControlPr xmlns="http://schemas.microsoft.com/office/spreadsheetml/2009/9/main" objectType="CheckBox" fmlaLink="$F$52" lockText="1" noThreeD="1"/>
</file>

<file path=xl/ctrlProps/ctrlProp48.xml><?xml version="1.0" encoding="utf-8"?>
<formControlPr xmlns="http://schemas.microsoft.com/office/spreadsheetml/2009/9/main" objectType="CheckBox" fmlaLink="$G$52" lockText="1" noThreeD="1"/>
</file>

<file path=xl/ctrlProps/ctrlProp49.xml><?xml version="1.0" encoding="utf-8"?>
<formControlPr xmlns="http://schemas.microsoft.com/office/spreadsheetml/2009/9/main" objectType="CheckBox" fmlaLink="$H$52" lockText="1" noThreeD="1"/>
</file>

<file path=xl/ctrlProps/ctrlProp50.xml><?xml version="1.0" encoding="utf-8"?>
<formControlPr xmlns="http://schemas.microsoft.com/office/spreadsheetml/2009/9/main" objectType="CheckBox" fmlaLink="$D$56" lockText="1" noThreeD="1"/>
</file>

<file path=xl/ctrlProps/ctrlProp51.xml><?xml version="1.0" encoding="utf-8"?>
<formControlPr xmlns="http://schemas.microsoft.com/office/spreadsheetml/2009/9/main" objectType="CheckBox" fmlaLink="$E$56" lockText="1" noThreeD="1"/>
</file>

<file path=xl/ctrlProps/ctrlProp52.xml><?xml version="1.0" encoding="utf-8"?>
<formControlPr xmlns="http://schemas.microsoft.com/office/spreadsheetml/2009/9/main" objectType="CheckBox" fmlaLink="$F$56" lockText="1" noThreeD="1"/>
</file>

<file path=xl/ctrlProps/ctrlProp53.xml><?xml version="1.0" encoding="utf-8"?>
<formControlPr xmlns="http://schemas.microsoft.com/office/spreadsheetml/2009/9/main" objectType="CheckBox" fmlaLink="$G$56" lockText="1" noThreeD="1"/>
</file>

<file path=xl/ctrlProps/ctrlProp54.xml><?xml version="1.0" encoding="utf-8"?>
<formControlPr xmlns="http://schemas.microsoft.com/office/spreadsheetml/2009/9/main" objectType="CheckBox" fmlaLink="$H$56" lockText="1" noThreeD="1"/>
</file>

<file path=xl/ctrlProps/ctrlProp55.xml><?xml version="1.0" encoding="utf-8"?>
<formControlPr xmlns="http://schemas.microsoft.com/office/spreadsheetml/2009/9/main" objectType="CheckBox" fmlaLink="$D$63" lockText="1" noThreeD="1"/>
</file>

<file path=xl/ctrlProps/ctrlProp56.xml><?xml version="1.0" encoding="utf-8"?>
<formControlPr xmlns="http://schemas.microsoft.com/office/spreadsheetml/2009/9/main" objectType="CheckBox" fmlaLink="$E$63" lockText="1" noThreeD="1"/>
</file>

<file path=xl/ctrlProps/ctrlProp57.xml><?xml version="1.0" encoding="utf-8"?>
<formControlPr xmlns="http://schemas.microsoft.com/office/spreadsheetml/2009/9/main" objectType="CheckBox" fmlaLink="$F$63" lockText="1" noThreeD="1"/>
</file>

<file path=xl/ctrlProps/ctrlProp58.xml><?xml version="1.0" encoding="utf-8"?>
<formControlPr xmlns="http://schemas.microsoft.com/office/spreadsheetml/2009/9/main" objectType="CheckBox" fmlaLink="$G$63" lockText="1" noThreeD="1"/>
</file>

<file path=xl/ctrlProps/ctrlProp59.xml><?xml version="1.0" encoding="utf-8"?>
<formControlPr xmlns="http://schemas.microsoft.com/office/spreadsheetml/2009/9/main" objectType="CheckBox" fmlaLink="$H$63" lockText="1" noThreeD="1"/>
</file>

<file path=xl/ctrlProps/ctrlProp60.xml><?xml version="1.0" encoding="utf-8"?>
<formControlPr xmlns="http://schemas.microsoft.com/office/spreadsheetml/2009/9/main" objectType="CheckBox" fmlaLink="$Q$8" lockText="1" noThreeD="1"/>
</file>

<file path=xl/ctrlProps/ctrlProp61.xml><?xml version="1.0" encoding="utf-8"?>
<formControlPr xmlns="http://schemas.microsoft.com/office/spreadsheetml/2009/9/main" objectType="CheckBox" fmlaLink="$R$8" lockText="1" noThreeD="1"/>
</file>

<file path=xl/ctrlProps/ctrlProp62.xml><?xml version="1.0" encoding="utf-8"?>
<formControlPr xmlns="http://schemas.microsoft.com/office/spreadsheetml/2009/9/main" objectType="CheckBox" fmlaLink="$S$8" lockText="1" noThreeD="1"/>
</file>

<file path=xl/ctrlProps/ctrlProp63.xml><?xml version="1.0" encoding="utf-8"?>
<formControlPr xmlns="http://schemas.microsoft.com/office/spreadsheetml/2009/9/main" objectType="CheckBox" fmlaLink="$T$8" lockText="1" noThreeD="1"/>
</file>

<file path=xl/ctrlProps/ctrlProp64.xml><?xml version="1.0" encoding="utf-8"?>
<formControlPr xmlns="http://schemas.microsoft.com/office/spreadsheetml/2009/9/main" objectType="CheckBox" fmlaLink="$U$8" lockText="1" noThreeD="1"/>
</file>

<file path=xl/ctrlProps/ctrlProp65.xml><?xml version="1.0" encoding="utf-8"?>
<formControlPr xmlns="http://schemas.microsoft.com/office/spreadsheetml/2009/9/main" objectType="CheckBox" fmlaLink="$Q$12" lockText="1" noThreeD="1"/>
</file>

<file path=xl/ctrlProps/ctrlProp66.xml><?xml version="1.0" encoding="utf-8"?>
<formControlPr xmlns="http://schemas.microsoft.com/office/spreadsheetml/2009/9/main" objectType="CheckBox" fmlaLink="$R$12" lockText="1" noThreeD="1"/>
</file>

<file path=xl/ctrlProps/ctrlProp67.xml><?xml version="1.0" encoding="utf-8"?>
<formControlPr xmlns="http://schemas.microsoft.com/office/spreadsheetml/2009/9/main" objectType="CheckBox" fmlaLink="$S$12" lockText="1" noThreeD="1"/>
</file>

<file path=xl/ctrlProps/ctrlProp68.xml><?xml version="1.0" encoding="utf-8"?>
<formControlPr xmlns="http://schemas.microsoft.com/office/spreadsheetml/2009/9/main" objectType="CheckBox" fmlaLink="$T$12" lockText="1" noThreeD="1"/>
</file>

<file path=xl/ctrlProps/ctrlProp69.xml><?xml version="1.0" encoding="utf-8"?>
<formControlPr xmlns="http://schemas.microsoft.com/office/spreadsheetml/2009/9/main" objectType="CheckBox" fmlaLink="$U$12" lockText="1" noThreeD="1"/>
</file>

<file path=xl/ctrlProps/ctrlProp70.xml><?xml version="1.0" encoding="utf-8"?>
<formControlPr xmlns="http://schemas.microsoft.com/office/spreadsheetml/2009/9/main" objectType="CheckBox" fmlaLink="$Q$16" lockText="1" noThreeD="1"/>
</file>

<file path=xl/ctrlProps/ctrlProp71.xml><?xml version="1.0" encoding="utf-8"?>
<formControlPr xmlns="http://schemas.microsoft.com/office/spreadsheetml/2009/9/main" objectType="CheckBox" fmlaLink="$R$16" lockText="1" noThreeD="1"/>
</file>

<file path=xl/ctrlProps/ctrlProp72.xml><?xml version="1.0" encoding="utf-8"?>
<formControlPr xmlns="http://schemas.microsoft.com/office/spreadsheetml/2009/9/main" objectType="CheckBox" fmlaLink="$S$16" lockText="1" noThreeD="1"/>
</file>

<file path=xl/ctrlProps/ctrlProp73.xml><?xml version="1.0" encoding="utf-8"?>
<formControlPr xmlns="http://schemas.microsoft.com/office/spreadsheetml/2009/9/main" objectType="CheckBox" fmlaLink="$T$16" lockText="1" noThreeD="1"/>
</file>

<file path=xl/ctrlProps/ctrlProp74.xml><?xml version="1.0" encoding="utf-8"?>
<formControlPr xmlns="http://schemas.microsoft.com/office/spreadsheetml/2009/9/main" objectType="CheckBox" fmlaLink="$U$16" lockText="1" noThreeD="1"/>
</file>

<file path=xl/ctrlProps/ctrlProp75.xml><?xml version="1.0" encoding="utf-8"?>
<formControlPr xmlns="http://schemas.microsoft.com/office/spreadsheetml/2009/9/main" objectType="CheckBox" fmlaLink="$Z$76" lockText="1" noThreeD="1"/>
</file>

<file path=xl/ctrlProps/ctrlProp76.xml><?xml version="1.0" encoding="utf-8"?>
<formControlPr xmlns="http://schemas.microsoft.com/office/spreadsheetml/2009/9/main" objectType="CheckBox" fmlaLink="$AA$76" lockText="1" noThreeD="1"/>
</file>

<file path=xl/ctrlProps/ctrlProp77.xml><?xml version="1.0" encoding="utf-8"?>
<formControlPr xmlns="http://schemas.microsoft.com/office/spreadsheetml/2009/9/main" objectType="CheckBox" fmlaLink="$AB$76" lockText="1" noThreeD="1"/>
</file>

<file path=xl/ctrlProps/ctrlProp78.xml><?xml version="1.0" encoding="utf-8"?>
<formControlPr xmlns="http://schemas.microsoft.com/office/spreadsheetml/2009/9/main" objectType="CheckBox" fmlaLink="$AC$76" lockText="1" noThreeD="1"/>
</file>

<file path=xl/ctrlProps/ctrlProp79.xml><?xml version="1.0" encoding="utf-8"?>
<formControlPr xmlns="http://schemas.microsoft.com/office/spreadsheetml/2009/9/main" objectType="CheckBox" fmlaLink="$AD$76" lockText="1" noThreeD="1"/>
</file>

<file path=xl/ctrlProps/ctrlProp80.xml><?xml version="1.0" encoding="utf-8"?>
<formControlPr xmlns="http://schemas.microsoft.com/office/spreadsheetml/2009/9/main" objectType="CheckBox" fmlaLink="$Z$80" lockText="1" noThreeD="1"/>
</file>

<file path=xl/ctrlProps/ctrlProp81.xml><?xml version="1.0" encoding="utf-8"?>
<formControlPr xmlns="http://schemas.microsoft.com/office/spreadsheetml/2009/9/main" objectType="CheckBox" fmlaLink="$AA$80" lockText="1" noThreeD="1"/>
</file>

<file path=xl/ctrlProps/ctrlProp82.xml><?xml version="1.0" encoding="utf-8"?>
<formControlPr xmlns="http://schemas.microsoft.com/office/spreadsheetml/2009/9/main" objectType="CheckBox" fmlaLink="$AB$80" lockText="1" noThreeD="1"/>
</file>

<file path=xl/ctrlProps/ctrlProp83.xml><?xml version="1.0" encoding="utf-8"?>
<formControlPr xmlns="http://schemas.microsoft.com/office/spreadsheetml/2009/9/main" objectType="CheckBox" fmlaLink="$AC$80" lockText="1" noThreeD="1"/>
</file>

<file path=xl/ctrlProps/ctrlProp84.xml><?xml version="1.0" encoding="utf-8"?>
<formControlPr xmlns="http://schemas.microsoft.com/office/spreadsheetml/2009/9/main" objectType="CheckBox" fmlaLink="$AD$80" lockText="1" noThreeD="1"/>
</file>

<file path=xl/ctrlProps/ctrlProp85.xml><?xml version="1.0" encoding="utf-8"?>
<formControlPr xmlns="http://schemas.microsoft.com/office/spreadsheetml/2009/9/main" objectType="CheckBox" fmlaLink="$Z$84" lockText="1" noThreeD="1"/>
</file>

<file path=xl/ctrlProps/ctrlProp86.xml><?xml version="1.0" encoding="utf-8"?>
<formControlPr xmlns="http://schemas.microsoft.com/office/spreadsheetml/2009/9/main" objectType="CheckBox" fmlaLink="$AA$84" lockText="1" noThreeD="1"/>
</file>

<file path=xl/ctrlProps/ctrlProp87.xml><?xml version="1.0" encoding="utf-8"?>
<formControlPr xmlns="http://schemas.microsoft.com/office/spreadsheetml/2009/9/main" objectType="CheckBox" fmlaLink="$AB$84" lockText="1" noThreeD="1"/>
</file>

<file path=xl/ctrlProps/ctrlProp88.xml><?xml version="1.0" encoding="utf-8"?>
<formControlPr xmlns="http://schemas.microsoft.com/office/spreadsheetml/2009/9/main" objectType="CheckBox" fmlaLink="$AC$84" lockText="1" noThreeD="1"/>
</file>

<file path=xl/ctrlProps/ctrlProp89.xml><?xml version="1.0" encoding="utf-8"?>
<formControlPr xmlns="http://schemas.microsoft.com/office/spreadsheetml/2009/9/main" objectType="CheckBox" fmlaLink="$AD$84"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20</xdr:col>
      <xdr:colOff>9526</xdr:colOff>
      <xdr:row>4</xdr:row>
      <xdr:rowOff>19050</xdr:rowOff>
    </xdr:from>
    <xdr:to>
      <xdr:col>26</xdr:col>
      <xdr:colOff>0</xdr:colOff>
      <xdr:row>10</xdr:row>
      <xdr:rowOff>9525</xdr:rowOff>
    </xdr:to>
    <xdr:pic>
      <xdr:nvPicPr>
        <xdr:cNvPr id="2" name="Picture 1">
          <a:extLst>
            <a:ext uri="{FF2B5EF4-FFF2-40B4-BE49-F238E27FC236}">
              <a16:creationId xmlns:a16="http://schemas.microsoft.com/office/drawing/2014/main" id="{4BAACC7B-4428-49DF-B71B-9EB66C17F26E}"/>
            </a:ext>
          </a:extLst>
        </xdr:cNvPr>
        <xdr:cNvPicPr>
          <a:picLocks noChangeAspect="1"/>
        </xdr:cNvPicPr>
      </xdr:nvPicPr>
      <xdr:blipFill>
        <a:blip xmlns:r="http://schemas.openxmlformats.org/officeDocument/2006/relationships" r:embed="rId1"/>
        <a:stretch>
          <a:fillRect/>
        </a:stretch>
      </xdr:blipFill>
      <xdr:spPr>
        <a:xfrm>
          <a:off x="12858751" y="1352550"/>
          <a:ext cx="3648074" cy="1133475"/>
        </a:xfrm>
        <a:prstGeom prst="rect">
          <a:avLst/>
        </a:prstGeom>
      </xdr:spPr>
    </xdr:pic>
    <xdr:clientData/>
  </xdr:twoCellAnchor>
  <xdr:twoCellAnchor editAs="oneCell">
    <xdr:from>
      <xdr:col>20</xdr:col>
      <xdr:colOff>9525</xdr:colOff>
      <xdr:row>10</xdr:row>
      <xdr:rowOff>28576</xdr:rowOff>
    </xdr:from>
    <xdr:to>
      <xdr:col>26</xdr:col>
      <xdr:colOff>970</xdr:colOff>
      <xdr:row>27</xdr:row>
      <xdr:rowOff>0</xdr:rowOff>
    </xdr:to>
    <xdr:pic>
      <xdr:nvPicPr>
        <xdr:cNvPr id="3" name="Picture 2">
          <a:extLst>
            <a:ext uri="{FF2B5EF4-FFF2-40B4-BE49-F238E27FC236}">
              <a16:creationId xmlns:a16="http://schemas.microsoft.com/office/drawing/2014/main" id="{59C49096-0A67-48B6-B5EA-85D808E59168}"/>
            </a:ext>
          </a:extLst>
        </xdr:cNvPr>
        <xdr:cNvPicPr>
          <a:picLocks noChangeAspect="1"/>
        </xdr:cNvPicPr>
      </xdr:nvPicPr>
      <xdr:blipFill>
        <a:blip xmlns:r="http://schemas.openxmlformats.org/officeDocument/2006/relationships" r:embed="rId2"/>
        <a:stretch>
          <a:fillRect/>
        </a:stretch>
      </xdr:blipFill>
      <xdr:spPr>
        <a:xfrm>
          <a:off x="12249150" y="1933576"/>
          <a:ext cx="3649045" cy="32099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7620</xdr:colOff>
          <xdr:row>50</xdr:row>
          <xdr:rowOff>175260</xdr:rowOff>
        </xdr:from>
        <xdr:to>
          <xdr:col>3</xdr:col>
          <xdr:colOff>342900</xdr:colOff>
          <xdr:row>52</xdr:row>
          <xdr:rowOff>22860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50</xdr:row>
          <xdr:rowOff>152400</xdr:rowOff>
        </xdr:from>
        <xdr:to>
          <xdr:col>4</xdr:col>
          <xdr:colOff>266700</xdr:colOff>
          <xdr:row>52</xdr:row>
          <xdr:rowOff>30480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5</xdr:col>
          <xdr:colOff>327660</xdr:colOff>
          <xdr:row>52</xdr:row>
          <xdr:rowOff>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7620</xdr:colOff>
          <xdr:row>50</xdr:row>
          <xdr:rowOff>160020</xdr:rowOff>
        </xdr:from>
        <xdr:to>
          <xdr:col>6</xdr:col>
          <xdr:colOff>304800</xdr:colOff>
          <xdr:row>52</xdr:row>
          <xdr:rowOff>22860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51</xdr:row>
          <xdr:rowOff>7620</xdr:rowOff>
        </xdr:from>
        <xdr:to>
          <xdr:col>7</xdr:col>
          <xdr:colOff>297180</xdr:colOff>
          <xdr:row>51</xdr:row>
          <xdr:rowOff>175260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54</xdr:row>
          <xdr:rowOff>175260</xdr:rowOff>
        </xdr:from>
        <xdr:to>
          <xdr:col>3</xdr:col>
          <xdr:colOff>327660</xdr:colOff>
          <xdr:row>56</xdr:row>
          <xdr:rowOff>22860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54</xdr:row>
          <xdr:rowOff>182880</xdr:rowOff>
        </xdr:from>
        <xdr:to>
          <xdr:col>4</xdr:col>
          <xdr:colOff>274320</xdr:colOff>
          <xdr:row>56</xdr:row>
          <xdr:rowOff>0</xdr:rowOff>
        </xdr:to>
        <xdr:sp macro="" textlink="">
          <xdr:nvSpPr>
            <xdr:cNvPr id="3080" name="Check Box 8" descr="$10"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55</xdr:row>
          <xdr:rowOff>0</xdr:rowOff>
        </xdr:from>
        <xdr:to>
          <xdr:col>5</xdr:col>
          <xdr:colOff>342900</xdr:colOff>
          <xdr:row>55</xdr:row>
          <xdr:rowOff>182880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55</xdr:row>
          <xdr:rowOff>7620</xdr:rowOff>
        </xdr:from>
        <xdr:to>
          <xdr:col>6</xdr:col>
          <xdr:colOff>373380</xdr:colOff>
          <xdr:row>55</xdr:row>
          <xdr:rowOff>182880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1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54</xdr:row>
          <xdr:rowOff>190500</xdr:rowOff>
        </xdr:from>
        <xdr:to>
          <xdr:col>7</xdr:col>
          <xdr:colOff>289560</xdr:colOff>
          <xdr:row>55</xdr:row>
          <xdr:rowOff>182880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1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61</xdr:row>
          <xdr:rowOff>175260</xdr:rowOff>
        </xdr:from>
        <xdr:to>
          <xdr:col>3</xdr:col>
          <xdr:colOff>373380</xdr:colOff>
          <xdr:row>63</xdr:row>
          <xdr:rowOff>22860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61</xdr:row>
          <xdr:rowOff>182880</xdr:rowOff>
        </xdr:from>
        <xdr:to>
          <xdr:col>4</xdr:col>
          <xdr:colOff>327660</xdr:colOff>
          <xdr:row>63</xdr:row>
          <xdr:rowOff>0</xdr:rowOff>
        </xdr:to>
        <xdr:sp macro="" textlink="">
          <xdr:nvSpPr>
            <xdr:cNvPr id="3085" name="Check Box 13" descr="$10" hidden="1">
              <a:extLst>
                <a:ext uri="{63B3BB69-23CF-44E3-9099-C40C66FF867C}">
                  <a14:compatExt spid="_x0000_s3085"/>
                </a:ext>
                <a:ext uri="{FF2B5EF4-FFF2-40B4-BE49-F238E27FC236}">
                  <a16:creationId xmlns:a16="http://schemas.microsoft.com/office/drawing/2014/main" id="{00000000-0008-0000-01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61</xdr:row>
          <xdr:rowOff>190500</xdr:rowOff>
        </xdr:from>
        <xdr:to>
          <xdr:col>5</xdr:col>
          <xdr:colOff>350520</xdr:colOff>
          <xdr:row>62</xdr:row>
          <xdr:rowOff>182880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7620</xdr:colOff>
          <xdr:row>61</xdr:row>
          <xdr:rowOff>182880</xdr:rowOff>
        </xdr:from>
        <xdr:to>
          <xdr:col>6</xdr:col>
          <xdr:colOff>312420</xdr:colOff>
          <xdr:row>63</xdr:row>
          <xdr:rowOff>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61</xdr:row>
          <xdr:rowOff>190500</xdr:rowOff>
        </xdr:from>
        <xdr:to>
          <xdr:col>7</xdr:col>
          <xdr:colOff>304800</xdr:colOff>
          <xdr:row>62</xdr:row>
          <xdr:rowOff>182880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7620</xdr:colOff>
          <xdr:row>50</xdr:row>
          <xdr:rowOff>175260</xdr:rowOff>
        </xdr:from>
        <xdr:to>
          <xdr:col>11</xdr:col>
          <xdr:colOff>373380</xdr:colOff>
          <xdr:row>52</xdr:row>
          <xdr:rowOff>7620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50</xdr:row>
          <xdr:rowOff>175260</xdr:rowOff>
        </xdr:from>
        <xdr:to>
          <xdr:col>12</xdr:col>
          <xdr:colOff>373380</xdr:colOff>
          <xdr:row>52</xdr:row>
          <xdr:rowOff>7620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7620</xdr:colOff>
          <xdr:row>54</xdr:row>
          <xdr:rowOff>175260</xdr:rowOff>
        </xdr:from>
        <xdr:to>
          <xdr:col>11</xdr:col>
          <xdr:colOff>373380</xdr:colOff>
          <xdr:row>56</xdr:row>
          <xdr:rowOff>7620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7620</xdr:colOff>
          <xdr:row>58</xdr:row>
          <xdr:rowOff>175260</xdr:rowOff>
        </xdr:from>
        <xdr:to>
          <xdr:col>11</xdr:col>
          <xdr:colOff>373380</xdr:colOff>
          <xdr:row>60</xdr:row>
          <xdr:rowOff>7620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7620</xdr:colOff>
          <xdr:row>50</xdr:row>
          <xdr:rowOff>175260</xdr:rowOff>
        </xdr:from>
        <xdr:to>
          <xdr:col>13</xdr:col>
          <xdr:colOff>373380</xdr:colOff>
          <xdr:row>52</xdr:row>
          <xdr:rowOff>7620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54</xdr:row>
          <xdr:rowOff>175260</xdr:rowOff>
        </xdr:from>
        <xdr:to>
          <xdr:col>12</xdr:col>
          <xdr:colOff>373380</xdr:colOff>
          <xdr:row>56</xdr:row>
          <xdr:rowOff>7620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1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7620</xdr:colOff>
          <xdr:row>58</xdr:row>
          <xdr:rowOff>175260</xdr:rowOff>
        </xdr:from>
        <xdr:to>
          <xdr:col>12</xdr:col>
          <xdr:colOff>373380</xdr:colOff>
          <xdr:row>60</xdr:row>
          <xdr:rowOff>7620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1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50</xdr:row>
          <xdr:rowOff>175260</xdr:rowOff>
        </xdr:from>
        <xdr:to>
          <xdr:col>14</xdr:col>
          <xdr:colOff>373380</xdr:colOff>
          <xdr:row>52</xdr:row>
          <xdr:rowOff>7620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1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7620</xdr:colOff>
          <xdr:row>50</xdr:row>
          <xdr:rowOff>175260</xdr:rowOff>
        </xdr:from>
        <xdr:to>
          <xdr:col>15</xdr:col>
          <xdr:colOff>373380</xdr:colOff>
          <xdr:row>52</xdr:row>
          <xdr:rowOff>7620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1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7620</xdr:colOff>
          <xdr:row>54</xdr:row>
          <xdr:rowOff>175260</xdr:rowOff>
        </xdr:from>
        <xdr:to>
          <xdr:col>13</xdr:col>
          <xdr:colOff>373380</xdr:colOff>
          <xdr:row>56</xdr:row>
          <xdr:rowOff>7620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1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54</xdr:row>
          <xdr:rowOff>175260</xdr:rowOff>
        </xdr:from>
        <xdr:to>
          <xdr:col>14</xdr:col>
          <xdr:colOff>373380</xdr:colOff>
          <xdr:row>56</xdr:row>
          <xdr:rowOff>7620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1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7620</xdr:colOff>
          <xdr:row>54</xdr:row>
          <xdr:rowOff>175260</xdr:rowOff>
        </xdr:from>
        <xdr:to>
          <xdr:col>15</xdr:col>
          <xdr:colOff>373380</xdr:colOff>
          <xdr:row>56</xdr:row>
          <xdr:rowOff>7620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1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7620</xdr:colOff>
          <xdr:row>58</xdr:row>
          <xdr:rowOff>175260</xdr:rowOff>
        </xdr:from>
        <xdr:to>
          <xdr:col>13</xdr:col>
          <xdr:colOff>373380</xdr:colOff>
          <xdr:row>60</xdr:row>
          <xdr:rowOff>7620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1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7620</xdr:colOff>
          <xdr:row>58</xdr:row>
          <xdr:rowOff>175260</xdr:rowOff>
        </xdr:from>
        <xdr:to>
          <xdr:col>14</xdr:col>
          <xdr:colOff>373380</xdr:colOff>
          <xdr:row>60</xdr:row>
          <xdr:rowOff>7620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7620</xdr:colOff>
          <xdr:row>58</xdr:row>
          <xdr:rowOff>175260</xdr:rowOff>
        </xdr:from>
        <xdr:to>
          <xdr:col>15</xdr:col>
          <xdr:colOff>373380</xdr:colOff>
          <xdr:row>60</xdr:row>
          <xdr:rowOff>7620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69</xdr:row>
          <xdr:rowOff>175260</xdr:rowOff>
        </xdr:from>
        <xdr:to>
          <xdr:col>3</xdr:col>
          <xdr:colOff>373380</xdr:colOff>
          <xdr:row>71</xdr:row>
          <xdr:rowOff>7620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69</xdr:row>
          <xdr:rowOff>175260</xdr:rowOff>
        </xdr:from>
        <xdr:to>
          <xdr:col>4</xdr:col>
          <xdr:colOff>373380</xdr:colOff>
          <xdr:row>71</xdr:row>
          <xdr:rowOff>7620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69</xdr:row>
          <xdr:rowOff>175260</xdr:rowOff>
        </xdr:from>
        <xdr:to>
          <xdr:col>5</xdr:col>
          <xdr:colOff>373380</xdr:colOff>
          <xdr:row>71</xdr:row>
          <xdr:rowOff>7620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7620</xdr:colOff>
          <xdr:row>69</xdr:row>
          <xdr:rowOff>175260</xdr:rowOff>
        </xdr:from>
        <xdr:to>
          <xdr:col>6</xdr:col>
          <xdr:colOff>373380</xdr:colOff>
          <xdr:row>71</xdr:row>
          <xdr:rowOff>7620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69</xdr:row>
          <xdr:rowOff>175260</xdr:rowOff>
        </xdr:from>
        <xdr:to>
          <xdr:col>7</xdr:col>
          <xdr:colOff>373380</xdr:colOff>
          <xdr:row>71</xdr:row>
          <xdr:rowOff>7620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1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71</xdr:row>
          <xdr:rowOff>175260</xdr:rowOff>
        </xdr:from>
        <xdr:to>
          <xdr:col>3</xdr:col>
          <xdr:colOff>373380</xdr:colOff>
          <xdr:row>73</xdr:row>
          <xdr:rowOff>7620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1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71</xdr:row>
          <xdr:rowOff>175260</xdr:rowOff>
        </xdr:from>
        <xdr:to>
          <xdr:col>4</xdr:col>
          <xdr:colOff>373380</xdr:colOff>
          <xdr:row>73</xdr:row>
          <xdr:rowOff>7620</xdr:rowOff>
        </xdr:to>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100-00002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71</xdr:row>
          <xdr:rowOff>175260</xdr:rowOff>
        </xdr:from>
        <xdr:to>
          <xdr:col>5</xdr:col>
          <xdr:colOff>373380</xdr:colOff>
          <xdr:row>73</xdr:row>
          <xdr:rowOff>7620</xdr:rowOff>
        </xdr:to>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1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7620</xdr:colOff>
          <xdr:row>71</xdr:row>
          <xdr:rowOff>175260</xdr:rowOff>
        </xdr:from>
        <xdr:to>
          <xdr:col>6</xdr:col>
          <xdr:colOff>373380</xdr:colOff>
          <xdr:row>73</xdr:row>
          <xdr:rowOff>7620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1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71</xdr:row>
          <xdr:rowOff>175260</xdr:rowOff>
        </xdr:from>
        <xdr:to>
          <xdr:col>7</xdr:col>
          <xdr:colOff>373380</xdr:colOff>
          <xdr:row>73</xdr:row>
          <xdr:rowOff>7620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1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71</xdr:row>
          <xdr:rowOff>175260</xdr:rowOff>
        </xdr:from>
        <xdr:to>
          <xdr:col>3</xdr:col>
          <xdr:colOff>373380</xdr:colOff>
          <xdr:row>73</xdr:row>
          <xdr:rowOff>7620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1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71</xdr:row>
          <xdr:rowOff>175260</xdr:rowOff>
        </xdr:from>
        <xdr:to>
          <xdr:col>4</xdr:col>
          <xdr:colOff>373380</xdr:colOff>
          <xdr:row>73</xdr:row>
          <xdr:rowOff>7620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1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71</xdr:row>
          <xdr:rowOff>175260</xdr:rowOff>
        </xdr:from>
        <xdr:to>
          <xdr:col>5</xdr:col>
          <xdr:colOff>373380</xdr:colOff>
          <xdr:row>73</xdr:row>
          <xdr:rowOff>7620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1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7620</xdr:colOff>
          <xdr:row>71</xdr:row>
          <xdr:rowOff>175260</xdr:rowOff>
        </xdr:from>
        <xdr:to>
          <xdr:col>6</xdr:col>
          <xdr:colOff>373380</xdr:colOff>
          <xdr:row>73</xdr:row>
          <xdr:rowOff>7620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1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71</xdr:row>
          <xdr:rowOff>175260</xdr:rowOff>
        </xdr:from>
        <xdr:to>
          <xdr:col>7</xdr:col>
          <xdr:colOff>373380</xdr:colOff>
          <xdr:row>73</xdr:row>
          <xdr:rowOff>7620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1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73</xdr:row>
          <xdr:rowOff>175260</xdr:rowOff>
        </xdr:from>
        <xdr:to>
          <xdr:col>3</xdr:col>
          <xdr:colOff>373380</xdr:colOff>
          <xdr:row>75</xdr:row>
          <xdr:rowOff>7620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1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73</xdr:row>
          <xdr:rowOff>175260</xdr:rowOff>
        </xdr:from>
        <xdr:to>
          <xdr:col>4</xdr:col>
          <xdr:colOff>373380</xdr:colOff>
          <xdr:row>75</xdr:row>
          <xdr:rowOff>7620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1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73</xdr:row>
          <xdr:rowOff>175260</xdr:rowOff>
        </xdr:from>
        <xdr:to>
          <xdr:col>5</xdr:col>
          <xdr:colOff>373380</xdr:colOff>
          <xdr:row>75</xdr:row>
          <xdr:rowOff>7620</xdr:rowOff>
        </xdr:to>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100-00003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7620</xdr:colOff>
          <xdr:row>73</xdr:row>
          <xdr:rowOff>175260</xdr:rowOff>
        </xdr:from>
        <xdr:to>
          <xdr:col>6</xdr:col>
          <xdr:colOff>373380</xdr:colOff>
          <xdr:row>75</xdr:row>
          <xdr:rowOff>7620</xdr:rowOff>
        </xdr:to>
        <xdr:sp macro="" textlink="">
          <xdr:nvSpPr>
            <xdr:cNvPr id="3122" name="Check Box 50" hidden="1">
              <a:extLst>
                <a:ext uri="{63B3BB69-23CF-44E3-9099-C40C66FF867C}">
                  <a14:compatExt spid="_x0000_s3122"/>
                </a:ext>
                <a:ext uri="{FF2B5EF4-FFF2-40B4-BE49-F238E27FC236}">
                  <a16:creationId xmlns:a16="http://schemas.microsoft.com/office/drawing/2014/main" id="{00000000-0008-0000-0100-00003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73</xdr:row>
          <xdr:rowOff>175260</xdr:rowOff>
        </xdr:from>
        <xdr:to>
          <xdr:col>7</xdr:col>
          <xdr:colOff>373380</xdr:colOff>
          <xdr:row>75</xdr:row>
          <xdr:rowOff>7620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1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77</xdr:row>
          <xdr:rowOff>175260</xdr:rowOff>
        </xdr:from>
        <xdr:to>
          <xdr:col>3</xdr:col>
          <xdr:colOff>373380</xdr:colOff>
          <xdr:row>79</xdr:row>
          <xdr:rowOff>7620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1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77</xdr:row>
          <xdr:rowOff>175260</xdr:rowOff>
        </xdr:from>
        <xdr:to>
          <xdr:col>4</xdr:col>
          <xdr:colOff>373380</xdr:colOff>
          <xdr:row>79</xdr:row>
          <xdr:rowOff>7620</xdr:rowOff>
        </xdr:to>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100-00003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77</xdr:row>
          <xdr:rowOff>175260</xdr:rowOff>
        </xdr:from>
        <xdr:to>
          <xdr:col>5</xdr:col>
          <xdr:colOff>373380</xdr:colOff>
          <xdr:row>79</xdr:row>
          <xdr:rowOff>7620</xdr:rowOff>
        </xdr:to>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100-00003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7620</xdr:colOff>
          <xdr:row>77</xdr:row>
          <xdr:rowOff>175260</xdr:rowOff>
        </xdr:from>
        <xdr:to>
          <xdr:col>6</xdr:col>
          <xdr:colOff>373380</xdr:colOff>
          <xdr:row>79</xdr:row>
          <xdr:rowOff>7620</xdr:rowOff>
        </xdr:to>
        <xdr:sp macro="" textlink="">
          <xdr:nvSpPr>
            <xdr:cNvPr id="3132" name="Check Box 60" hidden="1">
              <a:extLst>
                <a:ext uri="{63B3BB69-23CF-44E3-9099-C40C66FF867C}">
                  <a14:compatExt spid="_x0000_s3132"/>
                </a:ext>
                <a:ext uri="{FF2B5EF4-FFF2-40B4-BE49-F238E27FC236}">
                  <a16:creationId xmlns:a16="http://schemas.microsoft.com/office/drawing/2014/main" id="{00000000-0008-0000-0100-00003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77</xdr:row>
          <xdr:rowOff>175260</xdr:rowOff>
        </xdr:from>
        <xdr:to>
          <xdr:col>7</xdr:col>
          <xdr:colOff>373380</xdr:colOff>
          <xdr:row>79</xdr:row>
          <xdr:rowOff>7620</xdr:rowOff>
        </xdr:to>
        <xdr:sp macro="" textlink="">
          <xdr:nvSpPr>
            <xdr:cNvPr id="3133" name="Check Box 61" hidden="1">
              <a:extLst>
                <a:ext uri="{63B3BB69-23CF-44E3-9099-C40C66FF867C}">
                  <a14:compatExt spid="_x0000_s3133"/>
                </a:ext>
                <a:ext uri="{FF2B5EF4-FFF2-40B4-BE49-F238E27FC236}">
                  <a16:creationId xmlns:a16="http://schemas.microsoft.com/office/drawing/2014/main" id="{00000000-0008-0000-0100-00003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xdr:twoCellAnchor editAs="oneCell">
    <xdr:from>
      <xdr:col>5</xdr:col>
      <xdr:colOff>9525</xdr:colOff>
      <xdr:row>8</xdr:row>
      <xdr:rowOff>0</xdr:rowOff>
    </xdr:from>
    <xdr:to>
      <xdr:col>14</xdr:col>
      <xdr:colOff>0</xdr:colOff>
      <xdr:row>38</xdr:row>
      <xdr:rowOff>9525</xdr:rowOff>
    </xdr:to>
    <xdr:pic>
      <xdr:nvPicPr>
        <xdr:cNvPr id="3" name="Picture 2">
          <a:extLst>
            <a:ext uri="{FF2B5EF4-FFF2-40B4-BE49-F238E27FC236}">
              <a16:creationId xmlns:a16="http://schemas.microsoft.com/office/drawing/2014/main" id="{792C11F9-4F24-A9F7-757A-6A15E43FF1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57525" y="1333500"/>
          <a:ext cx="5476875" cy="572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20</xdr:col>
          <xdr:colOff>7620</xdr:colOff>
          <xdr:row>49</xdr:row>
          <xdr:rowOff>175260</xdr:rowOff>
        </xdr:from>
        <xdr:to>
          <xdr:col>20</xdr:col>
          <xdr:colOff>373380</xdr:colOff>
          <xdr:row>51</xdr:row>
          <xdr:rowOff>7620</xdr:rowOff>
        </xdr:to>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100-00004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7620</xdr:colOff>
          <xdr:row>49</xdr:row>
          <xdr:rowOff>175260</xdr:rowOff>
        </xdr:from>
        <xdr:to>
          <xdr:col>21</xdr:col>
          <xdr:colOff>373380</xdr:colOff>
          <xdr:row>51</xdr:row>
          <xdr:rowOff>7620</xdr:rowOff>
        </xdr:to>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100-00004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7620</xdr:colOff>
          <xdr:row>49</xdr:row>
          <xdr:rowOff>175260</xdr:rowOff>
        </xdr:from>
        <xdr:to>
          <xdr:col>22</xdr:col>
          <xdr:colOff>373380</xdr:colOff>
          <xdr:row>51</xdr:row>
          <xdr:rowOff>7620</xdr:rowOff>
        </xdr:to>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100-00004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7620</xdr:colOff>
          <xdr:row>49</xdr:row>
          <xdr:rowOff>175260</xdr:rowOff>
        </xdr:from>
        <xdr:to>
          <xdr:col>23</xdr:col>
          <xdr:colOff>373380</xdr:colOff>
          <xdr:row>51</xdr:row>
          <xdr:rowOff>7620</xdr:rowOff>
        </xdr:to>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100-00004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11</xdr:col>
      <xdr:colOff>762000</xdr:colOff>
      <xdr:row>4</xdr:row>
      <xdr:rowOff>0</xdr:rowOff>
    </xdr:from>
    <xdr:to>
      <xdr:col>12</xdr:col>
      <xdr:colOff>457200</xdr:colOff>
      <xdr:row>5</xdr:row>
      <xdr:rowOff>28575</xdr:rowOff>
    </xdr:to>
    <xdr:sp macro="" textlink="">
      <xdr:nvSpPr>
        <xdr:cNvPr id="2" name="Check Box 41" hidden="1">
          <a:extLst>
            <a:ext uri="{63B3BB69-23CF-44E3-9099-C40C66FF867C}">
              <a14:compatExt xmlns:a14="http://schemas.microsoft.com/office/drawing/2010/main" spid="_x0000_s1065"/>
            </a:ext>
            <a:ext uri="{FF2B5EF4-FFF2-40B4-BE49-F238E27FC236}">
              <a16:creationId xmlns:a16="http://schemas.microsoft.com/office/drawing/2014/main" id="{87E9DB84-4B12-44A2-819D-AD5AE0AB0639}"/>
            </a:ext>
          </a:extLst>
        </xdr:cNvPr>
        <xdr:cNvSpPr/>
      </xdr:nvSpPr>
      <xdr:spPr bwMode="auto">
        <a:xfrm>
          <a:off x="8953500" y="31642050"/>
          <a:ext cx="457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$10</a:t>
          </a:r>
        </a:p>
      </xdr:txBody>
    </xdr:sp>
    <xdr:clientData/>
  </xdr:twoCellAnchor>
  <xdr:twoCellAnchor editAs="oneCell">
    <xdr:from>
      <xdr:col>13</xdr:col>
      <xdr:colOff>0</xdr:colOff>
      <xdr:row>4</xdr:row>
      <xdr:rowOff>0</xdr:rowOff>
    </xdr:from>
    <xdr:to>
      <xdr:col>13</xdr:col>
      <xdr:colOff>457200</xdr:colOff>
      <xdr:row>5</xdr:row>
      <xdr:rowOff>28575</xdr:rowOff>
    </xdr:to>
    <xdr:sp macro="" textlink="">
      <xdr:nvSpPr>
        <xdr:cNvPr id="3" name="Check Box 42" hidden="1">
          <a:extLst>
            <a:ext uri="{63B3BB69-23CF-44E3-9099-C40C66FF867C}">
              <a14:compatExt xmlns:a14="http://schemas.microsoft.com/office/drawing/2010/main" spid="_x0000_s1066"/>
            </a:ext>
            <a:ext uri="{FF2B5EF4-FFF2-40B4-BE49-F238E27FC236}">
              <a16:creationId xmlns:a16="http://schemas.microsoft.com/office/drawing/2014/main" id="{F805574A-7B53-4CA9-ABFA-BB66E22E8B10}"/>
            </a:ext>
          </a:extLst>
        </xdr:cNvPr>
        <xdr:cNvSpPr/>
      </xdr:nvSpPr>
      <xdr:spPr bwMode="auto">
        <a:xfrm>
          <a:off x="9639300" y="31642050"/>
          <a:ext cx="457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$20</a:t>
          </a:r>
        </a:p>
      </xdr:txBody>
    </xdr:sp>
    <xdr:clientData/>
  </xdr:twoCellAnchor>
  <xdr:twoCellAnchor editAs="oneCell">
    <xdr:from>
      <xdr:col>14</xdr:col>
      <xdr:colOff>9525</xdr:colOff>
      <xdr:row>4</xdr:row>
      <xdr:rowOff>0</xdr:rowOff>
    </xdr:from>
    <xdr:to>
      <xdr:col>14</xdr:col>
      <xdr:colOff>466725</xdr:colOff>
      <xdr:row>5</xdr:row>
      <xdr:rowOff>28575</xdr:rowOff>
    </xdr:to>
    <xdr:sp macro="" textlink="">
      <xdr:nvSpPr>
        <xdr:cNvPr id="4" name="Check Box 43" hidden="1">
          <a:extLst>
            <a:ext uri="{63B3BB69-23CF-44E3-9099-C40C66FF867C}">
              <a14:compatExt xmlns:a14="http://schemas.microsoft.com/office/drawing/2010/main" spid="_x0000_s1067"/>
            </a:ext>
            <a:ext uri="{FF2B5EF4-FFF2-40B4-BE49-F238E27FC236}">
              <a16:creationId xmlns:a16="http://schemas.microsoft.com/office/drawing/2014/main" id="{78A4B6FD-2A74-4F26-BB4F-2A461101C3FA}"/>
            </a:ext>
          </a:extLst>
        </xdr:cNvPr>
        <xdr:cNvSpPr/>
      </xdr:nvSpPr>
      <xdr:spPr bwMode="auto">
        <a:xfrm>
          <a:off x="10334625" y="31642050"/>
          <a:ext cx="457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$50</a:t>
          </a:r>
        </a:p>
      </xdr:txBody>
    </xdr:sp>
    <xdr:clientData/>
  </xdr:twoCellAnchor>
  <xdr:twoCellAnchor editAs="oneCell">
    <xdr:from>
      <xdr:col>15</xdr:col>
      <xdr:colOff>9525</xdr:colOff>
      <xdr:row>3</xdr:row>
      <xdr:rowOff>180975</xdr:rowOff>
    </xdr:from>
    <xdr:to>
      <xdr:col>15</xdr:col>
      <xdr:colOff>466725</xdr:colOff>
      <xdr:row>5</xdr:row>
      <xdr:rowOff>19050</xdr:rowOff>
    </xdr:to>
    <xdr:sp macro="" textlink="">
      <xdr:nvSpPr>
        <xdr:cNvPr id="5" name="Check Box 44" hidden="1">
          <a:extLst>
            <a:ext uri="{63B3BB69-23CF-44E3-9099-C40C66FF867C}">
              <a14:compatExt xmlns:a14="http://schemas.microsoft.com/office/drawing/2010/main" spid="_x0000_s1068"/>
            </a:ext>
            <a:ext uri="{FF2B5EF4-FFF2-40B4-BE49-F238E27FC236}">
              <a16:creationId xmlns:a16="http://schemas.microsoft.com/office/drawing/2014/main" id="{34E6AAF8-4A2A-4F19-ABD0-6FD6EE0E0069}"/>
            </a:ext>
          </a:extLst>
        </xdr:cNvPr>
        <xdr:cNvSpPr/>
      </xdr:nvSpPr>
      <xdr:spPr bwMode="auto">
        <a:xfrm>
          <a:off x="11020425" y="31632525"/>
          <a:ext cx="457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$100</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266700</xdr:colOff>
      <xdr:row>14</xdr:row>
      <xdr:rowOff>19050</xdr:rowOff>
    </xdr:from>
    <xdr:to>
      <xdr:col>4</xdr:col>
      <xdr:colOff>472531</xdr:colOff>
      <xdr:row>29</xdr:row>
      <xdr:rowOff>104776</xdr:rowOff>
    </xdr:to>
    <xdr:pic>
      <xdr:nvPicPr>
        <xdr:cNvPr id="5" name="Picture 4">
          <a:extLst>
            <a:ext uri="{FF2B5EF4-FFF2-40B4-BE49-F238E27FC236}">
              <a16:creationId xmlns:a16="http://schemas.microsoft.com/office/drawing/2014/main" id="{906B1E8D-35FC-D313-F70D-47AB7D07C2AF}"/>
            </a:ext>
          </a:extLst>
        </xdr:cNvPr>
        <xdr:cNvPicPr>
          <a:picLocks noChangeAspect="1"/>
        </xdr:cNvPicPr>
      </xdr:nvPicPr>
      <xdr:blipFill>
        <a:blip xmlns:r="http://schemas.openxmlformats.org/officeDocument/2006/relationships" r:embed="rId1"/>
        <a:stretch>
          <a:fillRect/>
        </a:stretch>
      </xdr:blipFill>
      <xdr:spPr>
        <a:xfrm>
          <a:off x="266700" y="2686050"/>
          <a:ext cx="2644231" cy="294322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16</xdr:col>
          <xdr:colOff>7620</xdr:colOff>
          <xdr:row>6</xdr:row>
          <xdr:rowOff>175260</xdr:rowOff>
        </xdr:from>
        <xdr:to>
          <xdr:col>16</xdr:col>
          <xdr:colOff>373380</xdr:colOff>
          <xdr:row>8</xdr:row>
          <xdr:rowOff>7620</xdr:rowOff>
        </xdr:to>
        <xdr:sp macro="" textlink="">
          <xdr:nvSpPr>
            <xdr:cNvPr id="5149" name="Check Box 29" hidden="1">
              <a:extLst>
                <a:ext uri="{63B3BB69-23CF-44E3-9099-C40C66FF867C}">
                  <a14:compatExt spid="_x0000_s5149"/>
                </a:ext>
                <a:ext uri="{FF2B5EF4-FFF2-40B4-BE49-F238E27FC236}">
                  <a16:creationId xmlns:a16="http://schemas.microsoft.com/office/drawing/2014/main" id="{00000000-0008-0000-1B00-00001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7620</xdr:colOff>
          <xdr:row>6</xdr:row>
          <xdr:rowOff>175260</xdr:rowOff>
        </xdr:from>
        <xdr:to>
          <xdr:col>17</xdr:col>
          <xdr:colOff>373380</xdr:colOff>
          <xdr:row>8</xdr:row>
          <xdr:rowOff>7620</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1B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18</xdr:col>
          <xdr:colOff>7620</xdr:colOff>
          <xdr:row>6</xdr:row>
          <xdr:rowOff>175260</xdr:rowOff>
        </xdr:from>
        <xdr:to>
          <xdr:col>18</xdr:col>
          <xdr:colOff>373380</xdr:colOff>
          <xdr:row>8</xdr:row>
          <xdr:rowOff>7620</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1B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7620</xdr:colOff>
          <xdr:row>6</xdr:row>
          <xdr:rowOff>175260</xdr:rowOff>
        </xdr:from>
        <xdr:to>
          <xdr:col>19</xdr:col>
          <xdr:colOff>373380</xdr:colOff>
          <xdr:row>8</xdr:row>
          <xdr:rowOff>7620</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1B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7620</xdr:colOff>
          <xdr:row>6</xdr:row>
          <xdr:rowOff>175260</xdr:rowOff>
        </xdr:from>
        <xdr:to>
          <xdr:col>20</xdr:col>
          <xdr:colOff>373380</xdr:colOff>
          <xdr:row>8</xdr:row>
          <xdr:rowOff>7620</xdr:rowOff>
        </xdr:to>
        <xdr:sp macro="" textlink="">
          <xdr:nvSpPr>
            <xdr:cNvPr id="5153" name="Check Box 33" hidden="1">
              <a:extLst>
                <a:ext uri="{63B3BB69-23CF-44E3-9099-C40C66FF867C}">
                  <a14:compatExt spid="_x0000_s5153"/>
                </a:ext>
                <a:ext uri="{FF2B5EF4-FFF2-40B4-BE49-F238E27FC236}">
                  <a16:creationId xmlns:a16="http://schemas.microsoft.com/office/drawing/2014/main" id="{00000000-0008-0000-1B00-00002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7620</xdr:colOff>
          <xdr:row>10</xdr:row>
          <xdr:rowOff>175260</xdr:rowOff>
        </xdr:from>
        <xdr:to>
          <xdr:col>16</xdr:col>
          <xdr:colOff>373380</xdr:colOff>
          <xdr:row>12</xdr:row>
          <xdr:rowOff>7620</xdr:rowOff>
        </xdr:to>
        <xdr:sp macro="" textlink="">
          <xdr:nvSpPr>
            <xdr:cNvPr id="5156" name="Check Box 36" hidden="1">
              <a:extLst>
                <a:ext uri="{63B3BB69-23CF-44E3-9099-C40C66FF867C}">
                  <a14:compatExt spid="_x0000_s5156"/>
                </a:ext>
                <a:ext uri="{FF2B5EF4-FFF2-40B4-BE49-F238E27FC236}">
                  <a16:creationId xmlns:a16="http://schemas.microsoft.com/office/drawing/2014/main" id="{00000000-0008-0000-1B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7620</xdr:colOff>
          <xdr:row>10</xdr:row>
          <xdr:rowOff>175260</xdr:rowOff>
        </xdr:from>
        <xdr:to>
          <xdr:col>17</xdr:col>
          <xdr:colOff>373380</xdr:colOff>
          <xdr:row>12</xdr:row>
          <xdr:rowOff>7620</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1B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18</xdr:col>
          <xdr:colOff>7620</xdr:colOff>
          <xdr:row>10</xdr:row>
          <xdr:rowOff>175260</xdr:rowOff>
        </xdr:from>
        <xdr:to>
          <xdr:col>18</xdr:col>
          <xdr:colOff>373380</xdr:colOff>
          <xdr:row>12</xdr:row>
          <xdr:rowOff>7620</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1B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7620</xdr:colOff>
          <xdr:row>10</xdr:row>
          <xdr:rowOff>175260</xdr:rowOff>
        </xdr:from>
        <xdr:to>
          <xdr:col>19</xdr:col>
          <xdr:colOff>373380</xdr:colOff>
          <xdr:row>12</xdr:row>
          <xdr:rowOff>7620</xdr:rowOff>
        </xdr:to>
        <xdr:sp macro="" textlink="">
          <xdr:nvSpPr>
            <xdr:cNvPr id="5159" name="Check Box 39" hidden="1">
              <a:extLst>
                <a:ext uri="{63B3BB69-23CF-44E3-9099-C40C66FF867C}">
                  <a14:compatExt spid="_x0000_s5159"/>
                </a:ext>
                <a:ext uri="{FF2B5EF4-FFF2-40B4-BE49-F238E27FC236}">
                  <a16:creationId xmlns:a16="http://schemas.microsoft.com/office/drawing/2014/main" id="{00000000-0008-0000-1B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7620</xdr:colOff>
          <xdr:row>10</xdr:row>
          <xdr:rowOff>175260</xdr:rowOff>
        </xdr:from>
        <xdr:to>
          <xdr:col>20</xdr:col>
          <xdr:colOff>373380</xdr:colOff>
          <xdr:row>12</xdr:row>
          <xdr:rowOff>7620</xdr:rowOff>
        </xdr:to>
        <xdr:sp macro="" textlink="">
          <xdr:nvSpPr>
            <xdr:cNvPr id="5160" name="Check Box 40" hidden="1">
              <a:extLst>
                <a:ext uri="{63B3BB69-23CF-44E3-9099-C40C66FF867C}">
                  <a14:compatExt spid="_x0000_s5160"/>
                </a:ext>
                <a:ext uri="{FF2B5EF4-FFF2-40B4-BE49-F238E27FC236}">
                  <a16:creationId xmlns:a16="http://schemas.microsoft.com/office/drawing/2014/main" id="{00000000-0008-0000-1B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7620</xdr:colOff>
          <xdr:row>14</xdr:row>
          <xdr:rowOff>175260</xdr:rowOff>
        </xdr:from>
        <xdr:to>
          <xdr:col>16</xdr:col>
          <xdr:colOff>373380</xdr:colOff>
          <xdr:row>16</xdr:row>
          <xdr:rowOff>7620</xdr:rowOff>
        </xdr:to>
        <xdr:sp macro="" textlink="">
          <xdr:nvSpPr>
            <xdr:cNvPr id="5161" name="Check Box 41" hidden="1">
              <a:extLst>
                <a:ext uri="{63B3BB69-23CF-44E3-9099-C40C66FF867C}">
                  <a14:compatExt spid="_x0000_s5161"/>
                </a:ext>
                <a:ext uri="{FF2B5EF4-FFF2-40B4-BE49-F238E27FC236}">
                  <a16:creationId xmlns:a16="http://schemas.microsoft.com/office/drawing/2014/main" id="{00000000-0008-0000-1B00-00002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7620</xdr:colOff>
          <xdr:row>14</xdr:row>
          <xdr:rowOff>175260</xdr:rowOff>
        </xdr:from>
        <xdr:to>
          <xdr:col>17</xdr:col>
          <xdr:colOff>373380</xdr:colOff>
          <xdr:row>16</xdr:row>
          <xdr:rowOff>7620</xdr:rowOff>
        </xdr:to>
        <xdr:sp macro="" textlink="">
          <xdr:nvSpPr>
            <xdr:cNvPr id="5162" name="Check Box 42" hidden="1">
              <a:extLst>
                <a:ext uri="{63B3BB69-23CF-44E3-9099-C40C66FF867C}">
                  <a14:compatExt spid="_x0000_s5162"/>
                </a:ext>
                <a:ext uri="{FF2B5EF4-FFF2-40B4-BE49-F238E27FC236}">
                  <a16:creationId xmlns:a16="http://schemas.microsoft.com/office/drawing/2014/main" id="{00000000-0008-0000-1B00-00002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18</xdr:col>
          <xdr:colOff>7620</xdr:colOff>
          <xdr:row>14</xdr:row>
          <xdr:rowOff>175260</xdr:rowOff>
        </xdr:from>
        <xdr:to>
          <xdr:col>18</xdr:col>
          <xdr:colOff>373380</xdr:colOff>
          <xdr:row>16</xdr:row>
          <xdr:rowOff>7620</xdr:rowOff>
        </xdr:to>
        <xdr:sp macro="" textlink="">
          <xdr:nvSpPr>
            <xdr:cNvPr id="5163" name="Check Box 43" hidden="1">
              <a:extLst>
                <a:ext uri="{63B3BB69-23CF-44E3-9099-C40C66FF867C}">
                  <a14:compatExt spid="_x0000_s5163"/>
                </a:ext>
                <a:ext uri="{FF2B5EF4-FFF2-40B4-BE49-F238E27FC236}">
                  <a16:creationId xmlns:a16="http://schemas.microsoft.com/office/drawing/2014/main" id="{00000000-0008-0000-1B00-00002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7620</xdr:colOff>
          <xdr:row>14</xdr:row>
          <xdr:rowOff>175260</xdr:rowOff>
        </xdr:from>
        <xdr:to>
          <xdr:col>19</xdr:col>
          <xdr:colOff>373380</xdr:colOff>
          <xdr:row>16</xdr:row>
          <xdr:rowOff>7620</xdr:rowOff>
        </xdr:to>
        <xdr:sp macro="" textlink="">
          <xdr:nvSpPr>
            <xdr:cNvPr id="5164" name="Check Box 44" hidden="1">
              <a:extLst>
                <a:ext uri="{63B3BB69-23CF-44E3-9099-C40C66FF867C}">
                  <a14:compatExt spid="_x0000_s5164"/>
                </a:ext>
                <a:ext uri="{FF2B5EF4-FFF2-40B4-BE49-F238E27FC236}">
                  <a16:creationId xmlns:a16="http://schemas.microsoft.com/office/drawing/2014/main" id="{00000000-0008-0000-1B00-00002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7620</xdr:colOff>
          <xdr:row>14</xdr:row>
          <xdr:rowOff>175260</xdr:rowOff>
        </xdr:from>
        <xdr:to>
          <xdr:col>20</xdr:col>
          <xdr:colOff>373380</xdr:colOff>
          <xdr:row>16</xdr:row>
          <xdr:rowOff>7620</xdr:rowOff>
        </xdr:to>
        <xdr:sp macro="" textlink="">
          <xdr:nvSpPr>
            <xdr:cNvPr id="5165" name="Check Box 45" hidden="1">
              <a:extLst>
                <a:ext uri="{63B3BB69-23CF-44E3-9099-C40C66FF867C}">
                  <a14:compatExt spid="_x0000_s5165"/>
                </a:ext>
                <a:ext uri="{FF2B5EF4-FFF2-40B4-BE49-F238E27FC236}">
                  <a16:creationId xmlns:a16="http://schemas.microsoft.com/office/drawing/2014/main" id="{00000000-0008-0000-1B00-00002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25</xdr:col>
          <xdr:colOff>7620</xdr:colOff>
          <xdr:row>74</xdr:row>
          <xdr:rowOff>175260</xdr:rowOff>
        </xdr:from>
        <xdr:to>
          <xdr:col>25</xdr:col>
          <xdr:colOff>342900</xdr:colOff>
          <xdr:row>76</xdr:row>
          <xdr:rowOff>22860</xdr:rowOff>
        </xdr:to>
        <xdr:sp macro="" textlink="">
          <xdr:nvSpPr>
            <xdr:cNvPr id="34817" name="Check Box 1" hidden="1">
              <a:extLst>
                <a:ext uri="{63B3BB69-23CF-44E3-9099-C40C66FF867C}">
                  <a14:compatExt spid="_x0000_s34817"/>
                </a:ext>
                <a:ext uri="{FF2B5EF4-FFF2-40B4-BE49-F238E27FC236}">
                  <a16:creationId xmlns:a16="http://schemas.microsoft.com/office/drawing/2014/main" id="{00000000-0008-0000-2500-000001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0</xdr:colOff>
          <xdr:row>74</xdr:row>
          <xdr:rowOff>152400</xdr:rowOff>
        </xdr:from>
        <xdr:to>
          <xdr:col>26</xdr:col>
          <xdr:colOff>266700</xdr:colOff>
          <xdr:row>76</xdr:row>
          <xdr:rowOff>30480</xdr:rowOff>
        </xdr:to>
        <xdr:sp macro="" textlink="">
          <xdr:nvSpPr>
            <xdr:cNvPr id="34818" name="Check Box 2" hidden="1">
              <a:extLst>
                <a:ext uri="{63B3BB69-23CF-44E3-9099-C40C66FF867C}">
                  <a14:compatExt spid="_x0000_s34818"/>
                </a:ext>
                <a:ext uri="{FF2B5EF4-FFF2-40B4-BE49-F238E27FC236}">
                  <a16:creationId xmlns:a16="http://schemas.microsoft.com/office/drawing/2014/main" id="{00000000-0008-0000-2500-000002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0</xdr:colOff>
          <xdr:row>75</xdr:row>
          <xdr:rowOff>0</xdr:rowOff>
        </xdr:from>
        <xdr:to>
          <xdr:col>27</xdr:col>
          <xdr:colOff>327660</xdr:colOff>
          <xdr:row>76</xdr:row>
          <xdr:rowOff>0</xdr:rowOff>
        </xdr:to>
        <xdr:sp macro="" textlink="">
          <xdr:nvSpPr>
            <xdr:cNvPr id="34819" name="Check Box 3" hidden="1">
              <a:extLst>
                <a:ext uri="{63B3BB69-23CF-44E3-9099-C40C66FF867C}">
                  <a14:compatExt spid="_x0000_s34819"/>
                </a:ext>
                <a:ext uri="{FF2B5EF4-FFF2-40B4-BE49-F238E27FC236}">
                  <a16:creationId xmlns:a16="http://schemas.microsoft.com/office/drawing/2014/main" id="{00000000-0008-0000-2500-000003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7620</xdr:colOff>
          <xdr:row>74</xdr:row>
          <xdr:rowOff>160020</xdr:rowOff>
        </xdr:from>
        <xdr:to>
          <xdr:col>28</xdr:col>
          <xdr:colOff>304800</xdr:colOff>
          <xdr:row>76</xdr:row>
          <xdr:rowOff>22860</xdr:rowOff>
        </xdr:to>
        <xdr:sp macro="" textlink="">
          <xdr:nvSpPr>
            <xdr:cNvPr id="34820" name="Check Box 4" hidden="1">
              <a:extLst>
                <a:ext uri="{63B3BB69-23CF-44E3-9099-C40C66FF867C}">
                  <a14:compatExt spid="_x0000_s34820"/>
                </a:ext>
                <a:ext uri="{FF2B5EF4-FFF2-40B4-BE49-F238E27FC236}">
                  <a16:creationId xmlns:a16="http://schemas.microsoft.com/office/drawing/2014/main" id="{00000000-0008-0000-2500-000004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7620</xdr:colOff>
          <xdr:row>75</xdr:row>
          <xdr:rowOff>7620</xdr:rowOff>
        </xdr:from>
        <xdr:to>
          <xdr:col>29</xdr:col>
          <xdr:colOff>297180</xdr:colOff>
          <xdr:row>75</xdr:row>
          <xdr:rowOff>175260</xdr:rowOff>
        </xdr:to>
        <xdr:sp macro="" textlink="">
          <xdr:nvSpPr>
            <xdr:cNvPr id="34821" name="Check Box 5" hidden="1">
              <a:extLst>
                <a:ext uri="{63B3BB69-23CF-44E3-9099-C40C66FF867C}">
                  <a14:compatExt spid="_x0000_s34821"/>
                </a:ext>
                <a:ext uri="{FF2B5EF4-FFF2-40B4-BE49-F238E27FC236}">
                  <a16:creationId xmlns:a16="http://schemas.microsoft.com/office/drawing/2014/main" id="{00000000-0008-0000-2500-000005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7620</xdr:colOff>
          <xdr:row>78</xdr:row>
          <xdr:rowOff>175260</xdr:rowOff>
        </xdr:from>
        <xdr:to>
          <xdr:col>25</xdr:col>
          <xdr:colOff>327660</xdr:colOff>
          <xdr:row>80</xdr:row>
          <xdr:rowOff>22860</xdr:rowOff>
        </xdr:to>
        <xdr:sp macro="" textlink="">
          <xdr:nvSpPr>
            <xdr:cNvPr id="34822" name="Check Box 6" hidden="1">
              <a:extLst>
                <a:ext uri="{63B3BB69-23CF-44E3-9099-C40C66FF867C}">
                  <a14:compatExt spid="_x0000_s34822"/>
                </a:ext>
                <a:ext uri="{FF2B5EF4-FFF2-40B4-BE49-F238E27FC236}">
                  <a16:creationId xmlns:a16="http://schemas.microsoft.com/office/drawing/2014/main" id="{00000000-0008-0000-2500-000006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7620</xdr:colOff>
          <xdr:row>78</xdr:row>
          <xdr:rowOff>182880</xdr:rowOff>
        </xdr:from>
        <xdr:to>
          <xdr:col>26</xdr:col>
          <xdr:colOff>274320</xdr:colOff>
          <xdr:row>80</xdr:row>
          <xdr:rowOff>0</xdr:rowOff>
        </xdr:to>
        <xdr:sp macro="" textlink="">
          <xdr:nvSpPr>
            <xdr:cNvPr id="34823" name="Check Box 7" descr="$10" hidden="1">
              <a:extLst>
                <a:ext uri="{63B3BB69-23CF-44E3-9099-C40C66FF867C}">
                  <a14:compatExt spid="_x0000_s34823"/>
                </a:ext>
                <a:ext uri="{FF2B5EF4-FFF2-40B4-BE49-F238E27FC236}">
                  <a16:creationId xmlns:a16="http://schemas.microsoft.com/office/drawing/2014/main" id="{00000000-0008-0000-2500-000007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7620</xdr:colOff>
          <xdr:row>79</xdr:row>
          <xdr:rowOff>0</xdr:rowOff>
        </xdr:from>
        <xdr:to>
          <xdr:col>27</xdr:col>
          <xdr:colOff>342900</xdr:colOff>
          <xdr:row>79</xdr:row>
          <xdr:rowOff>182880</xdr:rowOff>
        </xdr:to>
        <xdr:sp macro="" textlink="">
          <xdr:nvSpPr>
            <xdr:cNvPr id="34824" name="Check Box 8" hidden="1">
              <a:extLst>
                <a:ext uri="{63B3BB69-23CF-44E3-9099-C40C66FF867C}">
                  <a14:compatExt spid="_x0000_s34824"/>
                </a:ext>
                <a:ext uri="{FF2B5EF4-FFF2-40B4-BE49-F238E27FC236}">
                  <a16:creationId xmlns:a16="http://schemas.microsoft.com/office/drawing/2014/main" id="{00000000-0008-0000-2500-000008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22860</xdr:colOff>
          <xdr:row>79</xdr:row>
          <xdr:rowOff>7620</xdr:rowOff>
        </xdr:from>
        <xdr:to>
          <xdr:col>28</xdr:col>
          <xdr:colOff>373380</xdr:colOff>
          <xdr:row>79</xdr:row>
          <xdr:rowOff>182880</xdr:rowOff>
        </xdr:to>
        <xdr:sp macro="" textlink="">
          <xdr:nvSpPr>
            <xdr:cNvPr id="34825" name="Check Box 9" hidden="1">
              <a:extLst>
                <a:ext uri="{63B3BB69-23CF-44E3-9099-C40C66FF867C}">
                  <a14:compatExt spid="_x0000_s34825"/>
                </a:ext>
                <a:ext uri="{FF2B5EF4-FFF2-40B4-BE49-F238E27FC236}">
                  <a16:creationId xmlns:a16="http://schemas.microsoft.com/office/drawing/2014/main" id="{00000000-0008-0000-2500-000009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7620</xdr:colOff>
          <xdr:row>78</xdr:row>
          <xdr:rowOff>190500</xdr:rowOff>
        </xdr:from>
        <xdr:to>
          <xdr:col>29</xdr:col>
          <xdr:colOff>289560</xdr:colOff>
          <xdr:row>79</xdr:row>
          <xdr:rowOff>182880</xdr:rowOff>
        </xdr:to>
        <xdr:sp macro="" textlink="">
          <xdr:nvSpPr>
            <xdr:cNvPr id="34826" name="Check Box 10" hidden="1">
              <a:extLst>
                <a:ext uri="{63B3BB69-23CF-44E3-9099-C40C66FF867C}">
                  <a14:compatExt spid="_x0000_s34826"/>
                </a:ext>
                <a:ext uri="{FF2B5EF4-FFF2-40B4-BE49-F238E27FC236}">
                  <a16:creationId xmlns:a16="http://schemas.microsoft.com/office/drawing/2014/main" id="{00000000-0008-0000-2500-00000A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7620</xdr:colOff>
          <xdr:row>82</xdr:row>
          <xdr:rowOff>175260</xdr:rowOff>
        </xdr:from>
        <xdr:to>
          <xdr:col>25</xdr:col>
          <xdr:colOff>373380</xdr:colOff>
          <xdr:row>84</xdr:row>
          <xdr:rowOff>22860</xdr:rowOff>
        </xdr:to>
        <xdr:sp macro="" textlink="">
          <xdr:nvSpPr>
            <xdr:cNvPr id="34827" name="Check Box 11" hidden="1">
              <a:extLst>
                <a:ext uri="{63B3BB69-23CF-44E3-9099-C40C66FF867C}">
                  <a14:compatExt spid="_x0000_s34827"/>
                </a:ext>
                <a:ext uri="{FF2B5EF4-FFF2-40B4-BE49-F238E27FC236}">
                  <a16:creationId xmlns:a16="http://schemas.microsoft.com/office/drawing/2014/main" id="{00000000-0008-0000-2500-00000B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7620</xdr:colOff>
          <xdr:row>82</xdr:row>
          <xdr:rowOff>182880</xdr:rowOff>
        </xdr:from>
        <xdr:to>
          <xdr:col>26</xdr:col>
          <xdr:colOff>327660</xdr:colOff>
          <xdr:row>84</xdr:row>
          <xdr:rowOff>0</xdr:rowOff>
        </xdr:to>
        <xdr:sp macro="" textlink="">
          <xdr:nvSpPr>
            <xdr:cNvPr id="34828" name="Check Box 12" descr="$10" hidden="1">
              <a:extLst>
                <a:ext uri="{63B3BB69-23CF-44E3-9099-C40C66FF867C}">
                  <a14:compatExt spid="_x0000_s34828"/>
                </a:ext>
                <a:ext uri="{FF2B5EF4-FFF2-40B4-BE49-F238E27FC236}">
                  <a16:creationId xmlns:a16="http://schemas.microsoft.com/office/drawing/2014/main" id="{00000000-0008-0000-2500-00000C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7620</xdr:colOff>
          <xdr:row>82</xdr:row>
          <xdr:rowOff>190500</xdr:rowOff>
        </xdr:from>
        <xdr:to>
          <xdr:col>27</xdr:col>
          <xdr:colOff>350520</xdr:colOff>
          <xdr:row>83</xdr:row>
          <xdr:rowOff>182880</xdr:rowOff>
        </xdr:to>
        <xdr:sp macro="" textlink="">
          <xdr:nvSpPr>
            <xdr:cNvPr id="34829" name="Check Box 13" hidden="1">
              <a:extLst>
                <a:ext uri="{63B3BB69-23CF-44E3-9099-C40C66FF867C}">
                  <a14:compatExt spid="_x0000_s34829"/>
                </a:ext>
                <a:ext uri="{FF2B5EF4-FFF2-40B4-BE49-F238E27FC236}">
                  <a16:creationId xmlns:a16="http://schemas.microsoft.com/office/drawing/2014/main" id="{00000000-0008-0000-2500-00000D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$20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7620</xdr:colOff>
          <xdr:row>82</xdr:row>
          <xdr:rowOff>182880</xdr:rowOff>
        </xdr:from>
        <xdr:to>
          <xdr:col>28</xdr:col>
          <xdr:colOff>312420</xdr:colOff>
          <xdr:row>84</xdr:row>
          <xdr:rowOff>0</xdr:rowOff>
        </xdr:to>
        <xdr:sp macro="" textlink="">
          <xdr:nvSpPr>
            <xdr:cNvPr id="34830" name="Check Box 14" hidden="1">
              <a:extLst>
                <a:ext uri="{63B3BB69-23CF-44E3-9099-C40C66FF867C}">
                  <a14:compatExt spid="_x0000_s34830"/>
                </a:ext>
                <a:ext uri="{FF2B5EF4-FFF2-40B4-BE49-F238E27FC236}">
                  <a16:creationId xmlns:a16="http://schemas.microsoft.com/office/drawing/2014/main" id="{00000000-0008-0000-2500-00000E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$50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7620</xdr:colOff>
          <xdr:row>82</xdr:row>
          <xdr:rowOff>190500</xdr:rowOff>
        </xdr:from>
        <xdr:to>
          <xdr:col>29</xdr:col>
          <xdr:colOff>304800</xdr:colOff>
          <xdr:row>83</xdr:row>
          <xdr:rowOff>182880</xdr:rowOff>
        </xdr:to>
        <xdr:sp macro="" textlink="">
          <xdr:nvSpPr>
            <xdr:cNvPr id="34831" name="Check Box 15" hidden="1">
              <a:extLst>
                <a:ext uri="{63B3BB69-23CF-44E3-9099-C40C66FF867C}">
                  <a14:compatExt spid="_x0000_s34831"/>
                </a:ext>
                <a:ext uri="{FF2B5EF4-FFF2-40B4-BE49-F238E27FC236}">
                  <a16:creationId xmlns:a16="http://schemas.microsoft.com/office/drawing/2014/main" id="{00000000-0008-0000-2500-00000F8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$100</a:t>
              </a:r>
            </a:p>
          </xdr:txBody>
        </xdr:sp>
        <xdr:clientData fLocksWithSheet="0"/>
      </xdr:twoCellAnchor>
    </mc:Choice>
    <mc:Fallback/>
  </mc:AlternateContent>
  <xdr:twoCellAnchor editAs="oneCell">
    <xdr:from>
      <xdr:col>0</xdr:col>
      <xdr:colOff>38101</xdr:colOff>
      <xdr:row>44</xdr:row>
      <xdr:rowOff>171450</xdr:rowOff>
    </xdr:from>
    <xdr:to>
      <xdr:col>4</xdr:col>
      <xdr:colOff>9525</xdr:colOff>
      <xdr:row>58</xdr:row>
      <xdr:rowOff>186764</xdr:rowOff>
    </xdr:to>
    <xdr:pic>
      <xdr:nvPicPr>
        <xdr:cNvPr id="2" name="Picture 1">
          <a:extLst>
            <a:ext uri="{FF2B5EF4-FFF2-40B4-BE49-F238E27FC236}">
              <a16:creationId xmlns:a16="http://schemas.microsoft.com/office/drawing/2014/main" id="{F4DAC141-909E-4A00-9F16-CD277C89DA41}"/>
            </a:ext>
          </a:extLst>
        </xdr:cNvPr>
        <xdr:cNvPicPr>
          <a:picLocks noChangeAspect="1"/>
        </xdr:cNvPicPr>
      </xdr:nvPicPr>
      <xdr:blipFill>
        <a:blip xmlns:r="http://schemas.openxmlformats.org/officeDocument/2006/relationships" r:embed="rId1"/>
        <a:stretch>
          <a:fillRect/>
        </a:stretch>
      </xdr:blipFill>
      <xdr:spPr>
        <a:xfrm>
          <a:off x="38101" y="7981950"/>
          <a:ext cx="2409824" cy="26823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2" Type="http://schemas.openxmlformats.org/officeDocument/2006/relationships/drawing" Target="../drawings/drawing2.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8" Type="http://schemas.openxmlformats.org/officeDocument/2006/relationships/ctrlProp" Target="../ctrlProps/ctrlProp65.xml"/><Relationship Id="rId13" Type="http://schemas.openxmlformats.org/officeDocument/2006/relationships/ctrlProp" Target="../ctrlProps/ctrlProp70.xml"/><Relationship Id="rId3" Type="http://schemas.openxmlformats.org/officeDocument/2006/relationships/ctrlProp" Target="../ctrlProps/ctrlProp60.xml"/><Relationship Id="rId7" Type="http://schemas.openxmlformats.org/officeDocument/2006/relationships/ctrlProp" Target="../ctrlProps/ctrlProp64.xml"/><Relationship Id="rId12" Type="http://schemas.openxmlformats.org/officeDocument/2006/relationships/ctrlProp" Target="../ctrlProps/ctrlProp69.xml"/><Relationship Id="rId17" Type="http://schemas.openxmlformats.org/officeDocument/2006/relationships/ctrlProp" Target="../ctrlProps/ctrlProp74.xml"/><Relationship Id="rId2" Type="http://schemas.openxmlformats.org/officeDocument/2006/relationships/vmlDrawing" Target="../drawings/vmlDrawing2.vml"/><Relationship Id="rId16" Type="http://schemas.openxmlformats.org/officeDocument/2006/relationships/ctrlProp" Target="../ctrlProps/ctrlProp73.xml"/><Relationship Id="rId1" Type="http://schemas.openxmlformats.org/officeDocument/2006/relationships/drawing" Target="../drawings/drawing4.xml"/><Relationship Id="rId6" Type="http://schemas.openxmlformats.org/officeDocument/2006/relationships/ctrlProp" Target="../ctrlProps/ctrlProp63.xml"/><Relationship Id="rId11" Type="http://schemas.openxmlformats.org/officeDocument/2006/relationships/ctrlProp" Target="../ctrlProps/ctrlProp68.xml"/><Relationship Id="rId5" Type="http://schemas.openxmlformats.org/officeDocument/2006/relationships/ctrlProp" Target="../ctrlProps/ctrlProp62.xml"/><Relationship Id="rId15" Type="http://schemas.openxmlformats.org/officeDocument/2006/relationships/ctrlProp" Target="../ctrlProps/ctrlProp72.xml"/><Relationship Id="rId10" Type="http://schemas.openxmlformats.org/officeDocument/2006/relationships/ctrlProp" Target="../ctrlProps/ctrlProp67.xml"/><Relationship Id="rId4" Type="http://schemas.openxmlformats.org/officeDocument/2006/relationships/ctrlProp" Target="../ctrlProps/ctrlProp61.xml"/><Relationship Id="rId9" Type="http://schemas.openxmlformats.org/officeDocument/2006/relationships/ctrlProp" Target="../ctrlProps/ctrlProp66.xml"/><Relationship Id="rId14" Type="http://schemas.openxmlformats.org/officeDocument/2006/relationships/ctrlProp" Target="../ctrlProps/ctrlProp71.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80.xml"/><Relationship Id="rId13" Type="http://schemas.openxmlformats.org/officeDocument/2006/relationships/ctrlProp" Target="../ctrlProps/ctrlProp85.xml"/><Relationship Id="rId3" Type="http://schemas.openxmlformats.org/officeDocument/2006/relationships/ctrlProp" Target="../ctrlProps/ctrlProp75.xml"/><Relationship Id="rId7" Type="http://schemas.openxmlformats.org/officeDocument/2006/relationships/ctrlProp" Target="../ctrlProps/ctrlProp79.xml"/><Relationship Id="rId12" Type="http://schemas.openxmlformats.org/officeDocument/2006/relationships/ctrlProp" Target="../ctrlProps/ctrlProp84.xml"/><Relationship Id="rId17" Type="http://schemas.openxmlformats.org/officeDocument/2006/relationships/ctrlProp" Target="../ctrlProps/ctrlProp89.xml"/><Relationship Id="rId2" Type="http://schemas.openxmlformats.org/officeDocument/2006/relationships/vmlDrawing" Target="../drawings/vmlDrawing3.vml"/><Relationship Id="rId16" Type="http://schemas.openxmlformats.org/officeDocument/2006/relationships/ctrlProp" Target="../ctrlProps/ctrlProp88.xml"/><Relationship Id="rId1" Type="http://schemas.openxmlformats.org/officeDocument/2006/relationships/drawing" Target="../drawings/drawing5.xml"/><Relationship Id="rId6" Type="http://schemas.openxmlformats.org/officeDocument/2006/relationships/ctrlProp" Target="../ctrlProps/ctrlProp78.xml"/><Relationship Id="rId11" Type="http://schemas.openxmlformats.org/officeDocument/2006/relationships/ctrlProp" Target="../ctrlProps/ctrlProp83.xml"/><Relationship Id="rId5" Type="http://schemas.openxmlformats.org/officeDocument/2006/relationships/ctrlProp" Target="../ctrlProps/ctrlProp77.xml"/><Relationship Id="rId15" Type="http://schemas.openxmlformats.org/officeDocument/2006/relationships/ctrlProp" Target="../ctrlProps/ctrlProp87.xml"/><Relationship Id="rId10" Type="http://schemas.openxmlformats.org/officeDocument/2006/relationships/ctrlProp" Target="../ctrlProps/ctrlProp82.xml"/><Relationship Id="rId4" Type="http://schemas.openxmlformats.org/officeDocument/2006/relationships/ctrlProp" Target="../ctrlProps/ctrlProp76.xml"/><Relationship Id="rId9" Type="http://schemas.openxmlformats.org/officeDocument/2006/relationships/ctrlProp" Target="../ctrlProps/ctrlProp81.xml"/><Relationship Id="rId14" Type="http://schemas.openxmlformats.org/officeDocument/2006/relationships/ctrlProp" Target="../ctrlProps/ctrlProp86.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F280-E163-48B7-A8A9-9C0D6F03CEA2}">
  <sheetPr codeName="Sheet1"/>
  <dimension ref="A1:AF74"/>
  <sheetViews>
    <sheetView workbookViewId="0">
      <selection activeCell="G25" sqref="G25:H25"/>
    </sheetView>
  </sheetViews>
  <sheetFormatPr baseColWidth="10" defaultColWidth="8.88671875" defaultRowHeight="14.4" x14ac:dyDescent="0.3"/>
  <cols>
    <col min="6" max="6" width="9.88671875" bestFit="1" customWidth="1"/>
  </cols>
  <sheetData>
    <row r="1" spans="1:26" x14ac:dyDescent="0.3">
      <c r="A1" s="421" t="s">
        <v>64</v>
      </c>
      <c r="B1" s="421"/>
      <c r="C1" s="422" t="s">
        <v>1153</v>
      </c>
      <c r="D1" s="422"/>
      <c r="E1" s="423" t="s">
        <v>915</v>
      </c>
      <c r="F1" s="424"/>
      <c r="G1" s="424"/>
      <c r="H1" s="424"/>
      <c r="I1" s="424"/>
      <c r="J1" s="424"/>
      <c r="K1" s="424"/>
      <c r="L1" s="424"/>
      <c r="M1" s="424"/>
      <c r="N1" s="424"/>
      <c r="O1" s="424"/>
      <c r="P1" s="424"/>
      <c r="Q1" s="424"/>
      <c r="R1" s="424"/>
      <c r="S1" s="424"/>
      <c r="T1" s="424"/>
      <c r="U1" s="424"/>
    </row>
    <row r="2" spans="1:26" x14ac:dyDescent="0.3">
      <c r="A2" s="421" t="s">
        <v>65</v>
      </c>
      <c r="B2" s="421"/>
      <c r="C2" s="425">
        <v>45964</v>
      </c>
      <c r="D2" s="425"/>
      <c r="E2" s="423"/>
      <c r="F2" s="424"/>
      <c r="G2" s="424"/>
      <c r="H2" s="424"/>
      <c r="I2" s="424"/>
      <c r="J2" s="424"/>
      <c r="K2" s="424"/>
      <c r="L2" s="424"/>
      <c r="M2" s="424"/>
      <c r="N2" s="424"/>
      <c r="O2" s="424"/>
      <c r="P2" s="424"/>
      <c r="Q2" s="424"/>
      <c r="R2" s="424"/>
      <c r="S2" s="424"/>
      <c r="T2" s="424"/>
      <c r="U2" s="424"/>
    </row>
    <row r="4" spans="1:26" ht="15" customHeight="1" x14ac:dyDescent="0.3">
      <c r="A4" s="406" t="s">
        <v>494</v>
      </c>
      <c r="B4" s="406"/>
      <c r="C4" s="406"/>
      <c r="D4" s="406"/>
      <c r="E4" s="406"/>
      <c r="F4" s="406"/>
      <c r="H4" s="406" t="s">
        <v>492</v>
      </c>
      <c r="I4" s="406"/>
      <c r="J4" s="406"/>
      <c r="K4" s="406"/>
      <c r="L4" s="406"/>
      <c r="M4" s="406"/>
      <c r="N4" s="406"/>
      <c r="O4" s="406"/>
      <c r="P4" s="406"/>
      <c r="Q4" s="406"/>
      <c r="R4" s="406"/>
      <c r="S4" s="406"/>
      <c r="U4" s="402" t="s">
        <v>226</v>
      </c>
      <c r="V4" s="403"/>
      <c r="W4" s="403"/>
      <c r="X4" s="403"/>
      <c r="Y4" s="403"/>
      <c r="Z4" s="403"/>
    </row>
    <row r="5" spans="1:26" ht="15" customHeight="1" x14ac:dyDescent="0.3">
      <c r="A5" s="409" t="s">
        <v>490</v>
      </c>
      <c r="B5" s="410"/>
      <c r="C5" s="410"/>
      <c r="D5" s="410"/>
      <c r="E5" s="411"/>
      <c r="F5" s="157">
        <v>0.88600000000000001</v>
      </c>
      <c r="H5" s="389" t="s">
        <v>0</v>
      </c>
      <c r="I5" s="390"/>
      <c r="J5" s="389" t="s">
        <v>1</v>
      </c>
      <c r="K5" s="390"/>
      <c r="L5" s="389" t="s">
        <v>2</v>
      </c>
      <c r="M5" s="390"/>
      <c r="N5" s="389" t="s">
        <v>3</v>
      </c>
      <c r="O5" s="390"/>
      <c r="P5" s="389" t="s">
        <v>59</v>
      </c>
      <c r="Q5" s="390"/>
      <c r="R5" s="389" t="s">
        <v>493</v>
      </c>
      <c r="S5" s="390"/>
    </row>
    <row r="6" spans="1:26" x14ac:dyDescent="0.3">
      <c r="A6" s="416" t="s">
        <v>862</v>
      </c>
      <c r="B6" s="416"/>
      <c r="C6" s="416"/>
      <c r="D6" s="416"/>
      <c r="E6" s="416"/>
      <c r="F6" s="285" t="s">
        <v>414</v>
      </c>
      <c r="H6" s="408">
        <v>5000000000</v>
      </c>
      <c r="I6" s="408"/>
      <c r="J6" s="408">
        <v>5000000000</v>
      </c>
      <c r="K6" s="408"/>
      <c r="L6" s="408">
        <v>1000000000</v>
      </c>
      <c r="M6" s="408"/>
      <c r="N6" s="408">
        <v>500000000</v>
      </c>
      <c r="O6" s="408"/>
      <c r="P6" s="408">
        <v>5000</v>
      </c>
      <c r="Q6" s="408"/>
      <c r="R6" s="408">
        <v>250</v>
      </c>
      <c r="S6" s="408"/>
    </row>
    <row r="7" spans="1:26" x14ac:dyDescent="0.3">
      <c r="A7" s="412" t="s">
        <v>491</v>
      </c>
      <c r="B7" s="413"/>
      <c r="C7" s="413"/>
      <c r="D7" s="413"/>
      <c r="E7" s="414"/>
      <c r="F7" s="158" t="s">
        <v>414</v>
      </c>
    </row>
    <row r="8" spans="1:26" x14ac:dyDescent="0.3">
      <c r="A8" s="415" t="str">
        <f>"Add Vice President "&amp;IF(SupremePresident="Yes",15,10)&amp;"% Bonus?"</f>
        <v>Add Vice President 10% Bonus?</v>
      </c>
      <c r="B8" s="416"/>
      <c r="C8" s="416"/>
      <c r="D8" s="416"/>
      <c r="E8" s="417"/>
      <c r="F8" s="158" t="s">
        <v>414</v>
      </c>
      <c r="H8" s="418" t="s">
        <v>518</v>
      </c>
      <c r="I8" s="418"/>
      <c r="J8" s="418"/>
      <c r="K8" s="418"/>
      <c r="L8" s="418"/>
      <c r="M8" s="418"/>
      <c r="N8" s="418"/>
      <c r="P8" s="426" t="s">
        <v>225</v>
      </c>
      <c r="Q8" s="426"/>
      <c r="R8" s="426"/>
      <c r="S8" s="426"/>
    </row>
    <row r="9" spans="1:26" ht="15" customHeight="1" x14ac:dyDescent="0.3">
      <c r="A9" s="415" t="s">
        <v>60</v>
      </c>
      <c r="B9" s="416"/>
      <c r="C9" s="416"/>
      <c r="D9" s="416"/>
      <c r="E9" s="417"/>
      <c r="F9" s="159">
        <v>0.15</v>
      </c>
      <c r="H9" s="418"/>
      <c r="I9" s="418"/>
      <c r="J9" s="418"/>
      <c r="K9" s="418"/>
      <c r="L9" s="418"/>
      <c r="M9" s="418"/>
      <c r="N9" s="418"/>
      <c r="P9" s="389" t="s">
        <v>218</v>
      </c>
      <c r="Q9" s="390"/>
      <c r="R9" s="389" t="s">
        <v>219</v>
      </c>
      <c r="S9" s="390"/>
    </row>
    <row r="10" spans="1:26" ht="15" customHeight="1" x14ac:dyDescent="0.3">
      <c r="A10" s="386" t="s">
        <v>617</v>
      </c>
      <c r="B10" s="387"/>
      <c r="C10" s="387"/>
      <c r="D10" s="387"/>
      <c r="E10" s="388"/>
      <c r="F10" s="160">
        <v>0.15</v>
      </c>
      <c r="H10" s="418"/>
      <c r="I10" s="418"/>
      <c r="J10" s="418"/>
      <c r="K10" s="418"/>
      <c r="L10" s="418"/>
      <c r="M10" s="418"/>
      <c r="N10" s="418"/>
      <c r="P10" s="407">
        <v>100000</v>
      </c>
      <c r="Q10" s="407"/>
      <c r="R10" s="407">
        <v>15000</v>
      </c>
      <c r="S10" s="407"/>
    </row>
    <row r="11" spans="1:26" ht="15" customHeight="1" x14ac:dyDescent="0.3">
      <c r="H11" s="419" t="s">
        <v>519</v>
      </c>
      <c r="I11" s="420"/>
      <c r="J11" s="420"/>
      <c r="K11" s="420"/>
      <c r="L11" s="420"/>
      <c r="M11" s="420"/>
      <c r="N11" s="420"/>
      <c r="P11" s="404" t="str">
        <f>Lists!A59&amp;"d "&amp;Lists!A60&amp;":"&amp;Lists!A61&amp;":"&amp;Lists!A62</f>
        <v>69d 10:40:0</v>
      </c>
      <c r="Q11" s="405"/>
      <c r="R11" s="404" t="str">
        <f>Lists!A52&amp;"d "&amp;Lists!A53&amp;":"&amp;Lists!A54&amp;":"&amp;Lists!A62</f>
        <v>10d 10:0:0</v>
      </c>
      <c r="S11" s="405"/>
    </row>
    <row r="13" spans="1:26" x14ac:dyDescent="0.3">
      <c r="A13" s="442" t="s">
        <v>553</v>
      </c>
      <c r="B13" s="442"/>
      <c r="C13" s="442"/>
      <c r="D13" s="442"/>
      <c r="E13" s="442"/>
      <c r="F13" s="442"/>
      <c r="G13" s="442"/>
      <c r="H13" s="442"/>
      <c r="I13" s="442"/>
      <c r="J13" s="442"/>
      <c r="K13" s="442"/>
      <c r="L13" s="442"/>
      <c r="M13" s="442"/>
      <c r="N13" s="442"/>
      <c r="O13" s="442"/>
      <c r="P13" s="442"/>
      <c r="Q13" s="442"/>
      <c r="R13" s="442"/>
      <c r="S13" s="442"/>
      <c r="T13" s="442"/>
    </row>
    <row r="14" spans="1:26" x14ac:dyDescent="0.3">
      <c r="A14" s="442"/>
      <c r="B14" s="442"/>
      <c r="C14" s="442"/>
      <c r="D14" s="442"/>
      <c r="E14" s="442"/>
      <c r="F14" s="442"/>
      <c r="G14" s="442"/>
      <c r="H14" s="442"/>
      <c r="I14" s="442"/>
      <c r="J14" s="442"/>
      <c r="K14" s="442"/>
      <c r="L14" s="442"/>
      <c r="M14" s="442"/>
      <c r="N14" s="442"/>
      <c r="O14" s="442"/>
      <c r="P14" s="442"/>
      <c r="Q14" s="442"/>
      <c r="R14" s="442"/>
      <c r="S14" s="442"/>
      <c r="T14" s="442"/>
    </row>
    <row r="16" spans="1:26" x14ac:dyDescent="0.3">
      <c r="C16" s="442" t="s">
        <v>220</v>
      </c>
      <c r="D16" s="442"/>
      <c r="E16" s="442"/>
      <c r="F16" s="442"/>
      <c r="G16" s="442"/>
      <c r="H16" s="442"/>
      <c r="I16" s="442"/>
      <c r="J16" s="442"/>
      <c r="K16" s="442"/>
      <c r="L16" s="442"/>
      <c r="M16" s="442"/>
      <c r="N16" s="442"/>
      <c r="O16" s="442"/>
      <c r="P16" s="442"/>
      <c r="Q16" s="442"/>
      <c r="R16" s="442"/>
    </row>
    <row r="17" spans="2:24" x14ac:dyDescent="0.3">
      <c r="C17" s="442"/>
      <c r="D17" s="442"/>
      <c r="E17" s="442"/>
      <c r="F17" s="442"/>
      <c r="G17" s="442"/>
      <c r="H17" s="442"/>
      <c r="I17" s="442"/>
      <c r="J17" s="442"/>
      <c r="K17" s="442"/>
      <c r="L17" s="442"/>
      <c r="M17" s="442"/>
      <c r="N17" s="442"/>
      <c r="O17" s="442"/>
      <c r="P17" s="442"/>
      <c r="Q17" s="442"/>
      <c r="R17" s="442"/>
    </row>
    <row r="19" spans="2:24" x14ac:dyDescent="0.3">
      <c r="C19" s="446" t="s">
        <v>23</v>
      </c>
      <c r="D19" s="446"/>
      <c r="E19" s="446" t="s">
        <v>215</v>
      </c>
      <c r="F19" s="446"/>
      <c r="G19" s="446" t="s">
        <v>10</v>
      </c>
      <c r="H19" s="446"/>
      <c r="I19" s="446" t="s">
        <v>11</v>
      </c>
      <c r="J19" s="446"/>
      <c r="K19" s="446" t="s">
        <v>9</v>
      </c>
      <c r="L19" s="446"/>
      <c r="M19" s="446" t="s">
        <v>14</v>
      </c>
      <c r="N19" s="446"/>
      <c r="O19" s="446" t="s">
        <v>12</v>
      </c>
      <c r="P19" s="446"/>
      <c r="Q19" s="447" t="s">
        <v>245</v>
      </c>
      <c r="R19" s="406"/>
    </row>
    <row r="20" spans="2:24" x14ac:dyDescent="0.3">
      <c r="C20" s="376" t="s">
        <v>98</v>
      </c>
      <c r="D20" s="376"/>
      <c r="E20" s="376" t="s">
        <v>98</v>
      </c>
      <c r="F20" s="376"/>
      <c r="G20" s="376" t="s">
        <v>98</v>
      </c>
      <c r="H20" s="376"/>
      <c r="I20" s="376" t="s">
        <v>98</v>
      </c>
      <c r="J20" s="376"/>
      <c r="K20" s="376" t="s">
        <v>98</v>
      </c>
      <c r="L20" s="376"/>
      <c r="M20" s="376" t="s">
        <v>98</v>
      </c>
      <c r="N20" s="376"/>
      <c r="O20" s="376" t="s">
        <v>98</v>
      </c>
      <c r="P20" s="376"/>
      <c r="Q20" s="389" t="s">
        <v>98</v>
      </c>
      <c r="R20" s="390"/>
    </row>
    <row r="21" spans="2:24" x14ac:dyDescent="0.3">
      <c r="C21" s="443" t="s">
        <v>244</v>
      </c>
      <c r="D21" s="443"/>
      <c r="E21" s="443" t="s">
        <v>244</v>
      </c>
      <c r="F21" s="443"/>
      <c r="G21" s="443" t="s">
        <v>244</v>
      </c>
      <c r="H21" s="443"/>
      <c r="I21" s="443" t="s">
        <v>244</v>
      </c>
      <c r="J21" s="443"/>
      <c r="K21" s="443" t="s">
        <v>244</v>
      </c>
      <c r="L21" s="443"/>
      <c r="M21" s="443" t="s">
        <v>244</v>
      </c>
      <c r="N21" s="443"/>
      <c r="O21" s="443" t="s">
        <v>244</v>
      </c>
      <c r="P21" s="443"/>
      <c r="Q21" s="444" t="s">
        <v>58</v>
      </c>
      <c r="R21" s="445"/>
    </row>
    <row r="22" spans="2:24" x14ac:dyDescent="0.3">
      <c r="C22" s="376" t="s">
        <v>99</v>
      </c>
      <c r="D22" s="376"/>
      <c r="E22" s="376" t="s">
        <v>99</v>
      </c>
      <c r="F22" s="376"/>
      <c r="G22" s="376" t="s">
        <v>99</v>
      </c>
      <c r="H22" s="376"/>
      <c r="I22" s="376" t="s">
        <v>99</v>
      </c>
      <c r="J22" s="376"/>
      <c r="K22" s="376" t="s">
        <v>99</v>
      </c>
      <c r="L22" s="376"/>
      <c r="M22" s="376" t="s">
        <v>99</v>
      </c>
      <c r="N22" s="376"/>
      <c r="O22" s="376" t="s">
        <v>99</v>
      </c>
      <c r="P22" s="376"/>
      <c r="Q22" s="389" t="s">
        <v>99</v>
      </c>
      <c r="R22" s="390"/>
    </row>
    <row r="23" spans="2:24" x14ac:dyDescent="0.3">
      <c r="C23" s="397" t="s">
        <v>454</v>
      </c>
      <c r="D23" s="397"/>
      <c r="E23" s="397" t="s">
        <v>454</v>
      </c>
      <c r="F23" s="397"/>
      <c r="G23" s="397" t="s">
        <v>454</v>
      </c>
      <c r="H23" s="397"/>
      <c r="I23" s="397"/>
      <c r="J23" s="397"/>
      <c r="K23" s="397" t="s">
        <v>454</v>
      </c>
      <c r="L23" s="397"/>
      <c r="M23" s="397" t="s">
        <v>454</v>
      </c>
      <c r="N23" s="397"/>
      <c r="O23" s="448" t="s">
        <v>454</v>
      </c>
      <c r="P23" s="449"/>
      <c r="Q23" s="427"/>
      <c r="R23" s="428"/>
    </row>
    <row r="24" spans="2:24" x14ac:dyDescent="0.3">
      <c r="C24" s="438" t="str">
        <f>C23&amp;" Furnace Needs -&gt;"</f>
        <v>FC9 Furnace Needs -&gt;</v>
      </c>
      <c r="D24" s="439"/>
      <c r="E24" s="398">
        <f>VLOOKUP($C$23,Furnace!$B$5:$AI$85,23,FALSE)</f>
        <v>1</v>
      </c>
      <c r="F24" s="399"/>
      <c r="G24" s="398" t="str">
        <f>VLOOKUP($C$23,Furnace!$B$5:$AI$85,25,FALSE)</f>
        <v>FC8</v>
      </c>
      <c r="H24" s="399"/>
      <c r="I24" s="398">
        <f>VLOOKUP($C$23,Furnace!$B$5:$AI$85,28,FALSE)</f>
        <v>1</v>
      </c>
      <c r="J24" s="399"/>
      <c r="K24" s="398" t="str">
        <f>VLOOKUP($C$23,Furnace!$B$5:$AI$85,27,FALSE)</f>
        <v>FC8</v>
      </c>
      <c r="L24" s="399"/>
      <c r="M24" s="398" t="str">
        <f>VLOOKUP($C$23,Furnace!$B$5:$AI$85,30,FALSE)</f>
        <v>FC7</v>
      </c>
      <c r="N24" s="435"/>
      <c r="O24" s="441" t="str">
        <f>VLOOKUP($C$23,Furnace!$B$5:$AI$85,31,FALSE)</f>
        <v>FC6</v>
      </c>
      <c r="P24" s="441"/>
      <c r="Q24" s="393" t="s">
        <v>27</v>
      </c>
      <c r="R24" s="394"/>
    </row>
    <row r="25" spans="2:24" x14ac:dyDescent="0.3">
      <c r="B25" s="11" t="s">
        <v>0</v>
      </c>
      <c r="C25" s="440">
        <f>IFERROR(Furnace!$E$87*(1-Zinman),0)</f>
        <v>595000000</v>
      </c>
      <c r="D25" s="401"/>
      <c r="E25" s="400">
        <f>IFERROR('Command Center'!$E$87*(1-Zinman),0)</f>
        <v>182750000</v>
      </c>
      <c r="F25" s="401"/>
      <c r="G25" s="400">
        <f>IFERROR(Embassy!$E$87*(1-Zinman),0)</f>
        <v>123250000</v>
      </c>
      <c r="H25" s="401"/>
      <c r="I25" s="400">
        <f>IFERROR(Infirmary!$E$87*(1-Zinman),0)</f>
        <v>0</v>
      </c>
      <c r="J25" s="401"/>
      <c r="K25" s="400">
        <f>IFERROR('Infantry Camp'!$E$87*(1-Zinman),0)</f>
        <v>212500000</v>
      </c>
      <c r="L25" s="401"/>
      <c r="M25" s="400">
        <f>IFERROR('Lancer Camp'!$E$87*(1-Zinman),0)</f>
        <v>212500000</v>
      </c>
      <c r="N25" s="401"/>
      <c r="O25" s="400">
        <f>IFERROR('Marksman Camp'!$E$87*(1-Zinman),0)</f>
        <v>212500000</v>
      </c>
      <c r="P25" s="401"/>
      <c r="Q25" s="429">
        <f>IFERROR('War Academy'!E53*(1-Zinman),0)</f>
        <v>0</v>
      </c>
      <c r="R25" s="430"/>
      <c r="S25" s="3" t="s">
        <v>0</v>
      </c>
    </row>
    <row r="26" spans="2:24" x14ac:dyDescent="0.3">
      <c r="B26" s="11" t="s">
        <v>1</v>
      </c>
      <c r="C26" s="436">
        <f>IFERROR(Furnace!G87*(1-Zinman),0)</f>
        <v>595000000</v>
      </c>
      <c r="D26" s="392"/>
      <c r="E26" s="391">
        <f>IFERROR('Command Center'!G87*(1-Zinman),0)</f>
        <v>182750000</v>
      </c>
      <c r="F26" s="392"/>
      <c r="G26" s="391">
        <f>IFERROR(Embassy!G87*(1-Zinman),0)</f>
        <v>123250000</v>
      </c>
      <c r="H26" s="392"/>
      <c r="I26" s="391">
        <f>IFERROR(Infirmary!G87*(1-Zinman),0)</f>
        <v>0</v>
      </c>
      <c r="J26" s="392"/>
      <c r="K26" s="391">
        <f>IFERROR('Infantry Camp'!G87*(1-Zinman),0)</f>
        <v>212500000</v>
      </c>
      <c r="L26" s="392"/>
      <c r="M26" s="391">
        <f>IFERROR('Lancer Camp'!G87*(1-Zinman),0)</f>
        <v>212500000</v>
      </c>
      <c r="N26" s="392"/>
      <c r="O26" s="391">
        <f>IFERROR('Marksman Camp'!G87*(1-Zinman),0)</f>
        <v>212500000</v>
      </c>
      <c r="P26" s="392"/>
      <c r="Q26" s="431">
        <f>IFERROR('War Academy'!G53*(1-Zinman),0)</f>
        <v>0</v>
      </c>
      <c r="R26" s="432"/>
      <c r="S26" s="3" t="s">
        <v>1</v>
      </c>
    </row>
    <row r="27" spans="2:24" x14ac:dyDescent="0.3">
      <c r="B27" s="11" t="s">
        <v>2</v>
      </c>
      <c r="C27" s="436">
        <f>IFERROR(Furnace!I87*(1-Zinman),0)</f>
        <v>123250000</v>
      </c>
      <c r="D27" s="392"/>
      <c r="E27" s="391">
        <f>IFERROR('Command Center'!I87*(1-Zinman),0)</f>
        <v>36975000</v>
      </c>
      <c r="F27" s="392"/>
      <c r="G27" s="391">
        <f>IFERROR(Embassy!I87*(1-Zinman),0)</f>
        <v>24650000</v>
      </c>
      <c r="H27" s="392"/>
      <c r="I27" s="391">
        <f>IFERROR(Infirmary!I87*(1-Zinman),0)</f>
        <v>0</v>
      </c>
      <c r="J27" s="392"/>
      <c r="K27" s="391">
        <f>IFERROR('Infantry Camp'!I87*(1-Zinman),0)</f>
        <v>42500000</v>
      </c>
      <c r="L27" s="392"/>
      <c r="M27" s="391">
        <f>IFERROR('Lancer Camp'!I87*(1-Zinman),0)</f>
        <v>42500000</v>
      </c>
      <c r="N27" s="392"/>
      <c r="O27" s="391">
        <f>IFERROR('Marksman Camp'!I87*(1-Zinman),0)</f>
        <v>42500000</v>
      </c>
      <c r="P27" s="392"/>
      <c r="Q27" s="431">
        <f>IFERROR('War Academy'!I53*(1-Zinman),0)</f>
        <v>0</v>
      </c>
      <c r="R27" s="432"/>
      <c r="S27" s="3" t="s">
        <v>2</v>
      </c>
    </row>
    <row r="28" spans="2:24" x14ac:dyDescent="0.3">
      <c r="B28" s="11" t="s">
        <v>3</v>
      </c>
      <c r="C28" s="436">
        <f>IFERROR(Furnace!K87*(1-Zinman),0)</f>
        <v>30600000</v>
      </c>
      <c r="D28" s="392"/>
      <c r="E28" s="391">
        <f>IFERROR('Command Center'!K87*(1-Zinman),0)</f>
        <v>8925000</v>
      </c>
      <c r="F28" s="392"/>
      <c r="G28" s="391">
        <f>IFERROR(Embassy!K87*(1-Zinman),0)</f>
        <v>5950000</v>
      </c>
      <c r="H28" s="392"/>
      <c r="I28" s="391">
        <f>IFERROR(Infirmary!K87*(1-Zinman),0)</f>
        <v>0</v>
      </c>
      <c r="J28" s="392"/>
      <c r="K28" s="391">
        <f>IFERROR('Infantry Camp'!K87*(1-Zinman),0)</f>
        <v>10625000</v>
      </c>
      <c r="L28" s="392"/>
      <c r="M28" s="391">
        <f>IFERROR('Lancer Camp'!K87*(1-Zinman),0)</f>
        <v>10625000</v>
      </c>
      <c r="N28" s="392"/>
      <c r="O28" s="391">
        <f>IFERROR('Marksman Camp'!K87*(1-Zinman),0)</f>
        <v>10625000</v>
      </c>
      <c r="P28" s="392"/>
      <c r="Q28" s="431">
        <f>IFERROR('War Academy'!K53*(1-Zinman),0)</f>
        <v>0</v>
      </c>
      <c r="R28" s="432"/>
      <c r="S28" s="3" t="s">
        <v>3</v>
      </c>
      <c r="T28" s="3"/>
    </row>
    <row r="29" spans="2:24" x14ac:dyDescent="0.3">
      <c r="B29" s="11" t="s">
        <v>59</v>
      </c>
      <c r="C29" s="436">
        <f>IFERROR(Furnace!M87,0)</f>
        <v>1400</v>
      </c>
      <c r="D29" s="392"/>
      <c r="E29" s="391">
        <f>IFERROR('Command Center'!M87,0)</f>
        <v>252</v>
      </c>
      <c r="F29" s="392"/>
      <c r="G29" s="391">
        <f>IFERROR(Embassy!M87,0)</f>
        <v>315</v>
      </c>
      <c r="H29" s="392"/>
      <c r="I29" s="391">
        <f>IFERROR(Infirmary!M87,0)</f>
        <v>0</v>
      </c>
      <c r="J29" s="392"/>
      <c r="K29" s="391">
        <f>IFERROR('Infantry Camp'!M87,0)</f>
        <v>567</v>
      </c>
      <c r="L29" s="392"/>
      <c r="M29" s="391">
        <f>IFERROR('Lancer Camp'!M87,0)</f>
        <v>567</v>
      </c>
      <c r="N29" s="392"/>
      <c r="O29" s="391">
        <f>IFERROR('Marksman Camp'!M87,0)</f>
        <v>567</v>
      </c>
      <c r="P29" s="392"/>
      <c r="Q29" s="431">
        <f>IFERROR('War Academy'!M53,0)</f>
        <v>0</v>
      </c>
      <c r="R29" s="432"/>
      <c r="S29" s="3" t="s">
        <v>222</v>
      </c>
      <c r="T29" s="3"/>
      <c r="V29" s="406" t="s">
        <v>514</v>
      </c>
      <c r="W29" s="406"/>
      <c r="X29" s="406"/>
    </row>
    <row r="30" spans="2:24" x14ac:dyDescent="0.3">
      <c r="B30" s="11" t="s">
        <v>228</v>
      </c>
      <c r="C30" s="437">
        <f>IFERROR(Furnace!O87,0)</f>
        <v>180</v>
      </c>
      <c r="D30" s="396"/>
      <c r="E30" s="395">
        <f>IFERROR('Command Center'!O87,0)</f>
        <v>36</v>
      </c>
      <c r="F30" s="396"/>
      <c r="G30" s="395">
        <f>IFERROR(Embassy!O87,0)</f>
        <v>43</v>
      </c>
      <c r="H30" s="396"/>
      <c r="I30" s="395">
        <f>IFERROR(Infirmary!O87,0)</f>
        <v>0</v>
      </c>
      <c r="J30" s="396"/>
      <c r="K30" s="395">
        <f>IFERROR('Infantry Camp'!O87,0)</f>
        <v>79</v>
      </c>
      <c r="L30" s="396"/>
      <c r="M30" s="395">
        <f>IFERROR('Lancer Camp'!O87,0)</f>
        <v>79</v>
      </c>
      <c r="N30" s="396"/>
      <c r="O30" s="395">
        <f>IFERROR('Marksman Camp'!O87,0)</f>
        <v>79</v>
      </c>
      <c r="P30" s="396"/>
      <c r="Q30" s="433">
        <f>IFERROR('War Academy'!O53,0)</f>
        <v>0</v>
      </c>
      <c r="R30" s="434"/>
      <c r="S30" s="3" t="s">
        <v>229</v>
      </c>
      <c r="T30" s="3"/>
      <c r="V30" s="389" t="s">
        <v>515</v>
      </c>
      <c r="W30" s="450"/>
      <c r="X30" s="390"/>
    </row>
    <row r="31" spans="2:24" x14ac:dyDescent="0.3">
      <c r="B31" s="11" t="s">
        <v>223</v>
      </c>
      <c r="C31" s="393" t="str">
        <f>IFERROR(FurnaceDays&amp;"d "&amp;FurnaceHours&amp;":"&amp;FurnaceMinutes&amp;":"&amp;FurnaceSeconds,"0d 0:0:0")</f>
        <v>65d 0:0:0</v>
      </c>
      <c r="D31" s="394"/>
      <c r="E31" s="393" t="str">
        <f>IFERROR(CommCtrDays&amp;"d "&amp;CommCtrHours&amp;":"&amp;CommCtrMinutes&amp;":"&amp;CommCtrSeconds,"0d 0:0:0")</f>
        <v>7d 19:10:0</v>
      </c>
      <c r="F31" s="394"/>
      <c r="G31" s="393" t="str">
        <f>IFERROR(EmbassyDays&amp;"d "&amp;EmbassyHours&amp;":"&amp;EmbassyMinutes&amp;":"&amp;EmbassySeconds,"0d 0:0:0")</f>
        <v>42d 21:35:0</v>
      </c>
      <c r="H31" s="394"/>
      <c r="I31" s="393" t="str">
        <f>IFERROR(InfirmaryDays&amp;"d "&amp;InfirmaryHours&amp;":"&amp;InfirmaryMinutes&amp;":"&amp;InfirmarySeconds,"0d 0:0:0")</f>
        <v>0d 0:0:0</v>
      </c>
      <c r="J31" s="394"/>
      <c r="K31" s="393" t="str">
        <f>IFERROR(InfantryDays&amp;"d "&amp;InfantryHours&amp;":"&amp;InfantryMinutes&amp;":"&amp;InfantrySeconds,"0d 0:0:0")</f>
        <v>9d 18:0:0</v>
      </c>
      <c r="L31" s="394"/>
      <c r="M31" s="393" t="str">
        <f>IFERROR(LancerDays&amp;"d "&amp;LancerHours&amp;":"&amp;LancerMinutes&amp;":"&amp;LancerSeconds,"0d 0:0:0")</f>
        <v>9d 18:0:0</v>
      </c>
      <c r="N31" s="394"/>
      <c r="O31" s="393" t="str">
        <f>IFERROR(MarksmanDays&amp;"d "&amp;MarksmanHours&amp;":"&amp;MarksmanMinutes&amp;":"&amp;MarksmanSeconds,"0d 0:0:0")</f>
        <v>9d 18:0:0</v>
      </c>
      <c r="P31" s="394"/>
      <c r="Q31" s="393" t="str">
        <f>IFERROR(WarAcademyDays&amp;"d "&amp;WarAcademyHours&amp;":"&amp;WarAcademyMinutes&amp;":"&amp;WarAcademySeconds,"0d 0:0:0")</f>
        <v>0d 0:0:0</v>
      </c>
      <c r="R31" s="394"/>
      <c r="S31" s="3"/>
      <c r="T31" s="3"/>
      <c r="V31" s="393">
        <f>IFERROR(TotalDays&amp;"d "&amp;TotalHours&amp;":"&amp;TotalMinutes&amp;":"&amp;TotalSeconds,0)</f>
        <v>0</v>
      </c>
      <c r="W31" s="451"/>
      <c r="X31" s="394"/>
    </row>
    <row r="32" spans="2:24" x14ac:dyDescent="0.3">
      <c r="T32" s="3"/>
      <c r="V32" s="480" t="s">
        <v>248</v>
      </c>
      <c r="W32" s="481"/>
      <c r="X32" s="482"/>
    </row>
    <row r="33" spans="3:32" x14ac:dyDescent="0.3">
      <c r="D33" s="442" t="s">
        <v>221</v>
      </c>
      <c r="E33" s="442"/>
      <c r="F33" s="442"/>
      <c r="G33" s="442"/>
      <c r="H33" s="442"/>
      <c r="I33" s="442"/>
      <c r="J33" s="442"/>
      <c r="K33" s="442"/>
      <c r="L33" s="442"/>
      <c r="M33" s="442"/>
      <c r="N33" s="442"/>
      <c r="O33" s="442"/>
      <c r="P33" s="442"/>
      <c r="Q33" s="442"/>
      <c r="V33" s="483"/>
      <c r="W33" s="484"/>
      <c r="X33" s="485"/>
    </row>
    <row r="34" spans="3:32" x14ac:dyDescent="0.3">
      <c r="D34" s="442"/>
      <c r="E34" s="442"/>
      <c r="F34" s="442"/>
      <c r="G34" s="442"/>
      <c r="H34" s="442"/>
      <c r="I34" s="442"/>
      <c r="J34" s="442"/>
      <c r="K34" s="442"/>
      <c r="L34" s="442"/>
      <c r="M34" s="442"/>
      <c r="N34" s="442"/>
      <c r="O34" s="442"/>
      <c r="P34" s="442"/>
      <c r="Q34" s="442"/>
      <c r="V34" s="393">
        <f>IFERROR(DTBADays&amp;"d "&amp;DTBAHours&amp;":"&amp;DTBAMinutes&amp;":"&amp;DTBASeconds,0)</f>
        <v>0</v>
      </c>
      <c r="W34" s="451"/>
      <c r="X34" s="394"/>
    </row>
    <row r="35" spans="3:32" x14ac:dyDescent="0.3">
      <c r="V35" s="474" t="s">
        <v>397</v>
      </c>
      <c r="W35" s="475"/>
      <c r="X35" s="476"/>
    </row>
    <row r="36" spans="3:32" x14ac:dyDescent="0.3">
      <c r="D36" s="446" t="s">
        <v>29</v>
      </c>
      <c r="E36" s="446"/>
      <c r="F36" s="446" t="s">
        <v>5</v>
      </c>
      <c r="G36" s="446"/>
      <c r="H36" s="446" t="s">
        <v>8</v>
      </c>
      <c r="I36" s="446"/>
      <c r="J36" s="446" t="s">
        <v>7</v>
      </c>
      <c r="K36" s="446"/>
      <c r="L36" s="446" t="s">
        <v>216</v>
      </c>
      <c r="M36" s="446"/>
      <c r="N36" s="446" t="s">
        <v>4</v>
      </c>
      <c r="O36" s="446"/>
      <c r="P36" s="446" t="s">
        <v>6</v>
      </c>
      <c r="Q36" s="446"/>
      <c r="V36" s="477"/>
      <c r="W36" s="478"/>
      <c r="X36" s="479"/>
    </row>
    <row r="37" spans="3:32" x14ac:dyDescent="0.3">
      <c r="D37" s="376" t="s">
        <v>98</v>
      </c>
      <c r="E37" s="376"/>
      <c r="F37" s="376" t="s">
        <v>98</v>
      </c>
      <c r="G37" s="376"/>
      <c r="H37" s="376" t="s">
        <v>98</v>
      </c>
      <c r="I37" s="376"/>
      <c r="J37" s="376" t="s">
        <v>98</v>
      </c>
      <c r="K37" s="376"/>
      <c r="L37" s="376" t="s">
        <v>98</v>
      </c>
      <c r="M37" s="376"/>
      <c r="N37" s="376" t="s">
        <v>98</v>
      </c>
      <c r="O37" s="376"/>
      <c r="P37" s="376" t="s">
        <v>98</v>
      </c>
      <c r="Q37" s="376"/>
      <c r="V37" s="393" t="str">
        <f>IFERROR(Lists!A66&amp;"d "&amp;Lists!A67&amp;":"&amp;Lists!A68&amp;":"&amp;Lists!A69,0)</f>
        <v>79d 20:40:0</v>
      </c>
      <c r="W37" s="451"/>
      <c r="X37" s="394"/>
    </row>
    <row r="38" spans="3:32" x14ac:dyDescent="0.3">
      <c r="D38" s="443">
        <v>10</v>
      </c>
      <c r="E38" s="443"/>
      <c r="F38" s="443">
        <v>30</v>
      </c>
      <c r="G38" s="443"/>
      <c r="H38" s="443">
        <v>30</v>
      </c>
      <c r="I38" s="443"/>
      <c r="J38" s="443">
        <v>30</v>
      </c>
      <c r="K38" s="443"/>
      <c r="L38" s="443">
        <v>30</v>
      </c>
      <c r="M38" s="443"/>
      <c r="N38" s="443">
        <v>30</v>
      </c>
      <c r="O38" s="443"/>
      <c r="P38" s="443">
        <v>10</v>
      </c>
      <c r="Q38" s="443"/>
    </row>
    <row r="39" spans="3:32" ht="15" customHeight="1" x14ac:dyDescent="0.3">
      <c r="D39" s="376" t="s">
        <v>99</v>
      </c>
      <c r="E39" s="376"/>
      <c r="F39" s="376" t="s">
        <v>99</v>
      </c>
      <c r="G39" s="376"/>
      <c r="H39" s="376" t="s">
        <v>99</v>
      </c>
      <c r="I39" s="376"/>
      <c r="J39" s="376" t="s">
        <v>99</v>
      </c>
      <c r="K39" s="376"/>
      <c r="L39" s="376" t="s">
        <v>99</v>
      </c>
      <c r="M39" s="376"/>
      <c r="N39" s="376" t="s">
        <v>99</v>
      </c>
      <c r="O39" s="376"/>
      <c r="P39" s="376" t="s">
        <v>99</v>
      </c>
      <c r="Q39" s="376"/>
      <c r="V39" s="461" t="s">
        <v>227</v>
      </c>
      <c r="W39" s="461"/>
      <c r="X39" s="421" t="s">
        <v>246</v>
      </c>
      <c r="Y39" s="421"/>
      <c r="Z39" s="421" t="s">
        <v>249</v>
      </c>
      <c r="AA39" s="421"/>
      <c r="AB39" s="461" t="s">
        <v>355</v>
      </c>
      <c r="AC39" s="461"/>
    </row>
    <row r="40" spans="3:32" x14ac:dyDescent="0.3">
      <c r="D40" s="397"/>
      <c r="E40" s="397"/>
      <c r="F40" s="397"/>
      <c r="G40" s="397"/>
      <c r="H40" s="397"/>
      <c r="I40" s="397"/>
      <c r="J40" s="397"/>
      <c r="K40" s="397"/>
      <c r="L40" s="397"/>
      <c r="M40" s="397"/>
      <c r="N40" s="397"/>
      <c r="O40" s="397"/>
      <c r="P40" s="397"/>
      <c r="Q40" s="397"/>
      <c r="V40" s="462"/>
      <c r="W40" s="462"/>
      <c r="X40" s="421"/>
      <c r="Y40" s="421"/>
      <c r="Z40" s="471"/>
      <c r="AA40" s="471"/>
      <c r="AB40" s="461"/>
      <c r="AC40" s="461"/>
    </row>
    <row r="41" spans="3:32" x14ac:dyDescent="0.3">
      <c r="D41" s="454" t="str">
        <f>$C$23&amp;"  Furnace Needs -&gt;"</f>
        <v>FC9  Furnace Needs -&gt;</v>
      </c>
      <c r="E41" s="454"/>
      <c r="F41" s="441">
        <v>3</v>
      </c>
      <c r="G41" s="441"/>
      <c r="H41" s="441">
        <f>VLOOKUP($C$23,Furnace!$B$5:$AI$85,26,FALSE)</f>
        <v>6</v>
      </c>
      <c r="I41" s="441"/>
      <c r="J41" s="441">
        <f>VLOOKUP($C$23,Furnace!$B$5:$AI$85,29,FALSE)</f>
        <v>5</v>
      </c>
      <c r="K41" s="441"/>
      <c r="L41" s="441">
        <f>VLOOKUP($C$23,Furnace!$B$5:$AI$85,32,FALSE)</f>
        <v>30</v>
      </c>
      <c r="M41" s="441"/>
      <c r="N41" s="441">
        <f>VLOOKUP($C$23,Furnace!$B$5:$AI$85,33,FALSE)</f>
        <v>1</v>
      </c>
      <c r="O41" s="441"/>
      <c r="P41" s="441">
        <f>VLOOKUP($C$23,Furnace!$B$5:$AI$85,34,FALSE)</f>
        <v>3</v>
      </c>
      <c r="Q41" s="441"/>
      <c r="U41" s="11" t="s">
        <v>0</v>
      </c>
      <c r="V41" s="467">
        <f>SUM(C25:R25)+SUM(D42:Q42)</f>
        <v>1538500000</v>
      </c>
      <c r="W41" s="468"/>
      <c r="X41" s="452">
        <f>H6</f>
        <v>5000000000</v>
      </c>
      <c r="Y41" s="457"/>
      <c r="Z41" s="472" t="str">
        <f t="shared" ref="Z41:Z46" si="0">IF(V41-X41&gt;0,V41-X41,"-")</f>
        <v>-</v>
      </c>
      <c r="AA41" s="473"/>
      <c r="AB41" s="505"/>
      <c r="AC41" s="506"/>
      <c r="AD41" s="51" t="s">
        <v>0</v>
      </c>
    </row>
    <row r="42" spans="3:32" x14ac:dyDescent="0.3">
      <c r="C42" s="11" t="s">
        <v>0</v>
      </c>
      <c r="D42" s="440">
        <f>Barricade!$D$17*(1-Zinman)</f>
        <v>0</v>
      </c>
      <c r="E42" s="401"/>
      <c r="F42" s="440">
        <f>'Coal Mine'!$D$37*(1-Zinman)</f>
        <v>0</v>
      </c>
      <c r="G42" s="401"/>
      <c r="H42" s="400">
        <f>'Hunter''s Hut'!$D$37*(1-Zinman)</f>
        <v>0</v>
      </c>
      <c r="I42" s="401"/>
      <c r="J42" s="400">
        <f>'Iron Mine'!$D$37*(1-Zinman)</f>
        <v>0</v>
      </c>
      <c r="K42" s="401"/>
      <c r="L42" s="400">
        <f>'Research Center'!$D$37*(1-Zinman)</f>
        <v>0</v>
      </c>
      <c r="M42" s="401"/>
      <c r="N42" s="400">
        <f>Sawmill!$D$37*(1-Zinman)</f>
        <v>0</v>
      </c>
      <c r="O42" s="401"/>
      <c r="P42" s="452">
        <f>Shelter!$D$17*(1-Zinman)</f>
        <v>0</v>
      </c>
      <c r="Q42" s="453"/>
      <c r="R42" s="3" t="s">
        <v>0</v>
      </c>
      <c r="U42" s="11" t="s">
        <v>1</v>
      </c>
      <c r="V42" s="469">
        <f>SUM(C26:R26)+SUM(D43:Q43)</f>
        <v>1538500000</v>
      </c>
      <c r="W42" s="470"/>
      <c r="X42" s="458">
        <f>J6</f>
        <v>5000000000</v>
      </c>
      <c r="Y42" s="459"/>
      <c r="Z42" s="463" t="str">
        <f t="shared" si="0"/>
        <v>-</v>
      </c>
      <c r="AA42" s="464"/>
      <c r="AB42" s="507"/>
      <c r="AC42" s="508"/>
      <c r="AD42" s="51" t="s">
        <v>1</v>
      </c>
    </row>
    <row r="43" spans="3:32" x14ac:dyDescent="0.3">
      <c r="C43" s="11" t="s">
        <v>1</v>
      </c>
      <c r="D43" s="436">
        <f>Barricade!F17*(1-Zinman)</f>
        <v>0</v>
      </c>
      <c r="E43" s="392"/>
      <c r="F43" s="436">
        <f>'Coal Mine'!$F$37*(1-Zinman)</f>
        <v>0</v>
      </c>
      <c r="G43" s="392"/>
      <c r="H43" s="391">
        <f>'Hunter''s Hut'!$F$37*(1-Zinman)</f>
        <v>0</v>
      </c>
      <c r="I43" s="392"/>
      <c r="J43" s="391">
        <f>'Iron Mine'!$F$37*(1-Zinman)</f>
        <v>0</v>
      </c>
      <c r="K43" s="392"/>
      <c r="L43" s="391">
        <f>'Research Center'!$F$37*(1-Zinman)</f>
        <v>0</v>
      </c>
      <c r="M43" s="392"/>
      <c r="N43" s="391">
        <f>Sawmill!$F$37*(1-Zinman)</f>
        <v>0</v>
      </c>
      <c r="O43" s="392"/>
      <c r="P43" s="436">
        <f>Shelter!$F$17*(1-Zinman)</f>
        <v>0</v>
      </c>
      <c r="Q43" s="392"/>
      <c r="R43" s="3" t="s">
        <v>1</v>
      </c>
      <c r="U43" s="11" t="s">
        <v>2</v>
      </c>
      <c r="V43" s="469">
        <f>SUM(C27:R27)+SUM(D44:Q44)</f>
        <v>312375000</v>
      </c>
      <c r="W43" s="470"/>
      <c r="X43" s="458">
        <f>L6</f>
        <v>1000000000</v>
      </c>
      <c r="Y43" s="459"/>
      <c r="Z43" s="463" t="str">
        <f t="shared" si="0"/>
        <v>-</v>
      </c>
      <c r="AA43" s="464"/>
      <c r="AB43" s="507"/>
      <c r="AC43" s="508"/>
      <c r="AD43" s="51" t="s">
        <v>2</v>
      </c>
    </row>
    <row r="44" spans="3:32" x14ac:dyDescent="0.3">
      <c r="C44" s="11" t="s">
        <v>2</v>
      </c>
      <c r="D44" s="436">
        <f>Barricade!H17*(1-Zinman)</f>
        <v>0</v>
      </c>
      <c r="E44" s="392"/>
      <c r="F44" s="436">
        <f>'Coal Mine'!$H$37*(1-Zinman)</f>
        <v>0</v>
      </c>
      <c r="G44" s="392"/>
      <c r="H44" s="391">
        <f>'Hunter''s Hut'!$H$37*(1-Zinman)</f>
        <v>0</v>
      </c>
      <c r="I44" s="392"/>
      <c r="J44" s="391">
        <f>'Iron Mine'!$H$37*(1-Zinman)</f>
        <v>0</v>
      </c>
      <c r="K44" s="392"/>
      <c r="L44" s="391">
        <f>'Research Center'!$H$37*(1-Zinman)</f>
        <v>0</v>
      </c>
      <c r="M44" s="392"/>
      <c r="N44" s="391">
        <f>Sawmill!$H$37*(1-Zinman)</f>
        <v>0</v>
      </c>
      <c r="O44" s="392"/>
      <c r="P44" s="436">
        <f>Shelter!$H$17*(1-Zinman)</f>
        <v>0</v>
      </c>
      <c r="Q44" s="392"/>
      <c r="R44" s="3" t="s">
        <v>2</v>
      </c>
      <c r="U44" s="11" t="s">
        <v>3</v>
      </c>
      <c r="V44" s="469">
        <f>SUM(C28:R28)+SUM(D45:Q45)</f>
        <v>77350000</v>
      </c>
      <c r="W44" s="470"/>
      <c r="X44" s="458">
        <f>N6</f>
        <v>500000000</v>
      </c>
      <c r="Y44" s="459"/>
      <c r="Z44" s="463" t="str">
        <f t="shared" si="0"/>
        <v>-</v>
      </c>
      <c r="AA44" s="464"/>
      <c r="AB44" s="507"/>
      <c r="AC44" s="508"/>
      <c r="AD44" s="51" t="s">
        <v>3</v>
      </c>
    </row>
    <row r="45" spans="3:32" x14ac:dyDescent="0.3">
      <c r="C45" s="11" t="s">
        <v>3</v>
      </c>
      <c r="D45" s="437">
        <f>Barricade!J17*(1-Zinman)</f>
        <v>0</v>
      </c>
      <c r="E45" s="396"/>
      <c r="F45" s="437">
        <f>'Coal Mine'!$J$37*(1-Zinman)</f>
        <v>0</v>
      </c>
      <c r="G45" s="396"/>
      <c r="H45" s="395">
        <f>'Hunter''s Hut'!$J$37*(1-Zinman)</f>
        <v>0</v>
      </c>
      <c r="I45" s="396"/>
      <c r="J45" s="395">
        <f>'Iron Mine'!$J$37*(1-Zinman)</f>
        <v>0</v>
      </c>
      <c r="K45" s="396"/>
      <c r="L45" s="395">
        <f>'Research Center'!$J$37*(1-Zinman)</f>
        <v>0</v>
      </c>
      <c r="M45" s="396"/>
      <c r="N45" s="395">
        <f>Sawmill!$J$37*(1-Zinman)</f>
        <v>0</v>
      </c>
      <c r="O45" s="396"/>
      <c r="P45" s="437">
        <f>Shelter!$J$17*(1-Zinman)</f>
        <v>0</v>
      </c>
      <c r="Q45" s="396"/>
      <c r="R45" s="3" t="s">
        <v>3</v>
      </c>
      <c r="U45" s="11" t="s">
        <v>250</v>
      </c>
      <c r="V45" s="469">
        <f>SUM(C29:R29)</f>
        <v>3668</v>
      </c>
      <c r="W45" s="470"/>
      <c r="X45" s="458">
        <f>P6</f>
        <v>5000</v>
      </c>
      <c r="Y45" s="459"/>
      <c r="Z45" s="463" t="str">
        <f t="shared" si="0"/>
        <v>-</v>
      </c>
      <c r="AA45" s="464"/>
      <c r="AB45" s="463">
        <f>V45*2000</f>
        <v>7336000</v>
      </c>
      <c r="AC45" s="464"/>
      <c r="AD45" s="51" t="s">
        <v>250</v>
      </c>
    </row>
    <row r="46" spans="3:32" x14ac:dyDescent="0.3">
      <c r="C46" s="11" t="s">
        <v>223</v>
      </c>
      <c r="D46" s="393" t="str">
        <f>BarricadeDays&amp;"d "&amp;BarricadeDays&amp;":"&amp;BarricadeMinutes&amp;":"&amp;BarricadeSeconds</f>
        <v>0d 0:0:0</v>
      </c>
      <c r="E46" s="394"/>
      <c r="F46" s="451" t="str">
        <f>CoalDays&amp;"d "&amp;CoalHours&amp;":"&amp;CoalMinutes&amp;":"&amp;CoalSeconds</f>
        <v>0d 0:0:0</v>
      </c>
      <c r="G46" s="394"/>
      <c r="H46" s="451" t="str">
        <f>HuntersHutDays&amp;"d "&amp;HuntersHutHours&amp;":"&amp;HuntersHutMinutes&amp;":"&amp;HuntersHutSeconds</f>
        <v>0d 0:0:0</v>
      </c>
      <c r="I46" s="394"/>
      <c r="J46" s="451" t="str">
        <f>IronDays&amp;"d "&amp;IronHours&amp;":"&amp;IronMinutes&amp;":"&amp;IronSeconds</f>
        <v>0d 0:0:0</v>
      </c>
      <c r="K46" s="394"/>
      <c r="L46" s="451" t="str">
        <f>ResearchDays&amp;"d "&amp;ResearchHours&amp;":"&amp;ResearchMinutes&amp;":"&amp;ResearchMinutes</f>
        <v>0d 0:0:0</v>
      </c>
      <c r="M46" s="394"/>
      <c r="N46" s="451" t="str">
        <f>SawmillDays&amp;"d "&amp;SawmillHours&amp;":"&amp;SawmillMinutes&amp;":"&amp;SawmillSeconds</f>
        <v>0d 0:0:0</v>
      </c>
      <c r="O46" s="394"/>
      <c r="P46" s="451" t="str">
        <f>ShelterDays&amp;"d "&amp;ShelterHours&amp;":"&amp;ShelterMinutes&amp;":"&amp;ShelterSeconds</f>
        <v>0d 0:0:0</v>
      </c>
      <c r="Q46" s="394"/>
      <c r="R46" s="3" t="s">
        <v>223</v>
      </c>
      <c r="U46" s="11" t="s">
        <v>247</v>
      </c>
      <c r="V46" s="465">
        <f>SUM(C30:R30)</f>
        <v>496</v>
      </c>
      <c r="W46" s="466"/>
      <c r="X46" s="433">
        <f>R6</f>
        <v>250</v>
      </c>
      <c r="Y46" s="460"/>
      <c r="Z46" s="455">
        <f t="shared" si="0"/>
        <v>246</v>
      </c>
      <c r="AA46" s="456"/>
      <c r="AB46" s="455">
        <f>V46*30000</f>
        <v>14880000</v>
      </c>
      <c r="AC46" s="456"/>
      <c r="AD46" s="51" t="s">
        <v>247</v>
      </c>
    </row>
    <row r="47" spans="3:32" ht="15" customHeight="1" x14ac:dyDescent="0.3">
      <c r="U47" s="11" t="s">
        <v>516</v>
      </c>
      <c r="V47" s="393" t="str">
        <f>IFERROR(DTBADays&amp;"d "&amp;DTBAHours&amp;":"&amp;DTBAMinutes&amp;":"&amp;DTBASeconds,"0d 0:0:0")</f>
        <v>0d 0:0:0</v>
      </c>
      <c r="W47" s="394"/>
      <c r="X47" s="393" t="str">
        <f>Lists!A66&amp;"d "&amp;Lists!A67&amp;":"&amp;Lists!A68&amp;":"&amp;Lists!A69</f>
        <v>79d 20:40:0</v>
      </c>
      <c r="Y47" s="394"/>
      <c r="Z47" s="393" t="str">
        <f>IFERROR(IF(NeededSpeedupSecs&gt;0,Lists!A73&amp;"d "&amp;Lists!A74&amp;":"&amp;Lists!A75&amp;":"&amp;Lists!A76,"-"),"0d 0:0:0")</f>
        <v>0d 0:0:0</v>
      </c>
      <c r="AA47" s="394"/>
      <c r="AB47" s="500">
        <f>IFERROR(DTBASecs/60*30,0)</f>
        <v>0</v>
      </c>
      <c r="AC47" s="501"/>
      <c r="AD47" s="377" t="s">
        <v>546</v>
      </c>
      <c r="AE47" s="378"/>
      <c r="AF47" s="379"/>
    </row>
    <row r="48" spans="3:32" x14ac:dyDescent="0.3">
      <c r="AA48" s="9" t="s">
        <v>547</v>
      </c>
      <c r="AB48" s="500">
        <f>SUM(AB45:AC47)</f>
        <v>22216000</v>
      </c>
      <c r="AC48" s="451"/>
      <c r="AD48" s="380"/>
      <c r="AE48" s="381"/>
      <c r="AF48" s="382"/>
    </row>
    <row r="49" spans="1:32" ht="15" customHeight="1" x14ac:dyDescent="0.3">
      <c r="A49" s="509" t="s">
        <v>520</v>
      </c>
      <c r="B49" s="509"/>
      <c r="C49" s="509"/>
      <c r="D49" s="509"/>
      <c r="E49" s="509"/>
      <c r="F49" s="509"/>
      <c r="G49" s="509"/>
      <c r="H49" s="509"/>
      <c r="I49" s="509"/>
      <c r="J49" s="509"/>
      <c r="K49" s="509"/>
      <c r="L49" s="509"/>
      <c r="M49" s="509"/>
      <c r="N49" s="509"/>
      <c r="O49" s="509"/>
      <c r="P49" s="509"/>
      <c r="Q49" s="509"/>
      <c r="R49" s="509"/>
      <c r="S49" s="509"/>
      <c r="T49" s="509"/>
      <c r="AD49" s="383"/>
      <c r="AE49" s="384"/>
      <c r="AF49" s="385"/>
    </row>
    <row r="50" spans="1:32" ht="15" customHeight="1" x14ac:dyDescent="0.3">
      <c r="A50" s="509"/>
      <c r="B50" s="509"/>
      <c r="C50" s="509"/>
      <c r="D50" s="509"/>
      <c r="E50" s="509"/>
      <c r="F50" s="509"/>
      <c r="G50" s="509"/>
      <c r="H50" s="509"/>
      <c r="I50" s="509"/>
      <c r="J50" s="509"/>
      <c r="K50" s="509"/>
      <c r="L50" s="509"/>
      <c r="M50" s="509"/>
      <c r="N50" s="509"/>
      <c r="O50" s="509"/>
      <c r="P50" s="509"/>
      <c r="Q50" s="509"/>
      <c r="R50" s="509"/>
      <c r="S50" s="509"/>
      <c r="T50" s="509"/>
      <c r="AD50" s="201"/>
      <c r="AE50" s="201"/>
      <c r="AF50" s="201"/>
    </row>
    <row r="51" spans="1:32" x14ac:dyDescent="0.3">
      <c r="AD51" s="201"/>
      <c r="AE51" s="201"/>
    </row>
    <row r="52" spans="1:32" x14ac:dyDescent="0.3">
      <c r="H52" s="153"/>
      <c r="I52" s="86"/>
      <c r="J52" s="86"/>
      <c r="K52" s="143" t="s">
        <v>618</v>
      </c>
      <c r="L52" s="143"/>
      <c r="M52" s="143"/>
      <c r="N52" s="144"/>
      <c r="O52" s="1"/>
      <c r="P52" s="1"/>
    </row>
    <row r="53" spans="1:32" x14ac:dyDescent="0.3">
      <c r="H53" s="24"/>
      <c r="K53" s="1" t="s">
        <v>521</v>
      </c>
      <c r="L53" s="1"/>
      <c r="M53" s="1"/>
      <c r="N53" s="21"/>
      <c r="O53" s="1"/>
      <c r="P53" s="1"/>
    </row>
    <row r="54" spans="1:32" x14ac:dyDescent="0.3">
      <c r="D54" s="503" t="s">
        <v>525</v>
      </c>
      <c r="E54" s="503"/>
      <c r="H54" s="24"/>
      <c r="K54" s="1" t="s">
        <v>522</v>
      </c>
      <c r="L54" s="1"/>
      <c r="M54" s="1"/>
      <c r="N54" s="21"/>
      <c r="O54" s="1"/>
      <c r="P54" s="1"/>
    </row>
    <row r="55" spans="1:32" x14ac:dyDescent="0.3">
      <c r="D55" s="504"/>
      <c r="E55" s="504"/>
      <c r="H55" s="24"/>
      <c r="K55" s="1" t="s">
        <v>484</v>
      </c>
      <c r="L55" s="1"/>
      <c r="M55" s="1"/>
      <c r="N55" s="21"/>
      <c r="O55" s="1"/>
      <c r="P55" s="1"/>
    </row>
    <row r="56" spans="1:32" x14ac:dyDescent="0.3">
      <c r="D56" s="500">
        <f>Z46</f>
        <v>246</v>
      </c>
      <c r="E56" s="394"/>
      <c r="H56" s="24"/>
      <c r="K56" s="1" t="s">
        <v>523</v>
      </c>
      <c r="N56" s="19"/>
    </row>
    <row r="57" spans="1:32" x14ac:dyDescent="0.3">
      <c r="H57" s="27"/>
      <c r="I57" s="18"/>
      <c r="J57" s="18"/>
      <c r="K57" s="145" t="s">
        <v>524</v>
      </c>
      <c r="L57" s="18"/>
      <c r="M57" s="18"/>
      <c r="N57" s="26"/>
    </row>
    <row r="58" spans="1:32" x14ac:dyDescent="0.3">
      <c r="D58" s="406" t="s">
        <v>467</v>
      </c>
      <c r="E58" s="406"/>
      <c r="F58" s="406"/>
      <c r="G58" s="406"/>
      <c r="H58" s="406"/>
      <c r="I58" s="406"/>
      <c r="J58" s="406"/>
      <c r="K58" s="406"/>
      <c r="L58" s="406"/>
      <c r="M58" s="406"/>
      <c r="N58" s="406"/>
      <c r="O58" s="406"/>
      <c r="P58" s="406"/>
      <c r="Q58" s="406"/>
      <c r="R58" s="406"/>
    </row>
    <row r="59" spans="1:32" x14ac:dyDescent="0.3">
      <c r="D59" s="490" t="s">
        <v>466</v>
      </c>
      <c r="E59" s="490"/>
      <c r="F59" s="490"/>
      <c r="G59" s="490"/>
      <c r="H59" s="490"/>
      <c r="I59" s="490"/>
      <c r="J59" s="490"/>
      <c r="K59" s="490"/>
      <c r="L59" s="490"/>
      <c r="M59" s="490"/>
      <c r="N59" s="490"/>
      <c r="O59" s="490"/>
      <c r="P59" s="490"/>
      <c r="Q59" s="490"/>
      <c r="R59" s="490"/>
    </row>
    <row r="60" spans="1:32" x14ac:dyDescent="0.3">
      <c r="D60" s="491" t="s">
        <v>420</v>
      </c>
      <c r="E60" s="492"/>
      <c r="F60" s="493"/>
      <c r="G60" s="491" t="s">
        <v>423</v>
      </c>
      <c r="H60" s="492"/>
      <c r="I60" s="493"/>
      <c r="J60" s="491" t="s">
        <v>424</v>
      </c>
      <c r="K60" s="492"/>
      <c r="L60" s="493"/>
      <c r="M60" s="491" t="s">
        <v>425</v>
      </c>
      <c r="N60" s="492"/>
      <c r="O60" s="493"/>
      <c r="P60" s="491" t="s">
        <v>426</v>
      </c>
      <c r="Q60" s="492"/>
      <c r="R60" s="493"/>
    </row>
    <row r="61" spans="1:32" x14ac:dyDescent="0.3">
      <c r="C61" s="9" t="s">
        <v>486</v>
      </c>
      <c r="D61" s="404" t="s">
        <v>479</v>
      </c>
      <c r="E61" s="486"/>
      <c r="F61" s="405"/>
      <c r="G61" s="404" t="s">
        <v>476</v>
      </c>
      <c r="H61" s="486"/>
      <c r="I61" s="405"/>
      <c r="J61" s="404" t="s">
        <v>475</v>
      </c>
      <c r="K61" s="486"/>
      <c r="L61" s="405"/>
      <c r="M61" s="404" t="s">
        <v>474</v>
      </c>
      <c r="N61" s="486"/>
      <c r="O61" s="405"/>
      <c r="P61" s="487" t="s">
        <v>477</v>
      </c>
      <c r="Q61" s="488"/>
      <c r="R61" s="489"/>
      <c r="S61" t="s">
        <v>526</v>
      </c>
    </row>
    <row r="62" spans="1:32" x14ac:dyDescent="0.3">
      <c r="C62" s="9" t="s">
        <v>487</v>
      </c>
      <c r="D62" s="404" t="s">
        <v>469</v>
      </c>
      <c r="E62" s="486"/>
      <c r="F62" s="405"/>
      <c r="G62" s="404" t="s">
        <v>470</v>
      </c>
      <c r="H62" s="486"/>
      <c r="I62" s="405"/>
      <c r="J62" s="404" t="s">
        <v>471</v>
      </c>
      <c r="K62" s="486"/>
      <c r="L62" s="405"/>
      <c r="M62" s="404" t="s">
        <v>472</v>
      </c>
      <c r="N62" s="486"/>
      <c r="O62" s="405"/>
      <c r="P62" s="404" t="s">
        <v>473</v>
      </c>
      <c r="Q62" s="486"/>
      <c r="R62" s="405"/>
      <c r="S62" t="s">
        <v>527</v>
      </c>
    </row>
    <row r="63" spans="1:32" x14ac:dyDescent="0.3">
      <c r="C63" s="9" t="s">
        <v>488</v>
      </c>
      <c r="D63" s="494">
        <f>'Fire Crystal Refinement'!D22</f>
        <v>70</v>
      </c>
      <c r="E63" s="495"/>
      <c r="F63" s="496"/>
      <c r="G63" s="494">
        <f>'Fire Crystal Refinement'!H22</f>
        <v>540</v>
      </c>
      <c r="H63" s="495"/>
      <c r="I63" s="496"/>
      <c r="J63" s="494">
        <f>'Fire Crystal Refinement'!L22</f>
        <v>1690</v>
      </c>
      <c r="K63" s="495"/>
      <c r="L63" s="496"/>
      <c r="M63" s="494">
        <f>'Fire Crystal Refinement'!P22</f>
        <v>3780</v>
      </c>
      <c r="N63" s="495"/>
      <c r="O63" s="496"/>
      <c r="P63" s="494">
        <f>'Fire Crystal Refinement'!T22</f>
        <v>6470</v>
      </c>
      <c r="Q63" s="495"/>
      <c r="R63" s="496"/>
      <c r="S63" t="s">
        <v>528</v>
      </c>
    </row>
    <row r="64" spans="1:32" x14ac:dyDescent="0.3">
      <c r="C64" s="9" t="s">
        <v>468</v>
      </c>
      <c r="D64" s="404">
        <f>'Fire Crystal Refinement'!D24</f>
        <v>10.15</v>
      </c>
      <c r="E64" s="486"/>
      <c r="F64" s="405"/>
      <c r="G64" s="404">
        <f>'Fire Crystal Refinement'!H24</f>
        <v>41.9</v>
      </c>
      <c r="H64" s="486"/>
      <c r="I64" s="405"/>
      <c r="J64" s="404">
        <f>'Fire Crystal Refinement'!L24</f>
        <v>91.08</v>
      </c>
      <c r="K64" s="486"/>
      <c r="L64" s="405"/>
      <c r="M64" s="404">
        <f>'Fire Crystal Refinement'!P24</f>
        <v>156.20999999999998</v>
      </c>
      <c r="N64" s="486"/>
      <c r="O64" s="405"/>
      <c r="P64" s="404">
        <f>'Fire Crystal Refinement'!T24</f>
        <v>226.56</v>
      </c>
      <c r="Q64" s="486"/>
      <c r="R64" s="405"/>
      <c r="S64" t="s">
        <v>529</v>
      </c>
    </row>
    <row r="65" spans="3:19" x14ac:dyDescent="0.3">
      <c r="C65" s="9" t="str">
        <f>"Weeks to "&amp;Construction!$Z$46&amp;" Refined FC's"</f>
        <v>Weeks to 246 Refined FC's</v>
      </c>
      <c r="D65" s="497">
        <f>IFERROR(Construction!$Z$46/D64,"-")</f>
        <v>24.236453201970441</v>
      </c>
      <c r="E65" s="498"/>
      <c r="F65" s="499"/>
      <c r="G65" s="497">
        <f>IFERROR(Construction!$Z$46/G64,"-")</f>
        <v>5.8711217183770881</v>
      </c>
      <c r="H65" s="498"/>
      <c r="I65" s="499"/>
      <c r="J65" s="497">
        <f>IFERROR(Construction!$Z$46/J64,"-")</f>
        <v>2.7009222661396577</v>
      </c>
      <c r="K65" s="498"/>
      <c r="L65" s="499"/>
      <c r="M65" s="497">
        <f>IFERROR(Construction!$Z$46/M64,"-")</f>
        <v>1.5748031496062995</v>
      </c>
      <c r="N65" s="498"/>
      <c r="O65" s="499"/>
      <c r="P65" s="497">
        <f>IFERROR(Construction!$Z$46/P64,"-")</f>
        <v>1.0858050847457628</v>
      </c>
      <c r="Q65" s="498"/>
      <c r="R65" s="499"/>
      <c r="S65" t="s">
        <v>530</v>
      </c>
    </row>
    <row r="66" spans="3:19" x14ac:dyDescent="0.3">
      <c r="C66" s="9" t="s">
        <v>489</v>
      </c>
      <c r="D66" s="500">
        <f>IFERROR(D65*D63,"-")</f>
        <v>1696.5517241379309</v>
      </c>
      <c r="E66" s="501"/>
      <c r="F66" s="502"/>
      <c r="G66" s="500">
        <f>IFERROR(G65*G63,"-")</f>
        <v>3170.4057279236276</v>
      </c>
      <c r="H66" s="501"/>
      <c r="I66" s="502"/>
      <c r="J66" s="500">
        <f>IFERROR(J65*J63,"-")</f>
        <v>4564.5586297760219</v>
      </c>
      <c r="K66" s="501"/>
      <c r="L66" s="502"/>
      <c r="M66" s="500">
        <f>IFERROR(M65*M63,"-")</f>
        <v>5952.7559055118118</v>
      </c>
      <c r="N66" s="501"/>
      <c r="O66" s="502"/>
      <c r="P66" s="500">
        <f>IFERROR(P65*P63,"-")</f>
        <v>7025.1588983050851</v>
      </c>
      <c r="Q66" s="501"/>
      <c r="R66" s="502"/>
      <c r="S66" t="s">
        <v>531</v>
      </c>
    </row>
    <row r="67" spans="3:19" x14ac:dyDescent="0.3">
      <c r="D67" s="490" t="s">
        <v>485</v>
      </c>
      <c r="E67" s="490"/>
      <c r="F67" s="490"/>
      <c r="G67" s="490"/>
      <c r="H67" s="490"/>
      <c r="I67" s="490"/>
      <c r="J67" s="490"/>
      <c r="K67" s="490"/>
      <c r="L67" s="490"/>
      <c r="M67" s="490"/>
      <c r="N67" s="490"/>
      <c r="O67" s="490"/>
      <c r="P67" s="490"/>
      <c r="Q67" s="490"/>
      <c r="R67" s="490"/>
    </row>
    <row r="68" spans="3:19" x14ac:dyDescent="0.3">
      <c r="D68" s="491" t="s">
        <v>420</v>
      </c>
      <c r="E68" s="492"/>
      <c r="F68" s="493"/>
      <c r="G68" s="491" t="s">
        <v>423</v>
      </c>
      <c r="H68" s="492"/>
      <c r="I68" s="493"/>
      <c r="J68" s="491" t="s">
        <v>424</v>
      </c>
      <c r="K68" s="492"/>
      <c r="L68" s="493"/>
      <c r="M68" s="491" t="s">
        <v>425</v>
      </c>
      <c r="N68" s="492"/>
      <c r="O68" s="493"/>
      <c r="P68" s="491" t="s">
        <v>426</v>
      </c>
      <c r="Q68" s="492"/>
      <c r="R68" s="493"/>
    </row>
    <row r="69" spans="3:19" x14ac:dyDescent="0.3">
      <c r="C69" s="9" t="s">
        <v>486</v>
      </c>
      <c r="D69" s="404" t="s">
        <v>478</v>
      </c>
      <c r="E69" s="486"/>
      <c r="F69" s="405"/>
      <c r="G69" s="404" t="s">
        <v>480</v>
      </c>
      <c r="H69" s="486"/>
      <c r="I69" s="405"/>
      <c r="J69" s="404" t="s">
        <v>481</v>
      </c>
      <c r="K69" s="486"/>
      <c r="L69" s="405"/>
      <c r="M69" s="487" t="s">
        <v>482</v>
      </c>
      <c r="N69" s="488"/>
      <c r="O69" s="489"/>
      <c r="P69" s="487" t="s">
        <v>483</v>
      </c>
      <c r="Q69" s="488"/>
      <c r="R69" s="489"/>
      <c r="S69" t="s">
        <v>526</v>
      </c>
    </row>
    <row r="70" spans="3:19" x14ac:dyDescent="0.3">
      <c r="C70" s="9" t="s">
        <v>487</v>
      </c>
      <c r="D70" s="404" t="s">
        <v>469</v>
      </c>
      <c r="E70" s="486"/>
      <c r="F70" s="405"/>
      <c r="G70" s="404" t="s">
        <v>470</v>
      </c>
      <c r="H70" s="486"/>
      <c r="I70" s="405"/>
      <c r="J70" s="404" t="s">
        <v>471</v>
      </c>
      <c r="K70" s="486"/>
      <c r="L70" s="405"/>
      <c r="M70" s="404" t="s">
        <v>472</v>
      </c>
      <c r="N70" s="486"/>
      <c r="O70" s="405"/>
      <c r="P70" s="404" t="s">
        <v>473</v>
      </c>
      <c r="Q70" s="486"/>
      <c r="R70" s="405"/>
      <c r="S70" t="s">
        <v>527</v>
      </c>
    </row>
    <row r="71" spans="3:19" x14ac:dyDescent="0.3">
      <c r="C71" s="9" t="s">
        <v>488</v>
      </c>
      <c r="D71" s="494">
        <f>'Fire Crystal Refinement'!D29</f>
        <v>330</v>
      </c>
      <c r="E71" s="495"/>
      <c r="F71" s="496"/>
      <c r="G71" s="494">
        <f>'Fire Crystal Refinement'!H29</f>
        <v>1240</v>
      </c>
      <c r="H71" s="495"/>
      <c r="I71" s="496"/>
      <c r="J71" s="494">
        <f>'Fire Crystal Refinement'!L29</f>
        <v>3090</v>
      </c>
      <c r="K71" s="495"/>
      <c r="L71" s="496"/>
      <c r="M71" s="494">
        <f>'Fire Crystal Refinement'!P29</f>
        <v>5600</v>
      </c>
      <c r="N71" s="495"/>
      <c r="O71" s="496"/>
      <c r="P71" s="494">
        <f>'Fire Crystal Refinement'!T29</f>
        <v>8710</v>
      </c>
      <c r="Q71" s="495"/>
      <c r="R71" s="496"/>
      <c r="S71" t="s">
        <v>528</v>
      </c>
    </row>
    <row r="72" spans="3:19" x14ac:dyDescent="0.3">
      <c r="C72" s="9" t="s">
        <v>468</v>
      </c>
      <c r="D72" s="404">
        <f>'Fire Crystal Refinement'!D31</f>
        <v>29</v>
      </c>
      <c r="E72" s="486"/>
      <c r="F72" s="405"/>
      <c r="G72" s="404">
        <f>'Fire Crystal Refinement'!H31</f>
        <v>72</v>
      </c>
      <c r="H72" s="486"/>
      <c r="I72" s="405"/>
      <c r="J72" s="404">
        <f>'Fire Crystal Refinement'!L31</f>
        <v>135.6</v>
      </c>
      <c r="K72" s="486"/>
      <c r="L72" s="405"/>
      <c r="M72" s="404">
        <f>'Fire Crystal Refinement'!P31</f>
        <v>204.3</v>
      </c>
      <c r="N72" s="486"/>
      <c r="O72" s="405"/>
      <c r="P72" s="404">
        <f>'Fire Crystal Refinement'!T31</f>
        <v>278.5</v>
      </c>
      <c r="Q72" s="486"/>
      <c r="R72" s="405"/>
      <c r="S72" t="s">
        <v>529</v>
      </c>
    </row>
    <row r="73" spans="3:19" x14ac:dyDescent="0.3">
      <c r="C73" s="9" t="str">
        <f>"Weeks to "&amp;Construction!$Z$46&amp;" Refined FC's"</f>
        <v>Weeks to 246 Refined FC's</v>
      </c>
      <c r="D73" s="497">
        <f>IFERROR(Construction!$Z$46/D72,"-")</f>
        <v>8.4827586206896548</v>
      </c>
      <c r="E73" s="498"/>
      <c r="F73" s="499"/>
      <c r="G73" s="497">
        <f>IFERROR(Construction!$Z$46/G72,"-")</f>
        <v>3.4166666666666665</v>
      </c>
      <c r="H73" s="498"/>
      <c r="I73" s="499"/>
      <c r="J73" s="497">
        <f>IFERROR(Construction!$Z$46/J72,"-")</f>
        <v>1.8141592920353984</v>
      </c>
      <c r="K73" s="498"/>
      <c r="L73" s="499"/>
      <c r="M73" s="497">
        <f>IFERROR(Construction!$Z$46/M72,"-")</f>
        <v>1.2041116005873715</v>
      </c>
      <c r="N73" s="498"/>
      <c r="O73" s="499"/>
      <c r="P73" s="497">
        <f>IFERROR(Construction!$Z$46/P72,"-")</f>
        <v>0.88330341113105926</v>
      </c>
      <c r="Q73" s="498"/>
      <c r="R73" s="499"/>
      <c r="S73" t="s">
        <v>530</v>
      </c>
    </row>
    <row r="74" spans="3:19" x14ac:dyDescent="0.3">
      <c r="C74" s="9" t="s">
        <v>489</v>
      </c>
      <c r="D74" s="500">
        <f>IFERROR(D73*D71,"-")</f>
        <v>2799.3103448275861</v>
      </c>
      <c r="E74" s="501"/>
      <c r="F74" s="502"/>
      <c r="G74" s="500">
        <f>IFERROR(G73*G71,"-")</f>
        <v>4236.6666666666661</v>
      </c>
      <c r="H74" s="501"/>
      <c r="I74" s="502"/>
      <c r="J74" s="500">
        <f>IFERROR(J73*J71,"-")</f>
        <v>5605.7522123893814</v>
      </c>
      <c r="K74" s="501"/>
      <c r="L74" s="502"/>
      <c r="M74" s="500">
        <f>IFERROR(M73*M71,"-")</f>
        <v>6743.024963289281</v>
      </c>
      <c r="N74" s="501"/>
      <c r="O74" s="502"/>
      <c r="P74" s="500">
        <f>IFERROR(P73*P71,"-")</f>
        <v>7693.5727109515265</v>
      </c>
      <c r="Q74" s="501"/>
      <c r="R74" s="502"/>
      <c r="S74" t="s">
        <v>531</v>
      </c>
    </row>
  </sheetData>
  <sheetProtection sheet="1" objects="1" scenarios="1" formatColumns="0"/>
  <mergeCells count="336">
    <mergeCell ref="D56:E56"/>
    <mergeCell ref="D54:E55"/>
    <mergeCell ref="AB39:AC40"/>
    <mergeCell ref="AB41:AC41"/>
    <mergeCell ref="AB42:AC42"/>
    <mergeCell ref="AB43:AC43"/>
    <mergeCell ref="AB44:AC44"/>
    <mergeCell ref="AB45:AC45"/>
    <mergeCell ref="AB46:AC46"/>
    <mergeCell ref="AB47:AC47"/>
    <mergeCell ref="A49:T50"/>
    <mergeCell ref="AB48:AC48"/>
    <mergeCell ref="V47:W47"/>
    <mergeCell ref="X47:Y47"/>
    <mergeCell ref="Z47:AA47"/>
    <mergeCell ref="Z44:AA44"/>
    <mergeCell ref="V45:W45"/>
    <mergeCell ref="J42:K42"/>
    <mergeCell ref="L42:M42"/>
    <mergeCell ref="J41:K41"/>
    <mergeCell ref="L41:M41"/>
    <mergeCell ref="N41:O41"/>
    <mergeCell ref="P41:Q41"/>
    <mergeCell ref="D40:E40"/>
    <mergeCell ref="D74:F74"/>
    <mergeCell ref="G74:I74"/>
    <mergeCell ref="J74:L74"/>
    <mergeCell ref="M74:O74"/>
    <mergeCell ref="P74:R74"/>
    <mergeCell ref="D73:F73"/>
    <mergeCell ref="G73:I73"/>
    <mergeCell ref="J73:L73"/>
    <mergeCell ref="M73:O73"/>
    <mergeCell ref="P73:R73"/>
    <mergeCell ref="D72:F72"/>
    <mergeCell ref="G72:I72"/>
    <mergeCell ref="J72:L72"/>
    <mergeCell ref="M72:O72"/>
    <mergeCell ref="P72:R72"/>
    <mergeCell ref="D71:F71"/>
    <mergeCell ref="G71:I71"/>
    <mergeCell ref="J71:L71"/>
    <mergeCell ref="M71:O71"/>
    <mergeCell ref="P71:R71"/>
    <mergeCell ref="D70:F70"/>
    <mergeCell ref="G70:I70"/>
    <mergeCell ref="J70:L70"/>
    <mergeCell ref="M70:O70"/>
    <mergeCell ref="P70:R70"/>
    <mergeCell ref="D69:F69"/>
    <mergeCell ref="G69:I69"/>
    <mergeCell ref="J69:L69"/>
    <mergeCell ref="M69:O69"/>
    <mergeCell ref="P69:R69"/>
    <mergeCell ref="D67:R67"/>
    <mergeCell ref="D68:F68"/>
    <mergeCell ref="G68:I68"/>
    <mergeCell ref="J68:L68"/>
    <mergeCell ref="M68:O68"/>
    <mergeCell ref="P68:R68"/>
    <mergeCell ref="D66:F66"/>
    <mergeCell ref="G66:I66"/>
    <mergeCell ref="J66:L66"/>
    <mergeCell ref="M66:O66"/>
    <mergeCell ref="P66:R66"/>
    <mergeCell ref="D65:F65"/>
    <mergeCell ref="G65:I65"/>
    <mergeCell ref="J65:L65"/>
    <mergeCell ref="M65:O65"/>
    <mergeCell ref="P65:R65"/>
    <mergeCell ref="D64:F64"/>
    <mergeCell ref="G64:I64"/>
    <mergeCell ref="J64:L64"/>
    <mergeCell ref="M64:O64"/>
    <mergeCell ref="P64:R64"/>
    <mergeCell ref="D63:F63"/>
    <mergeCell ref="G63:I63"/>
    <mergeCell ref="J63:L63"/>
    <mergeCell ref="M63:O63"/>
    <mergeCell ref="P63:R63"/>
    <mergeCell ref="D62:F62"/>
    <mergeCell ref="G62:I62"/>
    <mergeCell ref="J62:L62"/>
    <mergeCell ref="M62:O62"/>
    <mergeCell ref="P62:R62"/>
    <mergeCell ref="D61:F61"/>
    <mergeCell ref="G61:I61"/>
    <mergeCell ref="J61:L61"/>
    <mergeCell ref="M61:O61"/>
    <mergeCell ref="P61:R61"/>
    <mergeCell ref="D58:R58"/>
    <mergeCell ref="D59:R59"/>
    <mergeCell ref="D60:F60"/>
    <mergeCell ref="G60:I60"/>
    <mergeCell ref="J60:L60"/>
    <mergeCell ref="M60:O60"/>
    <mergeCell ref="P60:R60"/>
    <mergeCell ref="V37:X37"/>
    <mergeCell ref="D33:Q34"/>
    <mergeCell ref="V29:X29"/>
    <mergeCell ref="Z46:AA46"/>
    <mergeCell ref="X39:Y40"/>
    <mergeCell ref="X41:Y41"/>
    <mergeCell ref="X42:Y42"/>
    <mergeCell ref="X45:Y45"/>
    <mergeCell ref="X46:Y46"/>
    <mergeCell ref="X44:Y44"/>
    <mergeCell ref="X43:Y43"/>
    <mergeCell ref="V39:W40"/>
    <mergeCell ref="Z43:AA43"/>
    <mergeCell ref="V46:W46"/>
    <mergeCell ref="V41:W41"/>
    <mergeCell ref="V42:W42"/>
    <mergeCell ref="V43:W43"/>
    <mergeCell ref="Z39:AA40"/>
    <mergeCell ref="Z45:AA45"/>
    <mergeCell ref="Z41:AA41"/>
    <mergeCell ref="Z42:AA42"/>
    <mergeCell ref="V44:W44"/>
    <mergeCell ref="V35:X36"/>
    <mergeCell ref="V32:X33"/>
    <mergeCell ref="V30:X30"/>
    <mergeCell ref="V34:X34"/>
    <mergeCell ref="V31:X31"/>
    <mergeCell ref="N46:O46"/>
    <mergeCell ref="P46:Q46"/>
    <mergeCell ref="D46:E46"/>
    <mergeCell ref="F46:G46"/>
    <mergeCell ref="H46:I46"/>
    <mergeCell ref="J46:K46"/>
    <mergeCell ref="L46:M46"/>
    <mergeCell ref="N42:O42"/>
    <mergeCell ref="P42:Q42"/>
    <mergeCell ref="D43:E43"/>
    <mergeCell ref="F43:G43"/>
    <mergeCell ref="H43:I43"/>
    <mergeCell ref="J43:K43"/>
    <mergeCell ref="L43:M43"/>
    <mergeCell ref="N43:O43"/>
    <mergeCell ref="P43:Q43"/>
    <mergeCell ref="D42:E42"/>
    <mergeCell ref="F42:G42"/>
    <mergeCell ref="H42:I42"/>
    <mergeCell ref="D41:E41"/>
    <mergeCell ref="F41:G41"/>
    <mergeCell ref="H41:I41"/>
    <mergeCell ref="N38:O38"/>
    <mergeCell ref="P38:Q38"/>
    <mergeCell ref="D39:E39"/>
    <mergeCell ref="F39:G39"/>
    <mergeCell ref="H39:I39"/>
    <mergeCell ref="J39:K39"/>
    <mergeCell ref="L39:M39"/>
    <mergeCell ref="N39:O39"/>
    <mergeCell ref="P39:Q39"/>
    <mergeCell ref="D38:E38"/>
    <mergeCell ref="F38:G38"/>
    <mergeCell ref="H38:I38"/>
    <mergeCell ref="J38:K38"/>
    <mergeCell ref="L38:M38"/>
    <mergeCell ref="D45:E45"/>
    <mergeCell ref="F45:G45"/>
    <mergeCell ref="H45:I45"/>
    <mergeCell ref="J45:K45"/>
    <mergeCell ref="L45:M45"/>
    <mergeCell ref="N45:O45"/>
    <mergeCell ref="P45:Q45"/>
    <mergeCell ref="D44:E44"/>
    <mergeCell ref="F44:G44"/>
    <mergeCell ref="H44:I44"/>
    <mergeCell ref="J44:K44"/>
    <mergeCell ref="L44:M44"/>
    <mergeCell ref="N44:O44"/>
    <mergeCell ref="P44:Q44"/>
    <mergeCell ref="Q19:R19"/>
    <mergeCell ref="F40:G40"/>
    <mergeCell ref="H40:I40"/>
    <mergeCell ref="J40:K40"/>
    <mergeCell ref="L40:M40"/>
    <mergeCell ref="N40:O40"/>
    <mergeCell ref="P40:Q40"/>
    <mergeCell ref="D37:E37"/>
    <mergeCell ref="F37:G37"/>
    <mergeCell ref="H37:I37"/>
    <mergeCell ref="J37:K37"/>
    <mergeCell ref="L37:M37"/>
    <mergeCell ref="N37:O37"/>
    <mergeCell ref="P37:Q37"/>
    <mergeCell ref="D36:E36"/>
    <mergeCell ref="F36:G36"/>
    <mergeCell ref="H36:I36"/>
    <mergeCell ref="J36:K36"/>
    <mergeCell ref="L36:M36"/>
    <mergeCell ref="N36:O36"/>
    <mergeCell ref="P36:Q36"/>
    <mergeCell ref="C26:D26"/>
    <mergeCell ref="O22:P22"/>
    <mergeCell ref="O23:P23"/>
    <mergeCell ref="A13:T14"/>
    <mergeCell ref="C16:R17"/>
    <mergeCell ref="Q20:R20"/>
    <mergeCell ref="C21:D21"/>
    <mergeCell ref="E21:F21"/>
    <mergeCell ref="G21:H21"/>
    <mergeCell ref="I21:J21"/>
    <mergeCell ref="K21:L21"/>
    <mergeCell ref="M21:N21"/>
    <mergeCell ref="O21:P21"/>
    <mergeCell ref="Q21:R21"/>
    <mergeCell ref="G20:H20"/>
    <mergeCell ref="I20:J20"/>
    <mergeCell ref="K20:L20"/>
    <mergeCell ref="M20:N20"/>
    <mergeCell ref="O20:P20"/>
    <mergeCell ref="C19:D19"/>
    <mergeCell ref="E19:F19"/>
    <mergeCell ref="G19:H19"/>
    <mergeCell ref="I19:J19"/>
    <mergeCell ref="K19:L19"/>
    <mergeCell ref="M19:N19"/>
    <mergeCell ref="O19:P19"/>
    <mergeCell ref="C20:D20"/>
    <mergeCell ref="O24:P24"/>
    <mergeCell ref="O25:P25"/>
    <mergeCell ref="E22:F22"/>
    <mergeCell ref="E23:F23"/>
    <mergeCell ref="E24:F24"/>
    <mergeCell ref="E25:F25"/>
    <mergeCell ref="E26:F26"/>
    <mergeCell ref="I22:J22"/>
    <mergeCell ref="I23:J23"/>
    <mergeCell ref="C22:D22"/>
    <mergeCell ref="C23:D23"/>
    <mergeCell ref="G27:H27"/>
    <mergeCell ref="G28:H28"/>
    <mergeCell ref="G29:H29"/>
    <mergeCell ref="G30:H30"/>
    <mergeCell ref="G31:H31"/>
    <mergeCell ref="G22:H22"/>
    <mergeCell ref="G23:H23"/>
    <mergeCell ref="G24:H24"/>
    <mergeCell ref="G25:H25"/>
    <mergeCell ref="G26:H26"/>
    <mergeCell ref="C29:D29"/>
    <mergeCell ref="C30:D30"/>
    <mergeCell ref="C31:D31"/>
    <mergeCell ref="E31:F31"/>
    <mergeCell ref="E27:F27"/>
    <mergeCell ref="E28:F28"/>
    <mergeCell ref="E29:F29"/>
    <mergeCell ref="E30:F30"/>
    <mergeCell ref="C27:D27"/>
    <mergeCell ref="C28:D28"/>
    <mergeCell ref="C24:D24"/>
    <mergeCell ref="C25:D25"/>
    <mergeCell ref="I30:J30"/>
    <mergeCell ref="I28:J28"/>
    <mergeCell ref="I29:J29"/>
    <mergeCell ref="M22:N22"/>
    <mergeCell ref="M23:N23"/>
    <mergeCell ref="M24:N24"/>
    <mergeCell ref="M25:N25"/>
    <mergeCell ref="M26:N26"/>
    <mergeCell ref="K27:L27"/>
    <mergeCell ref="M30:N30"/>
    <mergeCell ref="A1:B1"/>
    <mergeCell ref="C1:D1"/>
    <mergeCell ref="E1:U2"/>
    <mergeCell ref="A2:B2"/>
    <mergeCell ref="C2:D2"/>
    <mergeCell ref="P8:S8"/>
    <mergeCell ref="I31:J31"/>
    <mergeCell ref="O26:P26"/>
    <mergeCell ref="O27:P27"/>
    <mergeCell ref="O28:P28"/>
    <mergeCell ref="O29:P29"/>
    <mergeCell ref="O30:P30"/>
    <mergeCell ref="O31:P31"/>
    <mergeCell ref="Q22:R22"/>
    <mergeCell ref="Q23:R23"/>
    <mergeCell ref="Q25:R25"/>
    <mergeCell ref="Q24:R24"/>
    <mergeCell ref="Q26:R26"/>
    <mergeCell ref="Q27:R27"/>
    <mergeCell ref="Q28:R28"/>
    <mergeCell ref="Q29:R29"/>
    <mergeCell ref="Q30:R30"/>
    <mergeCell ref="Q31:R31"/>
    <mergeCell ref="M27:N27"/>
    <mergeCell ref="U4:Z4"/>
    <mergeCell ref="P11:Q11"/>
    <mergeCell ref="R11:S11"/>
    <mergeCell ref="A4:F4"/>
    <mergeCell ref="P9:Q9"/>
    <mergeCell ref="R9:S9"/>
    <mergeCell ref="P10:Q10"/>
    <mergeCell ref="R10:S10"/>
    <mergeCell ref="R5:S5"/>
    <mergeCell ref="H4:S4"/>
    <mergeCell ref="H6:I6"/>
    <mergeCell ref="J6:K6"/>
    <mergeCell ref="L6:M6"/>
    <mergeCell ref="N6:O6"/>
    <mergeCell ref="P6:Q6"/>
    <mergeCell ref="R6:S6"/>
    <mergeCell ref="A5:E5"/>
    <mergeCell ref="A7:E7"/>
    <mergeCell ref="A8:E8"/>
    <mergeCell ref="A9:E9"/>
    <mergeCell ref="H8:N10"/>
    <mergeCell ref="H11:N11"/>
    <mergeCell ref="A6:E6"/>
    <mergeCell ref="E20:F20"/>
    <mergeCell ref="AD47:AF49"/>
    <mergeCell ref="A10:E10"/>
    <mergeCell ref="H5:I5"/>
    <mergeCell ref="J5:K5"/>
    <mergeCell ref="L5:M5"/>
    <mergeCell ref="N5:O5"/>
    <mergeCell ref="P5:Q5"/>
    <mergeCell ref="M28:N28"/>
    <mergeCell ref="M31:N31"/>
    <mergeCell ref="K28:L28"/>
    <mergeCell ref="K29:L29"/>
    <mergeCell ref="K30:L30"/>
    <mergeCell ref="K31:L31"/>
    <mergeCell ref="K22:L22"/>
    <mergeCell ref="K23:L23"/>
    <mergeCell ref="K24:L24"/>
    <mergeCell ref="K25:L25"/>
    <mergeCell ref="K26:L26"/>
    <mergeCell ref="M29:N29"/>
    <mergeCell ref="I24:J24"/>
    <mergeCell ref="I25:J25"/>
    <mergeCell ref="I26:J26"/>
    <mergeCell ref="I27:J27"/>
  </mergeCells>
  <conditionalFormatting sqref="E24 G24 I24 K24 M24 O24 F41 H41 J41 L41 N41 P41:R41">
    <cfRule type="expression" dxfId="131" priority="7">
      <formula>IF(ISBLANK(E23)=TRUE,IF(E24&gt;E21,TRUE,FALSE),IF(AND(E24&gt;E23,E24&gt;E21),TRUE,FALSE))</formula>
    </cfRule>
  </conditionalFormatting>
  <dataValidations count="1">
    <dataValidation allowBlank="1" showInputMessage="1" showErrorMessage="1" promptTitle="Construction Speed" prompt="Tap Your Power Next To Your Avatar On The Overview &gt; Scroll Down To Growth &gt; Enter % Here_x000a__x000a_If Mercantilism/VP Appointment Are Active Make Sure Not To Double Them Below" sqref="F5" xr:uid="{3961DDA8-247B-47B8-8E40-EC20B1DF60C9}"/>
  </dataValidations>
  <pageMargins left="0.7" right="0.7" top="0.75" bottom="0.75" header="0.3" footer="0.3"/>
  <drawing r:id="rId1"/>
  <extLst>
    <ext xmlns:x14="http://schemas.microsoft.com/office/spreadsheetml/2009/9/main" uri="{CCE6A557-97BC-4b89-ADB6-D9C93CAAB3DF}">
      <x14:dataValidations xmlns:xm="http://schemas.microsoft.com/office/excel/2006/main" count="18">
        <x14:dataValidation type="list" allowBlank="1" showInputMessage="1" showErrorMessage="1" xr:uid="{38701F50-0029-420B-B90C-36B1A1A1BB99}">
          <x14:formula1>
            <xm:f>Lists!$A$154:$A$156</xm:f>
          </x14:formula1>
          <xm:sqref>F6 F8 F7</xm:sqref>
        </x14:dataValidation>
        <x14:dataValidation type="list" allowBlank="1" showInputMessage="1" showErrorMessage="1" xr:uid="{716EF23D-A484-4BAC-80F0-2783C82384E4}">
          <x14:formula1>
            <xm:f>Lists!$A$9:$A$14</xm:f>
          </x14:formula1>
          <xm:sqref>F10</xm:sqref>
        </x14:dataValidation>
        <x14:dataValidation type="list" allowBlank="1" showInputMessage="1" showErrorMessage="1" xr:uid="{9FBC582D-6E8C-44FF-847C-DA044DDD0975}">
          <x14:formula1>
            <xm:f>Lists!$A$2:$A$7</xm:f>
          </x14:formula1>
          <xm:sqref>F9</xm:sqref>
        </x14:dataValidation>
        <x14:dataValidation type="list" allowBlank="1" showInputMessage="1" showErrorMessage="1" xr:uid="{9C61740B-17FB-4FDC-B9BF-60613C9405D8}">
          <x14:formula1>
            <xm:f>'Marksman Camp'!$B$5:$B$85</xm:f>
          </x14:formula1>
          <xm:sqref>O23:P23 O21:P21</xm:sqref>
        </x14:dataValidation>
        <x14:dataValidation type="list" allowBlank="1" showInputMessage="1" showErrorMessage="1" xr:uid="{439445F7-B951-43EB-AAEE-A372FC926D95}">
          <x14:formula1>
            <xm:f>'Lancer Camp'!$B$5:$B$85</xm:f>
          </x14:formula1>
          <xm:sqref>M23:N23 M21:N21</xm:sqref>
        </x14:dataValidation>
        <x14:dataValidation type="list" allowBlank="1" showInputMessage="1" showErrorMessage="1" xr:uid="{5950C8AD-5797-413F-B248-ED72D08A95A2}">
          <x14:formula1>
            <xm:f>Embassy!$B$5:$B$85</xm:f>
          </x14:formula1>
          <xm:sqref>G23:H23 G21:H21</xm:sqref>
        </x14:dataValidation>
        <x14:dataValidation type="list" allowBlank="1" showErrorMessage="1" xr:uid="{4A7822FA-4E86-4B1F-B689-FBBDED2055E4}">
          <x14:formula1>
            <xm:f>'War Academy'!$B$5:$B$51</xm:f>
          </x14:formula1>
          <xm:sqref>Q21:R21 Q23:R23</xm:sqref>
        </x14:dataValidation>
        <x14:dataValidation type="list" allowBlank="1" showInputMessage="1" showErrorMessage="1" xr:uid="{E9CE8095-3646-4C05-8CFD-067187F89AD4}">
          <x14:formula1>
            <xm:f>'Infantry Camp'!$B$5:$B$85</xm:f>
          </x14:formula1>
          <xm:sqref>K21:L21 K23:L23</xm:sqref>
        </x14:dataValidation>
        <x14:dataValidation type="list" allowBlank="1" showInputMessage="1" showErrorMessage="1" xr:uid="{EF373ED9-9C01-4CE2-898E-D94AA6070F66}">
          <x14:formula1>
            <xm:f>Infirmary!$B$5:$B$85</xm:f>
          </x14:formula1>
          <xm:sqref>I21:J21 I23:J23</xm:sqref>
        </x14:dataValidation>
        <x14:dataValidation type="list" allowBlank="1" showInputMessage="1" showErrorMessage="1" xr:uid="{17F8AC3E-B542-4837-8460-412A14E1FB5A}">
          <x14:formula1>
            <xm:f>'Command Center'!$B$5:$B$85</xm:f>
          </x14:formula1>
          <xm:sqref>E21:F21 E23:F23</xm:sqref>
        </x14:dataValidation>
        <x14:dataValidation type="list" allowBlank="1" showInputMessage="1" showErrorMessage="1" xr:uid="{5CD608B4-BDFC-4858-88C0-563085424C8B}">
          <x14:formula1>
            <xm:f>Furnace!$B$5:$B$85</xm:f>
          </x14:formula1>
          <xm:sqref>C23:D23 C21:D21</xm:sqref>
        </x14:dataValidation>
        <x14:dataValidation type="list" allowBlank="1" showInputMessage="1" showErrorMessage="1" xr:uid="{9D2AB698-BAA7-4964-94D9-E94CC4BBE83F}">
          <x14:formula1>
            <xm:f>Barricade!$B$5:$B$15</xm:f>
          </x14:formula1>
          <xm:sqref>D38 D40</xm:sqref>
        </x14:dataValidation>
        <x14:dataValidation type="list" allowBlank="1" showInputMessage="1" showErrorMessage="1" xr:uid="{4F299C2E-0C39-47F6-AE89-399F784D1315}">
          <x14:formula1>
            <xm:f>'Coal Mine'!$B$5:$B$35</xm:f>
          </x14:formula1>
          <xm:sqref>F38 F40</xm:sqref>
        </x14:dataValidation>
        <x14:dataValidation type="list" allowBlank="1" showInputMessage="1" showErrorMessage="1" xr:uid="{A5246153-5626-4AC9-9005-82480550C687}">
          <x14:formula1>
            <xm:f>'Hunter''s Hut'!$B$5:$B$35</xm:f>
          </x14:formula1>
          <xm:sqref>H38 H40</xm:sqref>
        </x14:dataValidation>
        <x14:dataValidation type="list" allowBlank="1" showInputMessage="1" showErrorMessage="1" xr:uid="{D67657EB-23ED-488C-B06D-00EBECE87554}">
          <x14:formula1>
            <xm:f>'Iron Mine'!$B$5:$B$35</xm:f>
          </x14:formula1>
          <xm:sqref>J38 J40</xm:sqref>
        </x14:dataValidation>
        <x14:dataValidation type="list" allowBlank="1" showInputMessage="1" showErrorMessage="1" xr:uid="{9455F7A0-B948-4F1B-95CF-231A09A587E5}">
          <x14:formula1>
            <xm:f>'Research Center'!$B$5:$B$35</xm:f>
          </x14:formula1>
          <xm:sqref>L38 L40</xm:sqref>
        </x14:dataValidation>
        <x14:dataValidation type="list" allowBlank="1" showInputMessage="1" showErrorMessage="1" xr:uid="{9522455E-4109-419C-AE07-B80CE071F14C}">
          <x14:formula1>
            <xm:f>Sawmill!$B$5:$B$35</xm:f>
          </x14:formula1>
          <xm:sqref>N38 N40</xm:sqref>
        </x14:dataValidation>
        <x14:dataValidation type="list" allowBlank="1" showInputMessage="1" showErrorMessage="1" xr:uid="{1F7B25C1-0F3C-4ED6-AEB4-C4FB6FB4DDD3}">
          <x14:formula1>
            <xm:f>Shelter!$B$5:$B$15</xm:f>
          </x14:formula1>
          <xm:sqref>P38 P40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8E26F-F837-4F7C-A6C5-D341A84B161F}">
  <sheetPr codeName="Sheet2"/>
  <dimension ref="B2:AI119"/>
  <sheetViews>
    <sheetView tabSelected="1" workbookViewId="0">
      <pane xSplit="2" ySplit="5" topLeftCell="G6" activePane="bottomRight" state="frozen"/>
      <selection sqref="A1:R2"/>
      <selection pane="topRight" sqref="A1:R2"/>
      <selection pane="bottomLeft" sqref="A1:R2"/>
      <selection pane="bottomRight" activeCell="T12" sqref="T12"/>
    </sheetView>
  </sheetViews>
  <sheetFormatPr baseColWidth="10" defaultColWidth="9.109375" defaultRowHeight="14.4" x14ac:dyDescent="0.3"/>
  <cols>
    <col min="1" max="1" width="9.109375" style="4"/>
    <col min="2" max="2" width="16" style="4" bestFit="1" customWidth="1"/>
    <col min="3" max="3" width="16" style="151" customWidth="1"/>
    <col min="4" max="7" width="16.88671875" style="4" bestFit="1" customWidth="1"/>
    <col min="8" max="9" width="15.44140625" style="4" bestFit="1" customWidth="1"/>
    <col min="10" max="10" width="15.33203125" style="4" bestFit="1" customWidth="1"/>
    <col min="11" max="11" width="14.33203125" style="4" bestFit="1" customWidth="1"/>
    <col min="12" max="15" width="13.33203125" style="4" customWidth="1"/>
    <col min="16" max="16" width="9.109375" style="4"/>
    <col min="17" max="17" width="7.109375" style="4" bestFit="1" customWidth="1"/>
    <col min="18" max="18" width="7" style="4" bestFit="1" customWidth="1"/>
    <col min="19" max="19" width="8.44140625" style="4" bestFit="1" customWidth="1"/>
    <col min="20" max="20" width="8.88671875" style="4" bestFit="1" customWidth="1"/>
    <col min="21" max="23" width="14.33203125" style="4" bestFit="1" customWidth="1"/>
    <col min="24" max="24" width="17.44140625" style="7" bestFit="1" customWidth="1"/>
    <col min="25" max="25" width="10.109375" style="7" bestFit="1" customWidth="1"/>
    <col min="26" max="26" width="9.109375" style="7" bestFit="1" customWidth="1"/>
    <col min="27" max="27" width="12.5546875" style="7" bestFit="1" customWidth="1"/>
    <col min="28" max="28" width="14" style="7" bestFit="1" customWidth="1"/>
    <col min="29" max="29" width="9.33203125" style="7" bestFit="1" customWidth="1"/>
    <col min="30" max="30" width="9.5546875" style="7" bestFit="1" customWidth="1"/>
    <col min="31" max="31" width="12.88671875" style="7" bestFit="1" customWidth="1"/>
    <col min="32" max="32" width="16.109375" style="7" bestFit="1" customWidth="1"/>
    <col min="33" max="33" width="16.44140625" style="7" bestFit="1" customWidth="1"/>
    <col min="34" max="34" width="8.109375" style="7" bestFit="1" customWidth="1"/>
    <col min="35" max="35" width="7.6640625" style="7" bestFit="1" customWidth="1"/>
    <col min="36" max="16384" width="9.109375" style="4"/>
  </cols>
  <sheetData>
    <row r="2" spans="2:35" x14ac:dyDescent="0.3">
      <c r="B2" s="4">
        <v>1</v>
      </c>
      <c r="C2" s="151">
        <v>2</v>
      </c>
      <c r="D2" s="4">
        <v>3</v>
      </c>
      <c r="E2" s="4">
        <v>4</v>
      </c>
      <c r="F2" s="4">
        <v>5</v>
      </c>
      <c r="G2" s="4">
        <v>6</v>
      </c>
      <c r="H2" s="4">
        <v>7</v>
      </c>
      <c r="I2" s="4">
        <v>8</v>
      </c>
      <c r="J2" s="4">
        <v>9</v>
      </c>
      <c r="K2" s="4">
        <v>10</v>
      </c>
      <c r="L2" s="4">
        <v>11</v>
      </c>
      <c r="M2" s="4">
        <v>12</v>
      </c>
      <c r="N2" s="4">
        <v>13</v>
      </c>
      <c r="O2" s="4">
        <v>14</v>
      </c>
      <c r="P2" s="4">
        <v>15</v>
      </c>
      <c r="Q2" s="4">
        <v>16</v>
      </c>
      <c r="R2" s="4">
        <v>17</v>
      </c>
      <c r="S2" s="4">
        <v>18</v>
      </c>
      <c r="T2" s="4">
        <v>19</v>
      </c>
      <c r="U2" s="4">
        <v>20</v>
      </c>
      <c r="V2" s="4">
        <v>21</v>
      </c>
      <c r="W2" s="4">
        <v>22</v>
      </c>
      <c r="X2" s="7">
        <v>23</v>
      </c>
      <c r="Y2" s="7">
        <v>24</v>
      </c>
      <c r="Z2" s="7">
        <v>25</v>
      </c>
      <c r="AA2" s="7">
        <v>26</v>
      </c>
      <c r="AB2" s="7">
        <v>27</v>
      </c>
      <c r="AC2" s="7">
        <v>28</v>
      </c>
      <c r="AD2" s="7">
        <v>29</v>
      </c>
      <c r="AE2" s="7">
        <v>30</v>
      </c>
      <c r="AF2" s="7">
        <v>31</v>
      </c>
      <c r="AG2" s="7">
        <v>32</v>
      </c>
      <c r="AH2" s="7">
        <v>33</v>
      </c>
      <c r="AI2" s="7">
        <v>34</v>
      </c>
    </row>
    <row r="3" spans="2:35" x14ac:dyDescent="0.3">
      <c r="B3" s="45" t="s">
        <v>23</v>
      </c>
      <c r="D3" s="709" t="s">
        <v>16</v>
      </c>
      <c r="E3" s="709"/>
      <c r="F3" s="709"/>
      <c r="G3" s="709"/>
      <c r="H3" s="709"/>
      <c r="I3" s="709"/>
      <c r="J3" s="709"/>
      <c r="K3" s="709"/>
      <c r="L3" s="709"/>
      <c r="M3" s="709"/>
      <c r="N3" s="62"/>
      <c r="O3" s="62"/>
      <c r="Q3" s="709" t="s">
        <v>17</v>
      </c>
      <c r="R3" s="709"/>
      <c r="S3" s="709"/>
      <c r="T3" s="709"/>
      <c r="U3" s="709"/>
      <c r="V3" s="709"/>
      <c r="W3" s="6"/>
      <c r="X3" s="710" t="s">
        <v>22</v>
      </c>
      <c r="Y3" s="710"/>
      <c r="Z3" s="710"/>
      <c r="AA3" s="710"/>
      <c r="AB3" s="710"/>
      <c r="AC3" s="710"/>
      <c r="AD3" s="710"/>
      <c r="AE3" s="710"/>
      <c r="AF3" s="710"/>
      <c r="AG3" s="710"/>
      <c r="AH3" s="710"/>
      <c r="AI3" s="710"/>
    </row>
    <row r="4" spans="2:35" x14ac:dyDescent="0.3">
      <c r="B4" s="45" t="e">
        <f>#REF!</f>
        <v>#REF!</v>
      </c>
      <c r="D4" s="705" t="s">
        <v>0</v>
      </c>
      <c r="E4" s="705"/>
      <c r="F4" s="705" t="s">
        <v>1</v>
      </c>
      <c r="G4" s="705"/>
      <c r="H4" s="705" t="s">
        <v>2</v>
      </c>
      <c r="I4" s="705"/>
      <c r="J4" s="705" t="s">
        <v>3</v>
      </c>
      <c r="K4" s="705"/>
      <c r="L4" s="705" t="s">
        <v>59</v>
      </c>
      <c r="M4" s="705"/>
      <c r="N4" s="705" t="s">
        <v>228</v>
      </c>
      <c r="O4" s="705"/>
      <c r="P4" s="45"/>
      <c r="U4" s="705" t="s">
        <v>18</v>
      </c>
      <c r="V4" s="705"/>
      <c r="W4" s="45"/>
      <c r="X4" s="147" t="s">
        <v>15</v>
      </c>
      <c r="Y4" s="147" t="s">
        <v>5</v>
      </c>
      <c r="Z4" s="147" t="s">
        <v>10</v>
      </c>
      <c r="AA4" s="147" t="s">
        <v>8</v>
      </c>
      <c r="AB4" s="147" t="s">
        <v>9</v>
      </c>
      <c r="AC4" s="147" t="s">
        <v>11</v>
      </c>
      <c r="AD4" s="147" t="s">
        <v>7</v>
      </c>
      <c r="AE4" s="147" t="s">
        <v>14</v>
      </c>
      <c r="AF4" s="147" t="s">
        <v>12</v>
      </c>
      <c r="AG4" s="147" t="s">
        <v>13</v>
      </c>
      <c r="AH4" s="147" t="s">
        <v>4</v>
      </c>
      <c r="AI4" s="147" t="s">
        <v>6</v>
      </c>
    </row>
    <row r="5" spans="2:35" x14ac:dyDescent="0.3">
      <c r="B5" s="63">
        <v>0</v>
      </c>
      <c r="C5" s="147" t="s">
        <v>463</v>
      </c>
      <c r="D5" s="45" t="s">
        <v>25</v>
      </c>
      <c r="E5" s="45" t="s">
        <v>24</v>
      </c>
      <c r="F5" s="45" t="s">
        <v>25</v>
      </c>
      <c r="G5" s="45" t="s">
        <v>24</v>
      </c>
      <c r="H5" s="45" t="s">
        <v>25</v>
      </c>
      <c r="I5" s="45" t="s">
        <v>24</v>
      </c>
      <c r="J5" s="45" t="s">
        <v>25</v>
      </c>
      <c r="K5" s="45" t="s">
        <v>24</v>
      </c>
      <c r="L5" s="45" t="s">
        <v>25</v>
      </c>
      <c r="M5" s="45" t="s">
        <v>24</v>
      </c>
      <c r="N5" s="45" t="s">
        <v>25</v>
      </c>
      <c r="O5" s="45" t="s">
        <v>24</v>
      </c>
      <c r="P5" s="45"/>
      <c r="Q5" s="45" t="s">
        <v>21</v>
      </c>
      <c r="R5" s="45" t="s">
        <v>20</v>
      </c>
      <c r="S5" s="45" t="s">
        <v>19</v>
      </c>
      <c r="T5" s="45" t="s">
        <v>18</v>
      </c>
      <c r="U5" s="45" t="s">
        <v>25</v>
      </c>
      <c r="V5" s="45" t="s">
        <v>24</v>
      </c>
      <c r="W5" s="45"/>
      <c r="X5" s="147"/>
      <c r="Y5" s="147"/>
      <c r="Z5" s="147"/>
      <c r="AA5" s="147"/>
      <c r="AB5" s="147"/>
      <c r="AC5" s="147"/>
      <c r="AD5" s="147"/>
      <c r="AE5" s="147"/>
      <c r="AF5" s="147"/>
      <c r="AG5" s="147"/>
      <c r="AH5" s="147"/>
      <c r="AI5" s="147"/>
    </row>
    <row r="6" spans="2:35" x14ac:dyDescent="0.3">
      <c r="B6" s="64">
        <v>1</v>
      </c>
      <c r="C6" s="151">
        <v>1</v>
      </c>
      <c r="E6" s="6" t="str">
        <f t="shared" ref="E6:E37" si="0">IF($C6&gt;VLOOKUP(FurnaceDesired,$B$6:$C$85,2,FALSE),"",IF($C6&gt;VLOOKUP(FurnaceCurrent,$B$6:$C$85,2,FALSE),D6,""))</f>
        <v/>
      </c>
      <c r="G6" s="6" t="str">
        <f t="shared" ref="G6:G37" si="1">IF($C6&gt;VLOOKUP(FurnaceDesired,$B$6:$C$85,2,FALSE),"",IF($C6&gt;VLOOKUP(FurnaceCurrent,$B$6:$C$85,2,FALSE),F6,""))</f>
        <v/>
      </c>
      <c r="I6" s="6" t="str">
        <f t="shared" ref="I6:I37" si="2">IF($C6&gt;VLOOKUP(FurnaceDesired,$B$6:$C$85,2,FALSE),"",IF($C6&gt;VLOOKUP(FurnaceCurrent,$B$6:$C$85,2,FALSE),H6,""))</f>
        <v/>
      </c>
      <c r="K6" s="6" t="str">
        <f t="shared" ref="K6:K37" si="3">IF($C6&gt;VLOOKUP(FurnaceDesired,$B$6:$C$85,2,FALSE),"",IF($C6&gt;VLOOKUP(FurnaceCurrent,$B$6:$C$85,2,FALSE),J6,""))</f>
        <v/>
      </c>
      <c r="L6" s="6"/>
      <c r="M6" s="6" t="str">
        <f t="shared" ref="M6:M37" si="4">IF($C6&gt;VLOOKUP(FurnaceDesired,$B$6:$C$85,2,FALSE),"",IF($C6&gt;VLOOKUP(FurnaceCurrent,$B$6:$C$85,2,FALSE),L6,""))</f>
        <v/>
      </c>
      <c r="N6" s="6"/>
      <c r="O6" s="6" t="str">
        <f t="shared" ref="O6:O37" si="5">IF($C6&gt;VLOOKUP(FurnaceDesired,$B$6:$C$85,2,FALSE),"",IF($C6&gt;VLOOKUP(FurnaceCurrent,$B$6:$C$85,2,FALSE),N6,""))</f>
        <v/>
      </c>
      <c r="Q6" s="6"/>
      <c r="R6" s="6"/>
      <c r="S6" s="6"/>
      <c r="T6" s="6"/>
      <c r="U6" s="6">
        <f>T6+S6*60+R6*60*60+Q6*60*60*24</f>
        <v>0</v>
      </c>
      <c r="V6" s="6" t="str">
        <f t="shared" ref="V6:V37" si="6">IF($C6&gt;VLOOKUP(FurnaceDesired,$B$6:$C$85,2,FALSE),"",IF($C6&gt;VLOOKUP(FurnaceCurrent,$B$6:$C$85,2,FALSE),U6,""))</f>
        <v/>
      </c>
      <c r="X6" s="7" t="s">
        <v>27</v>
      </c>
      <c r="Y6" s="7" t="s">
        <v>27</v>
      </c>
      <c r="Z6" s="7" t="s">
        <v>27</v>
      </c>
      <c r="AA6" s="7" t="s">
        <v>27</v>
      </c>
      <c r="AB6" s="7" t="s">
        <v>27</v>
      </c>
      <c r="AC6" s="7" t="s">
        <v>27</v>
      </c>
      <c r="AD6" s="7" t="s">
        <v>27</v>
      </c>
      <c r="AE6" s="7" t="s">
        <v>27</v>
      </c>
      <c r="AF6" s="7" t="s">
        <v>27</v>
      </c>
      <c r="AG6" s="7" t="s">
        <v>27</v>
      </c>
      <c r="AH6" s="7" t="s">
        <v>27</v>
      </c>
      <c r="AI6" s="7" t="s">
        <v>27</v>
      </c>
    </row>
    <row r="7" spans="2:35" x14ac:dyDescent="0.3">
      <c r="B7" s="64">
        <v>2</v>
      </c>
      <c r="C7" s="151">
        <v>2</v>
      </c>
      <c r="E7" s="6" t="str">
        <f t="shared" si="0"/>
        <v/>
      </c>
      <c r="F7" s="4">
        <v>180</v>
      </c>
      <c r="G7" s="6" t="str">
        <f t="shared" si="1"/>
        <v/>
      </c>
      <c r="I7" s="6" t="str">
        <f t="shared" si="2"/>
        <v/>
      </c>
      <c r="K7" s="6" t="str">
        <f t="shared" si="3"/>
        <v/>
      </c>
      <c r="L7" s="6"/>
      <c r="M7" s="6" t="str">
        <f t="shared" si="4"/>
        <v/>
      </c>
      <c r="N7" s="6"/>
      <c r="O7" s="6" t="str">
        <f t="shared" si="5"/>
        <v/>
      </c>
      <c r="Q7" s="6"/>
      <c r="R7" s="6"/>
      <c r="S7" s="6"/>
      <c r="T7" s="6">
        <v>6</v>
      </c>
      <c r="U7" s="6">
        <f t="shared" ref="U7:U77" si="7">T7+S7*60+R7*60*60+Q7*60*60*24</f>
        <v>6</v>
      </c>
      <c r="V7" s="6" t="str">
        <f t="shared" si="6"/>
        <v/>
      </c>
      <c r="X7" s="7" t="s">
        <v>27</v>
      </c>
      <c r="Y7" s="7" t="s">
        <v>27</v>
      </c>
      <c r="Z7" s="7" t="s">
        <v>27</v>
      </c>
      <c r="AA7" s="7" t="s">
        <v>27</v>
      </c>
      <c r="AB7" s="7" t="s">
        <v>27</v>
      </c>
      <c r="AC7" s="7" t="s">
        <v>27</v>
      </c>
      <c r="AD7" s="7" t="s">
        <v>27</v>
      </c>
      <c r="AE7" s="7" t="s">
        <v>27</v>
      </c>
      <c r="AF7" s="7" t="s">
        <v>27</v>
      </c>
      <c r="AG7" s="7" t="s">
        <v>27</v>
      </c>
      <c r="AH7" s="7">
        <v>1</v>
      </c>
      <c r="AI7" s="7" t="s">
        <v>27</v>
      </c>
    </row>
    <row r="8" spans="2:35" x14ac:dyDescent="0.3">
      <c r="B8" s="64">
        <v>3</v>
      </c>
      <c r="C8" s="151">
        <v>3</v>
      </c>
      <c r="E8" s="6" t="str">
        <f t="shared" si="0"/>
        <v/>
      </c>
      <c r="F8" s="4">
        <v>805</v>
      </c>
      <c r="G8" s="6" t="str">
        <f t="shared" si="1"/>
        <v/>
      </c>
      <c r="I8" s="6" t="str">
        <f t="shared" si="2"/>
        <v/>
      </c>
      <c r="K8" s="6" t="str">
        <f t="shared" si="3"/>
        <v/>
      </c>
      <c r="L8" s="6"/>
      <c r="M8" s="6" t="str">
        <f t="shared" si="4"/>
        <v/>
      </c>
      <c r="N8" s="6"/>
      <c r="O8" s="6" t="str">
        <f t="shared" si="5"/>
        <v/>
      </c>
      <c r="Q8" s="6"/>
      <c r="R8" s="6"/>
      <c r="S8" s="6">
        <v>1</v>
      </c>
      <c r="T8" s="6"/>
      <c r="U8" s="6">
        <f t="shared" si="7"/>
        <v>60</v>
      </c>
      <c r="V8" s="6" t="str">
        <f t="shared" si="6"/>
        <v/>
      </c>
      <c r="X8" s="7" t="s">
        <v>27</v>
      </c>
      <c r="Y8" s="7" t="s">
        <v>27</v>
      </c>
      <c r="Z8" s="7" t="s">
        <v>27</v>
      </c>
      <c r="AA8" s="7" t="s">
        <v>27</v>
      </c>
      <c r="AB8" s="7" t="s">
        <v>27</v>
      </c>
      <c r="AC8" s="7" t="s">
        <v>27</v>
      </c>
      <c r="AD8" s="7" t="s">
        <v>27</v>
      </c>
      <c r="AE8" s="7" t="s">
        <v>27</v>
      </c>
      <c r="AF8" s="7" t="s">
        <v>27</v>
      </c>
      <c r="AG8" s="7" t="s">
        <v>27</v>
      </c>
      <c r="AH8" s="7">
        <v>1</v>
      </c>
      <c r="AI8" s="7">
        <v>2</v>
      </c>
    </row>
    <row r="9" spans="2:35" x14ac:dyDescent="0.3">
      <c r="B9" s="64">
        <v>4</v>
      </c>
      <c r="C9" s="151">
        <v>4</v>
      </c>
      <c r="E9" s="6" t="str">
        <f t="shared" si="0"/>
        <v/>
      </c>
      <c r="F9" s="4">
        <v>1800</v>
      </c>
      <c r="G9" s="6" t="str">
        <f t="shared" si="1"/>
        <v/>
      </c>
      <c r="H9" s="4">
        <v>360</v>
      </c>
      <c r="I9" s="6" t="str">
        <f t="shared" si="2"/>
        <v/>
      </c>
      <c r="K9" s="6" t="str">
        <f t="shared" si="3"/>
        <v/>
      </c>
      <c r="L9" s="6"/>
      <c r="M9" s="6" t="str">
        <f t="shared" si="4"/>
        <v/>
      </c>
      <c r="N9" s="6"/>
      <c r="O9" s="6" t="str">
        <f t="shared" si="5"/>
        <v/>
      </c>
      <c r="Q9" s="6"/>
      <c r="R9" s="6"/>
      <c r="S9" s="6">
        <v>3</v>
      </c>
      <c r="T9" s="6"/>
      <c r="U9" s="6">
        <f t="shared" si="7"/>
        <v>180</v>
      </c>
      <c r="V9" s="6" t="str">
        <f t="shared" si="6"/>
        <v/>
      </c>
      <c r="X9" s="7" t="s">
        <v>27</v>
      </c>
      <c r="Y9" s="7">
        <v>3</v>
      </c>
      <c r="Z9" s="7" t="s">
        <v>27</v>
      </c>
      <c r="AA9" s="7" t="s">
        <v>27</v>
      </c>
      <c r="AB9" s="7" t="s">
        <v>27</v>
      </c>
      <c r="AC9" s="7" t="s">
        <v>27</v>
      </c>
      <c r="AD9" s="7" t="s">
        <v>27</v>
      </c>
      <c r="AE9" s="7" t="s">
        <v>27</v>
      </c>
      <c r="AF9" s="7" t="s">
        <v>27</v>
      </c>
      <c r="AG9" s="7" t="s">
        <v>27</v>
      </c>
      <c r="AH9" s="7">
        <v>1</v>
      </c>
      <c r="AI9" s="7">
        <v>2</v>
      </c>
    </row>
    <row r="10" spans="2:35" x14ac:dyDescent="0.3">
      <c r="B10" s="64">
        <v>5</v>
      </c>
      <c r="C10" s="151">
        <v>5</v>
      </c>
      <c r="E10" s="6" t="str">
        <f t="shared" si="0"/>
        <v/>
      </c>
      <c r="F10" s="4">
        <v>7600</v>
      </c>
      <c r="G10" s="6" t="str">
        <f t="shared" si="1"/>
        <v/>
      </c>
      <c r="H10" s="4">
        <v>1500</v>
      </c>
      <c r="I10" s="6" t="str">
        <f t="shared" si="2"/>
        <v/>
      </c>
      <c r="K10" s="6" t="str">
        <f t="shared" si="3"/>
        <v/>
      </c>
      <c r="L10" s="6"/>
      <c r="M10" s="6" t="str">
        <f t="shared" si="4"/>
        <v/>
      </c>
      <c r="N10" s="6"/>
      <c r="O10" s="6" t="str">
        <f t="shared" si="5"/>
        <v/>
      </c>
      <c r="Q10" s="6"/>
      <c r="R10" s="6"/>
      <c r="S10" s="6">
        <v>10</v>
      </c>
      <c r="T10" s="6"/>
      <c r="U10" s="6">
        <f t="shared" si="7"/>
        <v>600</v>
      </c>
      <c r="V10" s="6" t="str">
        <f t="shared" si="6"/>
        <v/>
      </c>
      <c r="X10" s="7" t="s">
        <v>27</v>
      </c>
      <c r="Y10" s="7">
        <v>3</v>
      </c>
      <c r="Z10" s="7" t="s">
        <v>27</v>
      </c>
      <c r="AA10" s="7" t="s">
        <v>27</v>
      </c>
      <c r="AB10" s="7" t="s">
        <v>27</v>
      </c>
      <c r="AC10" s="7" t="s">
        <v>27</v>
      </c>
      <c r="AD10" s="7" t="s">
        <v>27</v>
      </c>
      <c r="AE10" s="7" t="s">
        <v>27</v>
      </c>
      <c r="AF10" s="7" t="s">
        <v>27</v>
      </c>
      <c r="AG10" s="7" t="s">
        <v>27</v>
      </c>
      <c r="AH10" s="7">
        <v>1</v>
      </c>
      <c r="AI10" s="7">
        <v>3</v>
      </c>
    </row>
    <row r="11" spans="2:35" x14ac:dyDescent="0.3">
      <c r="B11" s="64">
        <v>6</v>
      </c>
      <c r="C11" s="151">
        <v>6</v>
      </c>
      <c r="E11" s="6" t="str">
        <f t="shared" si="0"/>
        <v/>
      </c>
      <c r="F11" s="4">
        <v>19000</v>
      </c>
      <c r="G11" s="6" t="str">
        <f t="shared" si="1"/>
        <v/>
      </c>
      <c r="H11" s="4">
        <v>3800</v>
      </c>
      <c r="I11" s="6" t="str">
        <f t="shared" si="2"/>
        <v/>
      </c>
      <c r="J11" s="4">
        <v>960</v>
      </c>
      <c r="K11" s="6" t="str">
        <f t="shared" si="3"/>
        <v/>
      </c>
      <c r="L11" s="6"/>
      <c r="M11" s="6" t="str">
        <f t="shared" si="4"/>
        <v/>
      </c>
      <c r="N11" s="6"/>
      <c r="O11" s="6" t="str">
        <f t="shared" si="5"/>
        <v/>
      </c>
      <c r="Q11" s="6"/>
      <c r="R11" s="6"/>
      <c r="S11" s="6">
        <v>30</v>
      </c>
      <c r="T11" s="6"/>
      <c r="U11" s="6">
        <f t="shared" si="7"/>
        <v>1800</v>
      </c>
      <c r="V11" s="6" t="str">
        <f t="shared" si="6"/>
        <v/>
      </c>
      <c r="X11" s="7" t="s">
        <v>27</v>
      </c>
      <c r="Y11" s="7">
        <v>3</v>
      </c>
      <c r="Z11" s="7" t="s">
        <v>27</v>
      </c>
      <c r="AA11" s="7" t="s">
        <v>27</v>
      </c>
      <c r="AB11" s="7" t="s">
        <v>27</v>
      </c>
      <c r="AC11" s="7" t="s">
        <v>27</v>
      </c>
      <c r="AD11" s="7">
        <v>5</v>
      </c>
      <c r="AE11" s="7" t="s">
        <v>27</v>
      </c>
      <c r="AF11" s="7" t="s">
        <v>27</v>
      </c>
      <c r="AG11" s="7" t="s">
        <v>27</v>
      </c>
      <c r="AH11" s="7">
        <v>1</v>
      </c>
      <c r="AI11" s="7">
        <v>3</v>
      </c>
    </row>
    <row r="12" spans="2:35" x14ac:dyDescent="0.3">
      <c r="B12" s="64">
        <v>7</v>
      </c>
      <c r="C12" s="151">
        <v>7</v>
      </c>
      <c r="E12" s="6" t="str">
        <f t="shared" si="0"/>
        <v/>
      </c>
      <c r="F12" s="4">
        <v>69000</v>
      </c>
      <c r="G12" s="6" t="str">
        <f t="shared" si="1"/>
        <v/>
      </c>
      <c r="H12" s="4">
        <v>13000</v>
      </c>
      <c r="I12" s="6" t="str">
        <f t="shared" si="2"/>
        <v/>
      </c>
      <c r="J12" s="4">
        <v>3400</v>
      </c>
      <c r="K12" s="6" t="str">
        <f t="shared" si="3"/>
        <v/>
      </c>
      <c r="L12" s="6"/>
      <c r="M12" s="6" t="str">
        <f t="shared" si="4"/>
        <v/>
      </c>
      <c r="N12" s="6"/>
      <c r="O12" s="6" t="str">
        <f t="shared" si="5"/>
        <v/>
      </c>
      <c r="Q12" s="6"/>
      <c r="R12" s="6">
        <v>1</v>
      </c>
      <c r="S12" s="6"/>
      <c r="T12" s="6"/>
      <c r="U12" s="6">
        <f t="shared" si="7"/>
        <v>3600</v>
      </c>
      <c r="V12" s="6" t="str">
        <f t="shared" si="6"/>
        <v/>
      </c>
      <c r="X12" s="7" t="s">
        <v>27</v>
      </c>
      <c r="Y12" s="7">
        <v>3</v>
      </c>
      <c r="Z12" s="7" t="s">
        <v>27</v>
      </c>
      <c r="AA12" s="7">
        <v>6</v>
      </c>
      <c r="AB12" s="7" t="s">
        <v>27</v>
      </c>
      <c r="AC12" s="7" t="s">
        <v>27</v>
      </c>
      <c r="AD12" s="7">
        <v>5</v>
      </c>
      <c r="AE12" s="7" t="s">
        <v>27</v>
      </c>
      <c r="AF12" s="7" t="s">
        <v>27</v>
      </c>
      <c r="AG12" s="7" t="s">
        <v>27</v>
      </c>
      <c r="AH12" s="7">
        <v>1</v>
      </c>
      <c r="AI12" s="7">
        <v>3</v>
      </c>
    </row>
    <row r="13" spans="2:35" x14ac:dyDescent="0.3">
      <c r="B13" s="64">
        <v>8</v>
      </c>
      <c r="C13" s="151">
        <v>8</v>
      </c>
      <c r="E13" s="6" t="str">
        <f t="shared" si="0"/>
        <v/>
      </c>
      <c r="F13" s="4">
        <v>120000</v>
      </c>
      <c r="G13" s="6" t="str">
        <f t="shared" si="1"/>
        <v/>
      </c>
      <c r="H13" s="4">
        <v>25000</v>
      </c>
      <c r="I13" s="6" t="str">
        <f t="shared" si="2"/>
        <v/>
      </c>
      <c r="J13" s="4">
        <v>6300</v>
      </c>
      <c r="K13" s="6" t="str">
        <f t="shared" si="3"/>
        <v/>
      </c>
      <c r="L13" s="6"/>
      <c r="M13" s="6" t="str">
        <f t="shared" si="4"/>
        <v/>
      </c>
      <c r="N13" s="6"/>
      <c r="O13" s="6" t="str">
        <f t="shared" si="5"/>
        <v/>
      </c>
      <c r="Q13" s="6"/>
      <c r="R13" s="6">
        <v>2</v>
      </c>
      <c r="S13" s="6">
        <v>30</v>
      </c>
      <c r="T13" s="6"/>
      <c r="U13" s="6">
        <f t="shared" si="7"/>
        <v>9000</v>
      </c>
      <c r="V13" s="6" t="str">
        <f t="shared" si="6"/>
        <v/>
      </c>
      <c r="X13" s="7" t="s">
        <v>27</v>
      </c>
      <c r="Y13" s="7">
        <v>3</v>
      </c>
      <c r="Z13" s="7" t="s">
        <v>27</v>
      </c>
      <c r="AA13" s="7">
        <v>6</v>
      </c>
      <c r="AB13" s="7">
        <v>7</v>
      </c>
      <c r="AC13" s="7" t="s">
        <v>27</v>
      </c>
      <c r="AD13" s="7">
        <v>5</v>
      </c>
      <c r="AE13" s="7" t="s">
        <v>27</v>
      </c>
      <c r="AF13" s="7" t="s">
        <v>27</v>
      </c>
      <c r="AG13" s="7" t="s">
        <v>27</v>
      </c>
      <c r="AH13" s="7">
        <v>1</v>
      </c>
      <c r="AI13" s="7">
        <v>3</v>
      </c>
    </row>
    <row r="14" spans="2:35" x14ac:dyDescent="0.3">
      <c r="B14" s="64">
        <v>9</v>
      </c>
      <c r="C14" s="151">
        <v>9</v>
      </c>
      <c r="E14" s="6" t="str">
        <f t="shared" si="0"/>
        <v/>
      </c>
      <c r="F14" s="4">
        <v>260000</v>
      </c>
      <c r="G14" s="6" t="str">
        <f t="shared" si="1"/>
        <v/>
      </c>
      <c r="H14" s="4">
        <v>52000</v>
      </c>
      <c r="I14" s="6" t="str">
        <f t="shared" si="2"/>
        <v/>
      </c>
      <c r="J14" s="4">
        <v>13000</v>
      </c>
      <c r="K14" s="6" t="str">
        <f t="shared" si="3"/>
        <v/>
      </c>
      <c r="L14" s="6"/>
      <c r="M14" s="6" t="str">
        <f t="shared" si="4"/>
        <v/>
      </c>
      <c r="N14" s="6"/>
      <c r="O14" s="6" t="str">
        <f t="shared" si="5"/>
        <v/>
      </c>
      <c r="Q14" s="6"/>
      <c r="R14" s="6">
        <v>4</v>
      </c>
      <c r="S14" s="6">
        <v>30</v>
      </c>
      <c r="T14" s="6"/>
      <c r="U14" s="6">
        <f t="shared" si="7"/>
        <v>16200</v>
      </c>
      <c r="V14" s="6" t="str">
        <f t="shared" si="6"/>
        <v/>
      </c>
      <c r="X14" s="7" t="s">
        <v>27</v>
      </c>
      <c r="Y14" s="7">
        <v>3</v>
      </c>
      <c r="Z14" s="7">
        <v>8</v>
      </c>
      <c r="AA14" s="7">
        <v>6</v>
      </c>
      <c r="AB14" s="7">
        <v>7</v>
      </c>
      <c r="AC14" s="7">
        <v>1</v>
      </c>
      <c r="AD14" s="7">
        <v>5</v>
      </c>
      <c r="AE14" s="7" t="s">
        <v>27</v>
      </c>
      <c r="AF14" s="7" t="s">
        <v>27</v>
      </c>
      <c r="AG14" s="7" t="s">
        <v>27</v>
      </c>
      <c r="AH14" s="7">
        <v>1</v>
      </c>
      <c r="AI14" s="7">
        <v>3</v>
      </c>
    </row>
    <row r="15" spans="2:35" x14ac:dyDescent="0.3">
      <c r="B15" s="64">
        <v>10</v>
      </c>
      <c r="C15" s="151">
        <v>10</v>
      </c>
      <c r="E15" s="6" t="str">
        <f t="shared" si="0"/>
        <v/>
      </c>
      <c r="F15" s="4">
        <v>460000</v>
      </c>
      <c r="G15" s="6" t="str">
        <f t="shared" si="1"/>
        <v/>
      </c>
      <c r="H15" s="4">
        <v>92000</v>
      </c>
      <c r="I15" s="6" t="str">
        <f t="shared" si="2"/>
        <v/>
      </c>
      <c r="J15" s="4">
        <v>23000</v>
      </c>
      <c r="K15" s="6" t="str">
        <f t="shared" si="3"/>
        <v/>
      </c>
      <c r="L15" s="6"/>
      <c r="M15" s="6" t="str">
        <f t="shared" si="4"/>
        <v/>
      </c>
      <c r="N15" s="6"/>
      <c r="O15" s="6" t="str">
        <f t="shared" si="5"/>
        <v/>
      </c>
      <c r="Q15" s="6"/>
      <c r="R15" s="6">
        <v>6</v>
      </c>
      <c r="S15" s="6"/>
      <c r="T15" s="6"/>
      <c r="U15" s="6">
        <f t="shared" si="7"/>
        <v>21600</v>
      </c>
      <c r="V15" s="6" t="str">
        <f t="shared" si="6"/>
        <v/>
      </c>
      <c r="X15" s="7" t="s">
        <v>27</v>
      </c>
      <c r="Y15" s="7">
        <v>3</v>
      </c>
      <c r="Z15" s="7">
        <v>8</v>
      </c>
      <c r="AA15" s="7">
        <v>6</v>
      </c>
      <c r="AB15" s="7">
        <v>7</v>
      </c>
      <c r="AC15" s="7">
        <v>1</v>
      </c>
      <c r="AD15" s="7">
        <v>5</v>
      </c>
      <c r="AE15" s="7" t="s">
        <v>27</v>
      </c>
      <c r="AF15" s="7">
        <v>9</v>
      </c>
      <c r="AG15" s="7">
        <v>1</v>
      </c>
      <c r="AH15" s="7">
        <v>1</v>
      </c>
      <c r="AI15" s="7">
        <v>3</v>
      </c>
    </row>
    <row r="16" spans="2:35" x14ac:dyDescent="0.3">
      <c r="B16" s="64">
        <v>11</v>
      </c>
      <c r="C16" s="151">
        <v>11</v>
      </c>
      <c r="D16" s="4">
        <v>1300000</v>
      </c>
      <c r="E16" s="6" t="str">
        <f t="shared" si="0"/>
        <v/>
      </c>
      <c r="F16" s="4">
        <v>1300000</v>
      </c>
      <c r="G16" s="6" t="str">
        <f t="shared" si="1"/>
        <v/>
      </c>
      <c r="H16" s="4">
        <v>260000</v>
      </c>
      <c r="I16" s="6" t="str">
        <f t="shared" si="2"/>
        <v/>
      </c>
      <c r="J16" s="4">
        <v>65000</v>
      </c>
      <c r="K16" s="6" t="str">
        <f t="shared" si="3"/>
        <v/>
      </c>
      <c r="L16" s="6"/>
      <c r="M16" s="6" t="str">
        <f t="shared" si="4"/>
        <v/>
      </c>
      <c r="N16" s="6"/>
      <c r="O16" s="6" t="str">
        <f t="shared" si="5"/>
        <v/>
      </c>
      <c r="Q16" s="6"/>
      <c r="R16" s="6">
        <v>7</v>
      </c>
      <c r="S16" s="6">
        <v>30</v>
      </c>
      <c r="T16" s="6"/>
      <c r="U16" s="6">
        <f t="shared" si="7"/>
        <v>27000</v>
      </c>
      <c r="V16" s="6" t="str">
        <f t="shared" si="6"/>
        <v/>
      </c>
      <c r="X16" s="7" t="s">
        <v>27</v>
      </c>
      <c r="Y16" s="7">
        <v>3</v>
      </c>
      <c r="Z16" s="7">
        <v>10</v>
      </c>
      <c r="AA16" s="7">
        <v>6</v>
      </c>
      <c r="AB16" s="7">
        <v>7</v>
      </c>
      <c r="AC16" s="7">
        <v>1</v>
      </c>
      <c r="AD16" s="7">
        <v>5</v>
      </c>
      <c r="AE16" s="7">
        <v>10</v>
      </c>
      <c r="AF16" s="7">
        <v>9</v>
      </c>
      <c r="AG16" s="7">
        <v>1</v>
      </c>
      <c r="AH16" s="7">
        <v>1</v>
      </c>
      <c r="AI16" s="7">
        <v>3</v>
      </c>
    </row>
    <row r="17" spans="2:35" x14ac:dyDescent="0.3">
      <c r="B17" s="64">
        <v>12</v>
      </c>
      <c r="C17" s="151">
        <v>12</v>
      </c>
      <c r="D17" s="4">
        <v>1600000</v>
      </c>
      <c r="E17" s="6" t="str">
        <f t="shared" si="0"/>
        <v/>
      </c>
      <c r="F17" s="4">
        <v>1600000</v>
      </c>
      <c r="G17" s="6" t="str">
        <f t="shared" si="1"/>
        <v/>
      </c>
      <c r="H17" s="4">
        <v>330000</v>
      </c>
      <c r="I17" s="6" t="str">
        <f t="shared" si="2"/>
        <v/>
      </c>
      <c r="J17" s="4">
        <v>84000</v>
      </c>
      <c r="K17" s="6" t="str">
        <f t="shared" si="3"/>
        <v/>
      </c>
      <c r="L17" s="6"/>
      <c r="M17" s="6" t="str">
        <f t="shared" si="4"/>
        <v/>
      </c>
      <c r="N17" s="6"/>
      <c r="O17" s="6" t="str">
        <f t="shared" si="5"/>
        <v/>
      </c>
      <c r="Q17" s="6"/>
      <c r="R17" s="6">
        <v>9</v>
      </c>
      <c r="S17" s="6"/>
      <c r="T17" s="6"/>
      <c r="U17" s="6">
        <f t="shared" si="7"/>
        <v>32400</v>
      </c>
      <c r="V17" s="6" t="str">
        <f t="shared" si="6"/>
        <v/>
      </c>
      <c r="X17" s="7">
        <v>1</v>
      </c>
      <c r="Y17" s="7">
        <v>3</v>
      </c>
      <c r="Z17" s="7">
        <v>11</v>
      </c>
      <c r="AA17" s="7">
        <v>6</v>
      </c>
      <c r="AB17" s="7">
        <v>7</v>
      </c>
      <c r="AC17" s="7">
        <v>1</v>
      </c>
      <c r="AD17" s="7">
        <v>5</v>
      </c>
      <c r="AE17" s="7">
        <v>10</v>
      </c>
      <c r="AF17" s="7">
        <v>9</v>
      </c>
      <c r="AG17" s="7">
        <v>1</v>
      </c>
      <c r="AH17" s="7">
        <v>1</v>
      </c>
      <c r="AI17" s="7">
        <v>3</v>
      </c>
    </row>
    <row r="18" spans="2:35" x14ac:dyDescent="0.3">
      <c r="B18" s="64">
        <v>13</v>
      </c>
      <c r="C18" s="151">
        <v>13</v>
      </c>
      <c r="D18" s="4">
        <v>2300000</v>
      </c>
      <c r="E18" s="6" t="str">
        <f t="shared" si="0"/>
        <v/>
      </c>
      <c r="F18" s="4">
        <v>2300000</v>
      </c>
      <c r="G18" s="6" t="str">
        <f t="shared" si="1"/>
        <v/>
      </c>
      <c r="H18" s="4">
        <v>470000</v>
      </c>
      <c r="I18" s="6" t="str">
        <f t="shared" si="2"/>
        <v/>
      </c>
      <c r="J18" s="4">
        <v>110000</v>
      </c>
      <c r="K18" s="6" t="str">
        <f t="shared" si="3"/>
        <v/>
      </c>
      <c r="L18" s="6"/>
      <c r="M18" s="6" t="str">
        <f t="shared" si="4"/>
        <v/>
      </c>
      <c r="N18" s="6"/>
      <c r="O18" s="6" t="str">
        <f t="shared" si="5"/>
        <v/>
      </c>
      <c r="Q18" s="6"/>
      <c r="R18" s="6">
        <v>11</v>
      </c>
      <c r="S18" s="6"/>
      <c r="T18" s="6"/>
      <c r="U18" s="6">
        <f t="shared" si="7"/>
        <v>39600</v>
      </c>
      <c r="V18" s="6" t="str">
        <f t="shared" si="6"/>
        <v/>
      </c>
      <c r="X18" s="7">
        <v>1</v>
      </c>
      <c r="Y18" s="7">
        <v>3</v>
      </c>
      <c r="Z18" s="7">
        <v>12</v>
      </c>
      <c r="AA18" s="7">
        <v>6</v>
      </c>
      <c r="AB18" s="7">
        <v>12</v>
      </c>
      <c r="AC18" s="7">
        <v>1</v>
      </c>
      <c r="AD18" s="7">
        <v>5</v>
      </c>
      <c r="AE18" s="7">
        <v>10</v>
      </c>
      <c r="AF18" s="7">
        <v>9</v>
      </c>
      <c r="AG18" s="7">
        <v>1</v>
      </c>
      <c r="AH18" s="7">
        <v>1</v>
      </c>
      <c r="AI18" s="7">
        <v>3</v>
      </c>
    </row>
    <row r="19" spans="2:35" x14ac:dyDescent="0.3">
      <c r="B19" s="64">
        <v>14</v>
      </c>
      <c r="C19" s="151">
        <v>14</v>
      </c>
      <c r="D19" s="4">
        <v>3100000</v>
      </c>
      <c r="E19" s="6" t="str">
        <f t="shared" si="0"/>
        <v/>
      </c>
      <c r="F19" s="4">
        <v>3100000</v>
      </c>
      <c r="G19" s="6" t="str">
        <f t="shared" si="1"/>
        <v/>
      </c>
      <c r="H19" s="4">
        <v>630000</v>
      </c>
      <c r="I19" s="6" t="str">
        <f t="shared" si="2"/>
        <v/>
      </c>
      <c r="J19" s="4">
        <v>150000</v>
      </c>
      <c r="K19" s="6" t="str">
        <f t="shared" si="3"/>
        <v/>
      </c>
      <c r="L19" s="6"/>
      <c r="M19" s="6" t="str">
        <f t="shared" si="4"/>
        <v/>
      </c>
      <c r="N19" s="6"/>
      <c r="O19" s="6" t="str">
        <f t="shared" si="5"/>
        <v/>
      </c>
      <c r="Q19" s="6"/>
      <c r="R19" s="6">
        <v>14</v>
      </c>
      <c r="S19" s="6"/>
      <c r="T19" s="6"/>
      <c r="U19" s="6">
        <f t="shared" si="7"/>
        <v>50400</v>
      </c>
      <c r="V19" s="6" t="str">
        <f t="shared" si="6"/>
        <v/>
      </c>
      <c r="X19" s="7">
        <v>1</v>
      </c>
      <c r="Y19" s="7">
        <v>3</v>
      </c>
      <c r="Z19" s="7">
        <v>13</v>
      </c>
      <c r="AA19" s="7">
        <v>6</v>
      </c>
      <c r="AB19" s="7">
        <v>12</v>
      </c>
      <c r="AC19" s="7">
        <v>1</v>
      </c>
      <c r="AD19" s="7">
        <v>5</v>
      </c>
      <c r="AE19" s="7">
        <v>10</v>
      </c>
      <c r="AF19" s="7">
        <v>13</v>
      </c>
      <c r="AG19" s="7">
        <v>1</v>
      </c>
      <c r="AH19" s="7">
        <v>1</v>
      </c>
      <c r="AI19" s="7">
        <v>3</v>
      </c>
    </row>
    <row r="20" spans="2:35" x14ac:dyDescent="0.3">
      <c r="B20" s="64">
        <v>15</v>
      </c>
      <c r="C20" s="151">
        <v>15</v>
      </c>
      <c r="D20" s="4">
        <v>4600000</v>
      </c>
      <c r="E20" s="6" t="str">
        <f t="shared" si="0"/>
        <v/>
      </c>
      <c r="F20" s="4">
        <v>4600000</v>
      </c>
      <c r="G20" s="6" t="str">
        <f t="shared" si="1"/>
        <v/>
      </c>
      <c r="H20" s="4">
        <v>930000</v>
      </c>
      <c r="I20" s="6" t="str">
        <f t="shared" si="2"/>
        <v/>
      </c>
      <c r="J20" s="4">
        <v>230000</v>
      </c>
      <c r="K20" s="6" t="str">
        <f t="shared" si="3"/>
        <v/>
      </c>
      <c r="L20" s="6"/>
      <c r="M20" s="6" t="str">
        <f t="shared" si="4"/>
        <v/>
      </c>
      <c r="N20" s="6"/>
      <c r="O20" s="6" t="str">
        <f t="shared" si="5"/>
        <v/>
      </c>
      <c r="Q20" s="6"/>
      <c r="R20" s="6">
        <v>18</v>
      </c>
      <c r="S20" s="6"/>
      <c r="T20" s="6"/>
      <c r="U20" s="6">
        <f t="shared" si="7"/>
        <v>64800</v>
      </c>
      <c r="V20" s="6" t="str">
        <f t="shared" si="6"/>
        <v/>
      </c>
      <c r="X20" s="7">
        <v>1</v>
      </c>
      <c r="Y20" s="7">
        <v>3</v>
      </c>
      <c r="Z20" s="7">
        <v>14</v>
      </c>
      <c r="AA20" s="7">
        <v>6</v>
      </c>
      <c r="AB20" s="7">
        <v>12</v>
      </c>
      <c r="AC20" s="7">
        <v>1</v>
      </c>
      <c r="AD20" s="7">
        <v>5</v>
      </c>
      <c r="AE20" s="7">
        <v>14</v>
      </c>
      <c r="AF20" s="7">
        <v>13</v>
      </c>
      <c r="AG20" s="7">
        <v>1</v>
      </c>
      <c r="AH20" s="7">
        <v>1</v>
      </c>
      <c r="AI20" s="7">
        <v>3</v>
      </c>
    </row>
    <row r="21" spans="2:35" x14ac:dyDescent="0.3">
      <c r="B21" s="64">
        <v>16</v>
      </c>
      <c r="C21" s="151">
        <v>16</v>
      </c>
      <c r="D21" s="4">
        <v>5900000</v>
      </c>
      <c r="E21" s="6" t="str">
        <f t="shared" si="0"/>
        <v/>
      </c>
      <c r="F21" s="4">
        <v>5900000</v>
      </c>
      <c r="G21" s="6" t="str">
        <f t="shared" si="1"/>
        <v/>
      </c>
      <c r="H21" s="4">
        <v>1100000</v>
      </c>
      <c r="I21" s="6" t="str">
        <f t="shared" si="2"/>
        <v/>
      </c>
      <c r="J21" s="4">
        <v>290000</v>
      </c>
      <c r="K21" s="6" t="str">
        <f t="shared" si="3"/>
        <v/>
      </c>
      <c r="L21" s="6"/>
      <c r="M21" s="6" t="str">
        <f t="shared" si="4"/>
        <v/>
      </c>
      <c r="N21" s="6"/>
      <c r="O21" s="6" t="str">
        <f t="shared" si="5"/>
        <v/>
      </c>
      <c r="Q21" s="6">
        <v>1</v>
      </c>
      <c r="R21" s="6">
        <v>6</v>
      </c>
      <c r="S21" s="6">
        <v>28</v>
      </c>
      <c r="T21" s="6"/>
      <c r="U21" s="6">
        <f t="shared" si="7"/>
        <v>109680</v>
      </c>
      <c r="V21" s="6" t="str">
        <f t="shared" si="6"/>
        <v/>
      </c>
      <c r="X21" s="7">
        <v>1</v>
      </c>
      <c r="Y21" s="7">
        <v>3</v>
      </c>
      <c r="Z21" s="7">
        <v>15</v>
      </c>
      <c r="AA21" s="7">
        <v>6</v>
      </c>
      <c r="AB21" s="7">
        <v>12</v>
      </c>
      <c r="AC21" s="7">
        <v>1</v>
      </c>
      <c r="AD21" s="7">
        <v>5</v>
      </c>
      <c r="AE21" s="7">
        <v>14</v>
      </c>
      <c r="AF21" s="7">
        <v>13</v>
      </c>
      <c r="AG21" s="7">
        <v>15</v>
      </c>
      <c r="AH21" s="7">
        <v>1</v>
      </c>
      <c r="AI21" s="7">
        <v>3</v>
      </c>
    </row>
    <row r="22" spans="2:35" x14ac:dyDescent="0.3">
      <c r="B22" s="64">
        <v>17</v>
      </c>
      <c r="C22" s="151">
        <v>17</v>
      </c>
      <c r="D22" s="4">
        <v>9300000</v>
      </c>
      <c r="E22" s="6" t="str">
        <f t="shared" si="0"/>
        <v/>
      </c>
      <c r="F22" s="4">
        <v>9300000</v>
      </c>
      <c r="G22" s="6" t="str">
        <f t="shared" si="1"/>
        <v/>
      </c>
      <c r="H22" s="4">
        <v>1800000</v>
      </c>
      <c r="I22" s="6" t="str">
        <f t="shared" si="2"/>
        <v/>
      </c>
      <c r="J22" s="4">
        <v>460000</v>
      </c>
      <c r="K22" s="6" t="str">
        <f t="shared" si="3"/>
        <v/>
      </c>
      <c r="L22" s="6"/>
      <c r="M22" s="6" t="str">
        <f t="shared" si="4"/>
        <v/>
      </c>
      <c r="N22" s="6"/>
      <c r="O22" s="6" t="str">
        <f t="shared" si="5"/>
        <v/>
      </c>
      <c r="Q22" s="6">
        <v>1</v>
      </c>
      <c r="R22" s="6">
        <v>12</v>
      </c>
      <c r="S22" s="6">
        <v>34</v>
      </c>
      <c r="T22" s="6"/>
      <c r="U22" s="6">
        <f t="shared" si="7"/>
        <v>131640</v>
      </c>
      <c r="V22" s="6" t="str">
        <f t="shared" si="6"/>
        <v/>
      </c>
      <c r="X22" s="7">
        <v>1</v>
      </c>
      <c r="Y22" s="7">
        <v>3</v>
      </c>
      <c r="Z22" s="7">
        <v>16</v>
      </c>
      <c r="AA22" s="7">
        <v>6</v>
      </c>
      <c r="AB22" s="7">
        <v>16</v>
      </c>
      <c r="AC22" s="7">
        <v>1</v>
      </c>
      <c r="AD22" s="7">
        <v>5</v>
      </c>
      <c r="AE22" s="7">
        <v>14</v>
      </c>
      <c r="AF22" s="7">
        <v>13</v>
      </c>
      <c r="AG22" s="7">
        <v>15</v>
      </c>
      <c r="AH22" s="7">
        <v>1</v>
      </c>
      <c r="AI22" s="7">
        <v>3</v>
      </c>
    </row>
    <row r="23" spans="2:35" x14ac:dyDescent="0.3">
      <c r="B23" s="64">
        <v>18</v>
      </c>
      <c r="C23" s="151">
        <v>18</v>
      </c>
      <c r="D23" s="4">
        <v>12000000</v>
      </c>
      <c r="E23" s="6" t="str">
        <f t="shared" si="0"/>
        <v/>
      </c>
      <c r="F23" s="4">
        <v>12000000</v>
      </c>
      <c r="G23" s="6" t="str">
        <f t="shared" si="1"/>
        <v/>
      </c>
      <c r="H23" s="4">
        <v>2500000</v>
      </c>
      <c r="I23" s="6" t="str">
        <f t="shared" si="2"/>
        <v/>
      </c>
      <c r="J23" s="4">
        <v>620000</v>
      </c>
      <c r="K23" s="6" t="str">
        <f t="shared" si="3"/>
        <v/>
      </c>
      <c r="L23" s="6"/>
      <c r="M23" s="6" t="str">
        <f t="shared" si="4"/>
        <v/>
      </c>
      <c r="N23" s="6"/>
      <c r="O23" s="6" t="str">
        <f t="shared" si="5"/>
        <v/>
      </c>
      <c r="Q23" s="6">
        <v>1</v>
      </c>
      <c r="R23" s="6">
        <v>19</v>
      </c>
      <c r="S23" s="6">
        <v>53</v>
      </c>
      <c r="T23" s="6"/>
      <c r="U23" s="6">
        <f t="shared" si="7"/>
        <v>157980</v>
      </c>
      <c r="V23" s="6" t="str">
        <f t="shared" si="6"/>
        <v/>
      </c>
      <c r="X23" s="7">
        <v>1</v>
      </c>
      <c r="Y23" s="7">
        <v>3</v>
      </c>
      <c r="Z23" s="7">
        <v>17</v>
      </c>
      <c r="AA23" s="7">
        <v>6</v>
      </c>
      <c r="AB23" s="7">
        <v>16</v>
      </c>
      <c r="AC23" s="7">
        <v>1</v>
      </c>
      <c r="AD23" s="7">
        <v>5</v>
      </c>
      <c r="AE23" s="7">
        <v>14</v>
      </c>
      <c r="AF23" s="7">
        <v>17</v>
      </c>
      <c r="AG23" s="7">
        <v>15</v>
      </c>
      <c r="AH23" s="7">
        <v>1</v>
      </c>
      <c r="AI23" s="7">
        <v>3</v>
      </c>
    </row>
    <row r="24" spans="2:35" x14ac:dyDescent="0.3">
      <c r="B24" s="64">
        <v>19</v>
      </c>
      <c r="C24" s="151">
        <v>19</v>
      </c>
      <c r="D24" s="4">
        <v>15000000</v>
      </c>
      <c r="E24" s="6" t="str">
        <f t="shared" si="0"/>
        <v/>
      </c>
      <c r="F24" s="4">
        <v>15000000</v>
      </c>
      <c r="G24" s="6" t="str">
        <f t="shared" si="1"/>
        <v/>
      </c>
      <c r="H24" s="4">
        <v>3100000</v>
      </c>
      <c r="I24" s="6" t="str">
        <f t="shared" si="2"/>
        <v/>
      </c>
      <c r="J24" s="4">
        <v>780000</v>
      </c>
      <c r="K24" s="6" t="str">
        <f t="shared" si="3"/>
        <v/>
      </c>
      <c r="L24" s="6"/>
      <c r="M24" s="6" t="str">
        <f t="shared" si="4"/>
        <v/>
      </c>
      <c r="N24" s="6"/>
      <c r="O24" s="6" t="str">
        <f t="shared" si="5"/>
        <v/>
      </c>
      <c r="Q24" s="6">
        <v>2</v>
      </c>
      <c r="R24" s="6">
        <v>17</v>
      </c>
      <c r="S24" s="6">
        <v>50</v>
      </c>
      <c r="T24" s="6"/>
      <c r="U24" s="6">
        <f t="shared" si="7"/>
        <v>237000</v>
      </c>
      <c r="V24" s="6" t="str">
        <f t="shared" si="6"/>
        <v/>
      </c>
      <c r="X24" s="7">
        <v>1</v>
      </c>
      <c r="Y24" s="7">
        <v>3</v>
      </c>
      <c r="Z24" s="7">
        <v>18</v>
      </c>
      <c r="AA24" s="7">
        <v>6</v>
      </c>
      <c r="AB24" s="7">
        <v>16</v>
      </c>
      <c r="AC24" s="7">
        <v>1</v>
      </c>
      <c r="AD24" s="7">
        <v>5</v>
      </c>
      <c r="AE24" s="7">
        <v>18</v>
      </c>
      <c r="AF24" s="7">
        <v>17</v>
      </c>
      <c r="AG24" s="7">
        <v>15</v>
      </c>
      <c r="AH24" s="7">
        <v>1</v>
      </c>
      <c r="AI24" s="7">
        <v>3</v>
      </c>
    </row>
    <row r="25" spans="2:35" x14ac:dyDescent="0.3">
      <c r="B25" s="64">
        <v>20</v>
      </c>
      <c r="C25" s="151">
        <v>20</v>
      </c>
      <c r="D25" s="4">
        <v>21000000</v>
      </c>
      <c r="E25" s="6" t="str">
        <f t="shared" si="0"/>
        <v/>
      </c>
      <c r="F25" s="4">
        <v>21000000</v>
      </c>
      <c r="G25" s="6" t="str">
        <f t="shared" si="1"/>
        <v/>
      </c>
      <c r="H25" s="4">
        <v>4300000</v>
      </c>
      <c r="I25" s="6" t="str">
        <f t="shared" si="2"/>
        <v/>
      </c>
      <c r="J25" s="4">
        <v>1000000</v>
      </c>
      <c r="K25" s="6" t="str">
        <f t="shared" si="3"/>
        <v/>
      </c>
      <c r="L25" s="6"/>
      <c r="M25" s="6" t="str">
        <f t="shared" si="4"/>
        <v/>
      </c>
      <c r="N25" s="6"/>
      <c r="O25" s="6" t="str">
        <f t="shared" si="5"/>
        <v/>
      </c>
      <c r="Q25" s="6">
        <v>3</v>
      </c>
      <c r="R25" s="6">
        <v>10</v>
      </c>
      <c r="S25" s="6">
        <v>18</v>
      </c>
      <c r="T25" s="6"/>
      <c r="U25" s="6">
        <f t="shared" si="7"/>
        <v>296280</v>
      </c>
      <c r="V25" s="6" t="str">
        <f t="shared" si="6"/>
        <v/>
      </c>
      <c r="X25" s="7">
        <v>1</v>
      </c>
      <c r="Y25" s="7">
        <v>3</v>
      </c>
      <c r="Z25" s="7">
        <v>19</v>
      </c>
      <c r="AA25" s="7">
        <v>6</v>
      </c>
      <c r="AB25" s="7">
        <v>16</v>
      </c>
      <c r="AC25" s="7">
        <v>1</v>
      </c>
      <c r="AD25" s="7">
        <v>5</v>
      </c>
      <c r="AE25" s="7">
        <v>18</v>
      </c>
      <c r="AF25" s="7">
        <v>17</v>
      </c>
      <c r="AG25" s="7">
        <v>19</v>
      </c>
      <c r="AH25" s="7">
        <v>1</v>
      </c>
      <c r="AI25" s="7">
        <v>3</v>
      </c>
    </row>
    <row r="26" spans="2:35" x14ac:dyDescent="0.3">
      <c r="B26" s="64">
        <v>21</v>
      </c>
      <c r="C26" s="151">
        <v>21</v>
      </c>
      <c r="D26" s="4">
        <v>27000000</v>
      </c>
      <c r="E26" s="6" t="str">
        <f t="shared" si="0"/>
        <v/>
      </c>
      <c r="F26" s="4">
        <v>27000000</v>
      </c>
      <c r="G26" s="6" t="str">
        <f t="shared" si="1"/>
        <v/>
      </c>
      <c r="H26" s="4">
        <v>5400000</v>
      </c>
      <c r="I26" s="6" t="str">
        <f t="shared" si="2"/>
        <v/>
      </c>
      <c r="J26" s="4">
        <v>1300000</v>
      </c>
      <c r="K26" s="6" t="str">
        <f t="shared" si="3"/>
        <v/>
      </c>
      <c r="L26" s="6"/>
      <c r="M26" s="6" t="str">
        <f t="shared" si="4"/>
        <v/>
      </c>
      <c r="N26" s="6"/>
      <c r="O26" s="6" t="str">
        <f t="shared" si="5"/>
        <v/>
      </c>
      <c r="Q26" s="6">
        <v>4</v>
      </c>
      <c r="R26" s="6">
        <v>10</v>
      </c>
      <c r="S26" s="6">
        <v>59</v>
      </c>
      <c r="T26" s="6"/>
      <c r="U26" s="6">
        <f t="shared" si="7"/>
        <v>385140</v>
      </c>
      <c r="V26" s="6" t="str">
        <f t="shared" si="6"/>
        <v/>
      </c>
      <c r="X26" s="7">
        <v>1</v>
      </c>
      <c r="Y26" s="7">
        <v>3</v>
      </c>
      <c r="Z26" s="7">
        <v>20</v>
      </c>
      <c r="AA26" s="7">
        <v>6</v>
      </c>
      <c r="AB26" s="7">
        <v>20</v>
      </c>
      <c r="AC26" s="7">
        <v>1</v>
      </c>
      <c r="AD26" s="7">
        <v>5</v>
      </c>
      <c r="AE26" s="7">
        <v>18</v>
      </c>
      <c r="AF26" s="7">
        <v>17</v>
      </c>
      <c r="AG26" s="7">
        <v>19</v>
      </c>
      <c r="AH26" s="7">
        <v>1</v>
      </c>
      <c r="AI26" s="7">
        <v>3</v>
      </c>
    </row>
    <row r="27" spans="2:35" x14ac:dyDescent="0.3">
      <c r="B27" s="64">
        <v>22</v>
      </c>
      <c r="C27" s="151">
        <v>22</v>
      </c>
      <c r="D27" s="4">
        <v>36000000</v>
      </c>
      <c r="E27" s="6" t="str">
        <f t="shared" si="0"/>
        <v/>
      </c>
      <c r="F27" s="4">
        <v>36000000</v>
      </c>
      <c r="G27" s="6" t="str">
        <f t="shared" si="1"/>
        <v/>
      </c>
      <c r="H27" s="4">
        <v>7200000</v>
      </c>
      <c r="I27" s="6" t="str">
        <f t="shared" si="2"/>
        <v/>
      </c>
      <c r="J27" s="4">
        <v>1800000</v>
      </c>
      <c r="K27" s="6" t="str">
        <f t="shared" si="3"/>
        <v/>
      </c>
      <c r="L27" s="6"/>
      <c r="M27" s="6" t="str">
        <f t="shared" si="4"/>
        <v/>
      </c>
      <c r="N27" s="6"/>
      <c r="O27" s="6" t="str">
        <f t="shared" si="5"/>
        <v/>
      </c>
      <c r="Q27" s="6">
        <v>6</v>
      </c>
      <c r="R27" s="6">
        <v>16</v>
      </c>
      <c r="S27" s="6">
        <v>29</v>
      </c>
      <c r="T27" s="6"/>
      <c r="U27" s="6">
        <f t="shared" si="7"/>
        <v>577740</v>
      </c>
      <c r="V27" s="6" t="str">
        <f t="shared" si="6"/>
        <v/>
      </c>
      <c r="X27" s="7">
        <v>1</v>
      </c>
      <c r="Y27" s="7">
        <v>3</v>
      </c>
      <c r="Z27" s="7">
        <v>21</v>
      </c>
      <c r="AA27" s="7">
        <v>6</v>
      </c>
      <c r="AB27" s="7">
        <v>20</v>
      </c>
      <c r="AC27" s="7">
        <v>1</v>
      </c>
      <c r="AD27" s="7">
        <v>5</v>
      </c>
      <c r="AE27" s="7">
        <v>18</v>
      </c>
      <c r="AF27" s="7">
        <v>21</v>
      </c>
      <c r="AG27" s="7">
        <v>19</v>
      </c>
      <c r="AH27" s="7">
        <v>1</v>
      </c>
      <c r="AI27" s="7">
        <v>3</v>
      </c>
    </row>
    <row r="28" spans="2:35" x14ac:dyDescent="0.3">
      <c r="B28" s="64">
        <v>23</v>
      </c>
      <c r="C28" s="151">
        <v>23</v>
      </c>
      <c r="D28" s="4">
        <v>44000000</v>
      </c>
      <c r="E28" s="6" t="str">
        <f t="shared" si="0"/>
        <v/>
      </c>
      <c r="F28" s="4">
        <v>44000000</v>
      </c>
      <c r="G28" s="6" t="str">
        <f t="shared" si="1"/>
        <v/>
      </c>
      <c r="H28" s="4">
        <v>8900000</v>
      </c>
      <c r="I28" s="6" t="str">
        <f t="shared" si="2"/>
        <v/>
      </c>
      <c r="J28" s="4">
        <v>2200000</v>
      </c>
      <c r="K28" s="6" t="str">
        <f t="shared" si="3"/>
        <v/>
      </c>
      <c r="L28" s="6"/>
      <c r="M28" s="6" t="str">
        <f t="shared" si="4"/>
        <v/>
      </c>
      <c r="N28" s="6"/>
      <c r="O28" s="6" t="str">
        <f t="shared" si="5"/>
        <v/>
      </c>
      <c r="Q28" s="6">
        <v>9</v>
      </c>
      <c r="R28" s="6">
        <v>8</v>
      </c>
      <c r="S28" s="6">
        <v>40</v>
      </c>
      <c r="T28" s="6"/>
      <c r="U28" s="6">
        <f t="shared" si="7"/>
        <v>808800</v>
      </c>
      <c r="V28" s="6" t="str">
        <f t="shared" si="6"/>
        <v/>
      </c>
      <c r="X28" s="7">
        <v>1</v>
      </c>
      <c r="Y28" s="7">
        <v>3</v>
      </c>
      <c r="Z28" s="7">
        <v>22</v>
      </c>
      <c r="AA28" s="7">
        <v>6</v>
      </c>
      <c r="AB28" s="7">
        <v>20</v>
      </c>
      <c r="AC28" s="7">
        <v>1</v>
      </c>
      <c r="AD28" s="7">
        <v>5</v>
      </c>
      <c r="AE28" s="7">
        <v>22</v>
      </c>
      <c r="AF28" s="7">
        <v>21</v>
      </c>
      <c r="AG28" s="7">
        <v>19</v>
      </c>
      <c r="AH28" s="7">
        <v>1</v>
      </c>
      <c r="AI28" s="7">
        <v>3</v>
      </c>
    </row>
    <row r="29" spans="2:35" x14ac:dyDescent="0.3">
      <c r="B29" s="64">
        <v>24</v>
      </c>
      <c r="C29" s="151">
        <v>24</v>
      </c>
      <c r="D29" s="4">
        <v>60000000</v>
      </c>
      <c r="E29" s="6" t="str">
        <f t="shared" si="0"/>
        <v/>
      </c>
      <c r="F29" s="4">
        <v>60000000</v>
      </c>
      <c r="G29" s="6" t="str">
        <f t="shared" si="1"/>
        <v/>
      </c>
      <c r="H29" s="4">
        <v>12000000</v>
      </c>
      <c r="I29" s="6" t="str">
        <f t="shared" si="2"/>
        <v/>
      </c>
      <c r="J29" s="4">
        <v>3000000</v>
      </c>
      <c r="K29" s="6" t="str">
        <f t="shared" si="3"/>
        <v/>
      </c>
      <c r="L29" s="6"/>
      <c r="M29" s="6" t="str">
        <f t="shared" si="4"/>
        <v/>
      </c>
      <c r="N29" s="6"/>
      <c r="O29" s="6" t="str">
        <f t="shared" si="5"/>
        <v/>
      </c>
      <c r="Q29" s="6">
        <v>13</v>
      </c>
      <c r="R29" s="6">
        <v>2</v>
      </c>
      <c r="S29" s="6">
        <v>33</v>
      </c>
      <c r="T29" s="6"/>
      <c r="U29" s="6">
        <f t="shared" si="7"/>
        <v>1132380</v>
      </c>
      <c r="V29" s="6" t="str">
        <f t="shared" si="6"/>
        <v/>
      </c>
      <c r="X29" s="7">
        <v>1</v>
      </c>
      <c r="Y29" s="7">
        <v>3</v>
      </c>
      <c r="Z29" s="7">
        <v>23</v>
      </c>
      <c r="AA29" s="7">
        <v>6</v>
      </c>
      <c r="AB29" s="7">
        <v>20</v>
      </c>
      <c r="AC29" s="7">
        <v>1</v>
      </c>
      <c r="AD29" s="7">
        <v>5</v>
      </c>
      <c r="AE29" s="7">
        <v>22</v>
      </c>
      <c r="AF29" s="7">
        <v>21</v>
      </c>
      <c r="AG29" s="7">
        <v>23</v>
      </c>
      <c r="AH29" s="7">
        <v>1</v>
      </c>
      <c r="AI29" s="7">
        <v>3</v>
      </c>
    </row>
    <row r="30" spans="2:35" x14ac:dyDescent="0.3">
      <c r="B30" s="64">
        <v>25</v>
      </c>
      <c r="C30" s="151">
        <v>25</v>
      </c>
      <c r="D30" s="4">
        <v>81000000</v>
      </c>
      <c r="E30" s="6" t="str">
        <f t="shared" si="0"/>
        <v/>
      </c>
      <c r="F30" s="4">
        <v>81000000</v>
      </c>
      <c r="G30" s="6" t="str">
        <f t="shared" si="1"/>
        <v/>
      </c>
      <c r="H30" s="4">
        <v>16000000</v>
      </c>
      <c r="I30" s="6" t="str">
        <f t="shared" si="2"/>
        <v/>
      </c>
      <c r="J30" s="4">
        <v>4000000</v>
      </c>
      <c r="K30" s="6" t="str">
        <f t="shared" si="3"/>
        <v/>
      </c>
      <c r="L30" s="6"/>
      <c r="M30" s="6" t="str">
        <f t="shared" si="4"/>
        <v/>
      </c>
      <c r="N30" s="6"/>
      <c r="O30" s="6" t="str">
        <f t="shared" si="5"/>
        <v/>
      </c>
      <c r="Q30" s="6">
        <v>18</v>
      </c>
      <c r="R30" s="6">
        <v>8</v>
      </c>
      <c r="S30" s="6">
        <v>22</v>
      </c>
      <c r="T30" s="6"/>
      <c r="U30" s="6">
        <f t="shared" si="7"/>
        <v>1585320</v>
      </c>
      <c r="V30" s="6" t="str">
        <f t="shared" si="6"/>
        <v/>
      </c>
      <c r="X30" s="7">
        <v>1</v>
      </c>
      <c r="Y30" s="7">
        <v>3</v>
      </c>
      <c r="Z30" s="7">
        <v>24</v>
      </c>
      <c r="AA30" s="7">
        <v>6</v>
      </c>
      <c r="AB30" s="7">
        <v>24</v>
      </c>
      <c r="AC30" s="7">
        <v>1</v>
      </c>
      <c r="AD30" s="7">
        <v>5</v>
      </c>
      <c r="AE30" s="7">
        <v>22</v>
      </c>
      <c r="AF30" s="7">
        <v>21</v>
      </c>
      <c r="AG30" s="7">
        <v>23</v>
      </c>
      <c r="AH30" s="7">
        <v>1</v>
      </c>
      <c r="AI30" s="7">
        <v>3</v>
      </c>
    </row>
    <row r="31" spans="2:35" x14ac:dyDescent="0.3">
      <c r="B31" s="64">
        <v>26</v>
      </c>
      <c r="C31" s="151">
        <v>26</v>
      </c>
      <c r="D31" s="4">
        <v>100000000</v>
      </c>
      <c r="E31" s="6" t="str">
        <f t="shared" si="0"/>
        <v/>
      </c>
      <c r="F31" s="4">
        <v>100000000</v>
      </c>
      <c r="G31" s="6" t="str">
        <f t="shared" si="1"/>
        <v/>
      </c>
      <c r="H31" s="4">
        <v>21000000</v>
      </c>
      <c r="I31" s="6" t="str">
        <f t="shared" si="2"/>
        <v/>
      </c>
      <c r="J31" s="4">
        <v>5200000</v>
      </c>
      <c r="K31" s="6" t="str">
        <f t="shared" si="3"/>
        <v/>
      </c>
      <c r="L31" s="6"/>
      <c r="M31" s="6" t="str">
        <f t="shared" si="4"/>
        <v/>
      </c>
      <c r="N31" s="6"/>
      <c r="O31" s="6" t="str">
        <f t="shared" si="5"/>
        <v/>
      </c>
      <c r="Q31" s="6">
        <v>21</v>
      </c>
      <c r="R31" s="6">
        <v>2</v>
      </c>
      <c r="S31" s="6">
        <v>26</v>
      </c>
      <c r="T31" s="6"/>
      <c r="U31" s="6">
        <f t="shared" si="7"/>
        <v>1823160</v>
      </c>
      <c r="V31" s="6" t="str">
        <f t="shared" si="6"/>
        <v/>
      </c>
      <c r="X31" s="7">
        <v>1</v>
      </c>
      <c r="Y31" s="7">
        <v>3</v>
      </c>
      <c r="Z31" s="7">
        <v>25</v>
      </c>
      <c r="AA31" s="7">
        <v>6</v>
      </c>
      <c r="AB31" s="7">
        <v>24</v>
      </c>
      <c r="AC31" s="7">
        <v>1</v>
      </c>
      <c r="AD31" s="7">
        <v>5</v>
      </c>
      <c r="AE31" s="7">
        <v>22</v>
      </c>
      <c r="AF31" s="7">
        <v>25</v>
      </c>
      <c r="AG31" s="7">
        <v>23</v>
      </c>
      <c r="AH31" s="7">
        <v>1</v>
      </c>
      <c r="AI31" s="7">
        <v>3</v>
      </c>
    </row>
    <row r="32" spans="2:35" x14ac:dyDescent="0.3">
      <c r="B32" s="64">
        <v>27</v>
      </c>
      <c r="C32" s="151">
        <v>27</v>
      </c>
      <c r="D32" s="4">
        <v>140000000</v>
      </c>
      <c r="E32" s="6" t="str">
        <f t="shared" si="0"/>
        <v/>
      </c>
      <c r="F32" s="4">
        <v>140000000</v>
      </c>
      <c r="G32" s="6" t="str">
        <f t="shared" si="1"/>
        <v/>
      </c>
      <c r="H32" s="4">
        <v>24000000</v>
      </c>
      <c r="I32" s="6" t="str">
        <f t="shared" si="2"/>
        <v/>
      </c>
      <c r="J32" s="4">
        <v>7400000</v>
      </c>
      <c r="K32" s="6" t="str">
        <f t="shared" si="3"/>
        <v/>
      </c>
      <c r="L32" s="6"/>
      <c r="M32" s="6" t="str">
        <f t="shared" si="4"/>
        <v/>
      </c>
      <c r="N32" s="6"/>
      <c r="O32" s="6" t="str">
        <f t="shared" si="5"/>
        <v/>
      </c>
      <c r="Q32" s="6">
        <v>25</v>
      </c>
      <c r="R32" s="6">
        <v>7</v>
      </c>
      <c r="S32" s="6">
        <v>43</v>
      </c>
      <c r="T32" s="6"/>
      <c r="U32" s="6">
        <f t="shared" si="7"/>
        <v>2187780</v>
      </c>
      <c r="V32" s="6" t="str">
        <f t="shared" si="6"/>
        <v/>
      </c>
      <c r="X32" s="7">
        <v>1</v>
      </c>
      <c r="Y32" s="7">
        <v>3</v>
      </c>
      <c r="Z32" s="7">
        <v>26</v>
      </c>
      <c r="AA32" s="7">
        <v>6</v>
      </c>
      <c r="AB32" s="7">
        <v>24</v>
      </c>
      <c r="AC32" s="7">
        <v>1</v>
      </c>
      <c r="AD32" s="7">
        <v>5</v>
      </c>
      <c r="AE32" s="7">
        <v>26</v>
      </c>
      <c r="AF32" s="7">
        <v>25</v>
      </c>
      <c r="AG32" s="7">
        <v>23</v>
      </c>
      <c r="AH32" s="7">
        <v>1</v>
      </c>
      <c r="AI32" s="7">
        <v>3</v>
      </c>
    </row>
    <row r="33" spans="2:35" x14ac:dyDescent="0.3">
      <c r="B33" s="64">
        <v>28</v>
      </c>
      <c r="C33" s="151">
        <v>28</v>
      </c>
      <c r="D33" s="4">
        <v>190000000</v>
      </c>
      <c r="E33" s="6" t="str">
        <f t="shared" si="0"/>
        <v/>
      </c>
      <c r="F33" s="4">
        <v>190000000</v>
      </c>
      <c r="G33" s="6" t="str">
        <f t="shared" si="1"/>
        <v/>
      </c>
      <c r="H33" s="4">
        <v>39000000</v>
      </c>
      <c r="I33" s="6" t="str">
        <f t="shared" si="2"/>
        <v/>
      </c>
      <c r="J33" s="4">
        <v>9900000</v>
      </c>
      <c r="K33" s="6" t="str">
        <f t="shared" si="3"/>
        <v/>
      </c>
      <c r="L33" s="6"/>
      <c r="M33" s="6" t="str">
        <f t="shared" si="4"/>
        <v/>
      </c>
      <c r="N33" s="6"/>
      <c r="O33" s="6" t="str">
        <f t="shared" si="5"/>
        <v/>
      </c>
      <c r="Q33" s="6">
        <v>29</v>
      </c>
      <c r="R33" s="6">
        <v>2</v>
      </c>
      <c r="S33" s="6">
        <v>52</v>
      </c>
      <c r="T33" s="6"/>
      <c r="U33" s="6">
        <f t="shared" si="7"/>
        <v>2515920</v>
      </c>
      <c r="V33" s="6" t="str">
        <f t="shared" si="6"/>
        <v/>
      </c>
      <c r="X33" s="7">
        <v>1</v>
      </c>
      <c r="Y33" s="7">
        <v>3</v>
      </c>
      <c r="Z33" s="7">
        <v>27</v>
      </c>
      <c r="AA33" s="7">
        <v>6</v>
      </c>
      <c r="AB33" s="7">
        <v>24</v>
      </c>
      <c r="AC33" s="7">
        <v>1</v>
      </c>
      <c r="AD33" s="7">
        <v>5</v>
      </c>
      <c r="AE33" s="7">
        <v>26</v>
      </c>
      <c r="AF33" s="7">
        <v>25</v>
      </c>
      <c r="AG33" s="7">
        <v>27</v>
      </c>
      <c r="AH33" s="7">
        <v>1</v>
      </c>
      <c r="AI33" s="7">
        <v>3</v>
      </c>
    </row>
    <row r="34" spans="2:35" x14ac:dyDescent="0.3">
      <c r="B34" s="64">
        <v>29</v>
      </c>
      <c r="C34" s="151">
        <v>29</v>
      </c>
      <c r="D34" s="4">
        <v>240000000</v>
      </c>
      <c r="E34" s="6" t="str">
        <f t="shared" si="0"/>
        <v/>
      </c>
      <c r="F34" s="4">
        <v>240000000</v>
      </c>
      <c r="G34" s="6" t="str">
        <f t="shared" si="1"/>
        <v/>
      </c>
      <c r="H34" s="4">
        <v>49000000</v>
      </c>
      <c r="I34" s="6" t="str">
        <f t="shared" si="2"/>
        <v/>
      </c>
      <c r="J34" s="4">
        <v>12000000</v>
      </c>
      <c r="K34" s="6" t="str">
        <f t="shared" si="3"/>
        <v/>
      </c>
      <c r="L34" s="6"/>
      <c r="M34" s="6" t="str">
        <f t="shared" si="4"/>
        <v/>
      </c>
      <c r="N34" s="6"/>
      <c r="O34" s="6" t="str">
        <f t="shared" si="5"/>
        <v/>
      </c>
      <c r="Q34" s="6">
        <v>33</v>
      </c>
      <c r="R34" s="6">
        <v>11</v>
      </c>
      <c r="S34" s="6">
        <v>42</v>
      </c>
      <c r="T34" s="6"/>
      <c r="U34" s="6">
        <f t="shared" si="7"/>
        <v>2893320</v>
      </c>
      <c r="V34" s="6" t="str">
        <f t="shared" si="6"/>
        <v/>
      </c>
      <c r="X34" s="7">
        <v>1</v>
      </c>
      <c r="Y34" s="7">
        <v>3</v>
      </c>
      <c r="Z34" s="7">
        <v>28</v>
      </c>
      <c r="AA34" s="7">
        <v>6</v>
      </c>
      <c r="AB34" s="7">
        <v>28</v>
      </c>
      <c r="AC34" s="7">
        <v>1</v>
      </c>
      <c r="AD34" s="7">
        <v>5</v>
      </c>
      <c r="AE34" s="7">
        <v>26</v>
      </c>
      <c r="AF34" s="7">
        <v>25</v>
      </c>
      <c r="AG34" s="7">
        <v>27</v>
      </c>
      <c r="AH34" s="7">
        <v>1</v>
      </c>
      <c r="AI34" s="7">
        <v>3</v>
      </c>
    </row>
    <row r="35" spans="2:35" x14ac:dyDescent="0.3">
      <c r="B35" s="64">
        <v>30</v>
      </c>
      <c r="C35" s="151">
        <v>30</v>
      </c>
      <c r="D35" s="4">
        <v>300000000</v>
      </c>
      <c r="E35" s="6" t="str">
        <f t="shared" si="0"/>
        <v/>
      </c>
      <c r="F35" s="4">
        <v>300000000</v>
      </c>
      <c r="G35" s="6" t="str">
        <f t="shared" si="1"/>
        <v/>
      </c>
      <c r="H35" s="4">
        <v>60000000</v>
      </c>
      <c r="I35" s="6" t="str">
        <f t="shared" si="2"/>
        <v/>
      </c>
      <c r="J35" s="4">
        <v>15000000</v>
      </c>
      <c r="K35" s="6" t="str">
        <f t="shared" si="3"/>
        <v/>
      </c>
      <c r="L35" s="6"/>
      <c r="M35" s="6" t="str">
        <f t="shared" si="4"/>
        <v/>
      </c>
      <c r="N35" s="6"/>
      <c r="O35" s="6" t="str">
        <f t="shared" si="5"/>
        <v/>
      </c>
      <c r="Q35" s="6">
        <v>40</v>
      </c>
      <c r="R35" s="6">
        <v>4</v>
      </c>
      <c r="S35" s="6">
        <v>27</v>
      </c>
      <c r="T35" s="6"/>
      <c r="U35" s="6">
        <f t="shared" si="7"/>
        <v>3472020</v>
      </c>
      <c r="V35" s="6" t="str">
        <f t="shared" si="6"/>
        <v/>
      </c>
      <c r="X35" s="7">
        <v>1</v>
      </c>
      <c r="Y35" s="7">
        <v>3</v>
      </c>
      <c r="Z35" s="7">
        <v>29</v>
      </c>
      <c r="AA35" s="7">
        <v>6</v>
      </c>
      <c r="AB35" s="7">
        <v>28</v>
      </c>
      <c r="AC35" s="7">
        <v>1</v>
      </c>
      <c r="AD35" s="7">
        <v>5</v>
      </c>
      <c r="AE35" s="7">
        <v>26</v>
      </c>
      <c r="AF35" s="7">
        <v>29</v>
      </c>
      <c r="AG35" s="7">
        <v>27</v>
      </c>
      <c r="AH35" s="7">
        <v>1</v>
      </c>
      <c r="AI35" s="7">
        <v>3</v>
      </c>
    </row>
    <row r="36" spans="2:35" x14ac:dyDescent="0.3">
      <c r="B36" s="64" t="s">
        <v>34</v>
      </c>
      <c r="C36" s="151">
        <v>31</v>
      </c>
      <c r="D36" s="4">
        <v>67000000</v>
      </c>
      <c r="E36" s="6" t="str">
        <f t="shared" si="0"/>
        <v/>
      </c>
      <c r="F36" s="4">
        <v>67000000</v>
      </c>
      <c r="G36" s="6" t="str">
        <f t="shared" si="1"/>
        <v/>
      </c>
      <c r="H36" s="4">
        <v>13000000</v>
      </c>
      <c r="I36" s="6" t="str">
        <f t="shared" si="2"/>
        <v/>
      </c>
      <c r="J36" s="4">
        <v>3300000</v>
      </c>
      <c r="K36" s="6" t="str">
        <f t="shared" si="3"/>
        <v/>
      </c>
      <c r="L36" s="6">
        <v>132</v>
      </c>
      <c r="M36" s="6" t="str">
        <f t="shared" si="4"/>
        <v/>
      </c>
      <c r="N36" s="6"/>
      <c r="O36" s="6" t="str">
        <f t="shared" si="5"/>
        <v/>
      </c>
      <c r="Q36" s="6">
        <v>7</v>
      </c>
      <c r="R36" s="6"/>
      <c r="S36" s="6"/>
      <c r="T36" s="6"/>
      <c r="U36" s="6">
        <f t="shared" si="7"/>
        <v>604800</v>
      </c>
      <c r="V36" s="6" t="str">
        <f t="shared" si="6"/>
        <v/>
      </c>
      <c r="X36" s="7">
        <v>1</v>
      </c>
      <c r="Y36" s="7">
        <v>3</v>
      </c>
      <c r="Z36" s="7">
        <v>30</v>
      </c>
      <c r="AA36" s="7">
        <v>6</v>
      </c>
      <c r="AB36" s="7">
        <v>28</v>
      </c>
      <c r="AC36" s="7">
        <v>1</v>
      </c>
      <c r="AD36" s="7">
        <v>5</v>
      </c>
      <c r="AE36" s="7">
        <v>26</v>
      </c>
      <c r="AF36" s="7">
        <v>29</v>
      </c>
      <c r="AG36" s="7">
        <v>30</v>
      </c>
      <c r="AH36" s="7">
        <v>1</v>
      </c>
      <c r="AI36" s="7">
        <v>3</v>
      </c>
    </row>
    <row r="37" spans="2:35" x14ac:dyDescent="0.3">
      <c r="B37" s="64" t="s">
        <v>35</v>
      </c>
      <c r="C37" s="151">
        <v>32</v>
      </c>
      <c r="D37" s="4">
        <v>67000000</v>
      </c>
      <c r="E37" s="6" t="str">
        <f t="shared" si="0"/>
        <v/>
      </c>
      <c r="F37" s="4">
        <v>67000000</v>
      </c>
      <c r="G37" s="6" t="str">
        <f t="shared" si="1"/>
        <v/>
      </c>
      <c r="H37" s="4">
        <v>13000000</v>
      </c>
      <c r="I37" s="6" t="str">
        <f t="shared" si="2"/>
        <v/>
      </c>
      <c r="J37" s="4">
        <v>3300000</v>
      </c>
      <c r="K37" s="6" t="str">
        <f t="shared" si="3"/>
        <v/>
      </c>
      <c r="L37" s="6">
        <v>132</v>
      </c>
      <c r="M37" s="6" t="str">
        <f t="shared" si="4"/>
        <v/>
      </c>
      <c r="N37" s="6"/>
      <c r="O37" s="6" t="str">
        <f t="shared" si="5"/>
        <v/>
      </c>
      <c r="Q37" s="6">
        <v>7</v>
      </c>
      <c r="R37" s="6"/>
      <c r="S37" s="6"/>
      <c r="T37" s="6"/>
      <c r="U37" s="6">
        <f t="shared" si="7"/>
        <v>604800</v>
      </c>
      <c r="V37" s="6" t="str">
        <f t="shared" si="6"/>
        <v/>
      </c>
      <c r="X37" s="7">
        <v>1</v>
      </c>
      <c r="Y37" s="7">
        <v>3</v>
      </c>
      <c r="Z37" s="7">
        <v>30</v>
      </c>
      <c r="AA37" s="7">
        <v>6</v>
      </c>
      <c r="AB37" s="7">
        <v>28</v>
      </c>
      <c r="AC37" s="7">
        <v>1</v>
      </c>
      <c r="AD37" s="7">
        <v>5</v>
      </c>
      <c r="AE37" s="7">
        <v>26</v>
      </c>
      <c r="AF37" s="7">
        <v>29</v>
      </c>
      <c r="AG37" s="7">
        <v>30</v>
      </c>
      <c r="AH37" s="7">
        <v>1</v>
      </c>
      <c r="AI37" s="7">
        <v>3</v>
      </c>
    </row>
    <row r="38" spans="2:35" x14ac:dyDescent="0.3">
      <c r="B38" s="64" t="s">
        <v>36</v>
      </c>
      <c r="C38" s="151">
        <v>33</v>
      </c>
      <c r="D38" s="4">
        <v>67000000</v>
      </c>
      <c r="E38" s="6" t="str">
        <f t="shared" ref="E38:E69" si="8">IF($C38&gt;VLOOKUP(FurnaceDesired,$B$6:$C$85,2,FALSE),"",IF($C38&gt;VLOOKUP(FurnaceCurrent,$B$6:$C$85,2,FALSE),D38,""))</f>
        <v/>
      </c>
      <c r="F38" s="4">
        <v>67000000</v>
      </c>
      <c r="G38" s="6" t="str">
        <f t="shared" ref="G38:G69" si="9">IF($C38&gt;VLOOKUP(FurnaceDesired,$B$6:$C$85,2,FALSE),"",IF($C38&gt;VLOOKUP(FurnaceCurrent,$B$6:$C$85,2,FALSE),F38,""))</f>
        <v/>
      </c>
      <c r="H38" s="4">
        <v>13000000</v>
      </c>
      <c r="I38" s="6" t="str">
        <f t="shared" ref="I38:I69" si="10">IF($C38&gt;VLOOKUP(FurnaceDesired,$B$6:$C$85,2,FALSE),"",IF($C38&gt;VLOOKUP(FurnaceCurrent,$B$6:$C$85,2,FALSE),H38,""))</f>
        <v/>
      </c>
      <c r="J38" s="4">
        <v>3300000</v>
      </c>
      <c r="K38" s="6" t="str">
        <f t="shared" ref="K38:K69" si="11">IF($C38&gt;VLOOKUP(FurnaceDesired,$B$6:$C$85,2,FALSE),"",IF($C38&gt;VLOOKUP(FurnaceCurrent,$B$6:$C$85,2,FALSE),J38,""))</f>
        <v/>
      </c>
      <c r="L38" s="6">
        <v>132</v>
      </c>
      <c r="M38" s="6" t="str">
        <f t="shared" ref="M38:M69" si="12">IF($C38&gt;VLOOKUP(FurnaceDesired,$B$6:$C$85,2,FALSE),"",IF($C38&gt;VLOOKUP(FurnaceCurrent,$B$6:$C$85,2,FALSE),L38,""))</f>
        <v/>
      </c>
      <c r="N38" s="6"/>
      <c r="O38" s="6" t="str">
        <f t="shared" ref="O38:O69" si="13">IF($C38&gt;VLOOKUP(FurnaceDesired,$B$6:$C$85,2,FALSE),"",IF($C38&gt;VLOOKUP(FurnaceCurrent,$B$6:$C$85,2,FALSE),N38,""))</f>
        <v/>
      </c>
      <c r="Q38" s="6">
        <v>7</v>
      </c>
      <c r="R38" s="6"/>
      <c r="S38" s="6"/>
      <c r="T38" s="6"/>
      <c r="U38" s="6">
        <f t="shared" si="7"/>
        <v>604800</v>
      </c>
      <c r="V38" s="6" t="str">
        <f t="shared" ref="V38:V69" si="14">IF($C38&gt;VLOOKUP(FurnaceDesired,$B$6:$C$85,2,FALSE),"",IF($C38&gt;VLOOKUP(FurnaceCurrent,$B$6:$C$85,2,FALSE),U38,""))</f>
        <v/>
      </c>
      <c r="X38" s="7">
        <v>1</v>
      </c>
      <c r="Y38" s="7">
        <v>3</v>
      </c>
      <c r="Z38" s="7">
        <v>30</v>
      </c>
      <c r="AA38" s="7">
        <v>6</v>
      </c>
      <c r="AB38" s="7">
        <v>28</v>
      </c>
      <c r="AC38" s="7">
        <v>1</v>
      </c>
      <c r="AD38" s="7">
        <v>5</v>
      </c>
      <c r="AE38" s="7">
        <v>26</v>
      </c>
      <c r="AF38" s="7">
        <v>29</v>
      </c>
      <c r="AG38" s="7">
        <v>30</v>
      </c>
      <c r="AH38" s="7">
        <v>1</v>
      </c>
      <c r="AI38" s="7">
        <v>3</v>
      </c>
    </row>
    <row r="39" spans="2:35" x14ac:dyDescent="0.3">
      <c r="B39" s="64" t="s">
        <v>37</v>
      </c>
      <c r="C39" s="151">
        <v>34</v>
      </c>
      <c r="D39" s="4">
        <v>67000000</v>
      </c>
      <c r="E39" s="6" t="str">
        <f t="shared" si="8"/>
        <v/>
      </c>
      <c r="F39" s="4">
        <v>67000000</v>
      </c>
      <c r="G39" s="6" t="str">
        <f t="shared" si="9"/>
        <v/>
      </c>
      <c r="H39" s="4">
        <v>13000000</v>
      </c>
      <c r="I39" s="6" t="str">
        <f t="shared" si="10"/>
        <v/>
      </c>
      <c r="J39" s="4">
        <v>3300000</v>
      </c>
      <c r="K39" s="6" t="str">
        <f t="shared" si="11"/>
        <v/>
      </c>
      <c r="L39" s="6">
        <v>132</v>
      </c>
      <c r="M39" s="6" t="str">
        <f t="shared" si="12"/>
        <v/>
      </c>
      <c r="N39" s="6"/>
      <c r="O39" s="6" t="str">
        <f t="shared" si="13"/>
        <v/>
      </c>
      <c r="Q39" s="6">
        <v>7</v>
      </c>
      <c r="R39" s="6"/>
      <c r="S39" s="6"/>
      <c r="T39" s="6"/>
      <c r="U39" s="6">
        <f t="shared" si="7"/>
        <v>604800</v>
      </c>
      <c r="V39" s="6" t="str">
        <f t="shared" si="14"/>
        <v/>
      </c>
      <c r="X39" s="7">
        <v>1</v>
      </c>
      <c r="Y39" s="7">
        <v>3</v>
      </c>
      <c r="Z39" s="7">
        <v>30</v>
      </c>
      <c r="AA39" s="7">
        <v>6</v>
      </c>
      <c r="AB39" s="7">
        <v>28</v>
      </c>
      <c r="AC39" s="7">
        <v>1</v>
      </c>
      <c r="AD39" s="7">
        <v>5</v>
      </c>
      <c r="AE39" s="7">
        <v>26</v>
      </c>
      <c r="AF39" s="7">
        <v>29</v>
      </c>
      <c r="AG39" s="7">
        <v>30</v>
      </c>
      <c r="AH39" s="7">
        <v>1</v>
      </c>
      <c r="AI39" s="7">
        <v>3</v>
      </c>
    </row>
    <row r="40" spans="2:35" x14ac:dyDescent="0.3">
      <c r="B40" s="64" t="s">
        <v>38</v>
      </c>
      <c r="C40" s="151">
        <v>35</v>
      </c>
      <c r="D40" s="4">
        <v>67000000</v>
      </c>
      <c r="E40" s="6" t="str">
        <f t="shared" si="8"/>
        <v/>
      </c>
      <c r="F40" s="4">
        <v>67000000</v>
      </c>
      <c r="G40" s="6" t="str">
        <f t="shared" si="9"/>
        <v/>
      </c>
      <c r="H40" s="4">
        <v>13000000</v>
      </c>
      <c r="I40" s="6" t="str">
        <f t="shared" si="10"/>
        <v/>
      </c>
      <c r="J40" s="4">
        <v>3300000</v>
      </c>
      <c r="K40" s="6" t="str">
        <f t="shared" si="11"/>
        <v/>
      </c>
      <c r="L40" s="6">
        <v>132</v>
      </c>
      <c r="M40" s="6" t="str">
        <f t="shared" si="12"/>
        <v/>
      </c>
      <c r="N40" s="6"/>
      <c r="O40" s="6" t="str">
        <f t="shared" si="13"/>
        <v/>
      </c>
      <c r="Q40" s="6">
        <v>7</v>
      </c>
      <c r="R40" s="6"/>
      <c r="S40" s="6"/>
      <c r="T40" s="6"/>
      <c r="U40" s="6">
        <f t="shared" si="7"/>
        <v>604800</v>
      </c>
      <c r="V40" s="6" t="str">
        <f t="shared" si="14"/>
        <v/>
      </c>
      <c r="X40" s="7">
        <v>1</v>
      </c>
      <c r="Y40" s="7">
        <v>3</v>
      </c>
      <c r="Z40" s="7">
        <v>30</v>
      </c>
      <c r="AA40" s="7">
        <v>6</v>
      </c>
      <c r="AB40" s="7">
        <v>28</v>
      </c>
      <c r="AC40" s="7">
        <v>1</v>
      </c>
      <c r="AD40" s="7">
        <v>5</v>
      </c>
      <c r="AE40" s="7">
        <v>26</v>
      </c>
      <c r="AF40" s="7">
        <v>29</v>
      </c>
      <c r="AG40" s="7">
        <v>30</v>
      </c>
      <c r="AH40" s="7">
        <v>1</v>
      </c>
      <c r="AI40" s="7">
        <v>3</v>
      </c>
    </row>
    <row r="41" spans="2:35" x14ac:dyDescent="0.3">
      <c r="B41" s="64" t="s">
        <v>39</v>
      </c>
      <c r="C41" s="151">
        <v>36</v>
      </c>
      <c r="D41" s="4">
        <v>72000000</v>
      </c>
      <c r="E41" s="6" t="str">
        <f t="shared" si="8"/>
        <v/>
      </c>
      <c r="F41" s="4">
        <v>72000000</v>
      </c>
      <c r="G41" s="6" t="str">
        <f t="shared" si="9"/>
        <v/>
      </c>
      <c r="H41" s="4">
        <v>14000000</v>
      </c>
      <c r="I41" s="6" t="str">
        <f t="shared" si="10"/>
        <v/>
      </c>
      <c r="J41" s="4">
        <v>3600000</v>
      </c>
      <c r="K41" s="6" t="str">
        <f t="shared" si="11"/>
        <v/>
      </c>
      <c r="L41" s="6">
        <v>158</v>
      </c>
      <c r="M41" s="6" t="str">
        <f t="shared" si="12"/>
        <v/>
      </c>
      <c r="N41" s="6"/>
      <c r="O41" s="6" t="str">
        <f t="shared" si="13"/>
        <v/>
      </c>
      <c r="Q41" s="6">
        <v>9</v>
      </c>
      <c r="R41" s="6"/>
      <c r="S41" s="6"/>
      <c r="T41" s="6"/>
      <c r="U41" s="6">
        <f t="shared" si="7"/>
        <v>777600</v>
      </c>
      <c r="V41" s="6" t="str">
        <f t="shared" si="14"/>
        <v/>
      </c>
      <c r="X41" s="7">
        <v>1</v>
      </c>
      <c r="Y41" s="7">
        <v>3</v>
      </c>
      <c r="Z41" s="7" t="s">
        <v>38</v>
      </c>
      <c r="AA41" s="7">
        <v>6</v>
      </c>
      <c r="AB41" s="7">
        <v>28</v>
      </c>
      <c r="AC41" s="7">
        <v>1</v>
      </c>
      <c r="AD41" s="7">
        <v>5</v>
      </c>
      <c r="AE41" s="7" t="s">
        <v>38</v>
      </c>
      <c r="AF41" s="7">
        <v>29</v>
      </c>
      <c r="AG41" s="7">
        <v>30</v>
      </c>
      <c r="AH41" s="7">
        <v>1</v>
      </c>
      <c r="AI41" s="7">
        <v>3</v>
      </c>
    </row>
    <row r="42" spans="2:35" x14ac:dyDescent="0.3">
      <c r="B42" s="64" t="s">
        <v>40</v>
      </c>
      <c r="C42" s="151">
        <v>37</v>
      </c>
      <c r="D42" s="4">
        <v>72000000</v>
      </c>
      <c r="E42" s="6" t="str">
        <f t="shared" si="8"/>
        <v/>
      </c>
      <c r="F42" s="4">
        <v>72000000</v>
      </c>
      <c r="G42" s="6" t="str">
        <f t="shared" si="9"/>
        <v/>
      </c>
      <c r="H42" s="4">
        <v>14000000</v>
      </c>
      <c r="I42" s="6" t="str">
        <f t="shared" si="10"/>
        <v/>
      </c>
      <c r="J42" s="4">
        <v>3600000</v>
      </c>
      <c r="K42" s="6" t="str">
        <f t="shared" si="11"/>
        <v/>
      </c>
      <c r="L42" s="6">
        <v>158</v>
      </c>
      <c r="M42" s="6" t="str">
        <f t="shared" si="12"/>
        <v/>
      </c>
      <c r="N42" s="6"/>
      <c r="O42" s="6" t="str">
        <f t="shared" si="13"/>
        <v/>
      </c>
      <c r="Q42" s="6">
        <v>9</v>
      </c>
      <c r="R42" s="6"/>
      <c r="S42" s="6"/>
      <c r="T42" s="6"/>
      <c r="U42" s="6">
        <f t="shared" si="7"/>
        <v>777600</v>
      </c>
      <c r="V42" s="6" t="str">
        <f t="shared" si="14"/>
        <v/>
      </c>
      <c r="X42" s="7">
        <v>1</v>
      </c>
      <c r="Y42" s="7">
        <v>3</v>
      </c>
      <c r="Z42" s="7" t="s">
        <v>38</v>
      </c>
      <c r="AA42" s="7">
        <v>6</v>
      </c>
      <c r="AB42" s="7">
        <v>28</v>
      </c>
      <c r="AC42" s="7">
        <v>1</v>
      </c>
      <c r="AD42" s="7">
        <v>5</v>
      </c>
      <c r="AE42" s="7" t="s">
        <v>38</v>
      </c>
      <c r="AF42" s="7">
        <v>29</v>
      </c>
      <c r="AG42" s="7">
        <v>30</v>
      </c>
      <c r="AH42" s="7">
        <v>1</v>
      </c>
      <c r="AI42" s="7">
        <v>3</v>
      </c>
    </row>
    <row r="43" spans="2:35" x14ac:dyDescent="0.3">
      <c r="B43" s="64" t="s">
        <v>41</v>
      </c>
      <c r="C43" s="151">
        <v>38</v>
      </c>
      <c r="D43" s="4">
        <v>72000000</v>
      </c>
      <c r="E43" s="6" t="str">
        <f t="shared" si="8"/>
        <v/>
      </c>
      <c r="F43" s="4">
        <v>72000000</v>
      </c>
      <c r="G43" s="6" t="str">
        <f t="shared" si="9"/>
        <v/>
      </c>
      <c r="H43" s="4">
        <v>14000000</v>
      </c>
      <c r="I43" s="6" t="str">
        <f t="shared" si="10"/>
        <v/>
      </c>
      <c r="J43" s="4">
        <v>3600000</v>
      </c>
      <c r="K43" s="6" t="str">
        <f t="shared" si="11"/>
        <v/>
      </c>
      <c r="L43" s="6">
        <v>158</v>
      </c>
      <c r="M43" s="6" t="str">
        <f t="shared" si="12"/>
        <v/>
      </c>
      <c r="N43" s="6"/>
      <c r="O43" s="6" t="str">
        <f t="shared" si="13"/>
        <v/>
      </c>
      <c r="Q43" s="6">
        <v>9</v>
      </c>
      <c r="R43" s="6"/>
      <c r="S43" s="6"/>
      <c r="T43" s="6"/>
      <c r="U43" s="6">
        <f t="shared" si="7"/>
        <v>777600</v>
      </c>
      <c r="V43" s="6" t="str">
        <f t="shared" si="14"/>
        <v/>
      </c>
      <c r="X43" s="7">
        <v>1</v>
      </c>
      <c r="Y43" s="7">
        <v>3</v>
      </c>
      <c r="Z43" s="7" t="s">
        <v>38</v>
      </c>
      <c r="AA43" s="7">
        <v>6</v>
      </c>
      <c r="AB43" s="7">
        <v>28</v>
      </c>
      <c r="AC43" s="7">
        <v>1</v>
      </c>
      <c r="AD43" s="7">
        <v>5</v>
      </c>
      <c r="AE43" s="7" t="s">
        <v>38</v>
      </c>
      <c r="AF43" s="7">
        <v>29</v>
      </c>
      <c r="AG43" s="7">
        <v>30</v>
      </c>
      <c r="AH43" s="7">
        <v>1</v>
      </c>
      <c r="AI43" s="7">
        <v>3</v>
      </c>
    </row>
    <row r="44" spans="2:35" x14ac:dyDescent="0.3">
      <c r="B44" s="64" t="s">
        <v>42</v>
      </c>
      <c r="C44" s="151">
        <v>39</v>
      </c>
      <c r="D44" s="4">
        <v>72000000</v>
      </c>
      <c r="E44" s="6" t="str">
        <f t="shared" si="8"/>
        <v/>
      </c>
      <c r="F44" s="4">
        <v>72000000</v>
      </c>
      <c r="G44" s="6" t="str">
        <f t="shared" si="9"/>
        <v/>
      </c>
      <c r="H44" s="4">
        <v>14000000</v>
      </c>
      <c r="I44" s="6" t="str">
        <f t="shared" si="10"/>
        <v/>
      </c>
      <c r="J44" s="4">
        <v>3600000</v>
      </c>
      <c r="K44" s="6" t="str">
        <f t="shared" si="11"/>
        <v/>
      </c>
      <c r="L44" s="6">
        <v>158</v>
      </c>
      <c r="M44" s="6" t="str">
        <f t="shared" si="12"/>
        <v/>
      </c>
      <c r="N44" s="6"/>
      <c r="O44" s="6" t="str">
        <f t="shared" si="13"/>
        <v/>
      </c>
      <c r="Q44" s="6">
        <v>9</v>
      </c>
      <c r="R44" s="6"/>
      <c r="S44" s="6"/>
      <c r="T44" s="6"/>
      <c r="U44" s="6">
        <f t="shared" si="7"/>
        <v>777600</v>
      </c>
      <c r="V44" s="6" t="str">
        <f t="shared" si="14"/>
        <v/>
      </c>
      <c r="X44" s="7">
        <v>1</v>
      </c>
      <c r="Y44" s="7">
        <v>3</v>
      </c>
      <c r="Z44" s="7" t="s">
        <v>38</v>
      </c>
      <c r="AA44" s="7">
        <v>6</v>
      </c>
      <c r="AB44" s="7">
        <v>28</v>
      </c>
      <c r="AC44" s="7">
        <v>1</v>
      </c>
      <c r="AD44" s="7">
        <v>5</v>
      </c>
      <c r="AE44" s="7" t="s">
        <v>38</v>
      </c>
      <c r="AF44" s="7">
        <v>29</v>
      </c>
      <c r="AG44" s="7">
        <v>30</v>
      </c>
      <c r="AH44" s="7">
        <v>1</v>
      </c>
      <c r="AI44" s="7">
        <v>3</v>
      </c>
    </row>
    <row r="45" spans="2:35" x14ac:dyDescent="0.3">
      <c r="B45" s="64" t="s">
        <v>43</v>
      </c>
      <c r="C45" s="151">
        <v>40</v>
      </c>
      <c r="D45" s="4">
        <v>72000000</v>
      </c>
      <c r="E45" s="6" t="str">
        <f t="shared" si="8"/>
        <v/>
      </c>
      <c r="F45" s="4">
        <v>72000000</v>
      </c>
      <c r="G45" s="6" t="str">
        <f t="shared" si="9"/>
        <v/>
      </c>
      <c r="H45" s="4">
        <v>14000000</v>
      </c>
      <c r="I45" s="6" t="str">
        <f t="shared" si="10"/>
        <v/>
      </c>
      <c r="J45" s="4">
        <v>3600000</v>
      </c>
      <c r="K45" s="6" t="str">
        <f t="shared" si="11"/>
        <v/>
      </c>
      <c r="L45" s="6">
        <v>158</v>
      </c>
      <c r="M45" s="6" t="str">
        <f t="shared" si="12"/>
        <v/>
      </c>
      <c r="N45" s="6"/>
      <c r="O45" s="6" t="str">
        <f t="shared" si="13"/>
        <v/>
      </c>
      <c r="Q45" s="6">
        <v>9</v>
      </c>
      <c r="R45" s="6"/>
      <c r="S45" s="6"/>
      <c r="T45" s="6"/>
      <c r="U45" s="6">
        <f t="shared" si="7"/>
        <v>777600</v>
      </c>
      <c r="V45" s="6" t="str">
        <f t="shared" si="14"/>
        <v/>
      </c>
      <c r="X45" s="7">
        <v>1</v>
      </c>
      <c r="Y45" s="7">
        <v>3</v>
      </c>
      <c r="Z45" s="7" t="s">
        <v>38</v>
      </c>
      <c r="AA45" s="7">
        <v>6</v>
      </c>
      <c r="AB45" s="7">
        <v>28</v>
      </c>
      <c r="AC45" s="7">
        <v>1</v>
      </c>
      <c r="AD45" s="7">
        <v>5</v>
      </c>
      <c r="AE45" s="7" t="s">
        <v>38</v>
      </c>
      <c r="AF45" s="7">
        <v>29</v>
      </c>
      <c r="AG45" s="7">
        <v>30</v>
      </c>
      <c r="AH45" s="7">
        <v>1</v>
      </c>
      <c r="AI45" s="7">
        <v>3</v>
      </c>
    </row>
    <row r="46" spans="2:35" x14ac:dyDescent="0.3">
      <c r="B46" s="64" t="s">
        <v>44</v>
      </c>
      <c r="C46" s="151">
        <v>41</v>
      </c>
      <c r="D46" s="4">
        <v>79000000</v>
      </c>
      <c r="E46" s="6" t="str">
        <f t="shared" si="8"/>
        <v/>
      </c>
      <c r="F46" s="4">
        <v>79000000</v>
      </c>
      <c r="G46" s="6" t="str">
        <f t="shared" si="9"/>
        <v/>
      </c>
      <c r="H46" s="4">
        <v>15000000</v>
      </c>
      <c r="I46" s="6" t="str">
        <f t="shared" si="10"/>
        <v/>
      </c>
      <c r="J46" s="4">
        <v>3900000</v>
      </c>
      <c r="K46" s="6" t="str">
        <f t="shared" si="11"/>
        <v/>
      </c>
      <c r="L46" s="6">
        <v>238</v>
      </c>
      <c r="M46" s="6" t="str">
        <f t="shared" si="12"/>
        <v/>
      </c>
      <c r="N46" s="6"/>
      <c r="O46" s="6" t="str">
        <f t="shared" si="13"/>
        <v/>
      </c>
      <c r="Q46" s="6">
        <v>11</v>
      </c>
      <c r="R46" s="6"/>
      <c r="S46" s="6"/>
      <c r="T46" s="6"/>
      <c r="U46" s="6">
        <f t="shared" si="7"/>
        <v>950400</v>
      </c>
      <c r="V46" s="6" t="str">
        <f t="shared" si="14"/>
        <v/>
      </c>
      <c r="X46" s="7">
        <v>1</v>
      </c>
      <c r="Y46" s="7">
        <v>3</v>
      </c>
      <c r="Z46" s="7" t="s">
        <v>43</v>
      </c>
      <c r="AA46" s="7">
        <v>6</v>
      </c>
      <c r="AB46" s="7" t="s">
        <v>43</v>
      </c>
      <c r="AC46" s="7">
        <v>1</v>
      </c>
      <c r="AD46" s="7">
        <v>5</v>
      </c>
      <c r="AE46" s="7" t="s">
        <v>38</v>
      </c>
      <c r="AF46" s="7">
        <v>29</v>
      </c>
      <c r="AG46" s="7">
        <v>30</v>
      </c>
      <c r="AH46" s="7">
        <v>1</v>
      </c>
      <c r="AI46" s="7">
        <v>3</v>
      </c>
    </row>
    <row r="47" spans="2:35" x14ac:dyDescent="0.3">
      <c r="B47" s="64" t="s">
        <v>45</v>
      </c>
      <c r="C47" s="151">
        <v>42</v>
      </c>
      <c r="D47" s="4">
        <v>79000000</v>
      </c>
      <c r="E47" s="6" t="str">
        <f t="shared" si="8"/>
        <v/>
      </c>
      <c r="F47" s="4">
        <v>79000000</v>
      </c>
      <c r="G47" s="6" t="str">
        <f t="shared" si="9"/>
        <v/>
      </c>
      <c r="H47" s="4">
        <v>15000000</v>
      </c>
      <c r="I47" s="6" t="str">
        <f t="shared" si="10"/>
        <v/>
      </c>
      <c r="J47" s="4">
        <v>3900000</v>
      </c>
      <c r="K47" s="6" t="str">
        <f t="shared" si="11"/>
        <v/>
      </c>
      <c r="L47" s="6">
        <v>238</v>
      </c>
      <c r="M47" s="6" t="str">
        <f t="shared" si="12"/>
        <v/>
      </c>
      <c r="N47" s="6"/>
      <c r="O47" s="6" t="str">
        <f t="shared" si="13"/>
        <v/>
      </c>
      <c r="Q47" s="6">
        <v>11</v>
      </c>
      <c r="R47" s="6"/>
      <c r="S47" s="6"/>
      <c r="T47" s="6"/>
      <c r="U47" s="6">
        <f t="shared" si="7"/>
        <v>950400</v>
      </c>
      <c r="V47" s="6" t="str">
        <f t="shared" si="14"/>
        <v/>
      </c>
      <c r="X47" s="7">
        <v>1</v>
      </c>
      <c r="Y47" s="7">
        <v>3</v>
      </c>
      <c r="Z47" s="7" t="s">
        <v>43</v>
      </c>
      <c r="AA47" s="7">
        <v>6</v>
      </c>
      <c r="AB47" s="7" t="s">
        <v>43</v>
      </c>
      <c r="AC47" s="7">
        <v>1</v>
      </c>
      <c r="AD47" s="7">
        <v>5</v>
      </c>
      <c r="AE47" s="7" t="s">
        <v>38</v>
      </c>
      <c r="AF47" s="7">
        <v>29</v>
      </c>
      <c r="AG47" s="7">
        <v>30</v>
      </c>
      <c r="AH47" s="7">
        <v>1</v>
      </c>
      <c r="AI47" s="7">
        <v>3</v>
      </c>
    </row>
    <row r="48" spans="2:35" x14ac:dyDescent="0.3">
      <c r="B48" s="64" t="s">
        <v>46</v>
      </c>
      <c r="C48" s="151">
        <v>43</v>
      </c>
      <c r="D48" s="4">
        <v>79000000</v>
      </c>
      <c r="E48" s="6" t="str">
        <f t="shared" si="8"/>
        <v/>
      </c>
      <c r="F48" s="4">
        <v>79000000</v>
      </c>
      <c r="G48" s="6" t="str">
        <f t="shared" si="9"/>
        <v/>
      </c>
      <c r="H48" s="4">
        <v>15000000</v>
      </c>
      <c r="I48" s="6" t="str">
        <f t="shared" si="10"/>
        <v/>
      </c>
      <c r="J48" s="4">
        <v>3900000</v>
      </c>
      <c r="K48" s="6" t="str">
        <f t="shared" si="11"/>
        <v/>
      </c>
      <c r="L48" s="6">
        <v>238</v>
      </c>
      <c r="M48" s="6" t="str">
        <f t="shared" si="12"/>
        <v/>
      </c>
      <c r="N48" s="6"/>
      <c r="O48" s="6" t="str">
        <f t="shared" si="13"/>
        <v/>
      </c>
      <c r="Q48" s="6">
        <v>11</v>
      </c>
      <c r="R48" s="6"/>
      <c r="S48" s="6"/>
      <c r="T48" s="6"/>
      <c r="U48" s="6">
        <f t="shared" si="7"/>
        <v>950400</v>
      </c>
      <c r="V48" s="6" t="str">
        <f t="shared" si="14"/>
        <v/>
      </c>
      <c r="X48" s="7">
        <v>1</v>
      </c>
      <c r="Y48" s="7">
        <v>3</v>
      </c>
      <c r="Z48" s="7" t="s">
        <v>43</v>
      </c>
      <c r="AA48" s="7">
        <v>6</v>
      </c>
      <c r="AB48" s="7" t="s">
        <v>43</v>
      </c>
      <c r="AC48" s="7">
        <v>1</v>
      </c>
      <c r="AD48" s="7">
        <v>5</v>
      </c>
      <c r="AE48" s="7" t="s">
        <v>38</v>
      </c>
      <c r="AF48" s="7">
        <v>29</v>
      </c>
      <c r="AG48" s="7">
        <v>30</v>
      </c>
      <c r="AH48" s="7">
        <v>1</v>
      </c>
      <c r="AI48" s="7">
        <v>3</v>
      </c>
    </row>
    <row r="49" spans="2:35" x14ac:dyDescent="0.3">
      <c r="B49" s="64" t="s">
        <v>47</v>
      </c>
      <c r="C49" s="151">
        <v>44</v>
      </c>
      <c r="D49" s="4">
        <v>79000000</v>
      </c>
      <c r="E49" s="6" t="str">
        <f t="shared" si="8"/>
        <v/>
      </c>
      <c r="F49" s="4">
        <v>79000000</v>
      </c>
      <c r="G49" s="6" t="str">
        <f t="shared" si="9"/>
        <v/>
      </c>
      <c r="H49" s="4">
        <v>15000000</v>
      </c>
      <c r="I49" s="6" t="str">
        <f t="shared" si="10"/>
        <v/>
      </c>
      <c r="J49" s="4">
        <v>3900000</v>
      </c>
      <c r="K49" s="6" t="str">
        <f t="shared" si="11"/>
        <v/>
      </c>
      <c r="L49" s="6">
        <v>238</v>
      </c>
      <c r="M49" s="6" t="str">
        <f t="shared" si="12"/>
        <v/>
      </c>
      <c r="N49" s="6"/>
      <c r="O49" s="6" t="str">
        <f t="shared" si="13"/>
        <v/>
      </c>
      <c r="Q49" s="6">
        <v>11</v>
      </c>
      <c r="R49" s="6"/>
      <c r="S49" s="6"/>
      <c r="T49" s="6"/>
      <c r="U49" s="6">
        <f t="shared" si="7"/>
        <v>950400</v>
      </c>
      <c r="V49" s="6" t="str">
        <f t="shared" si="14"/>
        <v/>
      </c>
      <c r="X49" s="7">
        <v>1</v>
      </c>
      <c r="Y49" s="7">
        <v>3</v>
      </c>
      <c r="Z49" s="7" t="s">
        <v>43</v>
      </c>
      <c r="AA49" s="7">
        <v>6</v>
      </c>
      <c r="AB49" s="7" t="s">
        <v>43</v>
      </c>
      <c r="AC49" s="7">
        <v>1</v>
      </c>
      <c r="AD49" s="7">
        <v>5</v>
      </c>
      <c r="AE49" s="7" t="s">
        <v>38</v>
      </c>
      <c r="AF49" s="7">
        <v>29</v>
      </c>
      <c r="AG49" s="7">
        <v>30</v>
      </c>
      <c r="AH49" s="7">
        <v>1</v>
      </c>
      <c r="AI49" s="7">
        <v>3</v>
      </c>
    </row>
    <row r="50" spans="2:35" x14ac:dyDescent="0.3">
      <c r="B50" s="64" t="s">
        <v>48</v>
      </c>
      <c r="C50" s="151">
        <v>45</v>
      </c>
      <c r="D50" s="4">
        <v>79000000</v>
      </c>
      <c r="E50" s="6" t="str">
        <f t="shared" si="8"/>
        <v/>
      </c>
      <c r="F50" s="4">
        <v>79000000</v>
      </c>
      <c r="G50" s="6" t="str">
        <f t="shared" si="9"/>
        <v/>
      </c>
      <c r="H50" s="4">
        <v>15000000</v>
      </c>
      <c r="I50" s="6" t="str">
        <f t="shared" si="10"/>
        <v/>
      </c>
      <c r="J50" s="4">
        <v>3900000</v>
      </c>
      <c r="K50" s="6" t="str">
        <f t="shared" si="11"/>
        <v/>
      </c>
      <c r="L50" s="6">
        <v>238</v>
      </c>
      <c r="M50" s="6" t="str">
        <f t="shared" si="12"/>
        <v/>
      </c>
      <c r="N50" s="6"/>
      <c r="O50" s="6" t="str">
        <f t="shared" si="13"/>
        <v/>
      </c>
      <c r="Q50" s="6">
        <v>11</v>
      </c>
      <c r="R50" s="6"/>
      <c r="S50" s="6"/>
      <c r="T50" s="6"/>
      <c r="U50" s="6">
        <f t="shared" si="7"/>
        <v>950400</v>
      </c>
      <c r="V50" s="6" t="str">
        <f t="shared" si="14"/>
        <v/>
      </c>
      <c r="X50" s="7">
        <v>1</v>
      </c>
      <c r="Y50" s="7">
        <v>3</v>
      </c>
      <c r="Z50" s="7" t="s">
        <v>43</v>
      </c>
      <c r="AA50" s="7">
        <v>6</v>
      </c>
      <c r="AB50" s="7" t="s">
        <v>43</v>
      </c>
      <c r="AC50" s="7">
        <v>1</v>
      </c>
      <c r="AD50" s="7">
        <v>5</v>
      </c>
      <c r="AE50" s="7" t="s">
        <v>38</v>
      </c>
      <c r="AF50" s="7">
        <v>29</v>
      </c>
      <c r="AG50" s="7">
        <v>30</v>
      </c>
      <c r="AH50" s="7">
        <v>1</v>
      </c>
      <c r="AI50" s="7">
        <v>3</v>
      </c>
    </row>
    <row r="51" spans="2:35" x14ac:dyDescent="0.3">
      <c r="B51" s="64" t="s">
        <v>49</v>
      </c>
      <c r="C51" s="151">
        <v>46</v>
      </c>
      <c r="D51" s="4">
        <v>82000000</v>
      </c>
      <c r="E51" s="6" t="str">
        <f t="shared" si="8"/>
        <v/>
      </c>
      <c r="F51" s="4">
        <v>82000000</v>
      </c>
      <c r="G51" s="6" t="str">
        <f t="shared" si="9"/>
        <v/>
      </c>
      <c r="H51" s="4">
        <v>16000000</v>
      </c>
      <c r="I51" s="6" t="str">
        <f t="shared" si="10"/>
        <v/>
      </c>
      <c r="J51" s="4">
        <v>4100000</v>
      </c>
      <c r="K51" s="6" t="str">
        <f t="shared" si="11"/>
        <v/>
      </c>
      <c r="L51" s="6">
        <v>280</v>
      </c>
      <c r="M51" s="6" t="str">
        <f t="shared" si="12"/>
        <v/>
      </c>
      <c r="N51" s="6"/>
      <c r="O51" s="6" t="str">
        <f t="shared" si="13"/>
        <v/>
      </c>
      <c r="Q51" s="6">
        <v>12</v>
      </c>
      <c r="R51" s="6"/>
      <c r="S51" s="6"/>
      <c r="T51" s="6"/>
      <c r="U51" s="6">
        <f t="shared" si="7"/>
        <v>1036800</v>
      </c>
      <c r="V51" s="6" t="str">
        <f t="shared" si="14"/>
        <v/>
      </c>
      <c r="X51" s="7">
        <v>1</v>
      </c>
      <c r="Y51" s="7">
        <v>3</v>
      </c>
      <c r="Z51" s="7" t="s">
        <v>48</v>
      </c>
      <c r="AA51" s="7">
        <v>6</v>
      </c>
      <c r="AB51" s="7" t="s">
        <v>43</v>
      </c>
      <c r="AC51" s="7">
        <v>1</v>
      </c>
      <c r="AD51" s="7">
        <v>5</v>
      </c>
      <c r="AE51" s="7" t="s">
        <v>38</v>
      </c>
      <c r="AF51" s="7" t="s">
        <v>48</v>
      </c>
      <c r="AG51" s="7">
        <v>30</v>
      </c>
      <c r="AH51" s="7">
        <v>1</v>
      </c>
      <c r="AI51" s="7">
        <v>3</v>
      </c>
    </row>
    <row r="52" spans="2:35" x14ac:dyDescent="0.3">
      <c r="B52" s="64" t="s">
        <v>50</v>
      </c>
      <c r="C52" s="151">
        <v>47</v>
      </c>
      <c r="D52" s="4">
        <v>82000000</v>
      </c>
      <c r="E52" s="6" t="str">
        <f t="shared" si="8"/>
        <v/>
      </c>
      <c r="F52" s="4">
        <v>82000000</v>
      </c>
      <c r="G52" s="6" t="str">
        <f t="shared" si="9"/>
        <v/>
      </c>
      <c r="H52" s="4">
        <v>16000000</v>
      </c>
      <c r="I52" s="6" t="str">
        <f t="shared" si="10"/>
        <v/>
      </c>
      <c r="J52" s="4">
        <v>4100000</v>
      </c>
      <c r="K52" s="6" t="str">
        <f t="shared" si="11"/>
        <v/>
      </c>
      <c r="L52" s="6">
        <v>280</v>
      </c>
      <c r="M52" s="6" t="str">
        <f t="shared" si="12"/>
        <v/>
      </c>
      <c r="N52" s="6"/>
      <c r="O52" s="6" t="str">
        <f t="shared" si="13"/>
        <v/>
      </c>
      <c r="Q52" s="6">
        <v>12</v>
      </c>
      <c r="R52" s="6"/>
      <c r="S52" s="6"/>
      <c r="T52" s="6"/>
      <c r="U52" s="6">
        <f t="shared" si="7"/>
        <v>1036800</v>
      </c>
      <c r="V52" s="6" t="str">
        <f t="shared" si="14"/>
        <v/>
      </c>
      <c r="X52" s="7">
        <v>1</v>
      </c>
      <c r="Y52" s="7">
        <v>3</v>
      </c>
      <c r="Z52" s="7" t="s">
        <v>48</v>
      </c>
      <c r="AA52" s="7">
        <v>6</v>
      </c>
      <c r="AB52" s="7" t="s">
        <v>43</v>
      </c>
      <c r="AC52" s="7">
        <v>1</v>
      </c>
      <c r="AD52" s="7">
        <v>5</v>
      </c>
      <c r="AE52" s="7" t="s">
        <v>38</v>
      </c>
      <c r="AF52" s="7" t="s">
        <v>48</v>
      </c>
      <c r="AG52" s="7">
        <v>30</v>
      </c>
      <c r="AH52" s="7">
        <v>1</v>
      </c>
      <c r="AI52" s="7">
        <v>3</v>
      </c>
    </row>
    <row r="53" spans="2:35" x14ac:dyDescent="0.3">
      <c r="B53" s="64" t="s">
        <v>51</v>
      </c>
      <c r="C53" s="151">
        <v>48</v>
      </c>
      <c r="D53" s="4">
        <v>82000000</v>
      </c>
      <c r="E53" s="6" t="str">
        <f t="shared" si="8"/>
        <v/>
      </c>
      <c r="F53" s="4">
        <v>82000000</v>
      </c>
      <c r="G53" s="6" t="str">
        <f t="shared" si="9"/>
        <v/>
      </c>
      <c r="H53" s="4">
        <v>16000000</v>
      </c>
      <c r="I53" s="6" t="str">
        <f t="shared" si="10"/>
        <v/>
      </c>
      <c r="J53" s="4">
        <v>4100000</v>
      </c>
      <c r="K53" s="6" t="str">
        <f t="shared" si="11"/>
        <v/>
      </c>
      <c r="L53" s="6">
        <v>280</v>
      </c>
      <c r="M53" s="6" t="str">
        <f t="shared" si="12"/>
        <v/>
      </c>
      <c r="N53" s="6"/>
      <c r="O53" s="6" t="str">
        <f t="shared" si="13"/>
        <v/>
      </c>
      <c r="Q53" s="6">
        <v>12</v>
      </c>
      <c r="R53" s="6"/>
      <c r="S53" s="6"/>
      <c r="T53" s="6"/>
      <c r="U53" s="6">
        <f t="shared" si="7"/>
        <v>1036800</v>
      </c>
      <c r="V53" s="6" t="str">
        <f t="shared" si="14"/>
        <v/>
      </c>
      <c r="X53" s="7">
        <v>1</v>
      </c>
      <c r="Y53" s="7">
        <v>3</v>
      </c>
      <c r="Z53" s="7" t="s">
        <v>48</v>
      </c>
      <c r="AA53" s="7">
        <v>6</v>
      </c>
      <c r="AB53" s="7" t="s">
        <v>43</v>
      </c>
      <c r="AC53" s="7">
        <v>1</v>
      </c>
      <c r="AD53" s="7">
        <v>5</v>
      </c>
      <c r="AE53" s="7" t="s">
        <v>38</v>
      </c>
      <c r="AF53" s="7" t="s">
        <v>48</v>
      </c>
      <c r="AG53" s="7">
        <v>30</v>
      </c>
      <c r="AH53" s="7">
        <v>1</v>
      </c>
      <c r="AI53" s="7">
        <v>3</v>
      </c>
    </row>
    <row r="54" spans="2:35" x14ac:dyDescent="0.3">
      <c r="B54" s="64" t="s">
        <v>52</v>
      </c>
      <c r="C54" s="151">
        <v>49</v>
      </c>
      <c r="D54" s="4">
        <v>82000000</v>
      </c>
      <c r="E54" s="6" t="str">
        <f t="shared" si="8"/>
        <v/>
      </c>
      <c r="F54" s="4">
        <v>82000000</v>
      </c>
      <c r="G54" s="6" t="str">
        <f t="shared" si="9"/>
        <v/>
      </c>
      <c r="H54" s="4">
        <v>16000000</v>
      </c>
      <c r="I54" s="6" t="str">
        <f t="shared" si="10"/>
        <v/>
      </c>
      <c r="J54" s="4">
        <v>4100000</v>
      </c>
      <c r="K54" s="6" t="str">
        <f t="shared" si="11"/>
        <v/>
      </c>
      <c r="L54" s="6">
        <v>280</v>
      </c>
      <c r="M54" s="6" t="str">
        <f t="shared" si="12"/>
        <v/>
      </c>
      <c r="N54" s="6"/>
      <c r="O54" s="6" t="str">
        <f t="shared" si="13"/>
        <v/>
      </c>
      <c r="Q54" s="6">
        <v>12</v>
      </c>
      <c r="R54" s="6"/>
      <c r="S54" s="6"/>
      <c r="T54" s="6"/>
      <c r="U54" s="6">
        <f t="shared" si="7"/>
        <v>1036800</v>
      </c>
      <c r="V54" s="6" t="str">
        <f t="shared" si="14"/>
        <v/>
      </c>
      <c r="X54" s="7">
        <v>1</v>
      </c>
      <c r="Y54" s="7">
        <v>3</v>
      </c>
      <c r="Z54" s="7" t="s">
        <v>48</v>
      </c>
      <c r="AA54" s="7">
        <v>6</v>
      </c>
      <c r="AB54" s="7" t="s">
        <v>43</v>
      </c>
      <c r="AC54" s="7">
        <v>1</v>
      </c>
      <c r="AD54" s="7">
        <v>5</v>
      </c>
      <c r="AE54" s="7" t="s">
        <v>38</v>
      </c>
      <c r="AF54" s="7" t="s">
        <v>48</v>
      </c>
      <c r="AG54" s="7">
        <v>30</v>
      </c>
      <c r="AH54" s="7">
        <v>1</v>
      </c>
      <c r="AI54" s="7">
        <v>3</v>
      </c>
    </row>
    <row r="55" spans="2:35" x14ac:dyDescent="0.3">
      <c r="B55" s="64" t="s">
        <v>53</v>
      </c>
      <c r="C55" s="151">
        <v>50</v>
      </c>
      <c r="D55" s="4">
        <v>82000000</v>
      </c>
      <c r="E55" s="6" t="str">
        <f t="shared" si="8"/>
        <v/>
      </c>
      <c r="F55" s="4">
        <v>82000000</v>
      </c>
      <c r="G55" s="6" t="str">
        <f t="shared" si="9"/>
        <v/>
      </c>
      <c r="H55" s="4">
        <v>16000000</v>
      </c>
      <c r="I55" s="6" t="str">
        <f t="shared" si="10"/>
        <v/>
      </c>
      <c r="J55" s="4">
        <v>4100000</v>
      </c>
      <c r="K55" s="6" t="str">
        <f t="shared" si="11"/>
        <v/>
      </c>
      <c r="L55" s="6">
        <v>280</v>
      </c>
      <c r="M55" s="6" t="str">
        <f t="shared" si="12"/>
        <v/>
      </c>
      <c r="N55" s="6"/>
      <c r="O55" s="6" t="str">
        <f t="shared" si="13"/>
        <v/>
      </c>
      <c r="Q55" s="6">
        <v>12</v>
      </c>
      <c r="R55" s="6"/>
      <c r="S55" s="6"/>
      <c r="T55" s="6"/>
      <c r="U55" s="6">
        <f t="shared" si="7"/>
        <v>1036800</v>
      </c>
      <c r="V55" s="6" t="str">
        <f t="shared" si="14"/>
        <v/>
      </c>
      <c r="X55" s="7">
        <v>1</v>
      </c>
      <c r="Y55" s="7">
        <v>3</v>
      </c>
      <c r="Z55" s="7" t="s">
        <v>48</v>
      </c>
      <c r="AA55" s="7">
        <v>6</v>
      </c>
      <c r="AB55" s="7" t="s">
        <v>43</v>
      </c>
      <c r="AC55" s="7">
        <v>1</v>
      </c>
      <c r="AD55" s="7">
        <v>5</v>
      </c>
      <c r="AE55" s="7" t="s">
        <v>38</v>
      </c>
      <c r="AF55" s="7" t="s">
        <v>48</v>
      </c>
      <c r="AG55" s="7">
        <v>30</v>
      </c>
      <c r="AH55" s="7">
        <v>1</v>
      </c>
      <c r="AI55" s="7">
        <v>3</v>
      </c>
    </row>
    <row r="56" spans="2:35" x14ac:dyDescent="0.3">
      <c r="B56" s="64" t="s">
        <v>54</v>
      </c>
      <c r="C56" s="151">
        <v>51</v>
      </c>
      <c r="D56" s="4">
        <v>84000000</v>
      </c>
      <c r="E56" s="6" t="str">
        <f t="shared" si="8"/>
        <v/>
      </c>
      <c r="F56" s="4">
        <v>84000000</v>
      </c>
      <c r="G56" s="6" t="str">
        <f t="shared" si="9"/>
        <v/>
      </c>
      <c r="H56" s="4">
        <v>16000000</v>
      </c>
      <c r="I56" s="6" t="str">
        <f t="shared" si="10"/>
        <v/>
      </c>
      <c r="J56" s="4">
        <v>4200000</v>
      </c>
      <c r="K56" s="6" t="str">
        <f t="shared" si="11"/>
        <v/>
      </c>
      <c r="L56" s="6">
        <v>335</v>
      </c>
      <c r="M56" s="6" t="str">
        <f t="shared" si="12"/>
        <v/>
      </c>
      <c r="N56" s="6"/>
      <c r="O56" s="6" t="str">
        <f t="shared" si="13"/>
        <v/>
      </c>
      <c r="Q56" s="6">
        <v>14</v>
      </c>
      <c r="R56" s="6"/>
      <c r="S56" s="6"/>
      <c r="T56" s="6"/>
      <c r="U56" s="6">
        <f t="shared" si="7"/>
        <v>1209600</v>
      </c>
      <c r="V56" s="6" t="str">
        <f t="shared" si="14"/>
        <v/>
      </c>
      <c r="X56" s="7">
        <v>1</v>
      </c>
      <c r="Y56" s="7">
        <v>3</v>
      </c>
      <c r="Z56" s="7" t="s">
        <v>53</v>
      </c>
      <c r="AA56" s="7">
        <v>6</v>
      </c>
      <c r="AB56" s="7" t="s">
        <v>43</v>
      </c>
      <c r="AC56" s="7">
        <v>1</v>
      </c>
      <c r="AD56" s="7">
        <v>5</v>
      </c>
      <c r="AE56" s="7" t="s">
        <v>53</v>
      </c>
      <c r="AF56" s="7" t="s">
        <v>48</v>
      </c>
      <c r="AG56" s="7">
        <v>30</v>
      </c>
      <c r="AH56" s="7">
        <v>1</v>
      </c>
      <c r="AI56" s="7">
        <v>3</v>
      </c>
    </row>
    <row r="57" spans="2:35" x14ac:dyDescent="0.3">
      <c r="B57" s="64" t="s">
        <v>55</v>
      </c>
      <c r="C57" s="151">
        <v>52</v>
      </c>
      <c r="D57" s="4">
        <v>84000000</v>
      </c>
      <c r="E57" s="6" t="str">
        <f t="shared" si="8"/>
        <v/>
      </c>
      <c r="F57" s="4">
        <v>84000000</v>
      </c>
      <c r="G57" s="6" t="str">
        <f t="shared" si="9"/>
        <v/>
      </c>
      <c r="H57" s="4">
        <v>16000000</v>
      </c>
      <c r="I57" s="6" t="str">
        <f t="shared" si="10"/>
        <v/>
      </c>
      <c r="J57" s="4">
        <v>4200000</v>
      </c>
      <c r="K57" s="6" t="str">
        <f t="shared" si="11"/>
        <v/>
      </c>
      <c r="L57" s="6">
        <v>335</v>
      </c>
      <c r="M57" s="6" t="str">
        <f t="shared" si="12"/>
        <v/>
      </c>
      <c r="N57" s="6"/>
      <c r="O57" s="6" t="str">
        <f t="shared" si="13"/>
        <v/>
      </c>
      <c r="Q57" s="6">
        <v>14</v>
      </c>
      <c r="R57" s="6"/>
      <c r="S57" s="6"/>
      <c r="T57" s="6"/>
      <c r="U57" s="6">
        <f t="shared" si="7"/>
        <v>1209600</v>
      </c>
      <c r="V57" s="6" t="str">
        <f t="shared" si="14"/>
        <v/>
      </c>
      <c r="X57" s="7">
        <v>1</v>
      </c>
      <c r="Y57" s="7">
        <v>3</v>
      </c>
      <c r="Z57" s="7" t="s">
        <v>53</v>
      </c>
      <c r="AA57" s="7">
        <v>6</v>
      </c>
      <c r="AB57" s="7" t="s">
        <v>43</v>
      </c>
      <c r="AC57" s="7">
        <v>1</v>
      </c>
      <c r="AD57" s="7">
        <v>5</v>
      </c>
      <c r="AE57" s="7" t="s">
        <v>53</v>
      </c>
      <c r="AF57" s="7" t="s">
        <v>48</v>
      </c>
      <c r="AG57" s="7">
        <v>30</v>
      </c>
      <c r="AH57" s="7">
        <v>1</v>
      </c>
      <c r="AI57" s="7">
        <v>3</v>
      </c>
    </row>
    <row r="58" spans="2:35" x14ac:dyDescent="0.3">
      <c r="B58" s="64" t="s">
        <v>56</v>
      </c>
      <c r="C58" s="151">
        <v>53</v>
      </c>
      <c r="D58" s="4">
        <v>84000000</v>
      </c>
      <c r="E58" s="6" t="str">
        <f t="shared" si="8"/>
        <v/>
      </c>
      <c r="F58" s="4">
        <v>84000000</v>
      </c>
      <c r="G58" s="6" t="str">
        <f t="shared" si="9"/>
        <v/>
      </c>
      <c r="H58" s="4">
        <v>16000000</v>
      </c>
      <c r="I58" s="6" t="str">
        <f t="shared" si="10"/>
        <v/>
      </c>
      <c r="J58" s="4">
        <v>4200000</v>
      </c>
      <c r="K58" s="6" t="str">
        <f t="shared" si="11"/>
        <v/>
      </c>
      <c r="L58" s="6">
        <v>335</v>
      </c>
      <c r="M58" s="6" t="str">
        <f t="shared" si="12"/>
        <v/>
      </c>
      <c r="N58" s="6"/>
      <c r="O58" s="6" t="str">
        <f t="shared" si="13"/>
        <v/>
      </c>
      <c r="Q58" s="6">
        <v>14</v>
      </c>
      <c r="R58" s="6"/>
      <c r="S58" s="6"/>
      <c r="T58" s="6"/>
      <c r="U58" s="6">
        <f t="shared" si="7"/>
        <v>1209600</v>
      </c>
      <c r="V58" s="6" t="str">
        <f t="shared" si="14"/>
        <v/>
      </c>
      <c r="X58" s="7">
        <v>1</v>
      </c>
      <c r="Y58" s="7">
        <v>3</v>
      </c>
      <c r="Z58" s="7" t="s">
        <v>53</v>
      </c>
      <c r="AA58" s="7">
        <v>6</v>
      </c>
      <c r="AB58" s="7" t="s">
        <v>43</v>
      </c>
      <c r="AC58" s="7">
        <v>1</v>
      </c>
      <c r="AD58" s="7">
        <v>5</v>
      </c>
      <c r="AE58" s="7" t="s">
        <v>53</v>
      </c>
      <c r="AF58" s="7" t="s">
        <v>48</v>
      </c>
      <c r="AG58" s="7">
        <v>30</v>
      </c>
      <c r="AH58" s="7">
        <v>1</v>
      </c>
      <c r="AI58" s="7">
        <v>3</v>
      </c>
    </row>
    <row r="59" spans="2:35" x14ac:dyDescent="0.3">
      <c r="B59" s="64" t="s">
        <v>57</v>
      </c>
      <c r="C59" s="151">
        <v>54</v>
      </c>
      <c r="D59" s="4">
        <v>84000000</v>
      </c>
      <c r="E59" s="6" t="str">
        <f t="shared" si="8"/>
        <v/>
      </c>
      <c r="F59" s="4">
        <v>84000000</v>
      </c>
      <c r="G59" s="6" t="str">
        <f t="shared" si="9"/>
        <v/>
      </c>
      <c r="H59" s="4">
        <v>16000000</v>
      </c>
      <c r="I59" s="6" t="str">
        <f t="shared" si="10"/>
        <v/>
      </c>
      <c r="J59" s="4">
        <v>4200000</v>
      </c>
      <c r="K59" s="6" t="str">
        <f t="shared" si="11"/>
        <v/>
      </c>
      <c r="L59" s="6">
        <v>335</v>
      </c>
      <c r="M59" s="6" t="str">
        <f t="shared" si="12"/>
        <v/>
      </c>
      <c r="N59" s="6"/>
      <c r="O59" s="6" t="str">
        <f t="shared" si="13"/>
        <v/>
      </c>
      <c r="Q59" s="6">
        <v>14</v>
      </c>
      <c r="R59" s="6"/>
      <c r="S59" s="6"/>
      <c r="T59" s="6"/>
      <c r="U59" s="6">
        <f t="shared" si="7"/>
        <v>1209600</v>
      </c>
      <c r="V59" s="6" t="str">
        <f t="shared" si="14"/>
        <v/>
      </c>
      <c r="X59" s="7">
        <v>1</v>
      </c>
      <c r="Y59" s="7">
        <v>3</v>
      </c>
      <c r="Z59" s="7" t="s">
        <v>53</v>
      </c>
      <c r="AA59" s="7">
        <v>6</v>
      </c>
      <c r="AB59" s="7" t="s">
        <v>43</v>
      </c>
      <c r="AC59" s="7">
        <v>1</v>
      </c>
      <c r="AD59" s="7">
        <v>5</v>
      </c>
      <c r="AE59" s="7" t="s">
        <v>53</v>
      </c>
      <c r="AF59" s="7" t="s">
        <v>48</v>
      </c>
      <c r="AG59" s="7">
        <v>30</v>
      </c>
      <c r="AH59" s="7">
        <v>1</v>
      </c>
      <c r="AI59" s="7">
        <v>3</v>
      </c>
    </row>
    <row r="60" spans="2:35" x14ac:dyDescent="0.3">
      <c r="B60" s="64" t="s">
        <v>58</v>
      </c>
      <c r="C60" s="151">
        <v>55</v>
      </c>
      <c r="D60" s="4">
        <v>84000000</v>
      </c>
      <c r="E60" s="6" t="str">
        <f t="shared" si="8"/>
        <v/>
      </c>
      <c r="F60" s="4">
        <v>84000000</v>
      </c>
      <c r="G60" s="6" t="str">
        <f t="shared" si="9"/>
        <v/>
      </c>
      <c r="H60" s="4">
        <v>16000000</v>
      </c>
      <c r="I60" s="6" t="str">
        <f t="shared" si="10"/>
        <v/>
      </c>
      <c r="J60" s="4">
        <v>4200000</v>
      </c>
      <c r="K60" s="6" t="str">
        <f t="shared" si="11"/>
        <v/>
      </c>
      <c r="L60" s="6">
        <v>335</v>
      </c>
      <c r="M60" s="6" t="str">
        <f t="shared" si="12"/>
        <v/>
      </c>
      <c r="N60" s="6"/>
      <c r="O60" s="6" t="str">
        <f t="shared" si="13"/>
        <v/>
      </c>
      <c r="Q60" s="6">
        <v>14</v>
      </c>
      <c r="R60" s="6"/>
      <c r="S60" s="6"/>
      <c r="T60" s="6"/>
      <c r="U60" s="6">
        <f t="shared" si="7"/>
        <v>1209600</v>
      </c>
      <c r="V60" s="6" t="str">
        <f t="shared" si="14"/>
        <v/>
      </c>
      <c r="X60" s="7">
        <v>1</v>
      </c>
      <c r="Y60" s="7">
        <v>3</v>
      </c>
      <c r="Z60" s="7" t="s">
        <v>53</v>
      </c>
      <c r="AA60" s="7">
        <v>6</v>
      </c>
      <c r="AB60" s="7" t="s">
        <v>43</v>
      </c>
      <c r="AC60" s="7">
        <v>1</v>
      </c>
      <c r="AD60" s="7">
        <v>5</v>
      </c>
      <c r="AE60" s="7" t="s">
        <v>53</v>
      </c>
      <c r="AF60" s="7" t="s">
        <v>48</v>
      </c>
      <c r="AG60" s="7">
        <v>30</v>
      </c>
      <c r="AH60" s="7">
        <v>1</v>
      </c>
      <c r="AI60" s="7">
        <v>3</v>
      </c>
    </row>
    <row r="61" spans="2:35" x14ac:dyDescent="0.3">
      <c r="B61" s="64" t="s">
        <v>230</v>
      </c>
      <c r="C61" s="151">
        <v>56</v>
      </c>
      <c r="D61" s="4">
        <v>96000000</v>
      </c>
      <c r="E61" s="6" t="str">
        <f t="shared" si="8"/>
        <v/>
      </c>
      <c r="F61" s="4">
        <v>96000000</v>
      </c>
      <c r="G61" s="6" t="str">
        <f t="shared" si="9"/>
        <v/>
      </c>
      <c r="H61" s="4">
        <v>19000000</v>
      </c>
      <c r="I61" s="6" t="str">
        <f t="shared" si="10"/>
        <v/>
      </c>
      <c r="J61" s="4">
        <v>4800000</v>
      </c>
      <c r="K61" s="6" t="str">
        <f t="shared" si="11"/>
        <v/>
      </c>
      <c r="L61" s="6">
        <v>200</v>
      </c>
      <c r="M61" s="6" t="str">
        <f t="shared" si="12"/>
        <v/>
      </c>
      <c r="N61" s="6">
        <v>10</v>
      </c>
      <c r="O61" s="6" t="str">
        <f t="shared" si="13"/>
        <v/>
      </c>
      <c r="Q61" s="6">
        <v>15</v>
      </c>
      <c r="R61" s="6"/>
      <c r="S61" s="6"/>
      <c r="T61" s="6"/>
      <c r="U61" s="6">
        <f t="shared" si="7"/>
        <v>1296000</v>
      </c>
      <c r="V61" s="6" t="str">
        <f t="shared" si="14"/>
        <v/>
      </c>
      <c r="X61" s="7">
        <v>1</v>
      </c>
      <c r="Y61" s="7">
        <v>3</v>
      </c>
      <c r="Z61" s="7" t="s">
        <v>58</v>
      </c>
      <c r="AA61" s="7">
        <v>6</v>
      </c>
      <c r="AB61" s="7" t="s">
        <v>58</v>
      </c>
      <c r="AC61" s="7">
        <v>1</v>
      </c>
      <c r="AD61" s="7">
        <v>5</v>
      </c>
      <c r="AE61" s="7" t="s">
        <v>53</v>
      </c>
      <c r="AF61" s="7" t="s">
        <v>48</v>
      </c>
      <c r="AG61" s="7">
        <v>30</v>
      </c>
      <c r="AH61" s="7">
        <v>1</v>
      </c>
      <c r="AI61" s="7">
        <v>3</v>
      </c>
    </row>
    <row r="62" spans="2:35" x14ac:dyDescent="0.3">
      <c r="B62" s="64" t="s">
        <v>231</v>
      </c>
      <c r="C62" s="151">
        <v>57</v>
      </c>
      <c r="D62" s="4">
        <v>96000000</v>
      </c>
      <c r="E62" s="6" t="str">
        <f t="shared" si="8"/>
        <v/>
      </c>
      <c r="F62" s="4">
        <v>96000000</v>
      </c>
      <c r="G62" s="6" t="str">
        <f t="shared" si="9"/>
        <v/>
      </c>
      <c r="H62" s="4">
        <v>19000000</v>
      </c>
      <c r="I62" s="6" t="str">
        <f t="shared" si="10"/>
        <v/>
      </c>
      <c r="J62" s="4">
        <v>4800000</v>
      </c>
      <c r="K62" s="6" t="str">
        <f t="shared" si="11"/>
        <v/>
      </c>
      <c r="L62" s="6">
        <v>200</v>
      </c>
      <c r="M62" s="6" t="str">
        <f t="shared" si="12"/>
        <v/>
      </c>
      <c r="N62" s="6">
        <v>10</v>
      </c>
      <c r="O62" s="6" t="str">
        <f t="shared" si="13"/>
        <v/>
      </c>
      <c r="Q62" s="6">
        <v>15</v>
      </c>
      <c r="R62" s="6"/>
      <c r="S62" s="6"/>
      <c r="T62" s="6"/>
      <c r="U62" s="6">
        <f t="shared" si="7"/>
        <v>1296000</v>
      </c>
      <c r="V62" s="6" t="str">
        <f t="shared" si="14"/>
        <v/>
      </c>
      <c r="X62" s="7">
        <v>1</v>
      </c>
      <c r="Y62" s="7">
        <v>3</v>
      </c>
      <c r="Z62" s="7" t="s">
        <v>58</v>
      </c>
      <c r="AA62" s="7">
        <v>6</v>
      </c>
      <c r="AB62" s="7" t="s">
        <v>58</v>
      </c>
      <c r="AC62" s="7">
        <v>1</v>
      </c>
      <c r="AD62" s="7">
        <v>5</v>
      </c>
      <c r="AE62" s="7" t="s">
        <v>53</v>
      </c>
      <c r="AF62" s="7" t="s">
        <v>48</v>
      </c>
      <c r="AG62" s="7">
        <v>30</v>
      </c>
      <c r="AH62" s="7">
        <v>1</v>
      </c>
      <c r="AI62" s="7">
        <v>3</v>
      </c>
    </row>
    <row r="63" spans="2:35" x14ac:dyDescent="0.3">
      <c r="B63" s="64" t="s">
        <v>232</v>
      </c>
      <c r="C63" s="151">
        <v>58</v>
      </c>
      <c r="D63" s="4">
        <v>96000000</v>
      </c>
      <c r="E63" s="6" t="str">
        <f t="shared" si="8"/>
        <v/>
      </c>
      <c r="F63" s="4">
        <v>96000000</v>
      </c>
      <c r="G63" s="6" t="str">
        <f t="shared" si="9"/>
        <v/>
      </c>
      <c r="H63" s="4">
        <v>19000000</v>
      </c>
      <c r="I63" s="6" t="str">
        <f t="shared" si="10"/>
        <v/>
      </c>
      <c r="J63" s="4">
        <v>4800000</v>
      </c>
      <c r="K63" s="6" t="str">
        <f t="shared" si="11"/>
        <v/>
      </c>
      <c r="L63" s="6">
        <v>200</v>
      </c>
      <c r="M63" s="6" t="str">
        <f t="shared" si="12"/>
        <v/>
      </c>
      <c r="N63" s="6">
        <v>10</v>
      </c>
      <c r="O63" s="6" t="str">
        <f t="shared" si="13"/>
        <v/>
      </c>
      <c r="Q63" s="6">
        <v>15</v>
      </c>
      <c r="R63" s="6"/>
      <c r="S63" s="6"/>
      <c r="T63" s="6"/>
      <c r="U63" s="6">
        <f t="shared" si="7"/>
        <v>1296000</v>
      </c>
      <c r="V63" s="6" t="str">
        <f t="shared" si="14"/>
        <v/>
      </c>
      <c r="X63" s="7">
        <v>1</v>
      </c>
      <c r="Y63" s="7">
        <v>3</v>
      </c>
      <c r="Z63" s="7" t="s">
        <v>58</v>
      </c>
      <c r="AA63" s="7">
        <v>6</v>
      </c>
      <c r="AB63" s="7" t="s">
        <v>58</v>
      </c>
      <c r="AC63" s="7">
        <v>1</v>
      </c>
      <c r="AD63" s="7">
        <v>5</v>
      </c>
      <c r="AE63" s="7" t="s">
        <v>53</v>
      </c>
      <c r="AF63" s="7" t="s">
        <v>48</v>
      </c>
      <c r="AG63" s="7">
        <v>30</v>
      </c>
      <c r="AH63" s="7">
        <v>1</v>
      </c>
      <c r="AI63" s="7">
        <v>3</v>
      </c>
    </row>
    <row r="64" spans="2:35" x14ac:dyDescent="0.3">
      <c r="B64" s="64" t="s">
        <v>233</v>
      </c>
      <c r="C64" s="151">
        <v>59</v>
      </c>
      <c r="D64" s="4">
        <v>96000000</v>
      </c>
      <c r="E64" s="6" t="str">
        <f t="shared" si="8"/>
        <v/>
      </c>
      <c r="F64" s="4">
        <v>96000000</v>
      </c>
      <c r="G64" s="6" t="str">
        <f t="shared" si="9"/>
        <v/>
      </c>
      <c r="H64" s="4">
        <v>19000000</v>
      </c>
      <c r="I64" s="6" t="str">
        <f t="shared" si="10"/>
        <v/>
      </c>
      <c r="J64" s="4">
        <v>4800000</v>
      </c>
      <c r="K64" s="6" t="str">
        <f t="shared" si="11"/>
        <v/>
      </c>
      <c r="L64" s="6">
        <v>200</v>
      </c>
      <c r="M64" s="6" t="str">
        <f t="shared" si="12"/>
        <v/>
      </c>
      <c r="N64" s="6">
        <v>10</v>
      </c>
      <c r="O64" s="6" t="str">
        <f t="shared" si="13"/>
        <v/>
      </c>
      <c r="Q64" s="6">
        <v>15</v>
      </c>
      <c r="R64" s="6"/>
      <c r="S64" s="6"/>
      <c r="T64" s="6"/>
      <c r="U64" s="6">
        <f t="shared" si="7"/>
        <v>1296000</v>
      </c>
      <c r="V64" s="6" t="str">
        <f t="shared" si="14"/>
        <v/>
      </c>
      <c r="X64" s="7">
        <v>1</v>
      </c>
      <c r="Y64" s="7">
        <v>3</v>
      </c>
      <c r="Z64" s="7" t="s">
        <v>58</v>
      </c>
      <c r="AA64" s="7">
        <v>6</v>
      </c>
      <c r="AB64" s="7" t="s">
        <v>58</v>
      </c>
      <c r="AC64" s="7">
        <v>1</v>
      </c>
      <c r="AD64" s="7">
        <v>5</v>
      </c>
      <c r="AE64" s="7" t="s">
        <v>53</v>
      </c>
      <c r="AF64" s="7" t="s">
        <v>48</v>
      </c>
      <c r="AG64" s="7">
        <v>30</v>
      </c>
      <c r="AH64" s="7">
        <v>1</v>
      </c>
      <c r="AI64" s="7">
        <v>3</v>
      </c>
    </row>
    <row r="65" spans="2:35" x14ac:dyDescent="0.3">
      <c r="B65" s="64" t="s">
        <v>234</v>
      </c>
      <c r="C65" s="151">
        <v>60</v>
      </c>
      <c r="D65" s="4">
        <v>96000000</v>
      </c>
      <c r="E65" s="6" t="str">
        <f t="shared" si="8"/>
        <v/>
      </c>
      <c r="F65" s="4">
        <v>96000000</v>
      </c>
      <c r="G65" s="6" t="str">
        <f t="shared" si="9"/>
        <v/>
      </c>
      <c r="H65" s="4">
        <v>19000000</v>
      </c>
      <c r="I65" s="6" t="str">
        <f t="shared" si="10"/>
        <v/>
      </c>
      <c r="J65" s="4">
        <v>4800000</v>
      </c>
      <c r="K65" s="6" t="str">
        <f t="shared" si="11"/>
        <v/>
      </c>
      <c r="L65" s="6">
        <v>100</v>
      </c>
      <c r="M65" s="6" t="str">
        <f t="shared" si="12"/>
        <v/>
      </c>
      <c r="N65" s="6">
        <v>20</v>
      </c>
      <c r="O65" s="6" t="str">
        <f t="shared" si="13"/>
        <v/>
      </c>
      <c r="Q65" s="6">
        <v>15</v>
      </c>
      <c r="R65" s="6"/>
      <c r="S65" s="6"/>
      <c r="T65" s="6"/>
      <c r="U65" s="6">
        <f t="shared" si="7"/>
        <v>1296000</v>
      </c>
      <c r="V65" s="6" t="str">
        <f t="shared" si="14"/>
        <v/>
      </c>
      <c r="X65" s="7">
        <v>1</v>
      </c>
      <c r="Y65" s="7">
        <v>3</v>
      </c>
      <c r="Z65" s="7" t="s">
        <v>58</v>
      </c>
      <c r="AA65" s="7">
        <v>6</v>
      </c>
      <c r="AB65" s="7" t="s">
        <v>58</v>
      </c>
      <c r="AC65" s="7">
        <v>1</v>
      </c>
      <c r="AD65" s="7">
        <v>5</v>
      </c>
      <c r="AE65" s="7" t="s">
        <v>53</v>
      </c>
      <c r="AF65" s="7" t="s">
        <v>48</v>
      </c>
      <c r="AG65" s="7">
        <v>30</v>
      </c>
      <c r="AH65" s="7">
        <v>1</v>
      </c>
      <c r="AI65" s="7">
        <v>3</v>
      </c>
    </row>
    <row r="66" spans="2:35" x14ac:dyDescent="0.3">
      <c r="B66" s="64" t="s">
        <v>235</v>
      </c>
      <c r="C66" s="151">
        <v>61</v>
      </c>
      <c r="D66" s="4">
        <v>100000000</v>
      </c>
      <c r="E66" s="6" t="str">
        <f t="shared" si="8"/>
        <v/>
      </c>
      <c r="F66" s="4">
        <v>100000000</v>
      </c>
      <c r="G66" s="6" t="str">
        <f t="shared" si="9"/>
        <v/>
      </c>
      <c r="H66" s="4">
        <v>21000000</v>
      </c>
      <c r="I66" s="6" t="str">
        <f t="shared" si="10"/>
        <v/>
      </c>
      <c r="J66" s="4">
        <v>5400000</v>
      </c>
      <c r="K66" s="6" t="str">
        <f t="shared" si="11"/>
        <v/>
      </c>
      <c r="L66" s="6">
        <v>240</v>
      </c>
      <c r="M66" s="6" t="str">
        <f t="shared" si="12"/>
        <v/>
      </c>
      <c r="N66" s="6">
        <v>15</v>
      </c>
      <c r="O66" s="6" t="str">
        <f t="shared" si="13"/>
        <v/>
      </c>
      <c r="Q66" s="6">
        <v>18</v>
      </c>
      <c r="R66" s="6"/>
      <c r="S66" s="6"/>
      <c r="T66" s="6"/>
      <c r="U66" s="6">
        <f t="shared" si="7"/>
        <v>1555200</v>
      </c>
      <c r="V66" s="6" t="str">
        <f t="shared" si="14"/>
        <v/>
      </c>
      <c r="X66" s="7">
        <v>1</v>
      </c>
      <c r="Y66" s="7">
        <v>3</v>
      </c>
      <c r="Z66" s="7" t="s">
        <v>234</v>
      </c>
      <c r="AA66" s="7">
        <v>6</v>
      </c>
      <c r="AB66" s="7" t="s">
        <v>58</v>
      </c>
      <c r="AC66" s="7">
        <v>1</v>
      </c>
      <c r="AD66" s="7">
        <v>5</v>
      </c>
      <c r="AE66" s="7" t="s">
        <v>53</v>
      </c>
      <c r="AF66" s="7" t="s">
        <v>234</v>
      </c>
      <c r="AG66" s="7">
        <v>30</v>
      </c>
      <c r="AH66" s="7">
        <v>1</v>
      </c>
      <c r="AI66" s="7">
        <v>3</v>
      </c>
    </row>
    <row r="67" spans="2:35" x14ac:dyDescent="0.3">
      <c r="B67" s="64" t="s">
        <v>236</v>
      </c>
      <c r="C67" s="151">
        <v>62</v>
      </c>
      <c r="D67" s="4">
        <v>100000000</v>
      </c>
      <c r="E67" s="6" t="str">
        <f t="shared" si="8"/>
        <v/>
      </c>
      <c r="F67" s="4">
        <v>100000000</v>
      </c>
      <c r="G67" s="6" t="str">
        <f t="shared" si="9"/>
        <v/>
      </c>
      <c r="H67" s="4">
        <v>21000000</v>
      </c>
      <c r="I67" s="6" t="str">
        <f t="shared" si="10"/>
        <v/>
      </c>
      <c r="J67" s="4">
        <v>5400000</v>
      </c>
      <c r="K67" s="6" t="str">
        <f t="shared" si="11"/>
        <v/>
      </c>
      <c r="L67" s="6">
        <v>240</v>
      </c>
      <c r="M67" s="6" t="str">
        <f t="shared" si="12"/>
        <v/>
      </c>
      <c r="N67" s="6">
        <v>15</v>
      </c>
      <c r="O67" s="6" t="str">
        <f t="shared" si="13"/>
        <v/>
      </c>
      <c r="Q67" s="6">
        <v>18</v>
      </c>
      <c r="R67" s="6"/>
      <c r="S67" s="6"/>
      <c r="T67" s="6"/>
      <c r="U67" s="6">
        <f t="shared" si="7"/>
        <v>1555200</v>
      </c>
      <c r="V67" s="6" t="str">
        <f t="shared" si="14"/>
        <v/>
      </c>
      <c r="X67" s="7">
        <v>1</v>
      </c>
      <c r="Y67" s="7">
        <v>3</v>
      </c>
      <c r="Z67" s="7" t="s">
        <v>234</v>
      </c>
      <c r="AA67" s="7">
        <v>6</v>
      </c>
      <c r="AB67" s="7" t="s">
        <v>58</v>
      </c>
      <c r="AC67" s="7">
        <v>1</v>
      </c>
      <c r="AD67" s="7">
        <v>5</v>
      </c>
      <c r="AE67" s="7" t="s">
        <v>53</v>
      </c>
      <c r="AF67" s="7" t="s">
        <v>234</v>
      </c>
      <c r="AG67" s="7">
        <v>30</v>
      </c>
      <c r="AH67" s="7">
        <v>1</v>
      </c>
      <c r="AI67" s="7">
        <v>3</v>
      </c>
    </row>
    <row r="68" spans="2:35" x14ac:dyDescent="0.3">
      <c r="B68" s="64" t="s">
        <v>237</v>
      </c>
      <c r="C68" s="151">
        <v>63</v>
      </c>
      <c r="D68" s="4">
        <v>100000000</v>
      </c>
      <c r="E68" s="6" t="str">
        <f t="shared" si="8"/>
        <v/>
      </c>
      <c r="F68" s="4">
        <v>100000000</v>
      </c>
      <c r="G68" s="6" t="str">
        <f t="shared" si="9"/>
        <v/>
      </c>
      <c r="H68" s="4">
        <v>21000000</v>
      </c>
      <c r="I68" s="6" t="str">
        <f t="shared" si="10"/>
        <v/>
      </c>
      <c r="J68" s="4">
        <v>5400000</v>
      </c>
      <c r="K68" s="6" t="str">
        <f t="shared" si="11"/>
        <v/>
      </c>
      <c r="L68" s="6">
        <v>240</v>
      </c>
      <c r="M68" s="6" t="str">
        <f t="shared" si="12"/>
        <v/>
      </c>
      <c r="N68" s="6">
        <v>15</v>
      </c>
      <c r="O68" s="6" t="str">
        <f t="shared" si="13"/>
        <v/>
      </c>
      <c r="Q68" s="6">
        <v>18</v>
      </c>
      <c r="R68" s="6"/>
      <c r="S68" s="6"/>
      <c r="T68" s="6"/>
      <c r="U68" s="6">
        <f t="shared" si="7"/>
        <v>1555200</v>
      </c>
      <c r="V68" s="6" t="str">
        <f t="shared" si="14"/>
        <v/>
      </c>
      <c r="X68" s="7">
        <v>1</v>
      </c>
      <c r="Y68" s="7">
        <v>3</v>
      </c>
      <c r="Z68" s="7" t="s">
        <v>234</v>
      </c>
      <c r="AA68" s="7">
        <v>6</v>
      </c>
      <c r="AB68" s="7" t="s">
        <v>58</v>
      </c>
      <c r="AC68" s="7">
        <v>1</v>
      </c>
      <c r="AD68" s="7">
        <v>5</v>
      </c>
      <c r="AE68" s="7" t="s">
        <v>53</v>
      </c>
      <c r="AF68" s="7" t="s">
        <v>234</v>
      </c>
      <c r="AG68" s="7">
        <v>30</v>
      </c>
      <c r="AH68" s="7">
        <v>1</v>
      </c>
      <c r="AI68" s="7">
        <v>3</v>
      </c>
    </row>
    <row r="69" spans="2:35" x14ac:dyDescent="0.3">
      <c r="B69" s="64" t="s">
        <v>238</v>
      </c>
      <c r="C69" s="151">
        <v>64</v>
      </c>
      <c r="D69" s="4">
        <v>100000000</v>
      </c>
      <c r="E69" s="6" t="str">
        <f t="shared" si="8"/>
        <v/>
      </c>
      <c r="F69" s="4">
        <v>100000000</v>
      </c>
      <c r="G69" s="6" t="str">
        <f t="shared" si="9"/>
        <v/>
      </c>
      <c r="H69" s="4">
        <v>21000000</v>
      </c>
      <c r="I69" s="6" t="str">
        <f t="shared" si="10"/>
        <v/>
      </c>
      <c r="J69" s="4">
        <v>5400000</v>
      </c>
      <c r="K69" s="6" t="str">
        <f t="shared" si="11"/>
        <v/>
      </c>
      <c r="L69" s="6">
        <v>240</v>
      </c>
      <c r="M69" s="6" t="str">
        <f t="shared" si="12"/>
        <v/>
      </c>
      <c r="N69" s="6">
        <v>15</v>
      </c>
      <c r="O69" s="6" t="str">
        <f t="shared" si="13"/>
        <v/>
      </c>
      <c r="Q69" s="6">
        <v>18</v>
      </c>
      <c r="R69" s="6"/>
      <c r="S69" s="6"/>
      <c r="T69" s="6"/>
      <c r="U69" s="6">
        <f t="shared" si="7"/>
        <v>1555200</v>
      </c>
      <c r="V69" s="6" t="str">
        <f t="shared" si="14"/>
        <v/>
      </c>
      <c r="X69" s="7">
        <v>1</v>
      </c>
      <c r="Y69" s="7">
        <v>3</v>
      </c>
      <c r="Z69" s="7" t="s">
        <v>234</v>
      </c>
      <c r="AA69" s="7">
        <v>6</v>
      </c>
      <c r="AB69" s="7" t="s">
        <v>58</v>
      </c>
      <c r="AC69" s="7">
        <v>1</v>
      </c>
      <c r="AD69" s="7">
        <v>5</v>
      </c>
      <c r="AE69" s="7" t="s">
        <v>53</v>
      </c>
      <c r="AF69" s="7" t="s">
        <v>234</v>
      </c>
      <c r="AG69" s="7">
        <v>30</v>
      </c>
      <c r="AH69" s="7">
        <v>1</v>
      </c>
      <c r="AI69" s="7">
        <v>3</v>
      </c>
    </row>
    <row r="70" spans="2:35" x14ac:dyDescent="0.3">
      <c r="B70" s="64" t="s">
        <v>239</v>
      </c>
      <c r="C70" s="151">
        <v>65</v>
      </c>
      <c r="D70" s="4">
        <v>100000000</v>
      </c>
      <c r="E70" s="6" t="str">
        <f t="shared" ref="E70:E85" si="15">IF($C70&gt;VLOOKUP(FurnaceDesired,$B$6:$C$85,2,FALSE),"",IF($C70&gt;VLOOKUP(FurnaceCurrent,$B$6:$C$85,2,FALSE),D70,""))</f>
        <v/>
      </c>
      <c r="F70" s="4">
        <v>100000000</v>
      </c>
      <c r="G70" s="6" t="str">
        <f t="shared" ref="G70:G85" si="16">IF($C70&gt;VLOOKUP(FurnaceDesired,$B$6:$C$85,2,FALSE),"",IF($C70&gt;VLOOKUP(FurnaceCurrent,$B$6:$C$85,2,FALSE),F70,""))</f>
        <v/>
      </c>
      <c r="H70" s="4">
        <v>21000000</v>
      </c>
      <c r="I70" s="6" t="str">
        <f t="shared" ref="I70:I85" si="17">IF($C70&gt;VLOOKUP(FurnaceDesired,$B$6:$C$85,2,FALSE),"",IF($C70&gt;VLOOKUP(FurnaceCurrent,$B$6:$C$85,2,FALSE),H70,""))</f>
        <v/>
      </c>
      <c r="J70" s="4">
        <v>5400000</v>
      </c>
      <c r="K70" s="6" t="str">
        <f t="shared" ref="K70:K85" si="18">IF($C70&gt;VLOOKUP(FurnaceDesired,$B$6:$C$85,2,FALSE),"",IF($C70&gt;VLOOKUP(FurnaceCurrent,$B$6:$C$85,2,FALSE),J70,""))</f>
        <v/>
      </c>
      <c r="L70" s="6">
        <v>120</v>
      </c>
      <c r="M70" s="6" t="str">
        <f t="shared" ref="M70:M85" si="19">IF($C70&gt;VLOOKUP(FurnaceDesired,$B$6:$C$85,2,FALSE),"",IF($C70&gt;VLOOKUP(FurnaceCurrent,$B$6:$C$85,2,FALSE),L70,""))</f>
        <v/>
      </c>
      <c r="N70" s="6">
        <v>30</v>
      </c>
      <c r="O70" s="6" t="str">
        <f t="shared" ref="O70:O85" si="20">IF($C70&gt;VLOOKUP(FurnaceDesired,$B$6:$C$85,2,FALSE),"",IF($C70&gt;VLOOKUP(FurnaceCurrent,$B$6:$C$85,2,FALSE),N70,""))</f>
        <v/>
      </c>
      <c r="Q70" s="6">
        <v>18</v>
      </c>
      <c r="R70" s="6"/>
      <c r="S70" s="6"/>
      <c r="T70" s="6"/>
      <c r="U70" s="6">
        <f t="shared" si="7"/>
        <v>1555200</v>
      </c>
      <c r="V70" s="6" t="str">
        <f t="shared" ref="V70:V85" si="21">IF($C70&gt;VLOOKUP(FurnaceDesired,$B$6:$C$85,2,FALSE),"",IF($C70&gt;VLOOKUP(FurnaceCurrent,$B$6:$C$85,2,FALSE),U70,""))</f>
        <v/>
      </c>
      <c r="X70" s="7">
        <v>1</v>
      </c>
      <c r="Y70" s="7">
        <v>3</v>
      </c>
      <c r="Z70" s="7" t="s">
        <v>234</v>
      </c>
      <c r="AA70" s="7">
        <v>6</v>
      </c>
      <c r="AB70" s="7" t="s">
        <v>58</v>
      </c>
      <c r="AC70" s="7">
        <v>1</v>
      </c>
      <c r="AD70" s="7">
        <v>5</v>
      </c>
      <c r="AE70" s="7" t="s">
        <v>53</v>
      </c>
      <c r="AF70" s="7" t="s">
        <v>234</v>
      </c>
      <c r="AG70" s="7">
        <v>30</v>
      </c>
      <c r="AH70" s="7">
        <v>1</v>
      </c>
      <c r="AI70" s="7">
        <v>3</v>
      </c>
    </row>
    <row r="71" spans="2:35" x14ac:dyDescent="0.3">
      <c r="B71" s="64" t="s">
        <v>240</v>
      </c>
      <c r="C71" s="151">
        <v>66</v>
      </c>
      <c r="D71" s="4">
        <v>130000000</v>
      </c>
      <c r="E71" s="6" t="str">
        <f t="shared" si="15"/>
        <v/>
      </c>
      <c r="F71" s="4">
        <v>130000000</v>
      </c>
      <c r="G71" s="6" t="str">
        <f t="shared" si="16"/>
        <v/>
      </c>
      <c r="H71" s="4">
        <v>26000000</v>
      </c>
      <c r="I71" s="6" t="str">
        <f t="shared" si="17"/>
        <v/>
      </c>
      <c r="J71" s="4">
        <v>6600000</v>
      </c>
      <c r="K71" s="6" t="str">
        <f t="shared" si="18"/>
        <v/>
      </c>
      <c r="L71" s="6">
        <v>240</v>
      </c>
      <c r="M71" s="6" t="str">
        <f t="shared" si="19"/>
        <v/>
      </c>
      <c r="N71" s="6">
        <v>20</v>
      </c>
      <c r="O71" s="6" t="str">
        <f t="shared" si="20"/>
        <v/>
      </c>
      <c r="Q71" s="6">
        <v>20</v>
      </c>
      <c r="R71" s="6"/>
      <c r="S71" s="6"/>
      <c r="T71" s="6"/>
      <c r="U71" s="6">
        <f t="shared" si="7"/>
        <v>1728000</v>
      </c>
      <c r="V71" s="6" t="str">
        <f t="shared" si="21"/>
        <v/>
      </c>
      <c r="X71" s="7">
        <v>1</v>
      </c>
      <c r="Y71" s="7">
        <v>3</v>
      </c>
      <c r="Z71" s="7" t="s">
        <v>239</v>
      </c>
      <c r="AA71" s="7">
        <v>6</v>
      </c>
      <c r="AB71" s="7" t="s">
        <v>58</v>
      </c>
      <c r="AC71" s="7">
        <v>1</v>
      </c>
      <c r="AD71" s="7">
        <v>5</v>
      </c>
      <c r="AE71" s="7" t="s">
        <v>239</v>
      </c>
      <c r="AF71" s="7" t="s">
        <v>234</v>
      </c>
      <c r="AG71" s="7">
        <v>30</v>
      </c>
      <c r="AH71" s="7">
        <v>1</v>
      </c>
      <c r="AI71" s="7">
        <v>3</v>
      </c>
    </row>
    <row r="72" spans="2:35" x14ac:dyDescent="0.3">
      <c r="B72" s="64" t="s">
        <v>241</v>
      </c>
      <c r="C72" s="151">
        <v>67</v>
      </c>
      <c r="D72" s="4">
        <v>130000000</v>
      </c>
      <c r="E72" s="6" t="str">
        <f t="shared" si="15"/>
        <v/>
      </c>
      <c r="F72" s="4">
        <v>130000000</v>
      </c>
      <c r="G72" s="6" t="str">
        <f t="shared" si="16"/>
        <v/>
      </c>
      <c r="H72" s="4">
        <v>26000000</v>
      </c>
      <c r="I72" s="6" t="str">
        <f t="shared" si="17"/>
        <v/>
      </c>
      <c r="J72" s="4">
        <v>6600000</v>
      </c>
      <c r="K72" s="6" t="str">
        <f t="shared" si="18"/>
        <v/>
      </c>
      <c r="L72" s="6">
        <v>240</v>
      </c>
      <c r="M72" s="6" t="str">
        <f t="shared" si="19"/>
        <v/>
      </c>
      <c r="N72" s="6">
        <v>20</v>
      </c>
      <c r="O72" s="6" t="str">
        <f t="shared" si="20"/>
        <v/>
      </c>
      <c r="Q72" s="6">
        <v>20</v>
      </c>
      <c r="R72" s="6"/>
      <c r="S72" s="6"/>
      <c r="T72" s="6"/>
      <c r="U72" s="6">
        <f t="shared" si="7"/>
        <v>1728000</v>
      </c>
      <c r="V72" s="6" t="str">
        <f t="shared" si="21"/>
        <v/>
      </c>
      <c r="X72" s="7">
        <v>1</v>
      </c>
      <c r="Y72" s="7">
        <v>3</v>
      </c>
      <c r="Z72" s="7" t="s">
        <v>239</v>
      </c>
      <c r="AA72" s="7">
        <v>6</v>
      </c>
      <c r="AB72" s="7" t="s">
        <v>58</v>
      </c>
      <c r="AC72" s="7">
        <v>1</v>
      </c>
      <c r="AD72" s="7">
        <v>5</v>
      </c>
      <c r="AE72" s="7" t="s">
        <v>239</v>
      </c>
      <c r="AF72" s="7" t="s">
        <v>234</v>
      </c>
      <c r="AG72" s="7">
        <v>30</v>
      </c>
      <c r="AH72" s="7">
        <v>1</v>
      </c>
      <c r="AI72" s="7">
        <v>3</v>
      </c>
    </row>
    <row r="73" spans="2:35" x14ac:dyDescent="0.3">
      <c r="B73" s="64" t="s">
        <v>242</v>
      </c>
      <c r="C73" s="151">
        <v>68</v>
      </c>
      <c r="D73" s="4">
        <v>130000000</v>
      </c>
      <c r="E73" s="6" t="str">
        <f t="shared" si="15"/>
        <v/>
      </c>
      <c r="F73" s="4">
        <v>130000000</v>
      </c>
      <c r="G73" s="6" t="str">
        <f t="shared" si="16"/>
        <v/>
      </c>
      <c r="H73" s="4">
        <v>26000000</v>
      </c>
      <c r="I73" s="6" t="str">
        <f t="shared" si="17"/>
        <v/>
      </c>
      <c r="J73" s="4">
        <v>6600000</v>
      </c>
      <c r="K73" s="6" t="str">
        <f t="shared" si="18"/>
        <v/>
      </c>
      <c r="L73" s="6">
        <v>240</v>
      </c>
      <c r="M73" s="6" t="str">
        <f t="shared" si="19"/>
        <v/>
      </c>
      <c r="N73" s="6">
        <v>20</v>
      </c>
      <c r="O73" s="6" t="str">
        <f t="shared" si="20"/>
        <v/>
      </c>
      <c r="Q73" s="6">
        <v>20</v>
      </c>
      <c r="R73" s="6"/>
      <c r="S73" s="6"/>
      <c r="T73" s="6"/>
      <c r="U73" s="6">
        <f t="shared" si="7"/>
        <v>1728000</v>
      </c>
      <c r="V73" s="6" t="str">
        <f t="shared" si="21"/>
        <v/>
      </c>
      <c r="X73" s="7">
        <v>1</v>
      </c>
      <c r="Y73" s="7">
        <v>3</v>
      </c>
      <c r="Z73" s="7" t="s">
        <v>239</v>
      </c>
      <c r="AA73" s="7">
        <v>6</v>
      </c>
      <c r="AB73" s="7" t="s">
        <v>58</v>
      </c>
      <c r="AC73" s="7">
        <v>1</v>
      </c>
      <c r="AD73" s="7">
        <v>5</v>
      </c>
      <c r="AE73" s="7" t="s">
        <v>239</v>
      </c>
      <c r="AF73" s="7" t="s">
        <v>234</v>
      </c>
      <c r="AG73" s="7">
        <v>30</v>
      </c>
      <c r="AH73" s="7">
        <v>1</v>
      </c>
      <c r="AI73" s="7">
        <v>3</v>
      </c>
    </row>
    <row r="74" spans="2:35" x14ac:dyDescent="0.3">
      <c r="B74" s="64" t="s">
        <v>243</v>
      </c>
      <c r="C74" s="151">
        <v>69</v>
      </c>
      <c r="D74" s="4">
        <v>130000000</v>
      </c>
      <c r="E74" s="6" t="str">
        <f t="shared" si="15"/>
        <v/>
      </c>
      <c r="F74" s="4">
        <v>130000000</v>
      </c>
      <c r="G74" s="6" t="str">
        <f t="shared" si="16"/>
        <v/>
      </c>
      <c r="H74" s="4">
        <v>26000000</v>
      </c>
      <c r="I74" s="6" t="str">
        <f t="shared" si="17"/>
        <v/>
      </c>
      <c r="J74" s="4">
        <v>6600000</v>
      </c>
      <c r="K74" s="6" t="str">
        <f t="shared" si="18"/>
        <v/>
      </c>
      <c r="L74" s="6">
        <v>240</v>
      </c>
      <c r="M74" s="6" t="str">
        <f t="shared" si="19"/>
        <v/>
      </c>
      <c r="N74" s="6">
        <v>20</v>
      </c>
      <c r="O74" s="6" t="str">
        <f t="shared" si="20"/>
        <v/>
      </c>
      <c r="Q74" s="6">
        <v>20</v>
      </c>
      <c r="R74" s="6"/>
      <c r="S74" s="6"/>
      <c r="T74" s="6"/>
      <c r="U74" s="6">
        <f t="shared" si="7"/>
        <v>1728000</v>
      </c>
      <c r="V74" s="6" t="str">
        <f t="shared" si="21"/>
        <v/>
      </c>
      <c r="X74" s="7">
        <v>1</v>
      </c>
      <c r="Y74" s="7">
        <v>3</v>
      </c>
      <c r="Z74" s="7" t="s">
        <v>239</v>
      </c>
      <c r="AA74" s="7">
        <v>6</v>
      </c>
      <c r="AB74" s="7" t="s">
        <v>58</v>
      </c>
      <c r="AC74" s="7">
        <v>1</v>
      </c>
      <c r="AD74" s="7">
        <v>5</v>
      </c>
      <c r="AE74" s="7" t="s">
        <v>239</v>
      </c>
      <c r="AF74" s="7" t="s">
        <v>234</v>
      </c>
      <c r="AG74" s="7">
        <v>30</v>
      </c>
      <c r="AH74" s="7">
        <v>1</v>
      </c>
      <c r="AI74" s="7">
        <v>3</v>
      </c>
    </row>
    <row r="75" spans="2:35" x14ac:dyDescent="0.3">
      <c r="B75" s="64" t="s">
        <v>244</v>
      </c>
      <c r="C75" s="151">
        <v>70</v>
      </c>
      <c r="D75" s="4">
        <v>130000000</v>
      </c>
      <c r="E75" s="6" t="str">
        <f t="shared" si="15"/>
        <v/>
      </c>
      <c r="F75" s="4">
        <v>130000000</v>
      </c>
      <c r="G75" s="6" t="str">
        <f t="shared" si="16"/>
        <v/>
      </c>
      <c r="H75" s="4">
        <v>26000000</v>
      </c>
      <c r="I75" s="6" t="str">
        <f t="shared" si="17"/>
        <v/>
      </c>
      <c r="J75" s="4">
        <v>6600000</v>
      </c>
      <c r="K75" s="6" t="str">
        <f t="shared" si="18"/>
        <v/>
      </c>
      <c r="L75" s="6">
        <v>120</v>
      </c>
      <c r="M75" s="6" t="str">
        <f t="shared" si="19"/>
        <v/>
      </c>
      <c r="N75" s="6">
        <v>40</v>
      </c>
      <c r="O75" s="6" t="str">
        <f t="shared" si="20"/>
        <v/>
      </c>
      <c r="Q75" s="6">
        <v>20</v>
      </c>
      <c r="R75" s="6"/>
      <c r="S75" s="6"/>
      <c r="T75" s="6"/>
      <c r="U75" s="6">
        <f t="shared" si="7"/>
        <v>1728000</v>
      </c>
      <c r="V75" s="6" t="str">
        <f t="shared" si="21"/>
        <v/>
      </c>
      <c r="X75" s="7">
        <v>1</v>
      </c>
      <c r="Y75" s="7">
        <v>3</v>
      </c>
      <c r="Z75" s="7" t="s">
        <v>239</v>
      </c>
      <c r="AA75" s="7">
        <v>6</v>
      </c>
      <c r="AB75" s="7" t="s">
        <v>58</v>
      </c>
      <c r="AC75" s="7">
        <v>1</v>
      </c>
      <c r="AD75" s="7">
        <v>5</v>
      </c>
      <c r="AE75" s="7" t="s">
        <v>239</v>
      </c>
      <c r="AF75" s="7" t="s">
        <v>234</v>
      </c>
      <c r="AG75" s="7">
        <v>30</v>
      </c>
      <c r="AH75" s="7">
        <v>1</v>
      </c>
      <c r="AI75" s="7">
        <v>3</v>
      </c>
    </row>
    <row r="76" spans="2:35" x14ac:dyDescent="0.3">
      <c r="B76" s="64" t="s">
        <v>450</v>
      </c>
      <c r="C76" s="151">
        <v>71</v>
      </c>
      <c r="D76" s="4">
        <v>140000000</v>
      </c>
      <c r="E76" s="6">
        <f t="shared" si="15"/>
        <v>140000000</v>
      </c>
      <c r="F76" s="4">
        <v>140000000</v>
      </c>
      <c r="G76" s="6">
        <f t="shared" si="16"/>
        <v>140000000</v>
      </c>
      <c r="H76" s="4">
        <v>29000000</v>
      </c>
      <c r="I76" s="6">
        <f t="shared" si="17"/>
        <v>29000000</v>
      </c>
      <c r="J76" s="4">
        <v>7200000</v>
      </c>
      <c r="K76" s="6">
        <f t="shared" si="18"/>
        <v>7200000</v>
      </c>
      <c r="L76" s="4">
        <v>280</v>
      </c>
      <c r="M76" s="6">
        <f t="shared" si="19"/>
        <v>280</v>
      </c>
      <c r="N76" s="4">
        <v>30</v>
      </c>
      <c r="O76" s="6">
        <f t="shared" si="20"/>
        <v>30</v>
      </c>
      <c r="Q76" s="6">
        <v>13</v>
      </c>
      <c r="R76" s="6"/>
      <c r="S76" s="6"/>
      <c r="T76" s="6"/>
      <c r="U76" s="6">
        <f t="shared" si="7"/>
        <v>1123200</v>
      </c>
      <c r="V76" s="6">
        <f t="shared" si="21"/>
        <v>1123200</v>
      </c>
      <c r="X76" s="7">
        <v>1</v>
      </c>
      <c r="Y76" s="7">
        <v>3</v>
      </c>
      <c r="Z76" s="7" t="s">
        <v>244</v>
      </c>
      <c r="AA76" s="7">
        <v>6</v>
      </c>
      <c r="AB76" s="7" t="s">
        <v>244</v>
      </c>
      <c r="AC76" s="7">
        <v>1</v>
      </c>
      <c r="AD76" s="7">
        <v>5</v>
      </c>
      <c r="AE76" s="7" t="s">
        <v>239</v>
      </c>
      <c r="AF76" s="7" t="s">
        <v>234</v>
      </c>
      <c r="AG76" s="7">
        <v>30</v>
      </c>
      <c r="AH76" s="7">
        <v>1</v>
      </c>
      <c r="AI76" s="7">
        <v>3</v>
      </c>
    </row>
    <row r="77" spans="2:35" x14ac:dyDescent="0.3">
      <c r="B77" s="64" t="s">
        <v>451</v>
      </c>
      <c r="C77" s="151">
        <v>72</v>
      </c>
      <c r="D77" s="4">
        <v>140000000</v>
      </c>
      <c r="E77" s="6">
        <f t="shared" si="15"/>
        <v>140000000</v>
      </c>
      <c r="F77" s="4">
        <v>140000000</v>
      </c>
      <c r="G77" s="6">
        <f t="shared" si="16"/>
        <v>140000000</v>
      </c>
      <c r="H77" s="4">
        <v>29000000</v>
      </c>
      <c r="I77" s="6">
        <f t="shared" si="17"/>
        <v>29000000</v>
      </c>
      <c r="J77" s="4">
        <v>7200000</v>
      </c>
      <c r="K77" s="6">
        <f t="shared" si="18"/>
        <v>7200000</v>
      </c>
      <c r="L77" s="4">
        <v>280</v>
      </c>
      <c r="M77" s="6">
        <f t="shared" si="19"/>
        <v>280</v>
      </c>
      <c r="N77" s="4">
        <v>30</v>
      </c>
      <c r="O77" s="6">
        <f t="shared" si="20"/>
        <v>30</v>
      </c>
      <c r="Q77" s="6">
        <v>13</v>
      </c>
      <c r="R77" s="6"/>
      <c r="S77" s="6"/>
      <c r="T77" s="6"/>
      <c r="U77" s="6">
        <f t="shared" si="7"/>
        <v>1123200</v>
      </c>
      <c r="V77" s="6">
        <f t="shared" si="21"/>
        <v>1123200</v>
      </c>
      <c r="X77" s="7">
        <v>1</v>
      </c>
      <c r="Y77" s="7">
        <v>3</v>
      </c>
      <c r="Z77" s="7" t="s">
        <v>244</v>
      </c>
      <c r="AA77" s="7">
        <v>6</v>
      </c>
      <c r="AB77" s="7" t="s">
        <v>244</v>
      </c>
      <c r="AC77" s="7">
        <v>1</v>
      </c>
      <c r="AD77" s="7">
        <v>5</v>
      </c>
      <c r="AE77" s="7" t="s">
        <v>239</v>
      </c>
      <c r="AF77" s="7" t="s">
        <v>234</v>
      </c>
      <c r="AG77" s="7">
        <v>30</v>
      </c>
      <c r="AH77" s="7">
        <v>1</v>
      </c>
      <c r="AI77" s="7">
        <v>3</v>
      </c>
    </row>
    <row r="78" spans="2:35" x14ac:dyDescent="0.3">
      <c r="B78" s="64" t="s">
        <v>452</v>
      </c>
      <c r="C78" s="151">
        <v>73</v>
      </c>
      <c r="D78" s="4">
        <v>140000000</v>
      </c>
      <c r="E78" s="6">
        <f t="shared" si="15"/>
        <v>140000000</v>
      </c>
      <c r="F78" s="4">
        <v>140000000</v>
      </c>
      <c r="G78" s="6">
        <f t="shared" si="16"/>
        <v>140000000</v>
      </c>
      <c r="H78" s="4">
        <v>29000000</v>
      </c>
      <c r="I78" s="6">
        <f t="shared" si="17"/>
        <v>29000000</v>
      </c>
      <c r="J78" s="4">
        <v>7200000</v>
      </c>
      <c r="K78" s="6">
        <f t="shared" si="18"/>
        <v>7200000</v>
      </c>
      <c r="L78" s="4">
        <v>280</v>
      </c>
      <c r="M78" s="6">
        <f t="shared" si="19"/>
        <v>280</v>
      </c>
      <c r="N78" s="4">
        <v>30</v>
      </c>
      <c r="O78" s="6">
        <f t="shared" si="20"/>
        <v>30</v>
      </c>
      <c r="Q78" s="6">
        <v>13</v>
      </c>
      <c r="R78" s="6"/>
      <c r="S78" s="6"/>
      <c r="T78" s="6"/>
      <c r="U78" s="6">
        <f t="shared" ref="U78:U85" si="22">T78+S78*60+R78*60*60+Q78*60*60*24</f>
        <v>1123200</v>
      </c>
      <c r="V78" s="6">
        <f t="shared" si="21"/>
        <v>1123200</v>
      </c>
      <c r="X78" s="7">
        <v>1</v>
      </c>
      <c r="Y78" s="7">
        <v>3</v>
      </c>
      <c r="Z78" s="7" t="s">
        <v>244</v>
      </c>
      <c r="AA78" s="7">
        <v>6</v>
      </c>
      <c r="AB78" s="7" t="s">
        <v>244</v>
      </c>
      <c r="AC78" s="7">
        <v>1</v>
      </c>
      <c r="AD78" s="7">
        <v>5</v>
      </c>
      <c r="AE78" s="7" t="s">
        <v>239</v>
      </c>
      <c r="AF78" s="7" t="s">
        <v>234</v>
      </c>
      <c r="AG78" s="7">
        <v>30</v>
      </c>
      <c r="AH78" s="7">
        <v>1</v>
      </c>
      <c r="AI78" s="7">
        <v>3</v>
      </c>
    </row>
    <row r="79" spans="2:35" x14ac:dyDescent="0.3">
      <c r="B79" s="64" t="s">
        <v>453</v>
      </c>
      <c r="C79" s="151">
        <v>74</v>
      </c>
      <c r="D79" s="4">
        <v>140000000</v>
      </c>
      <c r="E79" s="6">
        <f t="shared" si="15"/>
        <v>140000000</v>
      </c>
      <c r="F79" s="4">
        <v>140000000</v>
      </c>
      <c r="G79" s="6">
        <f t="shared" si="16"/>
        <v>140000000</v>
      </c>
      <c r="H79" s="4">
        <v>29000000</v>
      </c>
      <c r="I79" s="6">
        <f t="shared" si="17"/>
        <v>29000000</v>
      </c>
      <c r="J79" s="4">
        <v>7200000</v>
      </c>
      <c r="K79" s="6">
        <f t="shared" si="18"/>
        <v>7200000</v>
      </c>
      <c r="L79" s="4">
        <v>280</v>
      </c>
      <c r="M79" s="6">
        <f t="shared" si="19"/>
        <v>280</v>
      </c>
      <c r="N79" s="4">
        <v>30</v>
      </c>
      <c r="O79" s="6">
        <f t="shared" si="20"/>
        <v>30</v>
      </c>
      <c r="Q79" s="6">
        <v>13</v>
      </c>
      <c r="R79" s="6"/>
      <c r="S79" s="6"/>
      <c r="T79" s="6"/>
      <c r="U79" s="6">
        <f t="shared" si="22"/>
        <v>1123200</v>
      </c>
      <c r="V79" s="6">
        <f t="shared" si="21"/>
        <v>1123200</v>
      </c>
      <c r="X79" s="7">
        <v>1</v>
      </c>
      <c r="Y79" s="7">
        <v>3</v>
      </c>
      <c r="Z79" s="7" t="s">
        <v>244</v>
      </c>
      <c r="AA79" s="7">
        <v>6</v>
      </c>
      <c r="AB79" s="7" t="s">
        <v>244</v>
      </c>
      <c r="AC79" s="7">
        <v>1</v>
      </c>
      <c r="AD79" s="7">
        <v>5</v>
      </c>
      <c r="AE79" s="7" t="s">
        <v>239</v>
      </c>
      <c r="AF79" s="7" t="s">
        <v>234</v>
      </c>
      <c r="AG79" s="7">
        <v>30</v>
      </c>
      <c r="AH79" s="7">
        <v>1</v>
      </c>
      <c r="AI79" s="7">
        <v>3</v>
      </c>
    </row>
    <row r="80" spans="2:35" x14ac:dyDescent="0.3">
      <c r="B80" s="64" t="s">
        <v>454</v>
      </c>
      <c r="C80" s="151">
        <v>75</v>
      </c>
      <c r="D80" s="4">
        <v>140000000</v>
      </c>
      <c r="E80" s="6">
        <f t="shared" si="15"/>
        <v>140000000</v>
      </c>
      <c r="F80" s="4">
        <v>140000000</v>
      </c>
      <c r="G80" s="6">
        <f t="shared" si="16"/>
        <v>140000000</v>
      </c>
      <c r="H80" s="4">
        <v>29000000</v>
      </c>
      <c r="I80" s="6">
        <f t="shared" si="17"/>
        <v>29000000</v>
      </c>
      <c r="J80" s="4">
        <v>7200000</v>
      </c>
      <c r="K80" s="6">
        <f t="shared" si="18"/>
        <v>7200000</v>
      </c>
      <c r="L80" s="4">
        <v>280</v>
      </c>
      <c r="M80" s="6">
        <f t="shared" si="19"/>
        <v>280</v>
      </c>
      <c r="N80" s="4">
        <v>60</v>
      </c>
      <c r="O80" s="6">
        <f t="shared" si="20"/>
        <v>60</v>
      </c>
      <c r="Q80" s="6">
        <v>13</v>
      </c>
      <c r="R80" s="6"/>
      <c r="S80" s="6"/>
      <c r="T80" s="6"/>
      <c r="U80" s="6">
        <f t="shared" si="22"/>
        <v>1123200</v>
      </c>
      <c r="V80" s="6">
        <f t="shared" si="21"/>
        <v>1123200</v>
      </c>
      <c r="X80" s="7">
        <v>1</v>
      </c>
      <c r="Y80" s="7">
        <v>3</v>
      </c>
      <c r="Z80" s="7" t="s">
        <v>244</v>
      </c>
      <c r="AA80" s="7">
        <v>6</v>
      </c>
      <c r="AB80" s="7" t="s">
        <v>244</v>
      </c>
      <c r="AC80" s="7">
        <v>1</v>
      </c>
      <c r="AD80" s="7">
        <v>5</v>
      </c>
      <c r="AE80" s="7" t="s">
        <v>239</v>
      </c>
      <c r="AF80" s="7" t="s">
        <v>234</v>
      </c>
      <c r="AG80" s="7">
        <v>30</v>
      </c>
      <c r="AH80" s="7">
        <v>1</v>
      </c>
      <c r="AI80" s="7">
        <v>3</v>
      </c>
    </row>
    <row r="81" spans="2:35" x14ac:dyDescent="0.3">
      <c r="B81" s="64" t="s">
        <v>455</v>
      </c>
      <c r="C81" s="151">
        <v>76</v>
      </c>
      <c r="D81" s="4">
        <v>160000000</v>
      </c>
      <c r="E81" s="6" t="str">
        <f t="shared" si="15"/>
        <v/>
      </c>
      <c r="F81" s="4">
        <v>160000000</v>
      </c>
      <c r="G81" s="6" t="str">
        <f t="shared" si="16"/>
        <v/>
      </c>
      <c r="H81" s="4">
        <v>33000000</v>
      </c>
      <c r="I81" s="6" t="str">
        <f t="shared" si="17"/>
        <v/>
      </c>
      <c r="J81" s="4">
        <v>8400000</v>
      </c>
      <c r="K81" s="6" t="str">
        <f t="shared" si="18"/>
        <v/>
      </c>
      <c r="L81" s="4">
        <v>350</v>
      </c>
      <c r="M81" s="6" t="str">
        <f t="shared" si="19"/>
        <v/>
      </c>
      <c r="N81" s="4">
        <v>70</v>
      </c>
      <c r="O81" s="6" t="str">
        <f t="shared" si="20"/>
        <v/>
      </c>
      <c r="Q81" s="6">
        <v>20</v>
      </c>
      <c r="R81" s="6"/>
      <c r="S81" s="6"/>
      <c r="T81" s="6"/>
      <c r="U81" s="6">
        <f t="shared" si="22"/>
        <v>1728000</v>
      </c>
      <c r="V81" s="6" t="str">
        <f t="shared" si="21"/>
        <v/>
      </c>
      <c r="X81" s="7">
        <v>1</v>
      </c>
      <c r="Y81" s="7">
        <v>3</v>
      </c>
      <c r="Z81" s="7" t="s">
        <v>454</v>
      </c>
      <c r="AA81" s="7">
        <v>6</v>
      </c>
      <c r="AB81" s="7" t="s">
        <v>244</v>
      </c>
      <c r="AC81" s="7">
        <v>1</v>
      </c>
      <c r="AD81" s="7">
        <v>5</v>
      </c>
      <c r="AE81" s="7" t="s">
        <v>239</v>
      </c>
      <c r="AF81" s="7" t="s">
        <v>454</v>
      </c>
      <c r="AG81" s="7">
        <v>30</v>
      </c>
      <c r="AH81" s="7">
        <v>1</v>
      </c>
      <c r="AI81" s="7">
        <v>3</v>
      </c>
    </row>
    <row r="82" spans="2:35" x14ac:dyDescent="0.3">
      <c r="B82" s="64" t="s">
        <v>456</v>
      </c>
      <c r="C82" s="151">
        <v>77</v>
      </c>
      <c r="D82" s="4">
        <v>160000000</v>
      </c>
      <c r="E82" s="6" t="str">
        <f t="shared" si="15"/>
        <v/>
      </c>
      <c r="F82" s="4">
        <v>160000000</v>
      </c>
      <c r="G82" s="6" t="str">
        <f t="shared" si="16"/>
        <v/>
      </c>
      <c r="H82" s="4">
        <v>33000000</v>
      </c>
      <c r="I82" s="6" t="str">
        <f t="shared" si="17"/>
        <v/>
      </c>
      <c r="J82" s="4">
        <v>8400000</v>
      </c>
      <c r="K82" s="6" t="str">
        <f t="shared" si="18"/>
        <v/>
      </c>
      <c r="L82" s="4">
        <v>350</v>
      </c>
      <c r="M82" s="6" t="str">
        <f t="shared" si="19"/>
        <v/>
      </c>
      <c r="N82" s="4">
        <v>70</v>
      </c>
      <c r="O82" s="6" t="str">
        <f t="shared" si="20"/>
        <v/>
      </c>
      <c r="Q82" s="6">
        <v>20</v>
      </c>
      <c r="R82" s="6"/>
      <c r="S82" s="6"/>
      <c r="T82" s="6"/>
      <c r="U82" s="6">
        <f t="shared" si="22"/>
        <v>1728000</v>
      </c>
      <c r="V82" s="6" t="str">
        <f t="shared" si="21"/>
        <v/>
      </c>
      <c r="X82" s="7">
        <v>1</v>
      </c>
      <c r="Y82" s="7">
        <v>3</v>
      </c>
      <c r="Z82" s="7" t="s">
        <v>454</v>
      </c>
      <c r="AA82" s="7">
        <v>6</v>
      </c>
      <c r="AB82" s="7" t="s">
        <v>244</v>
      </c>
      <c r="AC82" s="7">
        <v>1</v>
      </c>
      <c r="AD82" s="7">
        <v>5</v>
      </c>
      <c r="AE82" s="7" t="s">
        <v>239</v>
      </c>
      <c r="AF82" s="7" t="s">
        <v>454</v>
      </c>
      <c r="AG82" s="7">
        <v>30</v>
      </c>
      <c r="AH82" s="7">
        <v>1</v>
      </c>
      <c r="AI82" s="7">
        <v>3</v>
      </c>
    </row>
    <row r="83" spans="2:35" x14ac:dyDescent="0.3">
      <c r="B83" s="64" t="s">
        <v>457</v>
      </c>
      <c r="C83" s="151">
        <v>78</v>
      </c>
      <c r="D83" s="4">
        <v>160000000</v>
      </c>
      <c r="E83" s="6" t="str">
        <f t="shared" si="15"/>
        <v/>
      </c>
      <c r="F83" s="4">
        <v>160000000</v>
      </c>
      <c r="G83" s="6" t="str">
        <f t="shared" si="16"/>
        <v/>
      </c>
      <c r="H83" s="4">
        <v>33000000</v>
      </c>
      <c r="I83" s="6" t="str">
        <f t="shared" si="17"/>
        <v/>
      </c>
      <c r="J83" s="4">
        <v>8400000</v>
      </c>
      <c r="K83" s="6" t="str">
        <f t="shared" si="18"/>
        <v/>
      </c>
      <c r="L83" s="4">
        <v>350</v>
      </c>
      <c r="M83" s="6" t="str">
        <f t="shared" si="19"/>
        <v/>
      </c>
      <c r="N83" s="4">
        <v>70</v>
      </c>
      <c r="O83" s="6" t="str">
        <f t="shared" si="20"/>
        <v/>
      </c>
      <c r="Q83" s="6">
        <v>20</v>
      </c>
      <c r="R83" s="6"/>
      <c r="S83" s="6"/>
      <c r="T83" s="6"/>
      <c r="U83" s="6">
        <f t="shared" si="22"/>
        <v>1728000</v>
      </c>
      <c r="V83" s="6" t="str">
        <f t="shared" si="21"/>
        <v/>
      </c>
      <c r="X83" s="7">
        <v>1</v>
      </c>
      <c r="Y83" s="7">
        <v>3</v>
      </c>
      <c r="Z83" s="7" t="s">
        <v>454</v>
      </c>
      <c r="AA83" s="7">
        <v>6</v>
      </c>
      <c r="AB83" s="7" t="s">
        <v>244</v>
      </c>
      <c r="AC83" s="7">
        <v>1</v>
      </c>
      <c r="AD83" s="7">
        <v>5</v>
      </c>
      <c r="AE83" s="7" t="s">
        <v>239</v>
      </c>
      <c r="AF83" s="7" t="s">
        <v>454</v>
      </c>
      <c r="AG83" s="7">
        <v>30</v>
      </c>
      <c r="AH83" s="7">
        <v>1</v>
      </c>
      <c r="AI83" s="7">
        <v>3</v>
      </c>
    </row>
    <row r="84" spans="2:35" x14ac:dyDescent="0.3">
      <c r="B84" s="64" t="s">
        <v>458</v>
      </c>
      <c r="C84" s="151">
        <v>79</v>
      </c>
      <c r="D84" s="4">
        <v>160000000</v>
      </c>
      <c r="E84" s="6" t="str">
        <f t="shared" si="15"/>
        <v/>
      </c>
      <c r="F84" s="4">
        <v>160000000</v>
      </c>
      <c r="G84" s="6" t="str">
        <f t="shared" si="16"/>
        <v/>
      </c>
      <c r="H84" s="4">
        <v>33000000</v>
      </c>
      <c r="I84" s="6" t="str">
        <f t="shared" si="17"/>
        <v/>
      </c>
      <c r="J84" s="4">
        <v>8400000</v>
      </c>
      <c r="K84" s="6" t="str">
        <f t="shared" si="18"/>
        <v/>
      </c>
      <c r="L84" s="4">
        <v>350</v>
      </c>
      <c r="M84" s="6" t="str">
        <f t="shared" si="19"/>
        <v/>
      </c>
      <c r="N84" s="4">
        <v>70</v>
      </c>
      <c r="O84" s="6" t="str">
        <f t="shared" si="20"/>
        <v/>
      </c>
      <c r="Q84" s="6">
        <v>20</v>
      </c>
      <c r="R84" s="6"/>
      <c r="S84" s="6"/>
      <c r="T84" s="6"/>
      <c r="U84" s="6">
        <f t="shared" si="22"/>
        <v>1728000</v>
      </c>
      <c r="V84" s="6" t="str">
        <f t="shared" si="21"/>
        <v/>
      </c>
      <c r="X84" s="7">
        <v>1</v>
      </c>
      <c r="Y84" s="7">
        <v>3</v>
      </c>
      <c r="Z84" s="7" t="s">
        <v>454</v>
      </c>
      <c r="AA84" s="7">
        <v>6</v>
      </c>
      <c r="AB84" s="7" t="s">
        <v>244</v>
      </c>
      <c r="AC84" s="7">
        <v>1</v>
      </c>
      <c r="AD84" s="7">
        <v>5</v>
      </c>
      <c r="AE84" s="7" t="s">
        <v>239</v>
      </c>
      <c r="AF84" s="7" t="s">
        <v>454</v>
      </c>
      <c r="AG84" s="7">
        <v>30</v>
      </c>
      <c r="AH84" s="7">
        <v>1</v>
      </c>
      <c r="AI84" s="7">
        <v>3</v>
      </c>
    </row>
    <row r="85" spans="2:35" x14ac:dyDescent="0.3">
      <c r="B85" s="148" t="s">
        <v>459</v>
      </c>
      <c r="C85" s="152">
        <v>80</v>
      </c>
      <c r="D85" s="149">
        <v>160000000</v>
      </c>
      <c r="E85" s="146" t="str">
        <f t="shared" si="15"/>
        <v/>
      </c>
      <c r="F85" s="149">
        <v>160000000</v>
      </c>
      <c r="G85" s="146" t="str">
        <f t="shared" si="16"/>
        <v/>
      </c>
      <c r="H85" s="149">
        <v>33000000</v>
      </c>
      <c r="I85" s="146" t="str">
        <f t="shared" si="17"/>
        <v/>
      </c>
      <c r="J85" s="149">
        <v>8400000</v>
      </c>
      <c r="K85" s="146" t="str">
        <f t="shared" si="18"/>
        <v/>
      </c>
      <c r="L85" s="149">
        <v>175</v>
      </c>
      <c r="M85" s="146" t="str">
        <f t="shared" si="19"/>
        <v/>
      </c>
      <c r="N85" s="149">
        <v>140</v>
      </c>
      <c r="O85" s="146" t="str">
        <f t="shared" si="20"/>
        <v/>
      </c>
      <c r="P85" s="149"/>
      <c r="Q85" s="146">
        <v>20</v>
      </c>
      <c r="R85" s="146"/>
      <c r="S85" s="146"/>
      <c r="T85" s="146"/>
      <c r="U85" s="146">
        <f t="shared" si="22"/>
        <v>1728000</v>
      </c>
      <c r="V85" s="146" t="str">
        <f t="shared" si="21"/>
        <v/>
      </c>
      <c r="W85" s="149"/>
      <c r="X85" s="150">
        <v>1</v>
      </c>
      <c r="Y85" s="150">
        <v>3</v>
      </c>
      <c r="Z85" s="150" t="s">
        <v>454</v>
      </c>
      <c r="AA85" s="150">
        <v>6</v>
      </c>
      <c r="AB85" s="150" t="s">
        <v>244</v>
      </c>
      <c r="AC85" s="150">
        <v>1</v>
      </c>
      <c r="AD85" s="150">
        <v>5</v>
      </c>
      <c r="AE85" s="150" t="s">
        <v>239</v>
      </c>
      <c r="AF85" s="150" t="s">
        <v>454</v>
      </c>
      <c r="AG85" s="150">
        <v>30</v>
      </c>
      <c r="AH85" s="150">
        <v>1</v>
      </c>
      <c r="AI85" s="150">
        <v>3</v>
      </c>
    </row>
    <row r="86" spans="2:35" x14ac:dyDescent="0.3">
      <c r="Q86" s="6"/>
      <c r="R86" s="6"/>
      <c r="S86" s="6"/>
      <c r="T86" s="6"/>
      <c r="U86" s="6"/>
      <c r="V86" s="6"/>
    </row>
    <row r="87" spans="2:35" x14ac:dyDescent="0.3">
      <c r="B87" s="64" t="s">
        <v>25</v>
      </c>
      <c r="D87" s="4">
        <f>SUM(D6:D85)</f>
        <v>6344100000</v>
      </c>
      <c r="E87" s="4">
        <f t="shared" ref="E87:V87" si="23">SUM(E6:E85)</f>
        <v>700000000</v>
      </c>
      <c r="F87" s="4">
        <f t="shared" si="23"/>
        <v>6345038385</v>
      </c>
      <c r="G87" s="4">
        <f t="shared" si="23"/>
        <v>700000000</v>
      </c>
      <c r="H87" s="4">
        <f t="shared" si="23"/>
        <v>1268107660</v>
      </c>
      <c r="I87" s="4">
        <f t="shared" si="23"/>
        <v>145000000</v>
      </c>
      <c r="J87" s="4">
        <f t="shared" si="23"/>
        <v>323135660</v>
      </c>
      <c r="K87" s="4">
        <f t="shared" si="23"/>
        <v>36000000</v>
      </c>
      <c r="L87" s="4">
        <f t="shared" si="23"/>
        <v>11750</v>
      </c>
      <c r="M87" s="4">
        <f t="shared" si="23"/>
        <v>1400</v>
      </c>
      <c r="N87" s="4">
        <f t="shared" si="23"/>
        <v>870</v>
      </c>
      <c r="O87" s="4">
        <f t="shared" si="23"/>
        <v>180</v>
      </c>
      <c r="P87" s="4">
        <f t="shared" si="23"/>
        <v>0</v>
      </c>
      <c r="Q87" s="4">
        <f t="shared" si="23"/>
        <v>901</v>
      </c>
      <c r="R87" s="4">
        <f t="shared" si="23"/>
        <v>206</v>
      </c>
      <c r="S87" s="4">
        <f t="shared" si="23"/>
        <v>690</v>
      </c>
      <c r="T87" s="4">
        <f t="shared" si="23"/>
        <v>6</v>
      </c>
      <c r="U87" s="4">
        <f t="shared" si="23"/>
        <v>78629406</v>
      </c>
      <c r="V87" s="4">
        <f t="shared" si="23"/>
        <v>5616000</v>
      </c>
    </row>
    <row r="89" spans="2:35" x14ac:dyDescent="0.3">
      <c r="B89" s="45"/>
      <c r="T89" s="4" t="s">
        <v>21</v>
      </c>
      <c r="U89" s="4">
        <f>ROUNDDOWN(U87/60/60/24,0)</f>
        <v>910</v>
      </c>
      <c r="V89" s="4">
        <f>ROUNDDOWN(V87/60/60/24,0)</f>
        <v>65</v>
      </c>
    </row>
    <row r="90" spans="2:35" x14ac:dyDescent="0.3">
      <c r="B90" s="63"/>
      <c r="T90" s="4" t="s">
        <v>20</v>
      </c>
      <c r="U90" s="4">
        <f>ROUNDDOWN((U87-U89*60*60*24)/60/60,0)</f>
        <v>1</v>
      </c>
      <c r="V90" s="4">
        <f>ROUNDDOWN((V87-V89*60*60*24)/60/60,0)</f>
        <v>0</v>
      </c>
    </row>
    <row r="91" spans="2:35" x14ac:dyDescent="0.3">
      <c r="B91" s="63"/>
      <c r="T91" s="4" t="s">
        <v>19</v>
      </c>
      <c r="U91" s="4">
        <f>ROUNDDOWN((U87-U89*60*60*24-U90*60*60)/60,0)</f>
        <v>30</v>
      </c>
      <c r="V91" s="4">
        <f>ROUNDDOWN((V87-V89*60*60*24-V90*60*60)/60,0)</f>
        <v>0</v>
      </c>
    </row>
    <row r="92" spans="2:35" x14ac:dyDescent="0.3">
      <c r="B92" s="63"/>
      <c r="T92" s="4" t="s">
        <v>18</v>
      </c>
      <c r="U92" s="4">
        <f>ROUNDDOWN((U87-U89*60*60*24-U90*60*60-U91*60),0)</f>
        <v>6</v>
      </c>
      <c r="V92" s="4">
        <f>ROUNDDOWN((V87-V89*60*60*24-V90*60*60-V91*60),0)</f>
        <v>0</v>
      </c>
    </row>
    <row r="93" spans="2:35" x14ac:dyDescent="0.3">
      <c r="B93" s="63"/>
    </row>
    <row r="94" spans="2:35" x14ac:dyDescent="0.3">
      <c r="B94" s="63"/>
    </row>
    <row r="95" spans="2:35" x14ac:dyDescent="0.3">
      <c r="B95" s="63"/>
    </row>
    <row r="96" spans="2:35" x14ac:dyDescent="0.3">
      <c r="B96" s="63"/>
    </row>
    <row r="97" spans="2:2" x14ac:dyDescent="0.3">
      <c r="B97" s="63"/>
    </row>
    <row r="98" spans="2:2" x14ac:dyDescent="0.3">
      <c r="B98" s="63"/>
    </row>
    <row r="99" spans="2:2" x14ac:dyDescent="0.3">
      <c r="B99" s="63"/>
    </row>
    <row r="100" spans="2:2" x14ac:dyDescent="0.3">
      <c r="B100" s="63"/>
    </row>
    <row r="101" spans="2:2" x14ac:dyDescent="0.3">
      <c r="B101" s="63"/>
    </row>
    <row r="102" spans="2:2" x14ac:dyDescent="0.3">
      <c r="B102" s="63"/>
    </row>
    <row r="103" spans="2:2" x14ac:dyDescent="0.3">
      <c r="B103" s="63"/>
    </row>
    <row r="104" spans="2:2" x14ac:dyDescent="0.3">
      <c r="B104" s="63"/>
    </row>
    <row r="105" spans="2:2" x14ac:dyDescent="0.3">
      <c r="B105" s="63"/>
    </row>
    <row r="106" spans="2:2" x14ac:dyDescent="0.3">
      <c r="B106" s="63"/>
    </row>
    <row r="107" spans="2:2" x14ac:dyDescent="0.3">
      <c r="B107" s="63"/>
    </row>
    <row r="108" spans="2:2" x14ac:dyDescent="0.3">
      <c r="B108" s="63"/>
    </row>
    <row r="109" spans="2:2" x14ac:dyDescent="0.3">
      <c r="B109" s="63"/>
    </row>
    <row r="110" spans="2:2" x14ac:dyDescent="0.3">
      <c r="B110" s="63"/>
    </row>
    <row r="111" spans="2:2" x14ac:dyDescent="0.3">
      <c r="B111" s="63"/>
    </row>
    <row r="112" spans="2:2" x14ac:dyDescent="0.3">
      <c r="B112" s="63"/>
    </row>
    <row r="113" spans="2:2" x14ac:dyDescent="0.3">
      <c r="B113" s="63"/>
    </row>
    <row r="114" spans="2:2" x14ac:dyDescent="0.3">
      <c r="B114" s="63"/>
    </row>
    <row r="115" spans="2:2" x14ac:dyDescent="0.3">
      <c r="B115" s="63"/>
    </row>
    <row r="116" spans="2:2" x14ac:dyDescent="0.3">
      <c r="B116" s="63"/>
    </row>
    <row r="117" spans="2:2" x14ac:dyDescent="0.3">
      <c r="B117" s="63"/>
    </row>
    <row r="118" spans="2:2" x14ac:dyDescent="0.3">
      <c r="B118" s="63"/>
    </row>
    <row r="119" spans="2:2" x14ac:dyDescent="0.3">
      <c r="B119" s="63"/>
    </row>
  </sheetData>
  <sheetProtection sheet="1" objects="1" scenarios="1"/>
  <sortState xmlns:xlrd2="http://schemas.microsoft.com/office/spreadsheetml/2017/richdata2" ref="B87:B98">
    <sortCondition ref="B87:B98"/>
  </sortState>
  <mergeCells count="10">
    <mergeCell ref="X3:AI3"/>
    <mergeCell ref="D4:E4"/>
    <mergeCell ref="F4:G4"/>
    <mergeCell ref="H4:I4"/>
    <mergeCell ref="J4:K4"/>
    <mergeCell ref="U4:V4"/>
    <mergeCell ref="L4:M4"/>
    <mergeCell ref="D3:M3"/>
    <mergeCell ref="Q3:V3"/>
    <mergeCell ref="N4:O4"/>
  </mergeCells>
  <phoneticPr fontId="1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12418-2741-4287-BC82-D46966A9ADE5}">
  <sheetPr codeName="Sheet17"/>
  <dimension ref="A1:AC80"/>
  <sheetViews>
    <sheetView workbookViewId="0">
      <selection sqref="A1:S2"/>
    </sheetView>
  </sheetViews>
  <sheetFormatPr baseColWidth="10" defaultColWidth="8.88671875" defaultRowHeight="14.4" x14ac:dyDescent="0.3"/>
  <cols>
    <col min="13" max="14" width="9.109375" customWidth="1"/>
  </cols>
  <sheetData>
    <row r="1" spans="1:21" ht="15" customHeight="1" x14ac:dyDescent="0.3">
      <c r="A1" s="423" t="s">
        <v>497</v>
      </c>
      <c r="B1" s="424"/>
      <c r="C1" s="424"/>
      <c r="D1" s="424"/>
      <c r="E1" s="424"/>
      <c r="F1" s="424"/>
      <c r="G1" s="424"/>
      <c r="H1" s="424"/>
      <c r="I1" s="424"/>
      <c r="J1" s="424"/>
      <c r="K1" s="424"/>
      <c r="L1" s="424"/>
      <c r="M1" s="424"/>
      <c r="N1" s="424"/>
      <c r="O1" s="424"/>
      <c r="P1" s="424"/>
      <c r="Q1" s="424"/>
      <c r="R1" s="424"/>
      <c r="S1" s="424"/>
    </row>
    <row r="2" spans="1:21" ht="15" customHeight="1" x14ac:dyDescent="0.3">
      <c r="A2" s="423"/>
      <c r="B2" s="424"/>
      <c r="C2" s="424"/>
      <c r="D2" s="424"/>
      <c r="E2" s="424"/>
      <c r="F2" s="424"/>
      <c r="G2" s="424"/>
      <c r="H2" s="424"/>
      <c r="I2" s="424"/>
      <c r="J2" s="424"/>
      <c r="K2" s="424"/>
      <c r="L2" s="424"/>
      <c r="M2" s="424"/>
      <c r="N2" s="424"/>
      <c r="O2" s="424"/>
      <c r="P2" s="424"/>
      <c r="Q2" s="424"/>
      <c r="R2" s="424"/>
      <c r="S2" s="424"/>
    </row>
    <row r="3" spans="1:21" ht="15" customHeight="1" x14ac:dyDescent="0.3"/>
    <row r="4" spans="1:21" ht="15" customHeight="1" x14ac:dyDescent="0.3"/>
    <row r="5" spans="1:21" x14ac:dyDescent="0.3">
      <c r="C5" s="406" t="s">
        <v>495</v>
      </c>
      <c r="D5" s="406"/>
      <c r="E5" s="406"/>
      <c r="F5" s="406"/>
      <c r="G5" s="406"/>
      <c r="H5" s="406"/>
      <c r="I5" s="406"/>
      <c r="J5" s="406"/>
      <c r="L5" s="402" t="s">
        <v>496</v>
      </c>
      <c r="M5" s="403"/>
      <c r="N5" s="403"/>
      <c r="O5" s="403"/>
      <c r="P5" s="403"/>
      <c r="Q5" s="510"/>
    </row>
    <row r="6" spans="1:21" x14ac:dyDescent="0.3">
      <c r="C6" s="389" t="s">
        <v>94</v>
      </c>
      <c r="D6" s="390"/>
      <c r="E6" s="389" t="s">
        <v>95</v>
      </c>
      <c r="F6" s="390"/>
      <c r="G6" s="389" t="s">
        <v>96</v>
      </c>
      <c r="H6" s="390"/>
      <c r="I6" s="389" t="s">
        <v>97</v>
      </c>
      <c r="J6" s="390"/>
      <c r="L6" s="389" t="s">
        <v>101</v>
      </c>
      <c r="M6" s="390"/>
      <c r="N6" s="389" t="s">
        <v>102</v>
      </c>
      <c r="O6" s="390"/>
      <c r="P6" s="389" t="s">
        <v>736</v>
      </c>
      <c r="Q6" s="390"/>
    </row>
    <row r="7" spans="1:21" x14ac:dyDescent="0.3">
      <c r="C7" s="408">
        <v>2000000</v>
      </c>
      <c r="D7" s="408"/>
      <c r="E7" s="408">
        <v>15000</v>
      </c>
      <c r="F7" s="408"/>
      <c r="G7" s="408">
        <v>3000</v>
      </c>
      <c r="H7" s="408"/>
      <c r="I7" s="408">
        <v>150</v>
      </c>
      <c r="J7" s="408"/>
      <c r="L7" s="408">
        <v>9000</v>
      </c>
      <c r="M7" s="408"/>
      <c r="N7" s="408">
        <v>7500</v>
      </c>
      <c r="O7" s="408"/>
      <c r="P7" s="408">
        <v>750</v>
      </c>
      <c r="Q7" s="408"/>
    </row>
    <row r="9" spans="1:21" x14ac:dyDescent="0.3">
      <c r="B9" s="402" t="s">
        <v>508</v>
      </c>
      <c r="C9" s="403"/>
      <c r="D9" s="403"/>
      <c r="E9" s="510"/>
      <c r="F9" s="526"/>
      <c r="G9" s="526"/>
      <c r="H9" s="526"/>
      <c r="I9" s="526"/>
      <c r="J9" s="526"/>
      <c r="K9" s="526"/>
      <c r="L9" s="526"/>
      <c r="M9" s="526"/>
      <c r="N9" s="526"/>
      <c r="O9" s="402" t="s">
        <v>509</v>
      </c>
      <c r="P9" s="403"/>
      <c r="Q9" s="403"/>
      <c r="R9" s="510"/>
    </row>
    <row r="10" spans="1:21" x14ac:dyDescent="0.3">
      <c r="B10" s="389" t="s">
        <v>93</v>
      </c>
      <c r="C10" s="450"/>
      <c r="D10" s="450"/>
      <c r="E10" s="390"/>
      <c r="F10" s="526"/>
      <c r="G10" s="526"/>
      <c r="H10" s="526"/>
      <c r="I10" s="526"/>
      <c r="J10" s="526"/>
      <c r="K10" s="526"/>
      <c r="L10" s="526"/>
      <c r="M10" s="526"/>
      <c r="N10" s="526"/>
      <c r="O10" s="389" t="s">
        <v>93</v>
      </c>
      <c r="P10" s="450"/>
      <c r="Q10" s="450"/>
      <c r="R10" s="390"/>
    </row>
    <row r="11" spans="1:21" x14ac:dyDescent="0.3">
      <c r="B11" s="515" t="s">
        <v>98</v>
      </c>
      <c r="C11" s="516"/>
      <c r="D11" s="515" t="s">
        <v>99</v>
      </c>
      <c r="E11" s="516"/>
      <c r="F11" s="526"/>
      <c r="G11" s="526"/>
      <c r="H11" s="526"/>
      <c r="I11" s="526"/>
      <c r="J11" s="526"/>
      <c r="K11" s="526"/>
      <c r="L11" s="526"/>
      <c r="M11" s="526"/>
      <c r="N11" s="526"/>
      <c r="O11" s="515" t="s">
        <v>98</v>
      </c>
      <c r="P11" s="516"/>
      <c r="Q11" s="515" t="s">
        <v>99</v>
      </c>
      <c r="R11" s="516"/>
    </row>
    <row r="12" spans="1:21" x14ac:dyDescent="0.3">
      <c r="B12" s="517" t="s">
        <v>1060</v>
      </c>
      <c r="C12" s="518"/>
      <c r="D12" s="517" t="s">
        <v>1067</v>
      </c>
      <c r="E12" s="518"/>
      <c r="F12" s="526"/>
      <c r="G12" s="526"/>
      <c r="H12" s="526"/>
      <c r="I12" s="526"/>
      <c r="J12" s="526"/>
      <c r="K12" s="526"/>
      <c r="L12" s="526"/>
      <c r="M12" s="526"/>
      <c r="N12" s="526"/>
      <c r="O12" s="517" t="s">
        <v>1060</v>
      </c>
      <c r="P12" s="518"/>
      <c r="Q12" s="517" t="s">
        <v>1067</v>
      </c>
      <c r="R12" s="518"/>
    </row>
    <row r="13" spans="1:21" x14ac:dyDescent="0.3">
      <c r="B13" s="143"/>
      <c r="C13" s="519" t="s">
        <v>394</v>
      </c>
      <c r="D13" s="519"/>
      <c r="E13" s="519"/>
      <c r="F13" s="526"/>
      <c r="G13" s="526"/>
      <c r="H13" s="526"/>
      <c r="I13" s="526"/>
      <c r="J13" s="526"/>
      <c r="K13" s="526"/>
      <c r="L13" s="526"/>
      <c r="M13" s="526"/>
      <c r="N13" s="526"/>
      <c r="O13" s="519" t="s">
        <v>394</v>
      </c>
      <c r="P13" s="519"/>
      <c r="Q13" s="519"/>
      <c r="R13" s="1"/>
      <c r="T13" s="371"/>
      <c r="U13" t="s">
        <v>1048</v>
      </c>
    </row>
    <row r="14" spans="1:21" x14ac:dyDescent="0.3">
      <c r="B14" s="1"/>
      <c r="C14" s="162" t="s">
        <v>257</v>
      </c>
      <c r="D14" s="162" t="s">
        <v>258</v>
      </c>
      <c r="E14" s="162" t="s">
        <v>259</v>
      </c>
      <c r="F14" s="526"/>
      <c r="G14" s="526"/>
      <c r="H14" s="526"/>
      <c r="I14" s="526"/>
      <c r="J14" s="526"/>
      <c r="K14" s="526"/>
      <c r="L14" s="526"/>
      <c r="M14" s="526"/>
      <c r="N14" s="526"/>
      <c r="O14" s="162" t="s">
        <v>257</v>
      </c>
      <c r="P14" s="162" t="s">
        <v>258</v>
      </c>
      <c r="Q14" s="162" t="s">
        <v>259</v>
      </c>
      <c r="R14" s="1"/>
      <c r="T14" s="372"/>
      <c r="U14" t="s">
        <v>692</v>
      </c>
    </row>
    <row r="15" spans="1:21" x14ac:dyDescent="0.3">
      <c r="B15" s="1"/>
      <c r="C15" s="161" t="s">
        <v>98</v>
      </c>
      <c r="D15" s="161" t="s">
        <v>98</v>
      </c>
      <c r="E15" s="161" t="s">
        <v>98</v>
      </c>
      <c r="F15" s="526"/>
      <c r="G15" s="526"/>
      <c r="H15" s="526"/>
      <c r="I15" s="526"/>
      <c r="J15" s="526"/>
      <c r="K15" s="526"/>
      <c r="L15" s="526"/>
      <c r="M15" s="526"/>
      <c r="N15" s="526"/>
      <c r="O15" s="161" t="s">
        <v>98</v>
      </c>
      <c r="P15" s="161" t="s">
        <v>98</v>
      </c>
      <c r="Q15" s="161" t="s">
        <v>98</v>
      </c>
      <c r="R15" s="1"/>
      <c r="T15" s="373"/>
      <c r="U15" t="s">
        <v>691</v>
      </c>
    </row>
    <row r="16" spans="1:21" x14ac:dyDescent="0.3">
      <c r="B16" s="1"/>
      <c r="C16" s="170">
        <v>12</v>
      </c>
      <c r="D16" s="170">
        <v>12</v>
      </c>
      <c r="E16" s="170">
        <v>12</v>
      </c>
      <c r="F16" s="526"/>
      <c r="G16" s="526"/>
      <c r="H16" s="526"/>
      <c r="I16" s="526"/>
      <c r="J16" s="526"/>
      <c r="K16" s="526"/>
      <c r="L16" s="526"/>
      <c r="M16" s="526"/>
      <c r="N16" s="526"/>
      <c r="O16" s="170">
        <v>12</v>
      </c>
      <c r="P16" s="170">
        <v>12</v>
      </c>
      <c r="Q16" s="170">
        <v>12</v>
      </c>
      <c r="R16" s="1"/>
      <c r="T16" s="374"/>
      <c r="U16" t="s">
        <v>1060</v>
      </c>
    </row>
    <row r="17" spans="2:23" ht="15" customHeight="1" x14ac:dyDescent="0.3">
      <c r="B17" s="1"/>
      <c r="C17" s="161" t="s">
        <v>99</v>
      </c>
      <c r="D17" s="161" t="s">
        <v>99</v>
      </c>
      <c r="E17" s="161" t="s">
        <v>99</v>
      </c>
      <c r="F17" s="526"/>
      <c r="G17" s="526"/>
      <c r="H17" s="526"/>
      <c r="I17" s="526"/>
      <c r="J17" s="526"/>
      <c r="K17" s="526"/>
      <c r="L17" s="526"/>
      <c r="M17" s="526"/>
      <c r="N17" s="526"/>
      <c r="O17" s="161" t="s">
        <v>99</v>
      </c>
      <c r="P17" s="161" t="s">
        <v>99</v>
      </c>
      <c r="Q17" s="161" t="s">
        <v>99</v>
      </c>
      <c r="R17" s="1"/>
      <c r="T17" s="375"/>
      <c r="U17" t="s">
        <v>89</v>
      </c>
    </row>
    <row r="18" spans="2:23" ht="15" customHeight="1" x14ac:dyDescent="0.3">
      <c r="B18" s="1"/>
      <c r="C18" s="47">
        <v>13</v>
      </c>
      <c r="D18" s="47">
        <v>13</v>
      </c>
      <c r="E18" s="47">
        <v>13</v>
      </c>
      <c r="F18" s="526"/>
      <c r="G18" s="526"/>
      <c r="H18" s="526"/>
      <c r="I18" s="526"/>
      <c r="J18" s="526"/>
      <c r="K18" s="526"/>
      <c r="L18" s="526"/>
      <c r="M18" s="526"/>
      <c r="N18" s="526"/>
      <c r="O18" s="47"/>
      <c r="P18" s="47"/>
      <c r="Q18" s="47"/>
      <c r="R18" s="1"/>
    </row>
    <row r="19" spans="2:23" ht="15" customHeight="1" x14ac:dyDescent="0.3">
      <c r="B19" s="402" t="s">
        <v>510</v>
      </c>
      <c r="C19" s="403"/>
      <c r="D19" s="403"/>
      <c r="E19" s="510"/>
      <c r="F19" s="526"/>
      <c r="G19" s="526"/>
      <c r="H19" s="526"/>
      <c r="I19" s="526"/>
      <c r="J19" s="526"/>
      <c r="K19" s="526"/>
      <c r="L19" s="526"/>
      <c r="M19" s="526"/>
      <c r="N19" s="526"/>
      <c r="O19" s="402" t="s">
        <v>511</v>
      </c>
      <c r="P19" s="403"/>
      <c r="Q19" s="403"/>
      <c r="R19" s="510"/>
    </row>
    <row r="20" spans="2:23" ht="15" customHeight="1" x14ac:dyDescent="0.3">
      <c r="B20" s="389" t="s">
        <v>93</v>
      </c>
      <c r="C20" s="450"/>
      <c r="D20" s="450"/>
      <c r="E20" s="390"/>
      <c r="F20" s="526"/>
      <c r="G20" s="526"/>
      <c r="H20" s="526"/>
      <c r="I20" s="526"/>
      <c r="J20" s="526"/>
      <c r="K20" s="526"/>
      <c r="L20" s="526"/>
      <c r="M20" s="526"/>
      <c r="N20" s="526"/>
      <c r="O20" s="389" t="s">
        <v>93</v>
      </c>
      <c r="P20" s="450"/>
      <c r="Q20" s="450"/>
      <c r="R20" s="390"/>
    </row>
    <row r="21" spans="2:23" ht="15" customHeight="1" x14ac:dyDescent="0.3">
      <c r="B21" s="515" t="s">
        <v>98</v>
      </c>
      <c r="C21" s="516"/>
      <c r="D21" s="515" t="s">
        <v>99</v>
      </c>
      <c r="E21" s="516"/>
      <c r="F21" s="526"/>
      <c r="G21" s="526"/>
      <c r="H21" s="526"/>
      <c r="I21" s="526"/>
      <c r="J21" s="526"/>
      <c r="K21" s="526"/>
      <c r="L21" s="526"/>
      <c r="M21" s="526"/>
      <c r="N21" s="526"/>
      <c r="O21" s="515" t="s">
        <v>98</v>
      </c>
      <c r="P21" s="516"/>
      <c r="Q21" s="515" t="s">
        <v>99</v>
      </c>
      <c r="R21" s="516"/>
    </row>
    <row r="22" spans="2:23" ht="15" customHeight="1" x14ac:dyDescent="0.3">
      <c r="B22" s="517" t="s">
        <v>1067</v>
      </c>
      <c r="C22" s="518"/>
      <c r="D22" s="517" t="s">
        <v>1068</v>
      </c>
      <c r="E22" s="518"/>
      <c r="F22" s="526"/>
      <c r="G22" s="526"/>
      <c r="H22" s="526"/>
      <c r="I22" s="526"/>
      <c r="J22" s="526"/>
      <c r="K22" s="526"/>
      <c r="L22" s="526"/>
      <c r="M22" s="526"/>
      <c r="N22" s="526"/>
      <c r="O22" s="517" t="s">
        <v>1131</v>
      </c>
      <c r="P22" s="518"/>
      <c r="Q22" s="517" t="s">
        <v>1150</v>
      </c>
      <c r="R22" s="518"/>
    </row>
    <row r="23" spans="2:23" x14ac:dyDescent="0.3">
      <c r="B23" s="143"/>
      <c r="C23" s="519" t="s">
        <v>394</v>
      </c>
      <c r="D23" s="519"/>
      <c r="E23" s="519"/>
      <c r="F23" s="526"/>
      <c r="G23" s="526"/>
      <c r="H23" s="526"/>
      <c r="I23" s="526"/>
      <c r="J23" s="526"/>
      <c r="K23" s="526"/>
      <c r="L23" s="526"/>
      <c r="M23" s="526"/>
      <c r="N23" s="526"/>
      <c r="O23" s="519" t="s">
        <v>394</v>
      </c>
      <c r="P23" s="519"/>
      <c r="Q23" s="519"/>
      <c r="R23" s="1"/>
    </row>
    <row r="24" spans="2:23" x14ac:dyDescent="0.3">
      <c r="B24" s="1"/>
      <c r="C24" s="162" t="s">
        <v>257</v>
      </c>
      <c r="D24" s="162" t="s">
        <v>258</v>
      </c>
      <c r="E24" s="162" t="s">
        <v>259</v>
      </c>
      <c r="F24" s="526"/>
      <c r="G24" s="526"/>
      <c r="H24" s="526"/>
      <c r="I24" s="526"/>
      <c r="J24" s="526"/>
      <c r="K24" s="526"/>
      <c r="L24" s="526"/>
      <c r="M24" s="526"/>
      <c r="N24" s="526"/>
      <c r="O24" s="162" t="s">
        <v>257</v>
      </c>
      <c r="P24" s="162" t="s">
        <v>258</v>
      </c>
      <c r="Q24" s="162" t="s">
        <v>259</v>
      </c>
      <c r="R24" s="1"/>
    </row>
    <row r="25" spans="2:23" x14ac:dyDescent="0.3">
      <c r="B25" s="1"/>
      <c r="C25" s="161" t="s">
        <v>98</v>
      </c>
      <c r="D25" s="161" t="s">
        <v>98</v>
      </c>
      <c r="E25" s="161" t="s">
        <v>98</v>
      </c>
      <c r="F25" s="526"/>
      <c r="G25" s="526"/>
      <c r="H25" s="526"/>
      <c r="I25" s="526"/>
      <c r="J25" s="526"/>
      <c r="K25" s="526"/>
      <c r="L25" s="526"/>
      <c r="M25" s="526"/>
      <c r="N25" s="526"/>
      <c r="O25" s="161" t="s">
        <v>98</v>
      </c>
      <c r="P25" s="161" t="s">
        <v>98</v>
      </c>
      <c r="Q25" s="161" t="s">
        <v>98</v>
      </c>
      <c r="R25" s="1"/>
    </row>
    <row r="26" spans="2:23" x14ac:dyDescent="0.3">
      <c r="B26" s="1"/>
      <c r="C26" s="170">
        <v>14</v>
      </c>
      <c r="D26" s="170">
        <v>14</v>
      </c>
      <c r="E26" s="170">
        <v>14</v>
      </c>
      <c r="F26" s="526"/>
      <c r="G26" s="526"/>
      <c r="H26" s="526"/>
      <c r="I26" s="526"/>
      <c r="J26" s="526"/>
      <c r="K26" s="526"/>
      <c r="L26" s="526"/>
      <c r="M26" s="526"/>
      <c r="N26" s="526"/>
      <c r="O26" s="170">
        <v>14</v>
      </c>
      <c r="P26" s="170">
        <v>14</v>
      </c>
      <c r="Q26" s="170">
        <v>14</v>
      </c>
      <c r="R26" s="1"/>
    </row>
    <row r="27" spans="2:23" x14ac:dyDescent="0.3">
      <c r="B27" s="1"/>
      <c r="C27" s="161" t="s">
        <v>99</v>
      </c>
      <c r="D27" s="161" t="s">
        <v>99</v>
      </c>
      <c r="E27" s="161" t="s">
        <v>99</v>
      </c>
      <c r="F27" s="526"/>
      <c r="G27" s="526"/>
      <c r="H27" s="526"/>
      <c r="I27" s="526"/>
      <c r="J27" s="526"/>
      <c r="K27" s="526"/>
      <c r="L27" s="526"/>
      <c r="M27" s="526"/>
      <c r="N27" s="526"/>
      <c r="O27" s="161" t="s">
        <v>99</v>
      </c>
      <c r="P27" s="161" t="s">
        <v>99</v>
      </c>
      <c r="Q27" s="161" t="s">
        <v>99</v>
      </c>
      <c r="R27" s="1"/>
      <c r="T27" s="548" t="s">
        <v>861</v>
      </c>
      <c r="U27" s="549"/>
      <c r="V27" s="549"/>
      <c r="W27" s="550"/>
    </row>
    <row r="28" spans="2:23" x14ac:dyDescent="0.3">
      <c r="B28" s="1"/>
      <c r="C28" s="171">
        <v>15</v>
      </c>
      <c r="D28" s="171">
        <v>15</v>
      </c>
      <c r="E28" s="171">
        <v>15</v>
      </c>
      <c r="F28" s="526"/>
      <c r="G28" s="526"/>
      <c r="H28" s="526"/>
      <c r="I28" s="526"/>
      <c r="J28" s="526"/>
      <c r="K28" s="526"/>
      <c r="L28" s="526"/>
      <c r="M28" s="526"/>
      <c r="N28" s="526"/>
      <c r="O28" s="47">
        <v>15</v>
      </c>
      <c r="P28" s="47">
        <v>15</v>
      </c>
      <c r="Q28" s="47">
        <v>15</v>
      </c>
      <c r="R28" s="1"/>
      <c r="T28" s="551"/>
      <c r="U28" s="552"/>
      <c r="V28" s="552"/>
      <c r="W28" s="553"/>
    </row>
    <row r="29" spans="2:23" x14ac:dyDescent="0.3">
      <c r="B29" s="402" t="s">
        <v>512</v>
      </c>
      <c r="C29" s="403"/>
      <c r="D29" s="403"/>
      <c r="E29" s="510"/>
      <c r="F29" s="526"/>
      <c r="G29" s="526"/>
      <c r="H29" s="526"/>
      <c r="I29" s="526"/>
      <c r="J29" s="526"/>
      <c r="K29" s="526"/>
      <c r="L29" s="526"/>
      <c r="M29" s="526"/>
      <c r="N29" s="526"/>
      <c r="O29" s="402" t="s">
        <v>513</v>
      </c>
      <c r="P29" s="403"/>
      <c r="Q29" s="403"/>
      <c r="R29" s="510"/>
      <c r="T29" s="551"/>
      <c r="U29" s="552"/>
      <c r="V29" s="552"/>
      <c r="W29" s="553"/>
    </row>
    <row r="30" spans="2:23" x14ac:dyDescent="0.3">
      <c r="B30" s="389" t="s">
        <v>93</v>
      </c>
      <c r="C30" s="450"/>
      <c r="D30" s="450"/>
      <c r="E30" s="390"/>
      <c r="F30" s="526"/>
      <c r="G30" s="526"/>
      <c r="H30" s="526"/>
      <c r="I30" s="526"/>
      <c r="J30" s="526"/>
      <c r="K30" s="526"/>
      <c r="L30" s="526"/>
      <c r="M30" s="526"/>
      <c r="N30" s="526"/>
      <c r="O30" s="389" t="s">
        <v>93</v>
      </c>
      <c r="P30" s="450"/>
      <c r="Q30" s="450"/>
      <c r="R30" s="390"/>
      <c r="T30" s="551"/>
      <c r="U30" s="552"/>
      <c r="V30" s="552"/>
      <c r="W30" s="553"/>
    </row>
    <row r="31" spans="2:23" x14ac:dyDescent="0.3">
      <c r="B31" s="515" t="s">
        <v>98</v>
      </c>
      <c r="C31" s="516"/>
      <c r="D31" s="515" t="s">
        <v>99</v>
      </c>
      <c r="E31" s="516"/>
      <c r="F31" s="526"/>
      <c r="G31" s="526"/>
      <c r="H31" s="526"/>
      <c r="I31" s="526"/>
      <c r="J31" s="526"/>
      <c r="K31" s="526"/>
      <c r="L31" s="526"/>
      <c r="M31" s="526"/>
      <c r="N31" s="526"/>
      <c r="O31" s="515" t="s">
        <v>98</v>
      </c>
      <c r="P31" s="516"/>
      <c r="Q31" s="515" t="s">
        <v>99</v>
      </c>
      <c r="R31" s="516"/>
      <c r="T31" s="551"/>
      <c r="U31" s="552"/>
      <c r="V31" s="552"/>
      <c r="W31" s="553"/>
    </row>
    <row r="32" spans="2:23" x14ac:dyDescent="0.3">
      <c r="B32" s="517" t="s">
        <v>1060</v>
      </c>
      <c r="C32" s="518"/>
      <c r="D32" s="517" t="s">
        <v>1068</v>
      </c>
      <c r="E32" s="518"/>
      <c r="F32" s="526"/>
      <c r="G32" s="526"/>
      <c r="H32" s="526"/>
      <c r="I32" s="526"/>
      <c r="J32" s="526"/>
      <c r="K32" s="526"/>
      <c r="L32" s="526"/>
      <c r="M32" s="526"/>
      <c r="N32" s="526"/>
      <c r="O32" s="517" t="s">
        <v>1060</v>
      </c>
      <c r="P32" s="518"/>
      <c r="Q32" s="517" t="s">
        <v>1068</v>
      </c>
      <c r="R32" s="518"/>
      <c r="T32" s="554"/>
      <c r="U32" s="555"/>
      <c r="V32" s="555"/>
      <c r="W32" s="556"/>
    </row>
    <row r="33" spans="2:28" x14ac:dyDescent="0.3">
      <c r="B33" s="143"/>
      <c r="C33" s="519" t="s">
        <v>394</v>
      </c>
      <c r="D33" s="519"/>
      <c r="E33" s="519"/>
      <c r="F33" s="526"/>
      <c r="G33" s="526"/>
      <c r="H33" s="526"/>
      <c r="I33" s="526"/>
      <c r="J33" s="526"/>
      <c r="K33" s="526"/>
      <c r="L33" s="526"/>
      <c r="M33" s="526"/>
      <c r="N33" s="526"/>
      <c r="O33" s="519" t="s">
        <v>394</v>
      </c>
      <c r="P33" s="519"/>
      <c r="Q33" s="519"/>
      <c r="R33" s="1"/>
    </row>
    <row r="34" spans="2:28" x14ac:dyDescent="0.3">
      <c r="B34" s="1"/>
      <c r="C34" s="162" t="s">
        <v>257</v>
      </c>
      <c r="D34" s="162" t="s">
        <v>258</v>
      </c>
      <c r="E34" s="162" t="s">
        <v>259</v>
      </c>
      <c r="F34" s="526"/>
      <c r="G34" s="526"/>
      <c r="H34" s="526"/>
      <c r="I34" s="526"/>
      <c r="J34" s="526"/>
      <c r="K34" s="526"/>
      <c r="L34" s="526"/>
      <c r="M34" s="526"/>
      <c r="N34" s="526"/>
      <c r="O34" s="162" t="s">
        <v>257</v>
      </c>
      <c r="P34" s="162" t="s">
        <v>258</v>
      </c>
      <c r="Q34" s="162" t="s">
        <v>259</v>
      </c>
      <c r="R34" s="1"/>
      <c r="T34" s="402" t="s">
        <v>500</v>
      </c>
      <c r="U34" s="403"/>
      <c r="V34" s="403"/>
      <c r="W34" s="510"/>
    </row>
    <row r="35" spans="2:28" x14ac:dyDescent="0.3">
      <c r="B35" s="1"/>
      <c r="C35" s="161" t="s">
        <v>98</v>
      </c>
      <c r="D35" s="161" t="s">
        <v>98</v>
      </c>
      <c r="E35" s="161" t="s">
        <v>98</v>
      </c>
      <c r="F35" s="526"/>
      <c r="G35" s="526"/>
      <c r="H35" s="526"/>
      <c r="I35" s="526"/>
      <c r="J35" s="526"/>
      <c r="K35" s="526"/>
      <c r="L35" s="526"/>
      <c r="M35" s="526"/>
      <c r="N35" s="526"/>
      <c r="O35" s="161" t="s">
        <v>98</v>
      </c>
      <c r="P35" s="161" t="s">
        <v>98</v>
      </c>
      <c r="Q35" s="161" t="s">
        <v>98</v>
      </c>
      <c r="R35" s="1"/>
      <c r="T35" s="389" t="s">
        <v>349</v>
      </c>
      <c r="U35" s="390"/>
      <c r="V35" s="389" t="s">
        <v>394</v>
      </c>
      <c r="W35" s="390"/>
    </row>
    <row r="36" spans="2:28" x14ac:dyDescent="0.3">
      <c r="B36" s="1"/>
      <c r="C36" s="170">
        <v>13</v>
      </c>
      <c r="D36" s="170">
        <v>13</v>
      </c>
      <c r="E36" s="170">
        <v>13</v>
      </c>
      <c r="F36" s="526"/>
      <c r="G36" s="526"/>
      <c r="H36" s="526"/>
      <c r="I36" s="526"/>
      <c r="J36" s="526"/>
      <c r="K36" s="526"/>
      <c r="L36" s="526"/>
      <c r="M36" s="526"/>
      <c r="N36" s="526"/>
      <c r="O36" s="170">
        <v>13</v>
      </c>
      <c r="P36" s="170">
        <v>13</v>
      </c>
      <c r="Q36" s="170">
        <v>13</v>
      </c>
      <c r="R36" s="1"/>
      <c r="S36" s="9" t="s">
        <v>98</v>
      </c>
      <c r="T36" s="429">
        <f ca="1">'New Chief Gear Data'!J125</f>
        <v>10730400</v>
      </c>
      <c r="U36" s="430"/>
      <c r="V36" s="429">
        <f ca="1">'Charms Data'!K41</f>
        <v>31536000</v>
      </c>
      <c r="W36" s="430"/>
    </row>
    <row r="37" spans="2:28" x14ac:dyDescent="0.3">
      <c r="B37" s="1"/>
      <c r="C37" s="161" t="s">
        <v>99</v>
      </c>
      <c r="D37" s="161" t="s">
        <v>99</v>
      </c>
      <c r="E37" s="161" t="s">
        <v>99</v>
      </c>
      <c r="F37" s="526"/>
      <c r="G37" s="526"/>
      <c r="H37" s="526"/>
      <c r="I37" s="526"/>
      <c r="J37" s="526"/>
      <c r="K37" s="526"/>
      <c r="L37" s="526"/>
      <c r="M37" s="526"/>
      <c r="N37" s="526"/>
      <c r="O37" s="161" t="s">
        <v>99</v>
      </c>
      <c r="P37" s="161" t="s">
        <v>99</v>
      </c>
      <c r="Q37" s="161" t="s">
        <v>99</v>
      </c>
      <c r="R37" s="1"/>
      <c r="S37" s="9" t="s">
        <v>99</v>
      </c>
      <c r="T37" s="431">
        <f ca="1">'New Chief Gear Data'!K125</f>
        <v>13260000</v>
      </c>
      <c r="U37" s="432"/>
      <c r="V37" s="431">
        <f ca="1">SUM('Charms Data'!L23:L40)</f>
        <v>34776000</v>
      </c>
      <c r="W37" s="432"/>
    </row>
    <row r="38" spans="2:28" x14ac:dyDescent="0.3">
      <c r="B38" s="1"/>
      <c r="C38" s="47">
        <v>14</v>
      </c>
      <c r="D38" s="47">
        <v>14</v>
      </c>
      <c r="E38" s="47">
        <v>14</v>
      </c>
      <c r="F38" s="526"/>
      <c r="G38" s="526"/>
      <c r="H38" s="526"/>
      <c r="I38" s="526"/>
      <c r="J38" s="526"/>
      <c r="K38" s="526"/>
      <c r="L38" s="526"/>
      <c r="M38" s="526"/>
      <c r="N38" s="526"/>
      <c r="O38" s="47">
        <v>14</v>
      </c>
      <c r="P38" s="47">
        <v>14</v>
      </c>
      <c r="Q38" s="47">
        <v>14</v>
      </c>
      <c r="R38" s="1"/>
      <c r="S38" s="9" t="s">
        <v>136</v>
      </c>
      <c r="T38" s="500">
        <f ca="1">IFERROR(IF(T37&gt;T36,T37-T36,"-"),"-")</f>
        <v>2529600</v>
      </c>
      <c r="U38" s="502"/>
      <c r="V38" s="500">
        <f ca="1">IFERROR(IF(V37&gt;V36,V37-V36,"-"),"-")</f>
        <v>3240000</v>
      </c>
      <c r="W38" s="502"/>
    </row>
    <row r="39" spans="2:28" x14ac:dyDescent="0.3">
      <c r="S39" s="9" t="s">
        <v>355</v>
      </c>
      <c r="T39" s="455">
        <f ca="1">'New Chief Gear Data'!L125</f>
        <v>8523000</v>
      </c>
      <c r="U39" s="456"/>
      <c r="V39" s="455">
        <f ca="1">'Charms Data'!M41*70</f>
        <v>20160000</v>
      </c>
      <c r="W39" s="456"/>
    </row>
    <row r="40" spans="2:28" x14ac:dyDescent="0.3">
      <c r="C40" s="406" t="s">
        <v>134</v>
      </c>
      <c r="D40" s="406"/>
      <c r="E40" s="406"/>
      <c r="F40" s="406"/>
      <c r="G40" s="406"/>
      <c r="H40" s="406"/>
      <c r="I40" s="406"/>
    </row>
    <row r="41" spans="2:28" x14ac:dyDescent="0.3">
      <c r="C41" s="389" t="s">
        <v>93</v>
      </c>
      <c r="D41" s="450"/>
      <c r="E41" s="450"/>
      <c r="F41" s="390"/>
      <c r="G41" s="389" t="s">
        <v>394</v>
      </c>
      <c r="H41" s="450"/>
      <c r="I41" s="390"/>
      <c r="K41" s="406" t="s">
        <v>499</v>
      </c>
      <c r="L41" s="406"/>
      <c r="M41" s="406"/>
      <c r="N41" s="406"/>
      <c r="O41" s="406"/>
      <c r="P41" s="406"/>
      <c r="Q41" s="406"/>
      <c r="R41" s="406"/>
      <c r="S41" s="406"/>
      <c r="T41" s="406"/>
      <c r="U41" s="406"/>
      <c r="V41" s="406"/>
      <c r="W41" s="406"/>
      <c r="X41" s="406"/>
      <c r="Y41" s="406"/>
      <c r="Z41" s="406"/>
      <c r="AA41" s="406"/>
      <c r="AB41" s="406"/>
    </row>
    <row r="42" spans="2:28" x14ac:dyDescent="0.3">
      <c r="C42" s="522" t="s">
        <v>94</v>
      </c>
      <c r="D42" s="520" t="s">
        <v>95</v>
      </c>
      <c r="E42" s="520" t="s">
        <v>96</v>
      </c>
      <c r="F42" s="520" t="s">
        <v>97</v>
      </c>
      <c r="G42" s="520" t="s">
        <v>101</v>
      </c>
      <c r="H42" s="520" t="s">
        <v>102</v>
      </c>
      <c r="I42" s="520" t="s">
        <v>736</v>
      </c>
      <c r="K42" s="389" t="s">
        <v>498</v>
      </c>
      <c r="L42" s="450"/>
      <c r="M42" s="450"/>
      <c r="N42" s="450"/>
      <c r="O42" s="390"/>
      <c r="P42" s="86"/>
      <c r="Q42" s="389" t="s">
        <v>135</v>
      </c>
      <c r="R42" s="450"/>
      <c r="S42" s="450"/>
      <c r="T42" s="450"/>
      <c r="U42" s="390"/>
      <c r="V42" s="86"/>
      <c r="W42" s="389" t="s">
        <v>737</v>
      </c>
      <c r="X42" s="450"/>
      <c r="Y42" s="450"/>
      <c r="Z42" s="450"/>
      <c r="AA42" s="450"/>
      <c r="AB42" s="390"/>
    </row>
    <row r="43" spans="2:28" x14ac:dyDescent="0.3">
      <c r="C43" s="523"/>
      <c r="D43" s="521"/>
      <c r="E43" s="521"/>
      <c r="F43" s="521"/>
      <c r="G43" s="521"/>
      <c r="H43" s="521"/>
      <c r="I43" s="521"/>
      <c r="K43" s="205"/>
      <c r="L43" s="545" t="s">
        <v>405</v>
      </c>
      <c r="M43" s="546"/>
      <c r="N43" s="87">
        <f ca="1">E48</f>
        <v>490</v>
      </c>
      <c r="O43" s="205"/>
      <c r="Q43" s="539" t="s">
        <v>66</v>
      </c>
      <c r="R43" s="541"/>
      <c r="S43" s="47">
        <v>287</v>
      </c>
      <c r="T43" s="172" t="s">
        <v>24</v>
      </c>
      <c r="U43" s="124">
        <f>S43-SUM(T45:T47)</f>
        <v>287</v>
      </c>
      <c r="W43" s="539" t="s">
        <v>743</v>
      </c>
      <c r="X43" s="541"/>
      <c r="Y43" s="250" t="s">
        <v>738</v>
      </c>
      <c r="Z43" s="250" t="s">
        <v>747</v>
      </c>
      <c r="AA43" s="251" t="s">
        <v>740</v>
      </c>
      <c r="AB43" s="250" t="s">
        <v>673</v>
      </c>
    </row>
    <row r="44" spans="2:28" x14ac:dyDescent="0.3">
      <c r="B44" s="9" t="s">
        <v>30</v>
      </c>
      <c r="C44" s="81">
        <f ca="1">'New Chief Gear Data'!F125</f>
        <v>1417000</v>
      </c>
      <c r="D44" s="81">
        <f ca="1">'New Chief Gear Data'!G125</f>
        <v>15030</v>
      </c>
      <c r="E44" s="81">
        <f ca="1">'New Chief Gear Data'!H125</f>
        <v>2510</v>
      </c>
      <c r="F44" s="81">
        <f ca="1">'New Chief Gear Data'!I125</f>
        <v>160</v>
      </c>
      <c r="G44" s="81">
        <f ca="1">NeededCharmGuides</f>
        <v>8940</v>
      </c>
      <c r="H44" s="81">
        <f ca="1">NeededCharmDesigns</f>
        <v>7350</v>
      </c>
      <c r="I44" s="81">
        <f ca="1">NeededCharmSecrets</f>
        <v>780</v>
      </c>
      <c r="K44" s="389" t="s">
        <v>407</v>
      </c>
      <c r="L44" s="390"/>
      <c r="M44" s="28" t="s">
        <v>406</v>
      </c>
      <c r="N44" s="28" t="s">
        <v>66</v>
      </c>
      <c r="O44" s="28" t="s">
        <v>25</v>
      </c>
      <c r="Q44" s="389" t="s">
        <v>408</v>
      </c>
      <c r="R44" s="390"/>
      <c r="S44" s="14" t="s">
        <v>406</v>
      </c>
      <c r="T44" s="14" t="s">
        <v>66</v>
      </c>
      <c r="U44" s="14" t="s">
        <v>25</v>
      </c>
      <c r="W44" s="559" t="s">
        <v>748</v>
      </c>
      <c r="X44" s="457"/>
      <c r="Y44" s="254"/>
      <c r="Z44" s="106">
        <f>Y44/2</f>
        <v>0</v>
      </c>
      <c r="AA44" s="101"/>
      <c r="AB44" s="106" t="s">
        <v>741</v>
      </c>
    </row>
    <row r="45" spans="2:28" x14ac:dyDescent="0.3">
      <c r="B45" s="9" t="s">
        <v>31</v>
      </c>
      <c r="C45" s="82">
        <f>C7</f>
        <v>2000000</v>
      </c>
      <c r="D45" s="82">
        <f>E7</f>
        <v>15000</v>
      </c>
      <c r="E45" s="82">
        <f>G7</f>
        <v>3000</v>
      </c>
      <c r="F45" s="82">
        <f>I7</f>
        <v>150</v>
      </c>
      <c r="G45" s="82">
        <f>L7</f>
        <v>9000</v>
      </c>
      <c r="H45" s="82">
        <f>N7</f>
        <v>7500</v>
      </c>
      <c r="I45" s="82">
        <f>P7</f>
        <v>750</v>
      </c>
      <c r="K45" s="415" t="s">
        <v>97</v>
      </c>
      <c r="L45" s="417"/>
      <c r="M45" s="123">
        <v>0.1</v>
      </c>
      <c r="N45" s="47"/>
      <c r="O45" s="106">
        <f>IF(MOD(N45,10)&gt;0,"X10 Only",M45*N45)</f>
        <v>0</v>
      </c>
      <c r="Q45" s="562" t="s">
        <v>96</v>
      </c>
      <c r="R45" s="563"/>
      <c r="S45" s="144">
        <v>6</v>
      </c>
      <c r="T45" s="206"/>
      <c r="U45" s="144">
        <f>T45*S45</f>
        <v>0</v>
      </c>
      <c r="W45" s="561" t="s">
        <v>746</v>
      </c>
      <c r="X45" s="459"/>
      <c r="Y45" s="105">
        <f>Z45/2</f>
        <v>0</v>
      </c>
      <c r="Z45" s="255"/>
      <c r="AA45" s="101"/>
      <c r="AB45" s="105" t="s">
        <v>741</v>
      </c>
    </row>
    <row r="46" spans="2:28" x14ac:dyDescent="0.3">
      <c r="B46" s="9" t="s">
        <v>933</v>
      </c>
      <c r="C46" s="82">
        <f>I53+I59+I66+I76+O47</f>
        <v>0</v>
      </c>
      <c r="D46" s="82">
        <f>I54+I60+I67+I77+O46</f>
        <v>0</v>
      </c>
      <c r="E46" s="82">
        <f>I57+I64+I68+I78+U45+Q79-N45-N46-N47</f>
        <v>0</v>
      </c>
      <c r="F46" s="82">
        <f>O45</f>
        <v>0</v>
      </c>
      <c r="G46" s="82">
        <f>Q53+Q57+Q61+Q67+U46-Y44-Y46+Y45+AC53+W59+Q75</f>
        <v>0</v>
      </c>
      <c r="H46" s="82">
        <f>Q54+Q58+Q62+Q69+U47-Z45-Z47+Z44+AC54+W60+Q77</f>
        <v>0</v>
      </c>
      <c r="I46" s="82">
        <f>SUM(AA46:AA47)+AC52</f>
        <v>0</v>
      </c>
      <c r="K46" s="415" t="s">
        <v>95</v>
      </c>
      <c r="L46" s="417"/>
      <c r="M46" s="105">
        <v>3</v>
      </c>
      <c r="N46" s="47"/>
      <c r="O46" s="105">
        <f t="shared" ref="O46:O47" si="0">M46*N46</f>
        <v>0</v>
      </c>
      <c r="Q46" s="415" t="s">
        <v>101</v>
      </c>
      <c r="R46" s="417"/>
      <c r="S46" s="21">
        <v>4</v>
      </c>
      <c r="T46" s="207"/>
      <c r="U46" s="21">
        <f>T46*S46</f>
        <v>0</v>
      </c>
      <c r="W46" s="561" t="s">
        <v>739</v>
      </c>
      <c r="X46" s="459"/>
      <c r="Y46" s="255"/>
      <c r="Z46" s="252"/>
      <c r="AA46" s="20">
        <f>Y46/40</f>
        <v>0</v>
      </c>
      <c r="AB46" s="105" t="s">
        <v>742</v>
      </c>
    </row>
    <row r="47" spans="2:28" x14ac:dyDescent="0.3">
      <c r="B47" s="9" t="s">
        <v>32</v>
      </c>
      <c r="C47" s="87" t="str">
        <f ca="1">IF(C44-C45-C46&gt;0,C44-C45-C46,"-")</f>
        <v>-</v>
      </c>
      <c r="D47" s="87">
        <f ca="1">IF(D44-D45-D46&gt;0,D44-D45-D46,"-")</f>
        <v>30</v>
      </c>
      <c r="E47" s="87" t="str">
        <f ca="1">IF(E44-E45-E46&gt;0,E44-E45-E46,"-")</f>
        <v>-</v>
      </c>
      <c r="F47" s="87">
        <f ca="1">IFERROR(IF(F44-F45-F46&gt;0,F44-F45-F46,"-"),"-")</f>
        <v>10</v>
      </c>
      <c r="G47" s="87" t="str">
        <f ca="1">IF(G44-G45-G46&gt;0,G44-G45-G46,"-")</f>
        <v>-</v>
      </c>
      <c r="H47" s="87" t="str">
        <f ca="1">IF(H44-H45-H46&gt;0,H44-H45-H46,"-")</f>
        <v>-</v>
      </c>
      <c r="I47" s="87">
        <f ca="1">IF(I44-I45-I46&gt;0,I44-I45-I46,"-")</f>
        <v>30</v>
      </c>
      <c r="J47" s="82"/>
      <c r="K47" s="386" t="s">
        <v>94</v>
      </c>
      <c r="L47" s="388"/>
      <c r="M47" s="104">
        <v>300</v>
      </c>
      <c r="N47" s="47"/>
      <c r="O47" s="104">
        <f t="shared" si="0"/>
        <v>0</v>
      </c>
      <c r="P47" s="18"/>
      <c r="Q47" s="386" t="s">
        <v>102</v>
      </c>
      <c r="R47" s="388"/>
      <c r="S47" s="22">
        <v>4</v>
      </c>
      <c r="T47" s="208"/>
      <c r="U47" s="22">
        <f>T47*S47</f>
        <v>0</v>
      </c>
      <c r="V47" s="18"/>
      <c r="W47" s="560" t="s">
        <v>749</v>
      </c>
      <c r="X47" s="460"/>
      <c r="Y47" s="253"/>
      <c r="Z47" s="256"/>
      <c r="AA47" s="17">
        <f>Z47/40</f>
        <v>0</v>
      </c>
      <c r="AB47" s="104" t="s">
        <v>742</v>
      </c>
    </row>
    <row r="48" spans="2:28" x14ac:dyDescent="0.3">
      <c r="B48" s="9" t="s">
        <v>401</v>
      </c>
      <c r="C48" s="87">
        <f ca="1">IF(C46+C45-C44&gt;0,C46+C45-C44,"-")</f>
        <v>583000</v>
      </c>
      <c r="D48" s="87" t="str">
        <f ca="1">IF(D46+D45-D44&gt;0,D46+D45-D44,"-")</f>
        <v>-</v>
      </c>
      <c r="E48" s="87">
        <f ca="1">IF(E46+E45-E44&gt;0,E46+E45-E44,"-")</f>
        <v>490</v>
      </c>
      <c r="F48" s="87" t="str">
        <f ca="1">IFERROR(IF(F46+F45-F44&gt;0,F46+F45-F44,"-"),"-")</f>
        <v>-</v>
      </c>
      <c r="G48" s="87">
        <f ca="1">IF(G46+G45-G44&gt;0,G46+G45-G44,"-")</f>
        <v>60</v>
      </c>
      <c r="H48" s="87">
        <f ca="1">IF(H46+H45-H44&gt;0,H46+H45-H44,"-")</f>
        <v>150</v>
      </c>
      <c r="I48" s="87" t="str">
        <f ca="1">IF(I46+I45-I44&gt;0,I46+I45-I44,"-")</f>
        <v>-</v>
      </c>
    </row>
    <row r="49" spans="3:29" x14ac:dyDescent="0.3">
      <c r="AB49" s="513" t="s">
        <v>811</v>
      </c>
      <c r="AC49" s="514"/>
    </row>
    <row r="50" spans="3:29" x14ac:dyDescent="0.3">
      <c r="C50" s="8"/>
      <c r="D50" s="527" t="s">
        <v>403</v>
      </c>
      <c r="E50" s="528"/>
      <c r="F50" s="528"/>
      <c r="G50" s="528"/>
      <c r="H50" s="528"/>
      <c r="I50" s="529"/>
      <c r="L50" s="402" t="s">
        <v>404</v>
      </c>
      <c r="M50" s="403"/>
      <c r="N50" s="403"/>
      <c r="O50" s="403"/>
      <c r="P50" s="403"/>
      <c r="Q50" s="510"/>
      <c r="U50" s="558" t="s">
        <v>744</v>
      </c>
      <c r="V50" s="426"/>
      <c r="W50" s="426"/>
      <c r="X50" s="426"/>
      <c r="Y50" s="426"/>
      <c r="Z50" s="426"/>
      <c r="AA50" s="426"/>
      <c r="AB50" s="511">
        <v>1</v>
      </c>
      <c r="AC50" s="512"/>
    </row>
    <row r="51" spans="3:29" x14ac:dyDescent="0.3">
      <c r="C51" s="8"/>
      <c r="D51" s="530" t="s">
        <v>251</v>
      </c>
      <c r="E51" s="531"/>
      <c r="F51" s="531"/>
      <c r="G51" s="531"/>
      <c r="H51" s="531"/>
      <c r="I51" s="532"/>
      <c r="L51" s="539" t="s">
        <v>251</v>
      </c>
      <c r="M51" s="540"/>
      <c r="N51" s="540"/>
      <c r="O51" s="540"/>
      <c r="P51" s="540"/>
      <c r="Q51" s="541"/>
      <c r="U51" s="165" t="b">
        <v>0</v>
      </c>
      <c r="V51" s="165" t="b">
        <v>0</v>
      </c>
      <c r="W51" s="166" t="b">
        <v>0</v>
      </c>
      <c r="X51" s="166" t="b">
        <v>0</v>
      </c>
      <c r="Y51" s="257" t="s">
        <v>745</v>
      </c>
      <c r="Z51" s="258"/>
      <c r="AA51" s="14" t="s">
        <v>25</v>
      </c>
      <c r="AB51" s="265"/>
      <c r="AC51" s="264" t="s">
        <v>25</v>
      </c>
    </row>
    <row r="52" spans="3:29" x14ac:dyDescent="0.3">
      <c r="C52" s="8"/>
      <c r="D52" s="163" t="b">
        <v>0</v>
      </c>
      <c r="E52" s="163" t="b">
        <v>0</v>
      </c>
      <c r="F52" s="163" t="b">
        <v>0</v>
      </c>
      <c r="G52" s="163" t="b">
        <v>0</v>
      </c>
      <c r="H52" s="163" t="b">
        <v>0</v>
      </c>
      <c r="I52" s="14" t="s">
        <v>25</v>
      </c>
      <c r="L52" s="165" t="b">
        <v>0</v>
      </c>
      <c r="M52" s="165" t="b">
        <v>0</v>
      </c>
      <c r="N52" s="166" t="b">
        <v>0</v>
      </c>
      <c r="O52" s="166" t="b">
        <v>0</v>
      </c>
      <c r="P52" s="166" t="b">
        <v>0</v>
      </c>
      <c r="Q52" s="14" t="s">
        <v>25</v>
      </c>
      <c r="T52" s="11" t="s">
        <v>736</v>
      </c>
      <c r="U52" s="246">
        <v>2</v>
      </c>
      <c r="V52" s="247">
        <f>U52*2</f>
        <v>4</v>
      </c>
      <c r="W52" s="247">
        <f>U52*4</f>
        <v>8</v>
      </c>
      <c r="X52" s="247">
        <f>U52*10</f>
        <v>20</v>
      </c>
      <c r="Y52" s="246">
        <f>U52*20</f>
        <v>40</v>
      </c>
      <c r="Z52" s="248">
        <f>Y52*Z51</f>
        <v>0</v>
      </c>
      <c r="AA52" s="124">
        <f>IF($U$51=TRUE,U52,0)+IF($V$51=TRUE,V52,0)+IF($W$51=TRUE,W52,0)+IF($X$51=TRUE,X52,0)+IF($Z$51&gt;0,Z52,0)</f>
        <v>0</v>
      </c>
      <c r="AB52" s="124" t="str">
        <f>$AA52&amp;" X "&amp;$AB$50&amp;IF(ISBLANK($AB$50),1,)</f>
        <v>0 X 1</v>
      </c>
      <c r="AC52" s="124">
        <f>IF(ISBLANK($AB$50),1*$AA52,$AA52*$AB$50)</f>
        <v>0</v>
      </c>
    </row>
    <row r="53" spans="3:29" x14ac:dyDescent="0.3">
      <c r="C53" s="11" t="s">
        <v>252</v>
      </c>
      <c r="D53" s="235">
        <v>26000</v>
      </c>
      <c r="E53" s="80">
        <f>D53*2</f>
        <v>52000</v>
      </c>
      <c r="F53" s="80">
        <f>D53*4</f>
        <v>104000</v>
      </c>
      <c r="G53" s="80">
        <f>D53*10</f>
        <v>260000</v>
      </c>
      <c r="H53" s="66">
        <f>D53*20</f>
        <v>520000</v>
      </c>
      <c r="I53" s="81">
        <f>IF(D52=TRUE,D53,0)+IF(E52=TRUE,E53,0)+IF(F52=TRUE,F53,0)+IF(G52=TRUE,G53,0)+IF(H52=TRUE,H53,0)</f>
        <v>0</v>
      </c>
      <c r="K53" s="11" t="s">
        <v>101</v>
      </c>
      <c r="L53" s="235">
        <v>30</v>
      </c>
      <c r="M53" s="80">
        <f>L53*2</f>
        <v>60</v>
      </c>
      <c r="N53" s="80">
        <f>L53*4</f>
        <v>120</v>
      </c>
      <c r="O53" s="80">
        <f>L53*10</f>
        <v>300</v>
      </c>
      <c r="P53" s="66">
        <f>L53*20</f>
        <v>600</v>
      </c>
      <c r="Q53" s="87">
        <f>IF(L52=TRUE,L53,0)+IF(M52=TRUE,M53,0)+IF(N52=TRUE,N53,0)+IF(O52=TRUE,O53,0)+IF(P52=TRUE,P53,0)</f>
        <v>0</v>
      </c>
      <c r="T53" s="11" t="s">
        <v>101</v>
      </c>
      <c r="U53" s="246">
        <v>7</v>
      </c>
      <c r="V53" s="247">
        <f>U53*2</f>
        <v>14</v>
      </c>
      <c r="W53" s="247">
        <f>U53*4</f>
        <v>28</v>
      </c>
      <c r="X53" s="247">
        <f>U53*10</f>
        <v>70</v>
      </c>
      <c r="Y53" s="246">
        <f>U53*20</f>
        <v>140</v>
      </c>
      <c r="Z53" s="248">
        <f>Y53*Z51</f>
        <v>0</v>
      </c>
      <c r="AA53" s="124">
        <f t="shared" ref="AA53:AA54" si="1">IF($U$51=TRUE,U53,0)+IF($V$51=TRUE,V53,0)+IF($W$51=TRUE,W53,0)+IF($X$51=TRUE,X53,0)+IF($Z$51&gt;0,Z53,0)</f>
        <v>0</v>
      </c>
      <c r="AB53" s="124" t="str">
        <f t="shared" ref="AB53:AB54" si="2">$AA53&amp;" X "&amp;$AB$50&amp;IF(ISBLANK($AB$50),1,)</f>
        <v>0 X 1</v>
      </c>
      <c r="AC53" s="124">
        <f t="shared" ref="AC53:AC54" si="3">IF(ISBLANK($AB$50),1*$AA53,$AA53*$AB$50)</f>
        <v>0</v>
      </c>
    </row>
    <row r="54" spans="3:29" x14ac:dyDescent="0.3">
      <c r="C54" s="11" t="s">
        <v>253</v>
      </c>
      <c r="D54" s="235">
        <v>262</v>
      </c>
      <c r="E54" s="88">
        <f>D54*2</f>
        <v>524</v>
      </c>
      <c r="F54" s="88">
        <f>D54*4</f>
        <v>1048</v>
      </c>
      <c r="G54" s="88">
        <f>D54*10</f>
        <v>2620</v>
      </c>
      <c r="H54" s="68">
        <f>D54*20</f>
        <v>5240</v>
      </c>
      <c r="I54" s="82">
        <f>IF(D52=TRUE,D54,0)+IF(E52=TRUE,E54,0)+IF(F52=TRUE,F54,0)+IF(G52=TRUE,G54,0)+IF(H52=TRUE,H54,0)</f>
        <v>0</v>
      </c>
      <c r="K54" s="11" t="s">
        <v>102</v>
      </c>
      <c r="L54" s="235">
        <v>65</v>
      </c>
      <c r="M54" s="83">
        <f>L54*2</f>
        <v>130</v>
      </c>
      <c r="N54" s="83">
        <f>L54*4</f>
        <v>260</v>
      </c>
      <c r="O54" s="83">
        <f>L54*10</f>
        <v>650</v>
      </c>
      <c r="P54" s="70">
        <f>L54*20</f>
        <v>1300</v>
      </c>
      <c r="Q54" s="87">
        <f>IF(L52=TRUE,L54,0)+IF(M52=TRUE,M54,0)+IF(N52=TRUE,N54,0)+IF(O52=TRUE,O54,0)+IF(P52=TRUE,P54,0)</f>
        <v>0</v>
      </c>
      <c r="T54" s="11" t="s">
        <v>102</v>
      </c>
      <c r="U54" s="246">
        <v>7</v>
      </c>
      <c r="V54" s="247">
        <f>U54*2</f>
        <v>14</v>
      </c>
      <c r="W54" s="247">
        <f>U54*4</f>
        <v>28</v>
      </c>
      <c r="X54" s="247">
        <f>U54*10</f>
        <v>70</v>
      </c>
      <c r="Y54" s="246">
        <f>U54*20</f>
        <v>140</v>
      </c>
      <c r="Z54" s="248">
        <f>Y54*Z51</f>
        <v>0</v>
      </c>
      <c r="AA54" s="124">
        <f t="shared" si="1"/>
        <v>0</v>
      </c>
      <c r="AB54" s="124" t="str">
        <f t="shared" si="2"/>
        <v>0 X 1</v>
      </c>
      <c r="AC54" s="124">
        <f t="shared" si="3"/>
        <v>0</v>
      </c>
    </row>
    <row r="55" spans="3:29" x14ac:dyDescent="0.3">
      <c r="C55" s="8"/>
      <c r="D55" s="533" t="s">
        <v>255</v>
      </c>
      <c r="E55" s="534"/>
      <c r="F55" s="534"/>
      <c r="G55" s="534"/>
      <c r="H55" s="534"/>
      <c r="I55" s="535"/>
      <c r="L55" s="542" t="s">
        <v>255</v>
      </c>
      <c r="M55" s="543"/>
      <c r="N55" s="543"/>
      <c r="O55" s="543"/>
      <c r="P55" s="543"/>
      <c r="Q55" s="544"/>
    </row>
    <row r="56" spans="3:29" x14ac:dyDescent="0.3">
      <c r="C56" s="8"/>
      <c r="D56" s="164" t="b">
        <v>0</v>
      </c>
      <c r="E56" s="164" t="b">
        <v>0</v>
      </c>
      <c r="F56" s="164" t="b">
        <v>0</v>
      </c>
      <c r="G56" s="164" t="b">
        <v>0</v>
      </c>
      <c r="H56" s="164" t="b">
        <v>0</v>
      </c>
      <c r="I56" s="85" t="s">
        <v>25</v>
      </c>
      <c r="L56" s="167" t="b">
        <v>0</v>
      </c>
      <c r="M56" s="167" t="b">
        <v>0</v>
      </c>
      <c r="N56" s="168" t="b">
        <v>0</v>
      </c>
      <c r="O56" s="168" t="b">
        <v>0</v>
      </c>
      <c r="P56" s="168" t="b">
        <v>0</v>
      </c>
      <c r="Q56" s="85" t="s">
        <v>25</v>
      </c>
      <c r="U56" s="406" t="s">
        <v>807</v>
      </c>
      <c r="V56" s="406"/>
      <c r="W56" s="406"/>
    </row>
    <row r="57" spans="3:29" x14ac:dyDescent="0.3">
      <c r="C57" s="11" t="s">
        <v>254</v>
      </c>
      <c r="D57" s="235">
        <v>29</v>
      </c>
      <c r="E57" s="80">
        <f>D57*2</f>
        <v>58</v>
      </c>
      <c r="F57" s="80">
        <f>D57*4</f>
        <v>116</v>
      </c>
      <c r="G57" s="80">
        <f>D57*10</f>
        <v>290</v>
      </c>
      <c r="H57" s="66">
        <f>D57*20</f>
        <v>580</v>
      </c>
      <c r="I57" s="87">
        <f>IF(D$56=TRUE,D57,0)+IF(E$56=TRUE,E57,0)+IF(F$56=TRUE,F57,0)+IF(G$56=TRUE,G57,0)+IF(H$56=TRUE,H57,0)</f>
        <v>0</v>
      </c>
      <c r="K57" s="11" t="s">
        <v>101</v>
      </c>
      <c r="L57" s="235">
        <v>65</v>
      </c>
      <c r="M57" s="80">
        <f>L57*2</f>
        <v>130</v>
      </c>
      <c r="N57" s="80">
        <f>L57*4</f>
        <v>260</v>
      </c>
      <c r="O57" s="80">
        <f>L57*10</f>
        <v>650</v>
      </c>
      <c r="P57" s="66">
        <f>L57*20</f>
        <v>1300</v>
      </c>
      <c r="Q57" s="87">
        <f>IF(L56=TRUE,L57,0)+IF(M56=TRUE,M57,0)+IF(N56=TRUE,N57,0)+IF(O56=TRUE,O57,0)+IF(P56=TRUE,P57,0)</f>
        <v>0</v>
      </c>
      <c r="U57" s="389" t="s">
        <v>809</v>
      </c>
      <c r="V57" s="450"/>
      <c r="W57" s="390"/>
    </row>
    <row r="58" spans="3:29" x14ac:dyDescent="0.3">
      <c r="C58" s="11" t="s">
        <v>224</v>
      </c>
      <c r="D58" s="235">
        <v>29</v>
      </c>
      <c r="E58" s="83">
        <f>D58*2</f>
        <v>58</v>
      </c>
      <c r="F58" s="83">
        <f>D58*4</f>
        <v>116</v>
      </c>
      <c r="G58" s="83">
        <f>D58*10</f>
        <v>290</v>
      </c>
      <c r="H58" s="70">
        <f>D58*20</f>
        <v>580</v>
      </c>
      <c r="I58" s="203"/>
      <c r="K58" s="11" t="s">
        <v>102</v>
      </c>
      <c r="L58" s="235">
        <v>30</v>
      </c>
      <c r="M58" s="83">
        <f>L58*2</f>
        <v>60</v>
      </c>
      <c r="N58" s="83">
        <f>L58*4</f>
        <v>120</v>
      </c>
      <c r="O58" s="83">
        <f>L58*10</f>
        <v>300</v>
      </c>
      <c r="P58" s="70">
        <f>L58*20</f>
        <v>600</v>
      </c>
      <c r="Q58" s="87">
        <f>IF(L56=TRUE,L58,0)+IF(M56=TRUE,M58,0)+IF(N56=TRUE,N58,0)+IF(O56=TRUE,O58,0)+IF(P56=TRUE,P58,0)</f>
        <v>0</v>
      </c>
      <c r="U58" s="104" t="s">
        <v>808</v>
      </c>
      <c r="V58" s="263"/>
      <c r="W58" s="79" t="s">
        <v>25</v>
      </c>
    </row>
    <row r="59" spans="3:29" x14ac:dyDescent="0.3">
      <c r="C59" s="11" t="s">
        <v>252</v>
      </c>
      <c r="D59" s="65">
        <f>D58*400</f>
        <v>11600</v>
      </c>
      <c r="E59" s="80">
        <f>D59*2</f>
        <v>23200</v>
      </c>
      <c r="F59" s="80">
        <f>D59*4</f>
        <v>46400</v>
      </c>
      <c r="G59" s="80">
        <f>D59*10</f>
        <v>116000</v>
      </c>
      <c r="H59" s="66">
        <f>D59*20</f>
        <v>232000</v>
      </c>
      <c r="I59" s="87">
        <f>IF(D$56=TRUE,D59,0)+IF(E$56=TRUE,E59,0)+IF(F$56=TRUE,F59,0)+IF(G$56=TRUE,G59,0)+IF(H$56=TRUE,H59,0)</f>
        <v>0</v>
      </c>
      <c r="L59" s="542" t="s">
        <v>256</v>
      </c>
      <c r="M59" s="543"/>
      <c r="N59" s="543"/>
      <c r="O59" s="543"/>
      <c r="P59" s="543"/>
      <c r="Q59" s="544"/>
      <c r="U59" s="11" t="s">
        <v>101</v>
      </c>
      <c r="V59" s="124">
        <v>18</v>
      </c>
      <c r="W59" s="124">
        <f>V59*V58</f>
        <v>0</v>
      </c>
    </row>
    <row r="60" spans="3:29" x14ac:dyDescent="0.3">
      <c r="C60" s="11" t="s">
        <v>253</v>
      </c>
      <c r="D60" s="67">
        <f>D58*4</f>
        <v>116</v>
      </c>
      <c r="E60" s="88">
        <f>D60*2</f>
        <v>232</v>
      </c>
      <c r="F60" s="88">
        <f>D60*4</f>
        <v>464</v>
      </c>
      <c r="G60" s="88">
        <f>D60*10</f>
        <v>1160</v>
      </c>
      <c r="H60" s="68">
        <f>D60*20</f>
        <v>2320</v>
      </c>
      <c r="I60" s="84">
        <f>IF(D$56=TRUE,D60,0)+IF(E$56=TRUE,E60,0)+IF(F$56=TRUE,F60,0)+IF(G$56=TRUE,G60,0)+IF(H$56=TRUE,H60,0)</f>
        <v>0</v>
      </c>
      <c r="L60" s="167" t="b">
        <v>0</v>
      </c>
      <c r="M60" s="167" t="b">
        <v>0</v>
      </c>
      <c r="N60" s="168" t="b">
        <v>0</v>
      </c>
      <c r="O60" s="168" t="b">
        <v>0</v>
      </c>
      <c r="P60" s="168" t="b">
        <v>0</v>
      </c>
      <c r="Q60" s="85" t="s">
        <v>25</v>
      </c>
      <c r="U60" s="11" t="s">
        <v>102</v>
      </c>
      <c r="V60" s="124">
        <v>6</v>
      </c>
      <c r="W60" s="124">
        <f>V60*V58</f>
        <v>0</v>
      </c>
    </row>
    <row r="61" spans="3:29" x14ac:dyDescent="0.3">
      <c r="C61" s="11" t="s">
        <v>254</v>
      </c>
      <c r="D61" s="69">
        <f>D58</f>
        <v>29</v>
      </c>
      <c r="E61" s="83">
        <f>D61*2</f>
        <v>58</v>
      </c>
      <c r="F61" s="83">
        <f>D61*4</f>
        <v>116</v>
      </c>
      <c r="G61" s="83">
        <f>D61*10</f>
        <v>290</v>
      </c>
      <c r="H61" s="70">
        <f>D61*20</f>
        <v>580</v>
      </c>
      <c r="I61" s="84">
        <f>IF(D$56=TRUE,D61,0)+IF(E$56=TRUE,E61,0)+IF(F$56=TRUE,F61,0)+IF(G$56=TRUE,G61,0)+IF(H$56=TRUE,H61,0)</f>
        <v>0</v>
      </c>
      <c r="K61" s="11" t="s">
        <v>101</v>
      </c>
      <c r="L61" s="235">
        <v>48</v>
      </c>
      <c r="M61" s="80">
        <f>L61*2</f>
        <v>96</v>
      </c>
      <c r="N61" s="80">
        <f>L61*4</f>
        <v>192</v>
      </c>
      <c r="O61" s="80">
        <f>L61*10</f>
        <v>480</v>
      </c>
      <c r="P61" s="66">
        <f>L61*20</f>
        <v>960</v>
      </c>
      <c r="Q61" s="87">
        <f>IF(L60=TRUE,L61,0)+IF(M60=TRUE,M61,0)+IF(N60=TRUE,N61,0)+IF(O60=TRUE,O61,0)+IF(P60=TRUE,P61,0)</f>
        <v>0</v>
      </c>
    </row>
    <row r="62" spans="3:29" x14ac:dyDescent="0.3">
      <c r="C62" s="8"/>
      <c r="D62" s="536" t="s">
        <v>256</v>
      </c>
      <c r="E62" s="537"/>
      <c r="F62" s="537"/>
      <c r="G62" s="537"/>
      <c r="H62" s="537"/>
      <c r="I62" s="538"/>
      <c r="K62" s="11" t="s">
        <v>102</v>
      </c>
      <c r="L62" s="235">
        <v>48</v>
      </c>
      <c r="M62" s="83">
        <f>L62*2</f>
        <v>96</v>
      </c>
      <c r="N62" s="83">
        <f>L62*4</f>
        <v>192</v>
      </c>
      <c r="O62" s="83">
        <f>L62*10</f>
        <v>480</v>
      </c>
      <c r="P62" s="70">
        <f>L62*20</f>
        <v>960</v>
      </c>
      <c r="Q62" s="87">
        <f>IF(L60=TRUE,L62,0)+IF(M60=TRUE,M62,0)+IF(N60=TRUE,N62,0)+IF(O60=TRUE,O62,0)+IF(P60=TRUE,P62,0)</f>
        <v>0</v>
      </c>
    </row>
    <row r="63" spans="3:29" x14ac:dyDescent="0.3">
      <c r="C63" s="8"/>
      <c r="D63" s="164" t="b">
        <v>0</v>
      </c>
      <c r="E63" s="164" t="b">
        <v>0</v>
      </c>
      <c r="F63" s="164" t="b">
        <v>0</v>
      </c>
      <c r="G63" s="164" t="b">
        <v>0</v>
      </c>
      <c r="H63" s="164" t="b">
        <v>0</v>
      </c>
      <c r="I63" s="85" t="s">
        <v>25</v>
      </c>
    </row>
    <row r="64" spans="3:29" x14ac:dyDescent="0.3">
      <c r="C64" s="11" t="s">
        <v>254</v>
      </c>
      <c r="D64" s="235">
        <v>60</v>
      </c>
      <c r="E64" s="80">
        <f>D64*2</f>
        <v>120</v>
      </c>
      <c r="F64" s="80">
        <f>D64*4</f>
        <v>240</v>
      </c>
      <c r="G64" s="80">
        <f>D64*10</f>
        <v>600</v>
      </c>
      <c r="H64" s="66">
        <f>D64*20</f>
        <v>1200</v>
      </c>
      <c r="I64" s="87">
        <f>IF(D$63=TRUE,D64,0)+IF(E$63=TRUE,E64,0)+IF(F$63=TRUE,F64,0)+IF(G$63=TRUE,G64,0)+IF(H$63=TRUE,H64,0)</f>
        <v>0</v>
      </c>
      <c r="L64" s="426" t="s">
        <v>415</v>
      </c>
      <c r="M64" s="426"/>
      <c r="N64" s="426"/>
      <c r="O64" s="426"/>
      <c r="P64" s="426"/>
    </row>
    <row r="65" spans="2:17" x14ac:dyDescent="0.3">
      <c r="C65" s="11" t="s">
        <v>224</v>
      </c>
      <c r="D65" s="235">
        <v>18</v>
      </c>
      <c r="E65" s="83">
        <f>D65*2</f>
        <v>36</v>
      </c>
      <c r="F65" s="83">
        <f>D65*4</f>
        <v>72</v>
      </c>
      <c r="G65" s="83">
        <f>D65*10</f>
        <v>180</v>
      </c>
      <c r="H65" s="70">
        <f>D65*20</f>
        <v>360</v>
      </c>
      <c r="I65" s="203"/>
      <c r="J65" s="3"/>
      <c r="K65" s="3"/>
      <c r="L65" s="128">
        <v>5</v>
      </c>
      <c r="M65" s="128">
        <v>10</v>
      </c>
      <c r="N65" s="128">
        <v>20</v>
      </c>
      <c r="O65" s="128">
        <v>50</v>
      </c>
      <c r="P65" s="128">
        <v>100</v>
      </c>
      <c r="Q65" s="88"/>
    </row>
    <row r="66" spans="2:17" x14ac:dyDescent="0.3">
      <c r="C66" s="11" t="s">
        <v>252</v>
      </c>
      <c r="D66" s="65">
        <f>D65*400</f>
        <v>7200</v>
      </c>
      <c r="E66" s="80">
        <f>D66*2</f>
        <v>14400</v>
      </c>
      <c r="F66" s="80">
        <f>D66*4</f>
        <v>28800</v>
      </c>
      <c r="G66" s="80">
        <f>D66*10</f>
        <v>72000</v>
      </c>
      <c r="H66" s="66">
        <f>D66*20</f>
        <v>144000</v>
      </c>
      <c r="I66" s="87">
        <f>IF(D$63=TRUE,D66,0)+IF(E$63=TRUE,E66,0)+IF(F$63=TRUE,F66,0)+IF(G$63=TRUE,G66,0)+IF(H$63=TRUE,H66,0)</f>
        <v>0</v>
      </c>
      <c r="J66" s="557" t="s">
        <v>101</v>
      </c>
      <c r="K66" s="557"/>
      <c r="L66" s="234"/>
      <c r="M66" s="130"/>
      <c r="N66" s="130"/>
      <c r="O66" s="130"/>
      <c r="P66" s="131"/>
      <c r="Q66" s="88"/>
    </row>
    <row r="67" spans="2:17" x14ac:dyDescent="0.3">
      <c r="C67" s="11" t="s">
        <v>253</v>
      </c>
      <c r="D67" s="67">
        <f>D65*4</f>
        <v>72</v>
      </c>
      <c r="E67" s="88">
        <f>D67*2</f>
        <v>144</v>
      </c>
      <c r="F67" s="88">
        <f>D67*4</f>
        <v>288</v>
      </c>
      <c r="G67" s="88">
        <f>D67*10</f>
        <v>720</v>
      </c>
      <c r="H67" s="68">
        <f>D67*20</f>
        <v>1440</v>
      </c>
      <c r="I67" s="84">
        <f>IF(D$63=TRUE,D67,0)+IF(E$63=TRUE,E67,0)+IF(F$63=TRUE,F67,0)+IF(G$63=TRUE,G67,0)+IF(H$63=TRUE,H67,0)</f>
        <v>0</v>
      </c>
      <c r="J67" s="557"/>
      <c r="K67" s="557"/>
      <c r="L67" s="235">
        <v>24</v>
      </c>
      <c r="M67" s="83">
        <f>M$65/$L$65*$L$67</f>
        <v>48</v>
      </c>
      <c r="N67" s="83">
        <f t="shared" ref="N67:P67" si="4">N$65/$L$65*$L$67</f>
        <v>96</v>
      </c>
      <c r="O67" s="83">
        <f t="shared" si="4"/>
        <v>240</v>
      </c>
      <c r="P67" s="83">
        <f t="shared" si="4"/>
        <v>480</v>
      </c>
      <c r="Q67" s="87">
        <f>L67*L66+M67*M66+N67*N66+O67*O66+P67*P66</f>
        <v>0</v>
      </c>
    </row>
    <row r="68" spans="2:17" x14ac:dyDescent="0.3">
      <c r="C68" s="11" t="s">
        <v>254</v>
      </c>
      <c r="D68" s="69">
        <f>D65</f>
        <v>18</v>
      </c>
      <c r="E68" s="83">
        <f>D68*2</f>
        <v>36</v>
      </c>
      <c r="F68" s="83">
        <f>D68*4</f>
        <v>72</v>
      </c>
      <c r="G68" s="83">
        <f>D68*10</f>
        <v>180</v>
      </c>
      <c r="H68" s="70">
        <f>D68*20</f>
        <v>360</v>
      </c>
      <c r="I68" s="84">
        <f>IF(D$63=TRUE,D68,0)+IF(E$63=TRUE,E68,0)+IF(F$63=TRUE,F68,0)+IF(G$63=TRUE,G68,0)+IF(H$63=TRUE,H68,0)</f>
        <v>0</v>
      </c>
      <c r="J68" s="557" t="s">
        <v>102</v>
      </c>
      <c r="K68" s="557"/>
      <c r="L68" s="234"/>
      <c r="M68" s="130"/>
      <c r="N68" s="130"/>
      <c r="O68" s="130"/>
      <c r="P68" s="131"/>
      <c r="Q68" s="88"/>
    </row>
    <row r="69" spans="2:17" x14ac:dyDescent="0.3">
      <c r="D69" t="str">
        <f>IF(COUNTIFS(D52,TRUE,D56,TRUE,D63,TRUE)&gt;1,"Too Many","")</f>
        <v/>
      </c>
      <c r="J69" s="557"/>
      <c r="K69" s="557"/>
      <c r="L69" s="235">
        <v>26</v>
      </c>
      <c r="M69" s="83">
        <f>M$65/$L$65*$L$69</f>
        <v>52</v>
      </c>
      <c r="N69" s="83">
        <f t="shared" ref="N69:P69" si="5">N$65/$L$65*$L$69</f>
        <v>104</v>
      </c>
      <c r="O69" s="83">
        <f t="shared" si="5"/>
        <v>260</v>
      </c>
      <c r="P69" s="83">
        <f t="shared" si="5"/>
        <v>520</v>
      </c>
      <c r="Q69" s="87">
        <f>L69*L68+M69*M68+N69*N68+O69*O68+P69*P68</f>
        <v>0</v>
      </c>
    </row>
    <row r="70" spans="2:17" x14ac:dyDescent="0.3">
      <c r="D70" s="406" t="s">
        <v>409</v>
      </c>
      <c r="E70" s="406"/>
      <c r="F70" s="406"/>
      <c r="G70" s="406"/>
      <c r="H70" s="406"/>
      <c r="I70" s="406"/>
      <c r="K70" s="11" t="s">
        <v>24</v>
      </c>
      <c r="L70" s="88">
        <f>IF(L66+L68&gt;3,"Too Many",3-(L66+L68))</f>
        <v>3</v>
      </c>
      <c r="M70" s="88">
        <f t="shared" ref="M70:P70" si="6">IF(M66+M68&gt;3,"Too Many",3-(M66+M68))</f>
        <v>3</v>
      </c>
      <c r="N70" s="88">
        <f t="shared" si="6"/>
        <v>3</v>
      </c>
      <c r="O70" s="88">
        <f t="shared" si="6"/>
        <v>3</v>
      </c>
      <c r="P70" s="88">
        <f t="shared" si="6"/>
        <v>3</v>
      </c>
    </row>
    <row r="71" spans="2:17" x14ac:dyDescent="0.3">
      <c r="B71" s="524" t="s">
        <v>59</v>
      </c>
      <c r="C71" s="525"/>
      <c r="D71" s="169" t="b">
        <v>0</v>
      </c>
      <c r="E71" s="169" t="b">
        <v>0</v>
      </c>
      <c r="F71" s="169" t="b">
        <v>0</v>
      </c>
      <c r="G71" s="169" t="b">
        <v>0</v>
      </c>
      <c r="H71" s="169" t="b">
        <v>0</v>
      </c>
      <c r="I71" s="14" t="s">
        <v>25</v>
      </c>
    </row>
    <row r="72" spans="2:17" x14ac:dyDescent="0.3">
      <c r="B72" s="524"/>
      <c r="C72" s="525"/>
      <c r="D72" s="235">
        <v>52</v>
      </c>
      <c r="E72" s="80">
        <f>D72*2</f>
        <v>104</v>
      </c>
      <c r="F72" s="80">
        <f>D72*4</f>
        <v>208</v>
      </c>
      <c r="G72" s="80">
        <f>D72*10</f>
        <v>520</v>
      </c>
      <c r="H72" s="66">
        <f>D72*20</f>
        <v>1040</v>
      </c>
      <c r="I72" s="87">
        <f>IF(D71=TRUE,D72,0)+IF(E71=TRUE,E72,0)+IF(F71=TRUE,F72,0)+IF(G71=TRUE,G72,0)+IF(H71=TRUE,H72,0)</f>
        <v>0</v>
      </c>
      <c r="L72" s="426" t="s">
        <v>590</v>
      </c>
      <c r="M72" s="426"/>
      <c r="N72" s="426"/>
      <c r="O72" s="426"/>
      <c r="P72" s="426"/>
    </row>
    <row r="73" spans="2:17" x14ac:dyDescent="0.3">
      <c r="B73" s="524" t="s">
        <v>284</v>
      </c>
      <c r="C73" s="525"/>
      <c r="D73" s="169" t="b">
        <v>0</v>
      </c>
      <c r="E73" s="169" t="b">
        <v>0</v>
      </c>
      <c r="F73" s="169" t="b">
        <v>0</v>
      </c>
      <c r="G73" s="169" t="b">
        <v>0</v>
      </c>
      <c r="H73" s="169" t="b">
        <v>0</v>
      </c>
      <c r="I73" s="14" t="s">
        <v>25</v>
      </c>
      <c r="J73" s="3"/>
      <c r="K73" s="3"/>
      <c r="L73" s="128">
        <v>5</v>
      </c>
      <c r="M73" s="128">
        <v>10</v>
      </c>
      <c r="N73" s="128">
        <v>20</v>
      </c>
      <c r="O73" s="128">
        <v>50</v>
      </c>
      <c r="P73" s="128">
        <v>100</v>
      </c>
      <c r="Q73" s="88"/>
    </row>
    <row r="74" spans="2:17" x14ac:dyDescent="0.3">
      <c r="B74" s="524"/>
      <c r="C74" s="525"/>
      <c r="D74" s="235">
        <v>33</v>
      </c>
      <c r="E74" s="83">
        <f>D74*2</f>
        <v>66</v>
      </c>
      <c r="F74" s="83">
        <f>D74*4</f>
        <v>132</v>
      </c>
      <c r="G74" s="83">
        <f>D74*10</f>
        <v>330</v>
      </c>
      <c r="H74" s="70">
        <f>D74*20</f>
        <v>660</v>
      </c>
      <c r="I74" s="87">
        <f>IF(D73=TRUE,D74,0)+IF(E73=TRUE,E74,0)+IF(F73=TRUE,F74,0)+IF(G73=TRUE,G74,0)+IF(H73=TRUE,H74,0)</f>
        <v>0</v>
      </c>
      <c r="J74" s="557" t="s">
        <v>101</v>
      </c>
      <c r="K74" s="557"/>
      <c r="L74" s="234"/>
      <c r="M74" s="130"/>
      <c r="N74" s="130"/>
      <c r="O74" s="130"/>
      <c r="P74" s="131"/>
      <c r="Q74" s="88"/>
    </row>
    <row r="75" spans="2:17" ht="15" customHeight="1" x14ac:dyDescent="0.3">
      <c r="B75" s="547" t="s">
        <v>93</v>
      </c>
      <c r="C75" s="284"/>
      <c r="D75" s="169" t="b">
        <v>0</v>
      </c>
      <c r="E75" s="169" t="b">
        <v>0</v>
      </c>
      <c r="F75" s="169" t="b">
        <v>0</v>
      </c>
      <c r="G75" s="169" t="b">
        <v>0</v>
      </c>
      <c r="H75" s="169" t="b">
        <v>0</v>
      </c>
      <c r="I75" s="14" t="s">
        <v>25</v>
      </c>
      <c r="J75" s="557"/>
      <c r="K75" s="557"/>
      <c r="L75" s="235">
        <v>24</v>
      </c>
      <c r="M75" s="83">
        <f>M$73/$L$73*$L$77</f>
        <v>48</v>
      </c>
      <c r="N75" s="83">
        <f t="shared" ref="N75:P75" si="7">N$73/$L$73*$L$77</f>
        <v>96</v>
      </c>
      <c r="O75" s="83">
        <f t="shared" si="7"/>
        <v>240</v>
      </c>
      <c r="P75" s="83">
        <f t="shared" si="7"/>
        <v>480</v>
      </c>
      <c r="Q75" s="87">
        <f>L75*L74+M75*M74+N75*N74+O75*O74+P75*P74</f>
        <v>0</v>
      </c>
    </row>
    <row r="76" spans="2:17" ht="15" customHeight="1" x14ac:dyDescent="0.3">
      <c r="B76" s="547"/>
      <c r="C76" s="283" t="s">
        <v>252</v>
      </c>
      <c r="D76" s="235">
        <v>13000</v>
      </c>
      <c r="E76" s="80">
        <f>D76*2</f>
        <v>26000</v>
      </c>
      <c r="F76" s="80">
        <f>D76*4</f>
        <v>52000</v>
      </c>
      <c r="G76" s="80">
        <f>D76*10</f>
        <v>130000</v>
      </c>
      <c r="H76" s="66">
        <f>D76*20</f>
        <v>260000</v>
      </c>
      <c r="I76" s="87">
        <f>IF($D$75=TRUE,D76,0)+IF($E$75=TRUE,E76,0)+IF($F$75=TRUE,F76,0)+IF($G$75=TRUE,G76,0)+IF($H$75=TRUE,H76,0)</f>
        <v>0</v>
      </c>
      <c r="J76" s="557" t="s">
        <v>102</v>
      </c>
      <c r="K76" s="557"/>
      <c r="L76" s="234"/>
      <c r="M76" s="130"/>
      <c r="N76" s="130"/>
      <c r="O76" s="130"/>
      <c r="P76" s="131"/>
      <c r="Q76" s="88"/>
    </row>
    <row r="77" spans="2:17" x14ac:dyDescent="0.3">
      <c r="B77" s="547"/>
      <c r="C77" s="283" t="s">
        <v>253</v>
      </c>
      <c r="D77" s="235">
        <v>130</v>
      </c>
      <c r="E77" s="80">
        <f t="shared" ref="E77:E78" si="8">D77*2</f>
        <v>260</v>
      </c>
      <c r="F77" s="80">
        <f t="shared" ref="F77:F78" si="9">D77*4</f>
        <v>520</v>
      </c>
      <c r="G77" s="80">
        <f t="shared" ref="G77:G78" si="10">D77*10</f>
        <v>1300</v>
      </c>
      <c r="H77" s="66">
        <f t="shared" ref="H77:H78" si="11">D77*20</f>
        <v>2600</v>
      </c>
      <c r="I77" s="87">
        <f t="shared" ref="I77:I78" si="12">IF($D$75=TRUE,D77,0)+IF($E$75=TRUE,E77,0)+IF($F$75=TRUE,F77,0)+IF($G$75=TRUE,G77,0)+IF($H$75=TRUE,H77,0)</f>
        <v>0</v>
      </c>
      <c r="J77" s="557"/>
      <c r="K77" s="557"/>
      <c r="L77" s="235">
        <v>24</v>
      </c>
      <c r="M77" s="83">
        <f>M$73/$L$73*$L$77</f>
        <v>48</v>
      </c>
      <c r="N77" s="83">
        <f t="shared" ref="N77:P77" si="13">N$73/$L$73*$L$77</f>
        <v>96</v>
      </c>
      <c r="O77" s="83">
        <f t="shared" si="13"/>
        <v>240</v>
      </c>
      <c r="P77" s="83">
        <f t="shared" si="13"/>
        <v>480</v>
      </c>
      <c r="Q77" s="87">
        <f>L77*L76+M77*M76+N77*N76+O77*O76+P77*P76</f>
        <v>0</v>
      </c>
    </row>
    <row r="78" spans="2:17" x14ac:dyDescent="0.3">
      <c r="B78" s="547"/>
      <c r="C78" s="283" t="s">
        <v>254</v>
      </c>
      <c r="D78" s="235">
        <v>50</v>
      </c>
      <c r="E78" s="80">
        <f t="shared" si="8"/>
        <v>100</v>
      </c>
      <c r="F78" s="80">
        <f t="shared" si="9"/>
        <v>200</v>
      </c>
      <c r="G78" s="80">
        <f t="shared" si="10"/>
        <v>500</v>
      </c>
      <c r="H78" s="66">
        <f t="shared" si="11"/>
        <v>1000</v>
      </c>
      <c r="I78" s="87">
        <f t="shared" si="12"/>
        <v>0</v>
      </c>
      <c r="J78" s="557" t="s">
        <v>96</v>
      </c>
      <c r="K78" s="557"/>
      <c r="L78" s="234"/>
      <c r="M78" s="130"/>
      <c r="N78" s="130"/>
      <c r="O78" s="130"/>
      <c r="P78" s="131"/>
      <c r="Q78" s="88"/>
    </row>
    <row r="79" spans="2:17" x14ac:dyDescent="0.3">
      <c r="B79" s="524" t="s">
        <v>620</v>
      </c>
      <c r="C79" s="524"/>
      <c r="D79" s="169" t="b">
        <v>0</v>
      </c>
      <c r="E79" s="169" t="b">
        <v>0</v>
      </c>
      <c r="F79" s="169" t="b">
        <v>0</v>
      </c>
      <c r="G79" s="169" t="b">
        <v>0</v>
      </c>
      <c r="H79" s="169" t="b">
        <v>0</v>
      </c>
      <c r="I79" s="14" t="s">
        <v>25</v>
      </c>
      <c r="J79" s="557"/>
      <c r="K79" s="557"/>
      <c r="L79" s="235">
        <v>24</v>
      </c>
      <c r="M79" s="83">
        <f>M$73/$L$73*$L$79</f>
        <v>48</v>
      </c>
      <c r="N79" s="83">
        <f>N$73/$L$73*$L$79</f>
        <v>96</v>
      </c>
      <c r="O79" s="83">
        <f>O$73/$L$73*$L$79</f>
        <v>240</v>
      </c>
      <c r="P79" s="83">
        <f>P$73/$L$73*$L$79</f>
        <v>480</v>
      </c>
      <c r="Q79" s="87">
        <f>L79*L78+M79*M78+N79*N78+O79*O78+P79*P78</f>
        <v>0</v>
      </c>
    </row>
    <row r="80" spans="2:17" x14ac:dyDescent="0.3">
      <c r="B80" s="524"/>
      <c r="C80" s="524"/>
      <c r="D80" s="235">
        <v>10</v>
      </c>
      <c r="E80" s="83">
        <f>D80*2</f>
        <v>20</v>
      </c>
      <c r="F80" s="83">
        <f>D80*4</f>
        <v>40</v>
      </c>
      <c r="G80" s="83">
        <f>D80*10</f>
        <v>100</v>
      </c>
      <c r="H80" s="70">
        <f>D80*20</f>
        <v>200</v>
      </c>
      <c r="I80" s="87">
        <f>IF(D79=TRUE,D80,0)+IF(E79=TRUE,E80,0)+IF(F79=TRUE,F80,0)+IF(G79=TRUE,G80,0)+IF(H79=TRUE,H80,0)</f>
        <v>0</v>
      </c>
      <c r="K80" s="11" t="s">
        <v>24</v>
      </c>
      <c r="L80" s="88">
        <f>IF(L74+L76+L78&gt;3,"Too Many",3-(L74+L76+L78))</f>
        <v>3</v>
      </c>
      <c r="M80" s="88">
        <f t="shared" ref="M80:P80" si="14">IF(M74+M76+M78&gt;3,"Too Many",3-(M74+M76+M78))</f>
        <v>3</v>
      </c>
      <c r="N80" s="88">
        <f t="shared" si="14"/>
        <v>3</v>
      </c>
      <c r="O80" s="88">
        <f t="shared" si="14"/>
        <v>3</v>
      </c>
      <c r="P80" s="88">
        <f t="shared" si="14"/>
        <v>3</v>
      </c>
    </row>
  </sheetData>
  <sheetProtection sheet="1" objects="1" scenarios="1" formatColumns="0"/>
  <mergeCells count="126">
    <mergeCell ref="B75:B78"/>
    <mergeCell ref="T27:W32"/>
    <mergeCell ref="L72:P72"/>
    <mergeCell ref="J74:K75"/>
    <mergeCell ref="J76:K77"/>
    <mergeCell ref="J78:K79"/>
    <mergeCell ref="U50:AA50"/>
    <mergeCell ref="U56:W56"/>
    <mergeCell ref="U57:W57"/>
    <mergeCell ref="W44:X44"/>
    <mergeCell ref="W47:X47"/>
    <mergeCell ref="W46:X46"/>
    <mergeCell ref="W45:X45"/>
    <mergeCell ref="J66:K67"/>
    <mergeCell ref="J68:K69"/>
    <mergeCell ref="W43:X43"/>
    <mergeCell ref="W42:AB42"/>
    <mergeCell ref="K41:AB41"/>
    <mergeCell ref="Q45:R45"/>
    <mergeCell ref="Q46:R46"/>
    <mergeCell ref="Q47:R47"/>
    <mergeCell ref="K45:L45"/>
    <mergeCell ref="K46:L46"/>
    <mergeCell ref="K47:L47"/>
    <mergeCell ref="A1:S2"/>
    <mergeCell ref="K42:O42"/>
    <mergeCell ref="L43:M43"/>
    <mergeCell ref="K44:L44"/>
    <mergeCell ref="Q42:U42"/>
    <mergeCell ref="Q43:R43"/>
    <mergeCell ref="Q44:R44"/>
    <mergeCell ref="V37:W37"/>
    <mergeCell ref="T38:U38"/>
    <mergeCell ref="V38:W38"/>
    <mergeCell ref="T39:U39"/>
    <mergeCell ref="V39:W39"/>
    <mergeCell ref="V35:W35"/>
    <mergeCell ref="T35:U35"/>
    <mergeCell ref="T34:W34"/>
    <mergeCell ref="T36:U36"/>
    <mergeCell ref="V36:W36"/>
    <mergeCell ref="T37:U37"/>
    <mergeCell ref="B21:C21"/>
    <mergeCell ref="D21:E21"/>
    <mergeCell ref="B22:C22"/>
    <mergeCell ref="C33:E33"/>
    <mergeCell ref="B20:E20"/>
    <mergeCell ref="O9:R9"/>
    <mergeCell ref="L64:P64"/>
    <mergeCell ref="O33:Q33"/>
    <mergeCell ref="D70:I70"/>
    <mergeCell ref="B71:C72"/>
    <mergeCell ref="B73:C74"/>
    <mergeCell ref="B79:C80"/>
    <mergeCell ref="F9:N38"/>
    <mergeCell ref="D50:I50"/>
    <mergeCell ref="D51:I51"/>
    <mergeCell ref="D55:I55"/>
    <mergeCell ref="D62:I62"/>
    <mergeCell ref="L50:Q50"/>
    <mergeCell ref="L51:Q51"/>
    <mergeCell ref="L55:Q55"/>
    <mergeCell ref="L59:Q59"/>
    <mergeCell ref="B9:E9"/>
    <mergeCell ref="B10:E10"/>
    <mergeCell ref="C13:E13"/>
    <mergeCell ref="B11:C11"/>
    <mergeCell ref="D11:E11"/>
    <mergeCell ref="B12:C12"/>
    <mergeCell ref="D12:E12"/>
    <mergeCell ref="D32:E32"/>
    <mergeCell ref="B19:E19"/>
    <mergeCell ref="B32:C32"/>
    <mergeCell ref="O21:P21"/>
    <mergeCell ref="Q21:R21"/>
    <mergeCell ref="O22:P22"/>
    <mergeCell ref="Q22:R22"/>
    <mergeCell ref="O23:Q23"/>
    <mergeCell ref="O29:R29"/>
    <mergeCell ref="O30:R30"/>
    <mergeCell ref="O31:P31"/>
    <mergeCell ref="Q31:R31"/>
    <mergeCell ref="D22:E22"/>
    <mergeCell ref="O32:P32"/>
    <mergeCell ref="Q32:R32"/>
    <mergeCell ref="C6:D6"/>
    <mergeCell ref="E6:F6"/>
    <mergeCell ref="G6:H6"/>
    <mergeCell ref="I6:J6"/>
    <mergeCell ref="C5:J5"/>
    <mergeCell ref="C23:E23"/>
    <mergeCell ref="B29:E29"/>
    <mergeCell ref="B30:E30"/>
    <mergeCell ref="B31:C31"/>
    <mergeCell ref="D31:E31"/>
    <mergeCell ref="C7:D7"/>
    <mergeCell ref="E7:F7"/>
    <mergeCell ref="G7:H7"/>
    <mergeCell ref="I7:J7"/>
    <mergeCell ref="I42:I43"/>
    <mergeCell ref="C40:I40"/>
    <mergeCell ref="C41:F41"/>
    <mergeCell ref="G41:I41"/>
    <mergeCell ref="C42:C43"/>
    <mergeCell ref="D42:D43"/>
    <mergeCell ref="E42:E43"/>
    <mergeCell ref="F42:F43"/>
    <mergeCell ref="G42:G43"/>
    <mergeCell ref="H42:H43"/>
    <mergeCell ref="L5:Q5"/>
    <mergeCell ref="L6:M6"/>
    <mergeCell ref="N6:O6"/>
    <mergeCell ref="P6:Q6"/>
    <mergeCell ref="L7:M7"/>
    <mergeCell ref="N7:O7"/>
    <mergeCell ref="P7:Q7"/>
    <mergeCell ref="AB50:AC50"/>
    <mergeCell ref="AB49:AC49"/>
    <mergeCell ref="O10:R10"/>
    <mergeCell ref="O11:P11"/>
    <mergeCell ref="Q11:R11"/>
    <mergeCell ref="O12:P12"/>
    <mergeCell ref="Q12:R12"/>
    <mergeCell ref="O13:Q13"/>
    <mergeCell ref="O19:R19"/>
    <mergeCell ref="O20:R20"/>
  </mergeCells>
  <conditionalFormatting sqref="C48:I48">
    <cfRule type="cellIs" dxfId="130" priority="18" operator="greaterThan">
      <formula>-1</formula>
    </cfRule>
  </conditionalFormatting>
  <conditionalFormatting sqref="C47:J47">
    <cfRule type="cellIs" dxfId="129" priority="19" operator="greaterThan">
      <formula>0</formula>
    </cfRule>
  </conditionalFormatting>
  <conditionalFormatting sqref="D52:H52 L52:P52 D56:H56 L56:P56 L60:P60 D63:H63 D71:H71 D73:H75 D79:H80">
    <cfRule type="cellIs" dxfId="128" priority="16" operator="equal">
      <formula>TRUE</formula>
    </cfRule>
  </conditionalFormatting>
  <conditionalFormatting sqref="J47 C47:I48">
    <cfRule type="cellIs" dxfId="127" priority="17" stopIfTrue="1" operator="equal">
      <formula>"-"</formula>
    </cfRule>
  </conditionalFormatting>
  <conditionalFormatting sqref="L70:P70">
    <cfRule type="cellIs" dxfId="126" priority="8" stopIfTrue="1" operator="equal">
      <formula>"Too Many"</formula>
    </cfRule>
    <cfRule type="cellIs" dxfId="125" priority="9" operator="greaterThan">
      <formula>0</formula>
    </cfRule>
  </conditionalFormatting>
  <conditionalFormatting sqref="L80:P80">
    <cfRule type="cellIs" dxfId="124" priority="1" stopIfTrue="1" operator="equal">
      <formula>"Too Many"</formula>
    </cfRule>
    <cfRule type="cellIs" dxfId="123" priority="2" operator="greaterThan">
      <formula>0</formula>
    </cfRule>
  </conditionalFormatting>
  <conditionalFormatting sqref="O45 F46">
    <cfRule type="cellIs" dxfId="122" priority="7" operator="equal">
      <formula>"X10 Only"</formula>
    </cfRule>
  </conditionalFormatting>
  <conditionalFormatting sqref="U43">
    <cfRule type="cellIs" dxfId="121" priority="6" operator="lessThan">
      <formula>0</formula>
    </cfRule>
  </conditionalFormatting>
  <conditionalFormatting sqref="U51:Z51">
    <cfRule type="cellIs" dxfId="120" priority="3" operator="equal">
      <formula>TRUE</formula>
    </cfRule>
  </conditionalFormatting>
  <dataValidations count="7">
    <dataValidation type="whole" allowBlank="1" showInputMessage="1" showErrorMessage="1" sqref="L66:P66 L68:P68 L74:P74 L76:P76 L78:P78" xr:uid="{4FD34572-3E35-46EC-81BA-C650FC5929AD}">
      <formula1>0</formula1>
      <formula2>3</formula2>
    </dataValidation>
    <dataValidation type="whole" errorStyle="information" allowBlank="1" showInputMessage="1" showErrorMessage="1" errorTitle="Exceeds Maximum" error="Can Only Exchange A Maximum Of 500.  Make Sure The Timer Will Reset For This If Going Abover 500." sqref="N45" xr:uid="{B27BA4D1-3C4B-4D13-B763-32A886A788A3}">
      <formula1>0</formula1>
      <formula2>5000</formula2>
    </dataValidation>
    <dataValidation type="whole" errorStyle="information" allowBlank="1" showInputMessage="1" showErrorMessage="1" errorTitle="Exceeds Maximum" error="Can Only Exchange A Maximum Of 500.  Make Sure The Timer Will Reset For This If Going Abover 500." sqref="N46:N47" xr:uid="{389DD237-B1D0-4604-9927-CC5590DFAA85}">
      <formula1>0</formula1>
      <formula2>500</formula2>
    </dataValidation>
    <dataValidation allowBlank="1" showInputMessage="1" showErrorMessage="1" prompt="These will be dependent on your state age, but as far as I know still follow the same multiplier for later packs.  Update as needed, and let me know if it's incorrect." sqref="D53:D54 D57:D58 D64:D65 D72 D74 D80 L67 L69 L61:L62 L57:L58 L53:L54 L75 L77 L79 D76:D78" xr:uid="{5542ED4B-997F-474D-867F-4E9D3580C006}"/>
    <dataValidation allowBlank="1" showErrorMessage="1" prompt="These will be dependent on your state age, but as far as I know still follow the same multiplier for later packs.  Update as needed, and let me know if it's incorrect." sqref="U52:U54" xr:uid="{A120BB9C-13E6-43F6-ABEA-2C964F14300C}"/>
    <dataValidation type="whole" allowBlank="1" showInputMessage="1" showErrorMessage="1" sqref="Z51" xr:uid="{3DEA1BFF-C111-47D0-9023-A87FE00D2016}">
      <formula1>0</formula1>
      <formula2>20</formula2>
    </dataValidation>
    <dataValidation type="whole" operator="greaterThan" allowBlank="1" showErrorMessage="1" sqref="AB50:AC50" xr:uid="{6C763C3B-63FE-4612-80C4-5403982F7518}">
      <formula1>0</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104" r:id="rId4" name="Check Box 32">
              <controlPr locked="0" defaultSize="0" autoFill="0" autoLine="0" autoPict="0">
                <anchor moveWithCells="1">
                  <from>
                    <xdr:col>3</xdr:col>
                    <xdr:colOff>7620</xdr:colOff>
                    <xdr:row>69</xdr:row>
                    <xdr:rowOff>175260</xdr:rowOff>
                  </from>
                  <to>
                    <xdr:col>3</xdr:col>
                    <xdr:colOff>373380</xdr:colOff>
                    <xdr:row>71</xdr:row>
                    <xdr:rowOff>7620</xdr:rowOff>
                  </to>
                </anchor>
              </controlPr>
            </control>
          </mc:Choice>
        </mc:AlternateContent>
        <mc:AlternateContent xmlns:mc="http://schemas.openxmlformats.org/markup-compatibility/2006">
          <mc:Choice Requires="x14">
            <control shapeId="3105" r:id="rId5" name="Check Box 33">
              <controlPr locked="0" defaultSize="0" autoFill="0" autoLine="0" autoPict="0">
                <anchor moveWithCells="1">
                  <from>
                    <xdr:col>4</xdr:col>
                    <xdr:colOff>7620</xdr:colOff>
                    <xdr:row>69</xdr:row>
                    <xdr:rowOff>175260</xdr:rowOff>
                  </from>
                  <to>
                    <xdr:col>4</xdr:col>
                    <xdr:colOff>373380</xdr:colOff>
                    <xdr:row>71</xdr:row>
                    <xdr:rowOff>7620</xdr:rowOff>
                  </to>
                </anchor>
              </controlPr>
            </control>
          </mc:Choice>
        </mc:AlternateContent>
        <mc:AlternateContent xmlns:mc="http://schemas.openxmlformats.org/markup-compatibility/2006">
          <mc:Choice Requires="x14">
            <control shapeId="3106" r:id="rId6" name="Check Box 34">
              <controlPr locked="0" defaultSize="0" autoFill="0" autoLine="0" autoPict="0">
                <anchor moveWithCells="1">
                  <from>
                    <xdr:col>5</xdr:col>
                    <xdr:colOff>7620</xdr:colOff>
                    <xdr:row>69</xdr:row>
                    <xdr:rowOff>175260</xdr:rowOff>
                  </from>
                  <to>
                    <xdr:col>5</xdr:col>
                    <xdr:colOff>373380</xdr:colOff>
                    <xdr:row>71</xdr:row>
                    <xdr:rowOff>7620</xdr:rowOff>
                  </to>
                </anchor>
              </controlPr>
            </control>
          </mc:Choice>
        </mc:AlternateContent>
        <mc:AlternateContent xmlns:mc="http://schemas.openxmlformats.org/markup-compatibility/2006">
          <mc:Choice Requires="x14">
            <control shapeId="3107" r:id="rId7" name="Check Box 35">
              <controlPr locked="0" defaultSize="0" autoFill="0" autoLine="0" autoPict="0">
                <anchor moveWithCells="1">
                  <from>
                    <xdr:col>6</xdr:col>
                    <xdr:colOff>7620</xdr:colOff>
                    <xdr:row>69</xdr:row>
                    <xdr:rowOff>175260</xdr:rowOff>
                  </from>
                  <to>
                    <xdr:col>6</xdr:col>
                    <xdr:colOff>373380</xdr:colOff>
                    <xdr:row>71</xdr:row>
                    <xdr:rowOff>7620</xdr:rowOff>
                  </to>
                </anchor>
              </controlPr>
            </control>
          </mc:Choice>
        </mc:AlternateContent>
        <mc:AlternateContent xmlns:mc="http://schemas.openxmlformats.org/markup-compatibility/2006">
          <mc:Choice Requires="x14">
            <control shapeId="3108" r:id="rId8" name="Check Box 36">
              <controlPr locked="0" defaultSize="0" autoFill="0" autoLine="0" autoPict="0">
                <anchor moveWithCells="1">
                  <from>
                    <xdr:col>7</xdr:col>
                    <xdr:colOff>7620</xdr:colOff>
                    <xdr:row>69</xdr:row>
                    <xdr:rowOff>175260</xdr:rowOff>
                  </from>
                  <to>
                    <xdr:col>7</xdr:col>
                    <xdr:colOff>373380</xdr:colOff>
                    <xdr:row>71</xdr:row>
                    <xdr:rowOff>7620</xdr:rowOff>
                  </to>
                </anchor>
              </controlPr>
            </control>
          </mc:Choice>
        </mc:AlternateContent>
        <mc:AlternateContent xmlns:mc="http://schemas.openxmlformats.org/markup-compatibility/2006">
          <mc:Choice Requires="x14">
            <control shapeId="3109" r:id="rId9" name="Check Box 37">
              <controlPr locked="0" defaultSize="0" autoFill="0" autoLine="0" autoPict="0">
                <anchor moveWithCells="1">
                  <from>
                    <xdr:col>3</xdr:col>
                    <xdr:colOff>7620</xdr:colOff>
                    <xdr:row>71</xdr:row>
                    <xdr:rowOff>175260</xdr:rowOff>
                  </from>
                  <to>
                    <xdr:col>3</xdr:col>
                    <xdr:colOff>373380</xdr:colOff>
                    <xdr:row>73</xdr:row>
                    <xdr:rowOff>7620</xdr:rowOff>
                  </to>
                </anchor>
              </controlPr>
            </control>
          </mc:Choice>
        </mc:AlternateContent>
        <mc:AlternateContent xmlns:mc="http://schemas.openxmlformats.org/markup-compatibility/2006">
          <mc:Choice Requires="x14">
            <control shapeId="3110" r:id="rId10" name="Check Box 38">
              <controlPr locked="0" defaultSize="0" autoFill="0" autoLine="0" autoPict="0">
                <anchor moveWithCells="1">
                  <from>
                    <xdr:col>4</xdr:col>
                    <xdr:colOff>7620</xdr:colOff>
                    <xdr:row>71</xdr:row>
                    <xdr:rowOff>175260</xdr:rowOff>
                  </from>
                  <to>
                    <xdr:col>4</xdr:col>
                    <xdr:colOff>373380</xdr:colOff>
                    <xdr:row>73</xdr:row>
                    <xdr:rowOff>7620</xdr:rowOff>
                  </to>
                </anchor>
              </controlPr>
            </control>
          </mc:Choice>
        </mc:AlternateContent>
        <mc:AlternateContent xmlns:mc="http://schemas.openxmlformats.org/markup-compatibility/2006">
          <mc:Choice Requires="x14">
            <control shapeId="3111" r:id="rId11" name="Check Box 39">
              <controlPr locked="0" defaultSize="0" autoFill="0" autoLine="0" autoPict="0">
                <anchor moveWithCells="1">
                  <from>
                    <xdr:col>5</xdr:col>
                    <xdr:colOff>7620</xdr:colOff>
                    <xdr:row>71</xdr:row>
                    <xdr:rowOff>175260</xdr:rowOff>
                  </from>
                  <to>
                    <xdr:col>5</xdr:col>
                    <xdr:colOff>373380</xdr:colOff>
                    <xdr:row>73</xdr:row>
                    <xdr:rowOff>7620</xdr:rowOff>
                  </to>
                </anchor>
              </controlPr>
            </control>
          </mc:Choice>
        </mc:AlternateContent>
        <mc:AlternateContent xmlns:mc="http://schemas.openxmlformats.org/markup-compatibility/2006">
          <mc:Choice Requires="x14">
            <control shapeId="3112" r:id="rId12" name="Check Box 40">
              <controlPr locked="0" defaultSize="0" autoFill="0" autoLine="0" autoPict="0">
                <anchor moveWithCells="1">
                  <from>
                    <xdr:col>6</xdr:col>
                    <xdr:colOff>7620</xdr:colOff>
                    <xdr:row>71</xdr:row>
                    <xdr:rowOff>175260</xdr:rowOff>
                  </from>
                  <to>
                    <xdr:col>6</xdr:col>
                    <xdr:colOff>373380</xdr:colOff>
                    <xdr:row>73</xdr:row>
                    <xdr:rowOff>7620</xdr:rowOff>
                  </to>
                </anchor>
              </controlPr>
            </control>
          </mc:Choice>
        </mc:AlternateContent>
        <mc:AlternateContent xmlns:mc="http://schemas.openxmlformats.org/markup-compatibility/2006">
          <mc:Choice Requires="x14">
            <control shapeId="3113" r:id="rId13" name="Check Box 41">
              <controlPr locked="0" defaultSize="0" autoFill="0" autoLine="0" autoPict="0">
                <anchor moveWithCells="1">
                  <from>
                    <xdr:col>7</xdr:col>
                    <xdr:colOff>7620</xdr:colOff>
                    <xdr:row>71</xdr:row>
                    <xdr:rowOff>175260</xdr:rowOff>
                  </from>
                  <to>
                    <xdr:col>7</xdr:col>
                    <xdr:colOff>373380</xdr:colOff>
                    <xdr:row>73</xdr:row>
                    <xdr:rowOff>7620</xdr:rowOff>
                  </to>
                </anchor>
              </controlPr>
            </control>
          </mc:Choice>
        </mc:AlternateContent>
        <mc:AlternateContent xmlns:mc="http://schemas.openxmlformats.org/markup-compatibility/2006">
          <mc:Choice Requires="x14">
            <control shapeId="3114" r:id="rId14" name="Check Box 42">
              <controlPr locked="0" defaultSize="0" autoFill="0" autoLine="0" autoPict="0">
                <anchor moveWithCells="1">
                  <from>
                    <xdr:col>3</xdr:col>
                    <xdr:colOff>7620</xdr:colOff>
                    <xdr:row>71</xdr:row>
                    <xdr:rowOff>175260</xdr:rowOff>
                  </from>
                  <to>
                    <xdr:col>3</xdr:col>
                    <xdr:colOff>373380</xdr:colOff>
                    <xdr:row>73</xdr:row>
                    <xdr:rowOff>7620</xdr:rowOff>
                  </to>
                </anchor>
              </controlPr>
            </control>
          </mc:Choice>
        </mc:AlternateContent>
        <mc:AlternateContent xmlns:mc="http://schemas.openxmlformats.org/markup-compatibility/2006">
          <mc:Choice Requires="x14">
            <control shapeId="3115" r:id="rId15" name="Check Box 43">
              <controlPr locked="0" defaultSize="0" autoFill="0" autoLine="0" autoPict="0">
                <anchor moveWithCells="1">
                  <from>
                    <xdr:col>4</xdr:col>
                    <xdr:colOff>7620</xdr:colOff>
                    <xdr:row>71</xdr:row>
                    <xdr:rowOff>175260</xdr:rowOff>
                  </from>
                  <to>
                    <xdr:col>4</xdr:col>
                    <xdr:colOff>373380</xdr:colOff>
                    <xdr:row>73</xdr:row>
                    <xdr:rowOff>7620</xdr:rowOff>
                  </to>
                </anchor>
              </controlPr>
            </control>
          </mc:Choice>
        </mc:AlternateContent>
        <mc:AlternateContent xmlns:mc="http://schemas.openxmlformats.org/markup-compatibility/2006">
          <mc:Choice Requires="x14">
            <control shapeId="3116" r:id="rId16" name="Check Box 44">
              <controlPr locked="0" defaultSize="0" autoFill="0" autoLine="0" autoPict="0">
                <anchor moveWithCells="1">
                  <from>
                    <xdr:col>5</xdr:col>
                    <xdr:colOff>7620</xdr:colOff>
                    <xdr:row>71</xdr:row>
                    <xdr:rowOff>175260</xdr:rowOff>
                  </from>
                  <to>
                    <xdr:col>5</xdr:col>
                    <xdr:colOff>373380</xdr:colOff>
                    <xdr:row>73</xdr:row>
                    <xdr:rowOff>7620</xdr:rowOff>
                  </to>
                </anchor>
              </controlPr>
            </control>
          </mc:Choice>
        </mc:AlternateContent>
        <mc:AlternateContent xmlns:mc="http://schemas.openxmlformats.org/markup-compatibility/2006">
          <mc:Choice Requires="x14">
            <control shapeId="3117" r:id="rId17" name="Check Box 45">
              <controlPr locked="0" defaultSize="0" autoFill="0" autoLine="0" autoPict="0">
                <anchor moveWithCells="1">
                  <from>
                    <xdr:col>6</xdr:col>
                    <xdr:colOff>7620</xdr:colOff>
                    <xdr:row>71</xdr:row>
                    <xdr:rowOff>175260</xdr:rowOff>
                  </from>
                  <to>
                    <xdr:col>6</xdr:col>
                    <xdr:colOff>373380</xdr:colOff>
                    <xdr:row>73</xdr:row>
                    <xdr:rowOff>7620</xdr:rowOff>
                  </to>
                </anchor>
              </controlPr>
            </control>
          </mc:Choice>
        </mc:AlternateContent>
        <mc:AlternateContent xmlns:mc="http://schemas.openxmlformats.org/markup-compatibility/2006">
          <mc:Choice Requires="x14">
            <control shapeId="3118" r:id="rId18" name="Check Box 46">
              <controlPr locked="0" defaultSize="0" autoFill="0" autoLine="0" autoPict="0">
                <anchor moveWithCells="1">
                  <from>
                    <xdr:col>7</xdr:col>
                    <xdr:colOff>7620</xdr:colOff>
                    <xdr:row>71</xdr:row>
                    <xdr:rowOff>175260</xdr:rowOff>
                  </from>
                  <to>
                    <xdr:col>7</xdr:col>
                    <xdr:colOff>373380</xdr:colOff>
                    <xdr:row>73</xdr:row>
                    <xdr:rowOff>7620</xdr:rowOff>
                  </to>
                </anchor>
              </controlPr>
            </control>
          </mc:Choice>
        </mc:AlternateContent>
        <mc:AlternateContent xmlns:mc="http://schemas.openxmlformats.org/markup-compatibility/2006">
          <mc:Choice Requires="x14">
            <control shapeId="3119" r:id="rId19" name="Check Box 47">
              <controlPr locked="0" defaultSize="0" autoFill="0" autoLine="0" autoPict="0">
                <anchor moveWithCells="1">
                  <from>
                    <xdr:col>3</xdr:col>
                    <xdr:colOff>7620</xdr:colOff>
                    <xdr:row>73</xdr:row>
                    <xdr:rowOff>175260</xdr:rowOff>
                  </from>
                  <to>
                    <xdr:col>3</xdr:col>
                    <xdr:colOff>373380</xdr:colOff>
                    <xdr:row>75</xdr:row>
                    <xdr:rowOff>7620</xdr:rowOff>
                  </to>
                </anchor>
              </controlPr>
            </control>
          </mc:Choice>
        </mc:AlternateContent>
        <mc:AlternateContent xmlns:mc="http://schemas.openxmlformats.org/markup-compatibility/2006">
          <mc:Choice Requires="x14">
            <control shapeId="3120" r:id="rId20" name="Check Box 48">
              <controlPr locked="0" defaultSize="0" autoFill="0" autoLine="0" autoPict="0">
                <anchor moveWithCells="1">
                  <from>
                    <xdr:col>4</xdr:col>
                    <xdr:colOff>7620</xdr:colOff>
                    <xdr:row>73</xdr:row>
                    <xdr:rowOff>175260</xdr:rowOff>
                  </from>
                  <to>
                    <xdr:col>4</xdr:col>
                    <xdr:colOff>373380</xdr:colOff>
                    <xdr:row>75</xdr:row>
                    <xdr:rowOff>7620</xdr:rowOff>
                  </to>
                </anchor>
              </controlPr>
            </control>
          </mc:Choice>
        </mc:AlternateContent>
        <mc:AlternateContent xmlns:mc="http://schemas.openxmlformats.org/markup-compatibility/2006">
          <mc:Choice Requires="x14">
            <control shapeId="3121" r:id="rId21" name="Check Box 49">
              <controlPr locked="0" defaultSize="0" autoFill="0" autoLine="0" autoPict="0">
                <anchor moveWithCells="1">
                  <from>
                    <xdr:col>5</xdr:col>
                    <xdr:colOff>7620</xdr:colOff>
                    <xdr:row>73</xdr:row>
                    <xdr:rowOff>175260</xdr:rowOff>
                  </from>
                  <to>
                    <xdr:col>5</xdr:col>
                    <xdr:colOff>373380</xdr:colOff>
                    <xdr:row>75</xdr:row>
                    <xdr:rowOff>7620</xdr:rowOff>
                  </to>
                </anchor>
              </controlPr>
            </control>
          </mc:Choice>
        </mc:AlternateContent>
        <mc:AlternateContent xmlns:mc="http://schemas.openxmlformats.org/markup-compatibility/2006">
          <mc:Choice Requires="x14">
            <control shapeId="3122" r:id="rId22" name="Check Box 50">
              <controlPr locked="0" defaultSize="0" autoFill="0" autoLine="0" autoPict="0">
                <anchor moveWithCells="1">
                  <from>
                    <xdr:col>6</xdr:col>
                    <xdr:colOff>7620</xdr:colOff>
                    <xdr:row>73</xdr:row>
                    <xdr:rowOff>175260</xdr:rowOff>
                  </from>
                  <to>
                    <xdr:col>6</xdr:col>
                    <xdr:colOff>373380</xdr:colOff>
                    <xdr:row>75</xdr:row>
                    <xdr:rowOff>7620</xdr:rowOff>
                  </to>
                </anchor>
              </controlPr>
            </control>
          </mc:Choice>
        </mc:AlternateContent>
        <mc:AlternateContent xmlns:mc="http://schemas.openxmlformats.org/markup-compatibility/2006">
          <mc:Choice Requires="x14">
            <control shapeId="3123" r:id="rId23" name="Check Box 51">
              <controlPr locked="0" defaultSize="0" autoFill="0" autoLine="0" autoPict="0">
                <anchor moveWithCells="1">
                  <from>
                    <xdr:col>7</xdr:col>
                    <xdr:colOff>7620</xdr:colOff>
                    <xdr:row>73</xdr:row>
                    <xdr:rowOff>175260</xdr:rowOff>
                  </from>
                  <to>
                    <xdr:col>7</xdr:col>
                    <xdr:colOff>373380</xdr:colOff>
                    <xdr:row>75</xdr:row>
                    <xdr:rowOff>7620</xdr:rowOff>
                  </to>
                </anchor>
              </controlPr>
            </control>
          </mc:Choice>
        </mc:AlternateContent>
        <mc:AlternateContent xmlns:mc="http://schemas.openxmlformats.org/markup-compatibility/2006">
          <mc:Choice Requires="x14">
            <control shapeId="3129" r:id="rId24" name="Check Box 57">
              <controlPr locked="0" defaultSize="0" autoFill="0" autoLine="0" autoPict="0">
                <anchor moveWithCells="1">
                  <from>
                    <xdr:col>3</xdr:col>
                    <xdr:colOff>7620</xdr:colOff>
                    <xdr:row>77</xdr:row>
                    <xdr:rowOff>175260</xdr:rowOff>
                  </from>
                  <to>
                    <xdr:col>3</xdr:col>
                    <xdr:colOff>373380</xdr:colOff>
                    <xdr:row>79</xdr:row>
                    <xdr:rowOff>7620</xdr:rowOff>
                  </to>
                </anchor>
              </controlPr>
            </control>
          </mc:Choice>
        </mc:AlternateContent>
        <mc:AlternateContent xmlns:mc="http://schemas.openxmlformats.org/markup-compatibility/2006">
          <mc:Choice Requires="x14">
            <control shapeId="3130" r:id="rId25" name="Check Box 58">
              <controlPr locked="0" defaultSize="0" autoFill="0" autoLine="0" autoPict="0">
                <anchor moveWithCells="1">
                  <from>
                    <xdr:col>4</xdr:col>
                    <xdr:colOff>7620</xdr:colOff>
                    <xdr:row>77</xdr:row>
                    <xdr:rowOff>175260</xdr:rowOff>
                  </from>
                  <to>
                    <xdr:col>4</xdr:col>
                    <xdr:colOff>373380</xdr:colOff>
                    <xdr:row>79</xdr:row>
                    <xdr:rowOff>7620</xdr:rowOff>
                  </to>
                </anchor>
              </controlPr>
            </control>
          </mc:Choice>
        </mc:AlternateContent>
        <mc:AlternateContent xmlns:mc="http://schemas.openxmlformats.org/markup-compatibility/2006">
          <mc:Choice Requires="x14">
            <control shapeId="3131" r:id="rId26" name="Check Box 59">
              <controlPr locked="0" defaultSize="0" autoFill="0" autoLine="0" autoPict="0">
                <anchor moveWithCells="1">
                  <from>
                    <xdr:col>5</xdr:col>
                    <xdr:colOff>7620</xdr:colOff>
                    <xdr:row>77</xdr:row>
                    <xdr:rowOff>175260</xdr:rowOff>
                  </from>
                  <to>
                    <xdr:col>5</xdr:col>
                    <xdr:colOff>373380</xdr:colOff>
                    <xdr:row>79</xdr:row>
                    <xdr:rowOff>7620</xdr:rowOff>
                  </to>
                </anchor>
              </controlPr>
            </control>
          </mc:Choice>
        </mc:AlternateContent>
        <mc:AlternateContent xmlns:mc="http://schemas.openxmlformats.org/markup-compatibility/2006">
          <mc:Choice Requires="x14">
            <control shapeId="3132" r:id="rId27" name="Check Box 60">
              <controlPr locked="0" defaultSize="0" autoFill="0" autoLine="0" autoPict="0">
                <anchor moveWithCells="1">
                  <from>
                    <xdr:col>6</xdr:col>
                    <xdr:colOff>7620</xdr:colOff>
                    <xdr:row>77</xdr:row>
                    <xdr:rowOff>175260</xdr:rowOff>
                  </from>
                  <to>
                    <xdr:col>6</xdr:col>
                    <xdr:colOff>373380</xdr:colOff>
                    <xdr:row>79</xdr:row>
                    <xdr:rowOff>7620</xdr:rowOff>
                  </to>
                </anchor>
              </controlPr>
            </control>
          </mc:Choice>
        </mc:AlternateContent>
        <mc:AlternateContent xmlns:mc="http://schemas.openxmlformats.org/markup-compatibility/2006">
          <mc:Choice Requires="x14">
            <control shapeId="3133" r:id="rId28" name="Check Box 61">
              <controlPr locked="0" defaultSize="0" autoFill="0" autoLine="0" autoPict="0">
                <anchor moveWithCells="1">
                  <from>
                    <xdr:col>7</xdr:col>
                    <xdr:colOff>7620</xdr:colOff>
                    <xdr:row>77</xdr:row>
                    <xdr:rowOff>175260</xdr:rowOff>
                  </from>
                  <to>
                    <xdr:col>7</xdr:col>
                    <xdr:colOff>373380</xdr:colOff>
                    <xdr:row>79</xdr:row>
                    <xdr:rowOff>7620</xdr:rowOff>
                  </to>
                </anchor>
              </controlPr>
            </control>
          </mc:Choice>
        </mc:AlternateContent>
        <mc:AlternateContent xmlns:mc="http://schemas.openxmlformats.org/markup-compatibility/2006">
          <mc:Choice Requires="x14">
            <control shapeId="3091" r:id="rId29" name="Check Box 19">
              <controlPr locked="0" defaultSize="0" autoFill="0" autoLine="0" autoPict="0">
                <anchor moveWithCells="1">
                  <from>
                    <xdr:col>11</xdr:col>
                    <xdr:colOff>7620</xdr:colOff>
                    <xdr:row>54</xdr:row>
                    <xdr:rowOff>175260</xdr:rowOff>
                  </from>
                  <to>
                    <xdr:col>11</xdr:col>
                    <xdr:colOff>373380</xdr:colOff>
                    <xdr:row>56</xdr:row>
                    <xdr:rowOff>7620</xdr:rowOff>
                  </to>
                </anchor>
              </controlPr>
            </control>
          </mc:Choice>
        </mc:AlternateContent>
        <mc:AlternateContent xmlns:mc="http://schemas.openxmlformats.org/markup-compatibility/2006">
          <mc:Choice Requires="x14">
            <control shapeId="3092" r:id="rId30" name="Check Box 20">
              <controlPr locked="0" defaultSize="0" autoFill="0" autoLine="0" autoPict="0">
                <anchor moveWithCells="1">
                  <from>
                    <xdr:col>11</xdr:col>
                    <xdr:colOff>7620</xdr:colOff>
                    <xdr:row>58</xdr:row>
                    <xdr:rowOff>175260</xdr:rowOff>
                  </from>
                  <to>
                    <xdr:col>11</xdr:col>
                    <xdr:colOff>373380</xdr:colOff>
                    <xdr:row>60</xdr:row>
                    <xdr:rowOff>7620</xdr:rowOff>
                  </to>
                </anchor>
              </controlPr>
            </control>
          </mc:Choice>
        </mc:AlternateContent>
        <mc:AlternateContent xmlns:mc="http://schemas.openxmlformats.org/markup-compatibility/2006">
          <mc:Choice Requires="x14">
            <control shapeId="3094" r:id="rId31" name="Check Box 22">
              <controlPr locked="0" defaultSize="0" autoFill="0" autoLine="0" autoPict="0">
                <anchor moveWithCells="1">
                  <from>
                    <xdr:col>12</xdr:col>
                    <xdr:colOff>7620</xdr:colOff>
                    <xdr:row>54</xdr:row>
                    <xdr:rowOff>175260</xdr:rowOff>
                  </from>
                  <to>
                    <xdr:col>12</xdr:col>
                    <xdr:colOff>373380</xdr:colOff>
                    <xdr:row>56</xdr:row>
                    <xdr:rowOff>7620</xdr:rowOff>
                  </to>
                </anchor>
              </controlPr>
            </control>
          </mc:Choice>
        </mc:AlternateContent>
        <mc:AlternateContent xmlns:mc="http://schemas.openxmlformats.org/markup-compatibility/2006">
          <mc:Choice Requires="x14">
            <control shapeId="3095" r:id="rId32" name="Check Box 23">
              <controlPr locked="0" defaultSize="0" autoFill="0" autoLine="0" autoPict="0">
                <anchor moveWithCells="1">
                  <from>
                    <xdr:col>12</xdr:col>
                    <xdr:colOff>7620</xdr:colOff>
                    <xdr:row>58</xdr:row>
                    <xdr:rowOff>175260</xdr:rowOff>
                  </from>
                  <to>
                    <xdr:col>12</xdr:col>
                    <xdr:colOff>373380</xdr:colOff>
                    <xdr:row>60</xdr:row>
                    <xdr:rowOff>7620</xdr:rowOff>
                  </to>
                </anchor>
              </controlPr>
            </control>
          </mc:Choice>
        </mc:AlternateContent>
        <mc:AlternateContent xmlns:mc="http://schemas.openxmlformats.org/markup-compatibility/2006">
          <mc:Choice Requires="x14">
            <control shapeId="3098" r:id="rId33" name="Check Box 26">
              <controlPr locked="0" defaultSize="0" autoFill="0" autoLine="0" autoPict="0">
                <anchor moveWithCells="1">
                  <from>
                    <xdr:col>13</xdr:col>
                    <xdr:colOff>7620</xdr:colOff>
                    <xdr:row>54</xdr:row>
                    <xdr:rowOff>175260</xdr:rowOff>
                  </from>
                  <to>
                    <xdr:col>13</xdr:col>
                    <xdr:colOff>373380</xdr:colOff>
                    <xdr:row>56</xdr:row>
                    <xdr:rowOff>7620</xdr:rowOff>
                  </to>
                </anchor>
              </controlPr>
            </control>
          </mc:Choice>
        </mc:AlternateContent>
        <mc:AlternateContent xmlns:mc="http://schemas.openxmlformats.org/markup-compatibility/2006">
          <mc:Choice Requires="x14">
            <control shapeId="3099" r:id="rId34" name="Check Box 27">
              <controlPr locked="0" defaultSize="0" autoFill="0" autoLine="0" autoPict="0">
                <anchor moveWithCells="1">
                  <from>
                    <xdr:col>14</xdr:col>
                    <xdr:colOff>7620</xdr:colOff>
                    <xdr:row>54</xdr:row>
                    <xdr:rowOff>175260</xdr:rowOff>
                  </from>
                  <to>
                    <xdr:col>14</xdr:col>
                    <xdr:colOff>373380</xdr:colOff>
                    <xdr:row>56</xdr:row>
                    <xdr:rowOff>7620</xdr:rowOff>
                  </to>
                </anchor>
              </controlPr>
            </control>
          </mc:Choice>
        </mc:AlternateContent>
        <mc:AlternateContent xmlns:mc="http://schemas.openxmlformats.org/markup-compatibility/2006">
          <mc:Choice Requires="x14">
            <control shapeId="3100" r:id="rId35" name="Check Box 28">
              <controlPr locked="0" defaultSize="0" autoFill="0" autoLine="0" autoPict="0">
                <anchor moveWithCells="1">
                  <from>
                    <xdr:col>15</xdr:col>
                    <xdr:colOff>7620</xdr:colOff>
                    <xdr:row>54</xdr:row>
                    <xdr:rowOff>175260</xdr:rowOff>
                  </from>
                  <to>
                    <xdr:col>15</xdr:col>
                    <xdr:colOff>373380</xdr:colOff>
                    <xdr:row>56</xdr:row>
                    <xdr:rowOff>7620</xdr:rowOff>
                  </to>
                </anchor>
              </controlPr>
            </control>
          </mc:Choice>
        </mc:AlternateContent>
        <mc:AlternateContent xmlns:mc="http://schemas.openxmlformats.org/markup-compatibility/2006">
          <mc:Choice Requires="x14">
            <control shapeId="3101" r:id="rId36" name="Check Box 29">
              <controlPr locked="0" defaultSize="0" autoFill="0" autoLine="0" autoPict="0">
                <anchor moveWithCells="1">
                  <from>
                    <xdr:col>13</xdr:col>
                    <xdr:colOff>7620</xdr:colOff>
                    <xdr:row>58</xdr:row>
                    <xdr:rowOff>175260</xdr:rowOff>
                  </from>
                  <to>
                    <xdr:col>13</xdr:col>
                    <xdr:colOff>373380</xdr:colOff>
                    <xdr:row>60</xdr:row>
                    <xdr:rowOff>7620</xdr:rowOff>
                  </to>
                </anchor>
              </controlPr>
            </control>
          </mc:Choice>
        </mc:AlternateContent>
        <mc:AlternateContent xmlns:mc="http://schemas.openxmlformats.org/markup-compatibility/2006">
          <mc:Choice Requires="x14">
            <control shapeId="3102" r:id="rId37" name="Check Box 30">
              <controlPr locked="0" defaultSize="0" autoFill="0" autoLine="0" autoPict="0">
                <anchor moveWithCells="1">
                  <from>
                    <xdr:col>14</xdr:col>
                    <xdr:colOff>7620</xdr:colOff>
                    <xdr:row>58</xdr:row>
                    <xdr:rowOff>175260</xdr:rowOff>
                  </from>
                  <to>
                    <xdr:col>14</xdr:col>
                    <xdr:colOff>373380</xdr:colOff>
                    <xdr:row>60</xdr:row>
                    <xdr:rowOff>7620</xdr:rowOff>
                  </to>
                </anchor>
              </controlPr>
            </control>
          </mc:Choice>
        </mc:AlternateContent>
        <mc:AlternateContent xmlns:mc="http://schemas.openxmlformats.org/markup-compatibility/2006">
          <mc:Choice Requires="x14">
            <control shapeId="3103" r:id="rId38" name="Check Box 31">
              <controlPr locked="0" defaultSize="0" autoFill="0" autoLine="0" autoPict="0">
                <anchor moveWithCells="1">
                  <from>
                    <xdr:col>15</xdr:col>
                    <xdr:colOff>7620</xdr:colOff>
                    <xdr:row>58</xdr:row>
                    <xdr:rowOff>175260</xdr:rowOff>
                  </from>
                  <to>
                    <xdr:col>15</xdr:col>
                    <xdr:colOff>373380</xdr:colOff>
                    <xdr:row>60</xdr:row>
                    <xdr:rowOff>7620</xdr:rowOff>
                  </to>
                </anchor>
              </controlPr>
            </control>
          </mc:Choice>
        </mc:AlternateContent>
        <mc:AlternateContent xmlns:mc="http://schemas.openxmlformats.org/markup-compatibility/2006">
          <mc:Choice Requires="x14">
            <control shapeId="3089" r:id="rId39" name="Check Box 17">
              <controlPr locked="0" defaultSize="0" autoFill="0" autoLine="0" autoPict="0">
                <anchor moveWithCells="1">
                  <from>
                    <xdr:col>11</xdr:col>
                    <xdr:colOff>7620</xdr:colOff>
                    <xdr:row>50</xdr:row>
                    <xdr:rowOff>175260</xdr:rowOff>
                  </from>
                  <to>
                    <xdr:col>11</xdr:col>
                    <xdr:colOff>373380</xdr:colOff>
                    <xdr:row>52</xdr:row>
                    <xdr:rowOff>7620</xdr:rowOff>
                  </to>
                </anchor>
              </controlPr>
            </control>
          </mc:Choice>
        </mc:AlternateContent>
        <mc:AlternateContent xmlns:mc="http://schemas.openxmlformats.org/markup-compatibility/2006">
          <mc:Choice Requires="x14">
            <control shapeId="3090" r:id="rId40" name="Check Box 18">
              <controlPr locked="0" defaultSize="0" autoFill="0" autoLine="0" autoPict="0">
                <anchor moveWithCells="1">
                  <from>
                    <xdr:col>12</xdr:col>
                    <xdr:colOff>7620</xdr:colOff>
                    <xdr:row>50</xdr:row>
                    <xdr:rowOff>175260</xdr:rowOff>
                  </from>
                  <to>
                    <xdr:col>12</xdr:col>
                    <xdr:colOff>373380</xdr:colOff>
                    <xdr:row>52</xdr:row>
                    <xdr:rowOff>7620</xdr:rowOff>
                  </to>
                </anchor>
              </controlPr>
            </control>
          </mc:Choice>
        </mc:AlternateContent>
        <mc:AlternateContent xmlns:mc="http://schemas.openxmlformats.org/markup-compatibility/2006">
          <mc:Choice Requires="x14">
            <control shapeId="3093" r:id="rId41" name="Check Box 21">
              <controlPr locked="0" defaultSize="0" autoFill="0" autoLine="0" autoPict="0">
                <anchor moveWithCells="1">
                  <from>
                    <xdr:col>13</xdr:col>
                    <xdr:colOff>7620</xdr:colOff>
                    <xdr:row>50</xdr:row>
                    <xdr:rowOff>175260</xdr:rowOff>
                  </from>
                  <to>
                    <xdr:col>13</xdr:col>
                    <xdr:colOff>373380</xdr:colOff>
                    <xdr:row>52</xdr:row>
                    <xdr:rowOff>7620</xdr:rowOff>
                  </to>
                </anchor>
              </controlPr>
            </control>
          </mc:Choice>
        </mc:AlternateContent>
        <mc:AlternateContent xmlns:mc="http://schemas.openxmlformats.org/markup-compatibility/2006">
          <mc:Choice Requires="x14">
            <control shapeId="3096" r:id="rId42" name="Check Box 24">
              <controlPr locked="0" defaultSize="0" autoFill="0" autoLine="0" autoPict="0">
                <anchor moveWithCells="1">
                  <from>
                    <xdr:col>14</xdr:col>
                    <xdr:colOff>7620</xdr:colOff>
                    <xdr:row>50</xdr:row>
                    <xdr:rowOff>175260</xdr:rowOff>
                  </from>
                  <to>
                    <xdr:col>14</xdr:col>
                    <xdr:colOff>373380</xdr:colOff>
                    <xdr:row>52</xdr:row>
                    <xdr:rowOff>7620</xdr:rowOff>
                  </to>
                </anchor>
              </controlPr>
            </control>
          </mc:Choice>
        </mc:AlternateContent>
        <mc:AlternateContent xmlns:mc="http://schemas.openxmlformats.org/markup-compatibility/2006">
          <mc:Choice Requires="x14">
            <control shapeId="3097" r:id="rId43" name="Check Box 25">
              <controlPr locked="0" defaultSize="0" autoFill="0" autoLine="0" autoPict="0">
                <anchor moveWithCells="1">
                  <from>
                    <xdr:col>15</xdr:col>
                    <xdr:colOff>7620</xdr:colOff>
                    <xdr:row>50</xdr:row>
                    <xdr:rowOff>175260</xdr:rowOff>
                  </from>
                  <to>
                    <xdr:col>15</xdr:col>
                    <xdr:colOff>373380</xdr:colOff>
                    <xdr:row>52</xdr:row>
                    <xdr:rowOff>7620</xdr:rowOff>
                  </to>
                </anchor>
              </controlPr>
            </control>
          </mc:Choice>
        </mc:AlternateContent>
        <mc:AlternateContent xmlns:mc="http://schemas.openxmlformats.org/markup-compatibility/2006">
          <mc:Choice Requires="x14">
            <control shapeId="3138" r:id="rId44" name="Check Box 66">
              <controlPr locked="0" defaultSize="0" autoFill="0" autoLine="0" autoPict="0">
                <anchor moveWithCells="1">
                  <from>
                    <xdr:col>20</xdr:col>
                    <xdr:colOff>7620</xdr:colOff>
                    <xdr:row>49</xdr:row>
                    <xdr:rowOff>175260</xdr:rowOff>
                  </from>
                  <to>
                    <xdr:col>20</xdr:col>
                    <xdr:colOff>373380</xdr:colOff>
                    <xdr:row>51</xdr:row>
                    <xdr:rowOff>7620</xdr:rowOff>
                  </to>
                </anchor>
              </controlPr>
            </control>
          </mc:Choice>
        </mc:AlternateContent>
        <mc:AlternateContent xmlns:mc="http://schemas.openxmlformats.org/markup-compatibility/2006">
          <mc:Choice Requires="x14">
            <control shapeId="3139" r:id="rId45" name="Check Box 67">
              <controlPr locked="0" defaultSize="0" autoFill="0" autoLine="0" autoPict="0">
                <anchor moveWithCells="1">
                  <from>
                    <xdr:col>21</xdr:col>
                    <xdr:colOff>7620</xdr:colOff>
                    <xdr:row>49</xdr:row>
                    <xdr:rowOff>175260</xdr:rowOff>
                  </from>
                  <to>
                    <xdr:col>21</xdr:col>
                    <xdr:colOff>373380</xdr:colOff>
                    <xdr:row>51</xdr:row>
                    <xdr:rowOff>7620</xdr:rowOff>
                  </to>
                </anchor>
              </controlPr>
            </control>
          </mc:Choice>
        </mc:AlternateContent>
        <mc:AlternateContent xmlns:mc="http://schemas.openxmlformats.org/markup-compatibility/2006">
          <mc:Choice Requires="x14">
            <control shapeId="3140" r:id="rId46" name="Check Box 68">
              <controlPr locked="0" defaultSize="0" autoFill="0" autoLine="0" autoPict="0">
                <anchor moveWithCells="1">
                  <from>
                    <xdr:col>22</xdr:col>
                    <xdr:colOff>7620</xdr:colOff>
                    <xdr:row>49</xdr:row>
                    <xdr:rowOff>175260</xdr:rowOff>
                  </from>
                  <to>
                    <xdr:col>22</xdr:col>
                    <xdr:colOff>373380</xdr:colOff>
                    <xdr:row>51</xdr:row>
                    <xdr:rowOff>7620</xdr:rowOff>
                  </to>
                </anchor>
              </controlPr>
            </control>
          </mc:Choice>
        </mc:AlternateContent>
        <mc:AlternateContent xmlns:mc="http://schemas.openxmlformats.org/markup-compatibility/2006">
          <mc:Choice Requires="x14">
            <control shapeId="3141" r:id="rId47" name="Check Box 69">
              <controlPr locked="0" defaultSize="0" autoFill="0" autoLine="0" autoPict="0">
                <anchor moveWithCells="1">
                  <from>
                    <xdr:col>23</xdr:col>
                    <xdr:colOff>7620</xdr:colOff>
                    <xdr:row>49</xdr:row>
                    <xdr:rowOff>175260</xdr:rowOff>
                  </from>
                  <to>
                    <xdr:col>23</xdr:col>
                    <xdr:colOff>373380</xdr:colOff>
                    <xdr:row>51</xdr:row>
                    <xdr:rowOff>7620</xdr:rowOff>
                  </to>
                </anchor>
              </controlPr>
            </control>
          </mc:Choice>
        </mc:AlternateContent>
        <mc:AlternateContent xmlns:mc="http://schemas.openxmlformats.org/markup-compatibility/2006">
          <mc:Choice Requires="x14">
            <control shapeId="3074" r:id="rId48" name="Check Box 2">
              <controlPr locked="0" defaultSize="0" autoFill="0" autoLine="0" autoPict="0">
                <anchor moveWithCells="1">
                  <from>
                    <xdr:col>3</xdr:col>
                    <xdr:colOff>7620</xdr:colOff>
                    <xdr:row>50</xdr:row>
                    <xdr:rowOff>175260</xdr:rowOff>
                  </from>
                  <to>
                    <xdr:col>3</xdr:col>
                    <xdr:colOff>342900</xdr:colOff>
                    <xdr:row>52</xdr:row>
                    <xdr:rowOff>22860</xdr:rowOff>
                  </to>
                </anchor>
              </controlPr>
            </control>
          </mc:Choice>
        </mc:AlternateContent>
        <mc:AlternateContent xmlns:mc="http://schemas.openxmlformats.org/markup-compatibility/2006">
          <mc:Choice Requires="x14">
            <control shapeId="3075" r:id="rId49" name="Check Box 3">
              <controlPr locked="0" defaultSize="0" autoFill="0" autoLine="0" autoPict="0">
                <anchor moveWithCells="1">
                  <from>
                    <xdr:col>4</xdr:col>
                    <xdr:colOff>0</xdr:colOff>
                    <xdr:row>50</xdr:row>
                    <xdr:rowOff>152400</xdr:rowOff>
                  </from>
                  <to>
                    <xdr:col>4</xdr:col>
                    <xdr:colOff>266700</xdr:colOff>
                    <xdr:row>52</xdr:row>
                    <xdr:rowOff>30480</xdr:rowOff>
                  </to>
                </anchor>
              </controlPr>
            </control>
          </mc:Choice>
        </mc:AlternateContent>
        <mc:AlternateContent xmlns:mc="http://schemas.openxmlformats.org/markup-compatibility/2006">
          <mc:Choice Requires="x14">
            <control shapeId="3076" r:id="rId50" name="Check Box 4">
              <controlPr locked="0" defaultSize="0" autoFill="0" autoLine="0" autoPict="0">
                <anchor moveWithCells="1">
                  <from>
                    <xdr:col>5</xdr:col>
                    <xdr:colOff>0</xdr:colOff>
                    <xdr:row>51</xdr:row>
                    <xdr:rowOff>0</xdr:rowOff>
                  </from>
                  <to>
                    <xdr:col>5</xdr:col>
                    <xdr:colOff>327660</xdr:colOff>
                    <xdr:row>52</xdr:row>
                    <xdr:rowOff>0</xdr:rowOff>
                  </to>
                </anchor>
              </controlPr>
            </control>
          </mc:Choice>
        </mc:AlternateContent>
        <mc:AlternateContent xmlns:mc="http://schemas.openxmlformats.org/markup-compatibility/2006">
          <mc:Choice Requires="x14">
            <control shapeId="3077" r:id="rId51" name="Check Box 5">
              <controlPr locked="0" defaultSize="0" autoFill="0" autoLine="0" autoPict="0">
                <anchor moveWithCells="1">
                  <from>
                    <xdr:col>6</xdr:col>
                    <xdr:colOff>7620</xdr:colOff>
                    <xdr:row>50</xdr:row>
                    <xdr:rowOff>160020</xdr:rowOff>
                  </from>
                  <to>
                    <xdr:col>6</xdr:col>
                    <xdr:colOff>304800</xdr:colOff>
                    <xdr:row>52</xdr:row>
                    <xdr:rowOff>22860</xdr:rowOff>
                  </to>
                </anchor>
              </controlPr>
            </control>
          </mc:Choice>
        </mc:AlternateContent>
        <mc:AlternateContent xmlns:mc="http://schemas.openxmlformats.org/markup-compatibility/2006">
          <mc:Choice Requires="x14">
            <control shapeId="3078" r:id="rId52" name="Check Box 6">
              <controlPr locked="0" defaultSize="0" autoFill="0" autoLine="0" autoPict="0">
                <anchor moveWithCells="1">
                  <from>
                    <xdr:col>7</xdr:col>
                    <xdr:colOff>7620</xdr:colOff>
                    <xdr:row>51</xdr:row>
                    <xdr:rowOff>7620</xdr:rowOff>
                  </from>
                  <to>
                    <xdr:col>7</xdr:col>
                    <xdr:colOff>297180</xdr:colOff>
                    <xdr:row>51</xdr:row>
                    <xdr:rowOff>175260</xdr:rowOff>
                  </to>
                </anchor>
              </controlPr>
            </control>
          </mc:Choice>
        </mc:AlternateContent>
        <mc:AlternateContent xmlns:mc="http://schemas.openxmlformats.org/markup-compatibility/2006">
          <mc:Choice Requires="x14">
            <control shapeId="3079" r:id="rId53" name="Check Box 7">
              <controlPr locked="0" defaultSize="0" autoFill="0" autoLine="0" autoPict="0">
                <anchor moveWithCells="1">
                  <from>
                    <xdr:col>3</xdr:col>
                    <xdr:colOff>7620</xdr:colOff>
                    <xdr:row>54</xdr:row>
                    <xdr:rowOff>175260</xdr:rowOff>
                  </from>
                  <to>
                    <xdr:col>3</xdr:col>
                    <xdr:colOff>327660</xdr:colOff>
                    <xdr:row>56</xdr:row>
                    <xdr:rowOff>22860</xdr:rowOff>
                  </to>
                </anchor>
              </controlPr>
            </control>
          </mc:Choice>
        </mc:AlternateContent>
        <mc:AlternateContent xmlns:mc="http://schemas.openxmlformats.org/markup-compatibility/2006">
          <mc:Choice Requires="x14">
            <control shapeId="3080" r:id="rId54" name="Check Box 8">
              <controlPr locked="0" defaultSize="0" autoFill="0" autoLine="0" autoPict="0" altText="$10">
                <anchor moveWithCells="1">
                  <from>
                    <xdr:col>4</xdr:col>
                    <xdr:colOff>7620</xdr:colOff>
                    <xdr:row>54</xdr:row>
                    <xdr:rowOff>182880</xdr:rowOff>
                  </from>
                  <to>
                    <xdr:col>4</xdr:col>
                    <xdr:colOff>274320</xdr:colOff>
                    <xdr:row>56</xdr:row>
                    <xdr:rowOff>0</xdr:rowOff>
                  </to>
                </anchor>
              </controlPr>
            </control>
          </mc:Choice>
        </mc:AlternateContent>
        <mc:AlternateContent xmlns:mc="http://schemas.openxmlformats.org/markup-compatibility/2006">
          <mc:Choice Requires="x14">
            <control shapeId="3081" r:id="rId55" name="Check Box 9">
              <controlPr locked="0" defaultSize="0" autoFill="0" autoLine="0" autoPict="0">
                <anchor moveWithCells="1">
                  <from>
                    <xdr:col>5</xdr:col>
                    <xdr:colOff>7620</xdr:colOff>
                    <xdr:row>55</xdr:row>
                    <xdr:rowOff>0</xdr:rowOff>
                  </from>
                  <to>
                    <xdr:col>5</xdr:col>
                    <xdr:colOff>342900</xdr:colOff>
                    <xdr:row>55</xdr:row>
                    <xdr:rowOff>182880</xdr:rowOff>
                  </to>
                </anchor>
              </controlPr>
            </control>
          </mc:Choice>
        </mc:AlternateContent>
        <mc:AlternateContent xmlns:mc="http://schemas.openxmlformats.org/markup-compatibility/2006">
          <mc:Choice Requires="x14">
            <control shapeId="3082" r:id="rId56" name="Check Box 10">
              <controlPr locked="0" defaultSize="0" autoFill="0" autoLine="0" autoPict="0">
                <anchor moveWithCells="1">
                  <from>
                    <xdr:col>6</xdr:col>
                    <xdr:colOff>22860</xdr:colOff>
                    <xdr:row>55</xdr:row>
                    <xdr:rowOff>7620</xdr:rowOff>
                  </from>
                  <to>
                    <xdr:col>6</xdr:col>
                    <xdr:colOff>373380</xdr:colOff>
                    <xdr:row>55</xdr:row>
                    <xdr:rowOff>182880</xdr:rowOff>
                  </to>
                </anchor>
              </controlPr>
            </control>
          </mc:Choice>
        </mc:AlternateContent>
        <mc:AlternateContent xmlns:mc="http://schemas.openxmlformats.org/markup-compatibility/2006">
          <mc:Choice Requires="x14">
            <control shapeId="3083" r:id="rId57" name="Check Box 11">
              <controlPr locked="0" defaultSize="0" autoFill="0" autoLine="0" autoPict="0">
                <anchor moveWithCells="1">
                  <from>
                    <xdr:col>7</xdr:col>
                    <xdr:colOff>7620</xdr:colOff>
                    <xdr:row>54</xdr:row>
                    <xdr:rowOff>190500</xdr:rowOff>
                  </from>
                  <to>
                    <xdr:col>7</xdr:col>
                    <xdr:colOff>289560</xdr:colOff>
                    <xdr:row>55</xdr:row>
                    <xdr:rowOff>182880</xdr:rowOff>
                  </to>
                </anchor>
              </controlPr>
            </control>
          </mc:Choice>
        </mc:AlternateContent>
        <mc:AlternateContent xmlns:mc="http://schemas.openxmlformats.org/markup-compatibility/2006">
          <mc:Choice Requires="x14">
            <control shapeId="3084" r:id="rId58" name="Check Box 12">
              <controlPr locked="0" defaultSize="0" autoFill="0" autoLine="0" autoPict="0">
                <anchor moveWithCells="1">
                  <from>
                    <xdr:col>3</xdr:col>
                    <xdr:colOff>7620</xdr:colOff>
                    <xdr:row>61</xdr:row>
                    <xdr:rowOff>175260</xdr:rowOff>
                  </from>
                  <to>
                    <xdr:col>3</xdr:col>
                    <xdr:colOff>373380</xdr:colOff>
                    <xdr:row>63</xdr:row>
                    <xdr:rowOff>22860</xdr:rowOff>
                  </to>
                </anchor>
              </controlPr>
            </control>
          </mc:Choice>
        </mc:AlternateContent>
        <mc:AlternateContent xmlns:mc="http://schemas.openxmlformats.org/markup-compatibility/2006">
          <mc:Choice Requires="x14">
            <control shapeId="3085" r:id="rId59" name="Check Box 13">
              <controlPr locked="0" defaultSize="0" autoFill="0" autoLine="0" autoPict="0" altText="$10">
                <anchor moveWithCells="1">
                  <from>
                    <xdr:col>4</xdr:col>
                    <xdr:colOff>7620</xdr:colOff>
                    <xdr:row>61</xdr:row>
                    <xdr:rowOff>182880</xdr:rowOff>
                  </from>
                  <to>
                    <xdr:col>4</xdr:col>
                    <xdr:colOff>327660</xdr:colOff>
                    <xdr:row>63</xdr:row>
                    <xdr:rowOff>0</xdr:rowOff>
                  </to>
                </anchor>
              </controlPr>
            </control>
          </mc:Choice>
        </mc:AlternateContent>
        <mc:AlternateContent xmlns:mc="http://schemas.openxmlformats.org/markup-compatibility/2006">
          <mc:Choice Requires="x14">
            <control shapeId="3086" r:id="rId60" name="Check Box 14">
              <controlPr locked="0" defaultSize="0" autoFill="0" autoLine="0" autoPict="0">
                <anchor moveWithCells="1">
                  <from>
                    <xdr:col>5</xdr:col>
                    <xdr:colOff>7620</xdr:colOff>
                    <xdr:row>61</xdr:row>
                    <xdr:rowOff>190500</xdr:rowOff>
                  </from>
                  <to>
                    <xdr:col>5</xdr:col>
                    <xdr:colOff>350520</xdr:colOff>
                    <xdr:row>62</xdr:row>
                    <xdr:rowOff>182880</xdr:rowOff>
                  </to>
                </anchor>
              </controlPr>
            </control>
          </mc:Choice>
        </mc:AlternateContent>
        <mc:AlternateContent xmlns:mc="http://schemas.openxmlformats.org/markup-compatibility/2006">
          <mc:Choice Requires="x14">
            <control shapeId="3087" r:id="rId61" name="Check Box 15">
              <controlPr locked="0" defaultSize="0" autoFill="0" autoLine="0" autoPict="0">
                <anchor moveWithCells="1">
                  <from>
                    <xdr:col>6</xdr:col>
                    <xdr:colOff>7620</xdr:colOff>
                    <xdr:row>61</xdr:row>
                    <xdr:rowOff>182880</xdr:rowOff>
                  </from>
                  <to>
                    <xdr:col>6</xdr:col>
                    <xdr:colOff>312420</xdr:colOff>
                    <xdr:row>63</xdr:row>
                    <xdr:rowOff>0</xdr:rowOff>
                  </to>
                </anchor>
              </controlPr>
            </control>
          </mc:Choice>
        </mc:AlternateContent>
        <mc:AlternateContent xmlns:mc="http://schemas.openxmlformats.org/markup-compatibility/2006">
          <mc:Choice Requires="x14">
            <control shapeId="3088" r:id="rId62" name="Check Box 16">
              <controlPr locked="0" defaultSize="0" autoFill="0" autoLine="0" autoPict="0">
                <anchor moveWithCells="1">
                  <from>
                    <xdr:col>7</xdr:col>
                    <xdr:colOff>7620</xdr:colOff>
                    <xdr:row>61</xdr:row>
                    <xdr:rowOff>190500</xdr:rowOff>
                  </from>
                  <to>
                    <xdr:col>7</xdr:col>
                    <xdr:colOff>304800</xdr:colOff>
                    <xdr:row>62</xdr:row>
                    <xdr:rowOff>182880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ErrorMessage="1" xr:uid="{D8BF39CB-EA93-44E1-9414-0448B1DF10E8}">
          <x14:formula1>
            <xm:f>Lists!$A$323:$A$822</xm:f>
          </x14:formula1>
          <xm:sqref>Y44 Z45</xm:sqref>
        </x14:dataValidation>
        <x14:dataValidation type="list" allowBlank="1" showInputMessage="1" showErrorMessage="1" xr:uid="{A467FB4C-20B4-4D94-B9AF-1B2C078B39F6}">
          <x14:formula1>
            <xm:f>Lists!$C$323:$C$372</xm:f>
          </x14:formula1>
          <xm:sqref>Y46 Z47</xm:sqref>
        </x14:dataValidation>
        <x14:dataValidation type="list" allowBlank="1" showInputMessage="1" showErrorMessage="1" xr:uid="{1B1E20EB-7688-4EFD-97B1-4895561268A8}">
          <x14:formula1>
            <xm:f>'Charms Data'!$B$4:$B$19</xm:f>
          </x14:formula1>
          <xm:sqref>C16:E16 C18:E18 C26:E26 C28:E28 C36:E36 C38:E38 O38:Q38 O36:Q36 O28:Q28 O26:Q26 O18:Q18 O16:Q16</xm:sqref>
        </x14:dataValidation>
        <x14:dataValidation type="list" allowBlank="1" showInputMessage="1" showErrorMessage="1" xr:uid="{1BA763AB-95A0-4387-8286-E4506BC16162}">
          <x14:formula1>
            <xm:f>'New Chief Gear Data'!$D$4:$D$114</xm:f>
          </x14:formula1>
          <xm:sqref>B12:E12 B22:E22 B32:E32 O12:R12 O22:R22 O32:R32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B780-772C-4A42-9056-F3D403EDC68E}">
  <sheetPr codeName="Sheet18"/>
  <dimension ref="A1:Y125"/>
  <sheetViews>
    <sheetView zoomScaleNormal="100" workbookViewId="0">
      <pane xSplit="5" ySplit="3" topLeftCell="F58" activePane="bottomRight" state="frozen"/>
      <selection pane="topRight" activeCell="F1" sqref="F1"/>
      <selection pane="bottomLeft" activeCell="A4" sqref="A4"/>
      <selection pane="bottomRight" activeCell="P14" sqref="P14"/>
    </sheetView>
  </sheetViews>
  <sheetFormatPr baseColWidth="10" defaultColWidth="8.88671875" defaultRowHeight="14.4" x14ac:dyDescent="0.3"/>
  <cols>
    <col min="2" max="2" width="9.109375" style="9"/>
    <col min="10" max="12" width="10.109375" bestFit="1" customWidth="1"/>
    <col min="13" max="13" width="10.33203125" bestFit="1" customWidth="1"/>
  </cols>
  <sheetData>
    <row r="1" spans="1:12" x14ac:dyDescent="0.3">
      <c r="B1"/>
      <c r="D1" s="9"/>
    </row>
    <row r="2" spans="1:12" x14ac:dyDescent="0.3">
      <c r="B2"/>
      <c r="D2" s="9"/>
    </row>
    <row r="3" spans="1:12" x14ac:dyDescent="0.3">
      <c r="B3"/>
      <c r="D3" s="260" t="s">
        <v>806</v>
      </c>
      <c r="E3" s="262" t="s">
        <v>794</v>
      </c>
      <c r="F3" s="261" t="s">
        <v>252</v>
      </c>
      <c r="G3" s="262" t="s">
        <v>253</v>
      </c>
      <c r="H3" s="262" t="s">
        <v>254</v>
      </c>
      <c r="I3" s="262" t="s">
        <v>792</v>
      </c>
      <c r="J3" s="262" t="s">
        <v>79</v>
      </c>
      <c r="K3" s="262" t="s">
        <v>751</v>
      </c>
    </row>
    <row r="4" spans="1:12" x14ac:dyDescent="0.3">
      <c r="B4"/>
      <c r="D4" s="259" t="s">
        <v>374</v>
      </c>
      <c r="E4" s="81">
        <v>1</v>
      </c>
      <c r="F4" s="65">
        <v>0</v>
      </c>
      <c r="G4" s="80">
        <v>0</v>
      </c>
      <c r="H4" s="80">
        <v>0</v>
      </c>
      <c r="I4" s="80">
        <v>0</v>
      </c>
      <c r="J4" s="80">
        <v>0</v>
      </c>
      <c r="K4" s="66">
        <v>0</v>
      </c>
      <c r="L4" s="365" t="s">
        <v>374</v>
      </c>
    </row>
    <row r="5" spans="1:12" x14ac:dyDescent="0.3">
      <c r="A5" s="366"/>
      <c r="B5" t="s">
        <v>1048</v>
      </c>
      <c r="D5" s="9" t="s">
        <v>1048</v>
      </c>
      <c r="E5" s="82">
        <v>2</v>
      </c>
      <c r="F5" s="67">
        <v>1500</v>
      </c>
      <c r="G5" s="88">
        <v>15</v>
      </c>
      <c r="H5" s="88">
        <v>0</v>
      </c>
      <c r="I5" s="88">
        <v>0</v>
      </c>
      <c r="J5" s="88">
        <v>224400</v>
      </c>
      <c r="K5" s="68">
        <v>1125</v>
      </c>
      <c r="L5" s="8" t="s">
        <v>1048</v>
      </c>
    </row>
    <row r="6" spans="1:12" x14ac:dyDescent="0.3">
      <c r="A6" s="367"/>
      <c r="B6" t="s">
        <v>692</v>
      </c>
      <c r="D6" s="9" t="s">
        <v>1049</v>
      </c>
      <c r="E6" s="82">
        <v>3</v>
      </c>
      <c r="F6" s="67">
        <v>3800</v>
      </c>
      <c r="G6" s="88">
        <v>40</v>
      </c>
      <c r="H6" s="88">
        <v>0</v>
      </c>
      <c r="I6" s="88">
        <v>0</v>
      </c>
      <c r="J6" s="88">
        <v>306000</v>
      </c>
      <c r="K6" s="68">
        <v>1875</v>
      </c>
      <c r="L6" s="8" t="s">
        <v>1049</v>
      </c>
    </row>
    <row r="7" spans="1:12" x14ac:dyDescent="0.3">
      <c r="A7" s="368"/>
      <c r="B7" t="s">
        <v>691</v>
      </c>
      <c r="D7" s="9" t="s">
        <v>692</v>
      </c>
      <c r="E7" s="82">
        <v>4</v>
      </c>
      <c r="F7" s="67">
        <v>7000</v>
      </c>
      <c r="G7" s="88">
        <v>70</v>
      </c>
      <c r="H7" s="88">
        <v>0</v>
      </c>
      <c r="I7" s="88">
        <v>0</v>
      </c>
      <c r="J7" s="88">
        <v>408000</v>
      </c>
      <c r="K7" s="68">
        <v>3000</v>
      </c>
      <c r="L7" s="8" t="s">
        <v>692</v>
      </c>
    </row>
    <row r="8" spans="1:12" x14ac:dyDescent="0.3">
      <c r="A8" s="370"/>
      <c r="B8" t="s">
        <v>1060</v>
      </c>
      <c r="D8" s="9" t="s">
        <v>1050</v>
      </c>
      <c r="E8" s="82">
        <v>5</v>
      </c>
      <c r="F8" s="67">
        <v>9700</v>
      </c>
      <c r="G8" s="88">
        <v>95</v>
      </c>
      <c r="H8" s="88">
        <v>0</v>
      </c>
      <c r="I8" s="88">
        <v>0</v>
      </c>
      <c r="J8" s="88">
        <v>510000</v>
      </c>
      <c r="K8" s="68">
        <v>4500</v>
      </c>
      <c r="L8" s="8" t="s">
        <v>1050</v>
      </c>
    </row>
    <row r="9" spans="1:12" x14ac:dyDescent="0.3">
      <c r="A9" s="369"/>
      <c r="B9" t="s">
        <v>89</v>
      </c>
      <c r="D9" s="9" t="s">
        <v>1051</v>
      </c>
      <c r="E9" s="82">
        <v>6</v>
      </c>
      <c r="F9" s="67">
        <v>0</v>
      </c>
      <c r="G9" s="88">
        <v>0</v>
      </c>
      <c r="H9" s="88">
        <v>45</v>
      </c>
      <c r="I9" s="88">
        <v>0</v>
      </c>
      <c r="J9" s="88">
        <v>612000</v>
      </c>
      <c r="K9" s="68">
        <v>5100</v>
      </c>
      <c r="L9" s="8" t="s">
        <v>1051</v>
      </c>
    </row>
    <row r="10" spans="1:12" x14ac:dyDescent="0.3">
      <c r="B10"/>
      <c r="D10" s="9" t="s">
        <v>1052</v>
      </c>
      <c r="E10" s="82">
        <v>7</v>
      </c>
      <c r="F10" s="67">
        <v>0</v>
      </c>
      <c r="G10" s="88">
        <v>0</v>
      </c>
      <c r="H10" s="88">
        <v>50</v>
      </c>
      <c r="I10" s="88">
        <v>0</v>
      </c>
      <c r="J10" s="88">
        <v>714000</v>
      </c>
      <c r="K10" s="68">
        <v>5440</v>
      </c>
      <c r="L10" s="8" t="s">
        <v>1052</v>
      </c>
    </row>
    <row r="11" spans="1:12" x14ac:dyDescent="0.3">
      <c r="B11"/>
      <c r="D11" s="9" t="s">
        <v>691</v>
      </c>
      <c r="E11" s="82">
        <v>8</v>
      </c>
      <c r="F11" s="67">
        <v>0</v>
      </c>
      <c r="G11" s="88">
        <v>0</v>
      </c>
      <c r="H11" s="88">
        <v>60</v>
      </c>
      <c r="I11" s="88">
        <v>0</v>
      </c>
      <c r="J11" s="88">
        <v>816000</v>
      </c>
      <c r="K11" s="68">
        <v>3230</v>
      </c>
      <c r="L11" s="8" t="s">
        <v>691</v>
      </c>
    </row>
    <row r="12" spans="1:12" x14ac:dyDescent="0.3">
      <c r="B12"/>
      <c r="D12" s="9" t="s">
        <v>1053</v>
      </c>
      <c r="E12" s="82">
        <v>9</v>
      </c>
      <c r="F12" s="67">
        <v>0</v>
      </c>
      <c r="G12" s="88">
        <v>0</v>
      </c>
      <c r="H12" s="88">
        <v>70</v>
      </c>
      <c r="I12" s="88">
        <v>0</v>
      </c>
      <c r="J12" s="88">
        <v>885360</v>
      </c>
      <c r="K12" s="68">
        <v>3230</v>
      </c>
      <c r="L12" s="8" t="s">
        <v>1053</v>
      </c>
    </row>
    <row r="13" spans="1:12" x14ac:dyDescent="0.3">
      <c r="B13"/>
      <c r="D13" s="9" t="s">
        <v>1054</v>
      </c>
      <c r="E13" s="82">
        <v>10</v>
      </c>
      <c r="F13" s="67">
        <v>6500</v>
      </c>
      <c r="G13" s="88">
        <v>65</v>
      </c>
      <c r="H13" s="88">
        <v>40</v>
      </c>
      <c r="I13" s="88">
        <v>0</v>
      </c>
      <c r="J13" s="88">
        <v>954720</v>
      </c>
      <c r="K13" s="68">
        <v>3225</v>
      </c>
      <c r="L13" s="8" t="s">
        <v>1054</v>
      </c>
    </row>
    <row r="14" spans="1:12" x14ac:dyDescent="0.3">
      <c r="B14"/>
      <c r="D14" s="9" t="s">
        <v>1055</v>
      </c>
      <c r="E14" s="82">
        <v>11</v>
      </c>
      <c r="F14" s="67">
        <v>8000</v>
      </c>
      <c r="G14" s="88">
        <v>80</v>
      </c>
      <c r="H14" s="88">
        <v>50</v>
      </c>
      <c r="I14" s="88">
        <v>0</v>
      </c>
      <c r="J14" s="88">
        <v>1024080</v>
      </c>
      <c r="K14" s="68">
        <v>3225</v>
      </c>
      <c r="L14" s="8" t="s">
        <v>1055</v>
      </c>
    </row>
    <row r="15" spans="1:12" x14ac:dyDescent="0.3">
      <c r="B15"/>
      <c r="D15" s="9" t="s">
        <v>1056</v>
      </c>
      <c r="E15" s="82">
        <v>12</v>
      </c>
      <c r="F15" s="67">
        <v>10000</v>
      </c>
      <c r="G15" s="88">
        <v>95</v>
      </c>
      <c r="H15" s="88">
        <v>60</v>
      </c>
      <c r="I15" s="88">
        <v>0</v>
      </c>
      <c r="J15" s="88">
        <v>1093440</v>
      </c>
      <c r="K15" s="68">
        <v>3440</v>
      </c>
      <c r="L15" s="8" t="s">
        <v>1056</v>
      </c>
    </row>
    <row r="16" spans="1:12" x14ac:dyDescent="0.3">
      <c r="B16"/>
      <c r="D16" s="9" t="s">
        <v>1057</v>
      </c>
      <c r="E16" s="82">
        <v>13</v>
      </c>
      <c r="F16" s="67">
        <v>11000</v>
      </c>
      <c r="G16" s="88">
        <v>110</v>
      </c>
      <c r="H16" s="88">
        <v>70</v>
      </c>
      <c r="I16" s="88">
        <v>0</v>
      </c>
      <c r="J16" s="88">
        <v>1162800</v>
      </c>
      <c r="K16" s="68">
        <v>3440</v>
      </c>
      <c r="L16" s="8" t="s">
        <v>1057</v>
      </c>
    </row>
    <row r="17" spans="2:12" x14ac:dyDescent="0.3">
      <c r="B17"/>
      <c r="D17" s="9" t="s">
        <v>1059</v>
      </c>
      <c r="E17" s="82">
        <v>14</v>
      </c>
      <c r="F17" s="67">
        <v>13000</v>
      </c>
      <c r="G17" s="88">
        <v>130</v>
      </c>
      <c r="H17" s="88">
        <v>85</v>
      </c>
      <c r="I17" s="88">
        <v>0</v>
      </c>
      <c r="J17" s="88">
        <v>1232160</v>
      </c>
      <c r="K17" s="68">
        <v>4085</v>
      </c>
      <c r="L17" s="8" t="s">
        <v>1059</v>
      </c>
    </row>
    <row r="18" spans="2:12" x14ac:dyDescent="0.3">
      <c r="B18"/>
      <c r="D18" s="9" t="s">
        <v>1058</v>
      </c>
      <c r="E18" s="82">
        <v>15</v>
      </c>
      <c r="F18" s="67">
        <v>15000</v>
      </c>
      <c r="G18" s="88">
        <v>160</v>
      </c>
      <c r="H18" s="88">
        <v>100</v>
      </c>
      <c r="I18" s="88">
        <v>0</v>
      </c>
      <c r="J18" s="88">
        <v>1301520</v>
      </c>
      <c r="K18" s="68">
        <v>4085</v>
      </c>
      <c r="L18" s="8" t="s">
        <v>1058</v>
      </c>
    </row>
    <row r="19" spans="2:12" x14ac:dyDescent="0.3">
      <c r="B19"/>
      <c r="D19" s="9" t="s">
        <v>1060</v>
      </c>
      <c r="E19" s="82">
        <v>16</v>
      </c>
      <c r="F19" s="67">
        <v>22000</v>
      </c>
      <c r="G19" s="88">
        <v>220</v>
      </c>
      <c r="H19" s="88">
        <v>40</v>
      </c>
      <c r="I19" s="88">
        <v>0</v>
      </c>
      <c r="J19" s="88">
        <v>1362720</v>
      </c>
      <c r="K19" s="68">
        <v>6250</v>
      </c>
      <c r="L19" s="8" t="s">
        <v>1060</v>
      </c>
    </row>
    <row r="20" spans="2:12" x14ac:dyDescent="0.3">
      <c r="B20"/>
      <c r="D20" s="9" t="s">
        <v>1061</v>
      </c>
      <c r="E20" s="82">
        <v>17</v>
      </c>
      <c r="F20" s="67">
        <v>23000</v>
      </c>
      <c r="G20" s="88">
        <v>230</v>
      </c>
      <c r="H20" s="88">
        <v>40</v>
      </c>
      <c r="I20" s="88">
        <v>0</v>
      </c>
      <c r="J20" s="88">
        <v>1423920</v>
      </c>
      <c r="K20" s="68">
        <v>6250</v>
      </c>
      <c r="L20" s="8" t="s">
        <v>1061</v>
      </c>
    </row>
    <row r="21" spans="2:12" x14ac:dyDescent="0.3">
      <c r="B21"/>
      <c r="D21" s="9" t="s">
        <v>1062</v>
      </c>
      <c r="E21" s="82">
        <v>18</v>
      </c>
      <c r="F21" s="67">
        <v>25000</v>
      </c>
      <c r="G21" s="88">
        <v>250</v>
      </c>
      <c r="H21" s="88">
        <v>45</v>
      </c>
      <c r="I21" s="88">
        <v>0</v>
      </c>
      <c r="J21" s="88">
        <v>1485120</v>
      </c>
      <c r="K21" s="68">
        <v>6250</v>
      </c>
      <c r="L21" s="8" t="s">
        <v>1062</v>
      </c>
    </row>
    <row r="22" spans="2:12" x14ac:dyDescent="0.3">
      <c r="B22"/>
      <c r="D22" s="9" t="s">
        <v>1063</v>
      </c>
      <c r="E22" s="82">
        <v>19</v>
      </c>
      <c r="F22" s="67">
        <v>26000</v>
      </c>
      <c r="G22" s="88">
        <v>260</v>
      </c>
      <c r="H22" s="88">
        <v>45</v>
      </c>
      <c r="I22" s="88">
        <v>0</v>
      </c>
      <c r="J22" s="88">
        <v>1546320</v>
      </c>
      <c r="K22" s="68">
        <v>6250</v>
      </c>
      <c r="L22" s="8" t="s">
        <v>1063</v>
      </c>
    </row>
    <row r="23" spans="2:12" x14ac:dyDescent="0.3">
      <c r="B23"/>
      <c r="D23" s="9" t="s">
        <v>1067</v>
      </c>
      <c r="E23" s="82">
        <v>20</v>
      </c>
      <c r="F23" s="67">
        <v>28000</v>
      </c>
      <c r="G23" s="88">
        <v>280</v>
      </c>
      <c r="H23" s="88">
        <v>45</v>
      </c>
      <c r="I23" s="88">
        <v>0</v>
      </c>
      <c r="J23" s="88">
        <v>1607520</v>
      </c>
      <c r="K23" s="68">
        <v>6250</v>
      </c>
      <c r="L23" s="8" t="s">
        <v>1067</v>
      </c>
    </row>
    <row r="24" spans="2:12" x14ac:dyDescent="0.3">
      <c r="B24"/>
      <c r="D24" s="9" t="s">
        <v>1064</v>
      </c>
      <c r="E24" s="82">
        <v>21</v>
      </c>
      <c r="F24" s="67">
        <v>30000</v>
      </c>
      <c r="G24" s="88">
        <v>300</v>
      </c>
      <c r="H24" s="88">
        <v>55</v>
      </c>
      <c r="I24" s="88">
        <v>0</v>
      </c>
      <c r="J24" s="88">
        <v>1668720</v>
      </c>
      <c r="K24" s="68">
        <v>6250</v>
      </c>
      <c r="L24" s="8" t="s">
        <v>1064</v>
      </c>
    </row>
    <row r="25" spans="2:12" x14ac:dyDescent="0.3">
      <c r="B25"/>
      <c r="D25" s="9" t="s">
        <v>1066</v>
      </c>
      <c r="E25" s="82">
        <v>22</v>
      </c>
      <c r="F25" s="67">
        <v>32000</v>
      </c>
      <c r="G25" s="88">
        <v>320</v>
      </c>
      <c r="H25" s="88">
        <v>55</v>
      </c>
      <c r="I25" s="88">
        <v>0</v>
      </c>
      <c r="J25" s="88">
        <v>1729920</v>
      </c>
      <c r="K25" s="68">
        <v>6250</v>
      </c>
      <c r="L25" s="8" t="s">
        <v>1066</v>
      </c>
    </row>
    <row r="26" spans="2:12" x14ac:dyDescent="0.3">
      <c r="B26"/>
      <c r="D26" s="9" t="s">
        <v>1065</v>
      </c>
      <c r="E26" s="82">
        <v>23</v>
      </c>
      <c r="F26" s="67">
        <v>35000</v>
      </c>
      <c r="G26" s="88">
        <v>340</v>
      </c>
      <c r="H26" s="88">
        <v>55</v>
      </c>
      <c r="I26" s="88">
        <v>0</v>
      </c>
      <c r="J26" s="88">
        <v>1791120</v>
      </c>
      <c r="K26" s="68">
        <v>6250</v>
      </c>
      <c r="L26" s="8" t="s">
        <v>1065</v>
      </c>
    </row>
    <row r="27" spans="2:12" x14ac:dyDescent="0.3">
      <c r="B27"/>
      <c r="D27" s="9" t="s">
        <v>1068</v>
      </c>
      <c r="E27" s="82">
        <v>24</v>
      </c>
      <c r="F27" s="67">
        <v>38000</v>
      </c>
      <c r="G27" s="88">
        <v>390</v>
      </c>
      <c r="H27" s="88">
        <v>55</v>
      </c>
      <c r="I27" s="88">
        <v>0</v>
      </c>
      <c r="J27" s="88">
        <v>1852320</v>
      </c>
      <c r="K27" s="68">
        <v>6250</v>
      </c>
      <c r="L27" s="8" t="s">
        <v>1068</v>
      </c>
    </row>
    <row r="28" spans="2:12" x14ac:dyDescent="0.3">
      <c r="B28"/>
      <c r="D28" s="9" t="s">
        <v>1069</v>
      </c>
      <c r="E28" s="82">
        <v>25</v>
      </c>
      <c r="F28" s="67">
        <v>43000</v>
      </c>
      <c r="G28" s="88">
        <v>430</v>
      </c>
      <c r="H28" s="88">
        <v>75</v>
      </c>
      <c r="I28" s="88">
        <v>0</v>
      </c>
      <c r="J28" s="88">
        <v>1913520</v>
      </c>
      <c r="K28" s="68">
        <v>6250</v>
      </c>
      <c r="L28" s="8" t="s">
        <v>1069</v>
      </c>
    </row>
    <row r="29" spans="2:12" x14ac:dyDescent="0.3">
      <c r="B29"/>
      <c r="D29" s="9" t="s">
        <v>1070</v>
      </c>
      <c r="E29" s="82">
        <v>26</v>
      </c>
      <c r="F29" s="67">
        <v>45000</v>
      </c>
      <c r="G29" s="88">
        <v>460</v>
      </c>
      <c r="H29" s="88">
        <v>80</v>
      </c>
      <c r="I29" s="88">
        <v>0</v>
      </c>
      <c r="J29" s="88">
        <v>1974720</v>
      </c>
      <c r="K29" s="68">
        <v>6250</v>
      </c>
      <c r="L29" s="8" t="s">
        <v>1070</v>
      </c>
    </row>
    <row r="30" spans="2:12" x14ac:dyDescent="0.3">
      <c r="B30"/>
      <c r="D30" s="9" t="s">
        <v>1071</v>
      </c>
      <c r="E30" s="82">
        <v>27</v>
      </c>
      <c r="F30" s="67">
        <v>48000</v>
      </c>
      <c r="G30" s="88">
        <v>500</v>
      </c>
      <c r="H30" s="88">
        <v>85</v>
      </c>
      <c r="I30" s="88">
        <v>0</v>
      </c>
      <c r="J30" s="88">
        <v>2040000</v>
      </c>
      <c r="K30" s="68">
        <v>6250</v>
      </c>
      <c r="L30" s="8" t="s">
        <v>1071</v>
      </c>
    </row>
    <row r="31" spans="2:12" x14ac:dyDescent="0.3">
      <c r="B31"/>
      <c r="D31" s="9" t="s">
        <v>1072</v>
      </c>
      <c r="E31" s="82">
        <v>28</v>
      </c>
      <c r="F31" s="67">
        <v>12500</v>
      </c>
      <c r="G31" s="88">
        <v>132</v>
      </c>
      <c r="H31" s="88">
        <v>21</v>
      </c>
      <c r="I31" s="88">
        <v>2</v>
      </c>
      <c r="J31" s="88">
        <v>2065500</v>
      </c>
      <c r="K31" s="68">
        <v>2320</v>
      </c>
      <c r="L31" s="8" t="s">
        <v>1072</v>
      </c>
    </row>
    <row r="32" spans="2:12" x14ac:dyDescent="0.3">
      <c r="B32"/>
      <c r="D32" s="9" t="s">
        <v>1073</v>
      </c>
      <c r="E32" s="82">
        <v>29</v>
      </c>
      <c r="F32" s="67">
        <v>12500</v>
      </c>
      <c r="G32" s="88">
        <v>132</v>
      </c>
      <c r="H32" s="88">
        <v>21</v>
      </c>
      <c r="I32" s="88">
        <v>2</v>
      </c>
      <c r="J32" s="88">
        <f>J31+25500</f>
        <v>2091000</v>
      </c>
      <c r="K32" s="68">
        <v>2320</v>
      </c>
      <c r="L32" s="8" t="s">
        <v>1073</v>
      </c>
    </row>
    <row r="33" spans="2:12" x14ac:dyDescent="0.3">
      <c r="B33"/>
      <c r="D33" s="9" t="s">
        <v>1074</v>
      </c>
      <c r="E33" s="82">
        <v>30</v>
      </c>
      <c r="F33" s="67">
        <v>12500</v>
      </c>
      <c r="G33" s="88">
        <v>132</v>
      </c>
      <c r="H33" s="88">
        <v>21</v>
      </c>
      <c r="I33" s="88">
        <v>2</v>
      </c>
      <c r="J33" s="88">
        <f>J32+25500</f>
        <v>2116500</v>
      </c>
      <c r="K33" s="68">
        <v>2320</v>
      </c>
      <c r="L33" s="8" t="s">
        <v>1074</v>
      </c>
    </row>
    <row r="34" spans="2:12" x14ac:dyDescent="0.3">
      <c r="B34"/>
      <c r="D34" s="259" t="s">
        <v>89</v>
      </c>
      <c r="E34" s="82">
        <v>31</v>
      </c>
      <c r="F34" s="67">
        <v>12500</v>
      </c>
      <c r="G34" s="88">
        <v>134</v>
      </c>
      <c r="H34" s="88">
        <v>22</v>
      </c>
      <c r="I34" s="88">
        <v>4</v>
      </c>
      <c r="J34" s="88">
        <v>2142000</v>
      </c>
      <c r="K34" s="68">
        <v>2600</v>
      </c>
      <c r="L34" s="365" t="s">
        <v>89</v>
      </c>
    </row>
    <row r="35" spans="2:12" x14ac:dyDescent="0.3">
      <c r="B35"/>
      <c r="D35" s="259" t="s">
        <v>1075</v>
      </c>
      <c r="E35" s="82">
        <v>32</v>
      </c>
      <c r="F35" s="67">
        <v>13000</v>
      </c>
      <c r="G35" s="88">
        <v>140</v>
      </c>
      <c r="H35" s="88">
        <v>22</v>
      </c>
      <c r="I35" s="88">
        <v>2</v>
      </c>
      <c r="J35" s="88">
        <f>J34+25500</f>
        <v>2167500</v>
      </c>
      <c r="K35" s="68">
        <v>2320</v>
      </c>
      <c r="L35" s="365" t="s">
        <v>1075</v>
      </c>
    </row>
    <row r="36" spans="2:12" x14ac:dyDescent="0.3">
      <c r="B36"/>
      <c r="D36" s="259" t="s">
        <v>1076</v>
      </c>
      <c r="E36" s="82">
        <v>33</v>
      </c>
      <c r="F36" s="67">
        <v>13000</v>
      </c>
      <c r="G36" s="88">
        <v>140</v>
      </c>
      <c r="H36" s="88">
        <v>22</v>
      </c>
      <c r="I36" s="88">
        <v>2</v>
      </c>
      <c r="J36" s="88">
        <f t="shared" ref="J36:J37" si="0">J35+25500</f>
        <v>2193000</v>
      </c>
      <c r="K36" s="68">
        <v>2320</v>
      </c>
      <c r="L36" s="365" t="s">
        <v>1076</v>
      </c>
    </row>
    <row r="37" spans="2:12" x14ac:dyDescent="0.3">
      <c r="B37"/>
      <c r="D37" s="259" t="s">
        <v>1077</v>
      </c>
      <c r="E37" s="82">
        <v>34</v>
      </c>
      <c r="F37" s="67">
        <v>13000</v>
      </c>
      <c r="G37" s="88">
        <v>140</v>
      </c>
      <c r="H37" s="88">
        <v>22</v>
      </c>
      <c r="I37" s="88">
        <v>2</v>
      </c>
      <c r="J37" s="88">
        <f t="shared" si="0"/>
        <v>2218500</v>
      </c>
      <c r="K37" s="68">
        <v>2320</v>
      </c>
      <c r="L37" s="365" t="s">
        <v>1077</v>
      </c>
    </row>
    <row r="38" spans="2:12" x14ac:dyDescent="0.3">
      <c r="B38"/>
      <c r="D38" s="259" t="s">
        <v>1078</v>
      </c>
      <c r="E38" s="82">
        <v>35</v>
      </c>
      <c r="F38" s="67">
        <v>13000</v>
      </c>
      <c r="G38" s="88">
        <v>140</v>
      </c>
      <c r="H38" s="88">
        <v>24</v>
      </c>
      <c r="I38" s="88">
        <v>4</v>
      </c>
      <c r="J38" s="88">
        <v>2244000</v>
      </c>
      <c r="K38" s="68">
        <v>2600</v>
      </c>
      <c r="L38" s="365" t="s">
        <v>1078</v>
      </c>
    </row>
    <row r="39" spans="2:12" x14ac:dyDescent="0.3">
      <c r="B39"/>
      <c r="D39" s="259" t="s">
        <v>1080</v>
      </c>
      <c r="E39" s="82">
        <v>36</v>
      </c>
      <c r="F39" s="67">
        <v>13500</v>
      </c>
      <c r="G39" s="88">
        <v>147</v>
      </c>
      <c r="H39" s="88">
        <v>23</v>
      </c>
      <c r="I39" s="88">
        <v>2</v>
      </c>
      <c r="J39" s="88">
        <f>J38+25500</f>
        <v>2269500</v>
      </c>
      <c r="K39" s="68">
        <v>2310</v>
      </c>
      <c r="L39" s="365" t="s">
        <v>1080</v>
      </c>
    </row>
    <row r="40" spans="2:12" x14ac:dyDescent="0.3">
      <c r="B40"/>
      <c r="D40" s="259" t="s">
        <v>1079</v>
      </c>
      <c r="E40" s="82">
        <v>37</v>
      </c>
      <c r="F40" s="67">
        <v>13500</v>
      </c>
      <c r="G40" s="88">
        <v>147</v>
      </c>
      <c r="H40" s="88">
        <v>23</v>
      </c>
      <c r="I40" s="88">
        <v>2</v>
      </c>
      <c r="J40" s="88">
        <f t="shared" ref="J40:J41" si="1">J39+25500</f>
        <v>2295000</v>
      </c>
      <c r="K40" s="68">
        <v>2310</v>
      </c>
      <c r="L40" s="365" t="s">
        <v>1079</v>
      </c>
    </row>
    <row r="41" spans="2:12" x14ac:dyDescent="0.3">
      <c r="B41"/>
      <c r="D41" s="259" t="s">
        <v>1081</v>
      </c>
      <c r="E41" s="82">
        <v>38</v>
      </c>
      <c r="F41" s="67">
        <v>13500</v>
      </c>
      <c r="G41" s="88">
        <v>147</v>
      </c>
      <c r="H41" s="88">
        <v>23</v>
      </c>
      <c r="I41" s="88">
        <v>2</v>
      </c>
      <c r="J41" s="88">
        <f t="shared" si="1"/>
        <v>2320500</v>
      </c>
      <c r="K41" s="68">
        <v>2310</v>
      </c>
      <c r="L41" s="365" t="s">
        <v>1081</v>
      </c>
    </row>
    <row r="42" spans="2:12" x14ac:dyDescent="0.3">
      <c r="B42"/>
      <c r="D42" s="259" t="s">
        <v>1082</v>
      </c>
      <c r="E42" s="82">
        <v>39</v>
      </c>
      <c r="F42" s="67">
        <v>13500</v>
      </c>
      <c r="G42" s="88">
        <v>149</v>
      </c>
      <c r="H42" s="88">
        <v>26</v>
      </c>
      <c r="I42" s="88">
        <v>4</v>
      </c>
      <c r="J42" s="88">
        <v>2346000</v>
      </c>
      <c r="K42" s="68">
        <v>2630</v>
      </c>
      <c r="L42" s="365" t="s">
        <v>1082</v>
      </c>
    </row>
    <row r="43" spans="2:12" x14ac:dyDescent="0.3">
      <c r="B43"/>
      <c r="D43" s="259" t="s">
        <v>1083</v>
      </c>
      <c r="E43" s="82">
        <v>40</v>
      </c>
      <c r="F43" s="67">
        <v>14000</v>
      </c>
      <c r="G43" s="88">
        <v>155</v>
      </c>
      <c r="H43" s="88">
        <v>25</v>
      </c>
      <c r="I43" s="88">
        <v>2</v>
      </c>
      <c r="J43" s="88">
        <f>J42+25500</f>
        <v>2371500</v>
      </c>
      <c r="K43" s="68">
        <v>2330</v>
      </c>
      <c r="L43" s="365" t="s">
        <v>1083</v>
      </c>
    </row>
    <row r="44" spans="2:12" x14ac:dyDescent="0.3">
      <c r="B44"/>
      <c r="D44" s="259" t="s">
        <v>1084</v>
      </c>
      <c r="E44" s="82">
        <v>41</v>
      </c>
      <c r="F44" s="67">
        <v>14000</v>
      </c>
      <c r="G44" s="88">
        <v>155</v>
      </c>
      <c r="H44" s="88">
        <v>25</v>
      </c>
      <c r="I44" s="88">
        <v>2</v>
      </c>
      <c r="J44" s="88">
        <f t="shared" ref="J44:J45" si="2">J43+25500</f>
        <v>2397000</v>
      </c>
      <c r="K44" s="68">
        <v>2330</v>
      </c>
      <c r="L44" s="365" t="s">
        <v>1084</v>
      </c>
    </row>
    <row r="45" spans="2:12" x14ac:dyDescent="0.3">
      <c r="B45"/>
      <c r="D45" s="259" t="s">
        <v>1085</v>
      </c>
      <c r="E45" s="82">
        <v>42</v>
      </c>
      <c r="F45" s="67">
        <v>14000</v>
      </c>
      <c r="G45" s="88">
        <v>155</v>
      </c>
      <c r="H45" s="88">
        <v>25</v>
      </c>
      <c r="I45" s="88">
        <v>2</v>
      </c>
      <c r="J45" s="88">
        <f t="shared" si="2"/>
        <v>2422500</v>
      </c>
      <c r="K45" s="68">
        <v>2330</v>
      </c>
      <c r="L45" s="365" t="s">
        <v>1085</v>
      </c>
    </row>
    <row r="46" spans="2:12" x14ac:dyDescent="0.3">
      <c r="B46"/>
      <c r="D46" s="259" t="s">
        <v>1086</v>
      </c>
      <c r="E46" s="82">
        <v>43</v>
      </c>
      <c r="F46" s="67">
        <v>14000</v>
      </c>
      <c r="G46" s="88">
        <v>155</v>
      </c>
      <c r="H46" s="88">
        <v>25</v>
      </c>
      <c r="I46" s="88">
        <v>4</v>
      </c>
      <c r="J46" s="88">
        <v>2448000</v>
      </c>
      <c r="K46" s="68">
        <v>2570</v>
      </c>
      <c r="L46" s="365" t="s">
        <v>1086</v>
      </c>
    </row>
    <row r="47" spans="2:12" x14ac:dyDescent="0.3">
      <c r="B47"/>
      <c r="D47" s="259" t="s">
        <v>1087</v>
      </c>
      <c r="E47" s="82">
        <v>44</v>
      </c>
      <c r="F47" s="67">
        <v>14750</v>
      </c>
      <c r="G47" s="88">
        <v>167</v>
      </c>
      <c r="H47" s="88">
        <v>27</v>
      </c>
      <c r="I47" s="88">
        <v>3</v>
      </c>
      <c r="J47" s="88">
        <f>J46+25500</f>
        <v>2473500</v>
      </c>
      <c r="K47" s="68">
        <v>2300</v>
      </c>
      <c r="L47" s="365" t="s">
        <v>1087</v>
      </c>
    </row>
    <row r="48" spans="2:12" x14ac:dyDescent="0.3">
      <c r="B48"/>
      <c r="D48" s="259" t="s">
        <v>1088</v>
      </c>
      <c r="E48" s="82">
        <v>45</v>
      </c>
      <c r="F48" s="67">
        <v>14750</v>
      </c>
      <c r="G48" s="88">
        <v>167</v>
      </c>
      <c r="H48" s="88">
        <v>27</v>
      </c>
      <c r="I48" s="88">
        <v>3</v>
      </c>
      <c r="J48" s="88">
        <f t="shared" ref="J48:J49" si="3">J47+25500</f>
        <v>2499000</v>
      </c>
      <c r="K48" s="68">
        <v>2300</v>
      </c>
      <c r="L48" s="365" t="s">
        <v>1088</v>
      </c>
    </row>
    <row r="49" spans="2:12" x14ac:dyDescent="0.3">
      <c r="B49"/>
      <c r="D49" s="259" t="s">
        <v>1089</v>
      </c>
      <c r="E49" s="82">
        <v>46</v>
      </c>
      <c r="F49" s="67">
        <v>14750</v>
      </c>
      <c r="G49" s="88">
        <v>167</v>
      </c>
      <c r="H49" s="88">
        <v>27</v>
      </c>
      <c r="I49" s="88">
        <v>3</v>
      </c>
      <c r="J49" s="88">
        <f t="shared" si="3"/>
        <v>2524500</v>
      </c>
      <c r="K49" s="68">
        <v>2300</v>
      </c>
      <c r="L49" s="365" t="s">
        <v>1089</v>
      </c>
    </row>
    <row r="50" spans="2:12" x14ac:dyDescent="0.3">
      <c r="B50"/>
      <c r="D50" s="259" t="s">
        <v>90</v>
      </c>
      <c r="E50" s="82">
        <v>47</v>
      </c>
      <c r="F50" s="67">
        <v>14750</v>
      </c>
      <c r="G50" s="88">
        <v>169</v>
      </c>
      <c r="H50" s="88">
        <v>29</v>
      </c>
      <c r="I50" s="88">
        <v>6</v>
      </c>
      <c r="J50" s="88">
        <v>2550000</v>
      </c>
      <c r="K50" s="68">
        <v>2660</v>
      </c>
      <c r="L50" s="365" t="s">
        <v>90</v>
      </c>
    </row>
    <row r="51" spans="2:12" x14ac:dyDescent="0.3">
      <c r="B51"/>
      <c r="D51" s="259" t="s">
        <v>1090</v>
      </c>
      <c r="E51" s="82">
        <v>48</v>
      </c>
      <c r="F51" s="67">
        <v>15250</v>
      </c>
      <c r="G51" s="88">
        <v>175</v>
      </c>
      <c r="H51" s="88">
        <v>28</v>
      </c>
      <c r="I51" s="88">
        <v>3</v>
      </c>
      <c r="J51" s="88">
        <f>J50+25500</f>
        <v>2575500</v>
      </c>
      <c r="K51" s="68">
        <v>2300</v>
      </c>
      <c r="L51" s="365" t="s">
        <v>1090</v>
      </c>
    </row>
    <row r="52" spans="2:12" x14ac:dyDescent="0.3">
      <c r="B52"/>
      <c r="D52" s="259" t="s">
        <v>1091</v>
      </c>
      <c r="E52" s="82">
        <v>49</v>
      </c>
      <c r="F52" s="67">
        <v>15250</v>
      </c>
      <c r="G52" s="88">
        <v>175</v>
      </c>
      <c r="H52" s="88">
        <v>28</v>
      </c>
      <c r="I52" s="88">
        <v>3</v>
      </c>
      <c r="J52" s="88">
        <f t="shared" ref="J52:J53" si="4">J51+25500</f>
        <v>2601000</v>
      </c>
      <c r="K52" s="68">
        <v>2300</v>
      </c>
      <c r="L52" s="365" t="s">
        <v>1091</v>
      </c>
    </row>
    <row r="53" spans="2:12" x14ac:dyDescent="0.3">
      <c r="B53"/>
      <c r="D53" s="259" t="s">
        <v>1092</v>
      </c>
      <c r="E53" s="82">
        <v>50</v>
      </c>
      <c r="F53" s="67">
        <v>15250</v>
      </c>
      <c r="G53" s="88">
        <v>175</v>
      </c>
      <c r="H53" s="88">
        <v>28</v>
      </c>
      <c r="I53" s="88">
        <v>3</v>
      </c>
      <c r="J53" s="88">
        <f t="shared" si="4"/>
        <v>2626500</v>
      </c>
      <c r="K53" s="68">
        <v>2300</v>
      </c>
      <c r="L53" s="365" t="s">
        <v>1092</v>
      </c>
    </row>
    <row r="54" spans="2:12" x14ac:dyDescent="0.3">
      <c r="B54"/>
      <c r="D54" s="9" t="s">
        <v>1093</v>
      </c>
      <c r="E54" s="82">
        <v>51</v>
      </c>
      <c r="F54" s="67">
        <v>15250</v>
      </c>
      <c r="G54" s="88">
        <v>175</v>
      </c>
      <c r="H54" s="88">
        <v>31</v>
      </c>
      <c r="I54" s="88">
        <v>6</v>
      </c>
      <c r="J54" s="88">
        <v>2652000</v>
      </c>
      <c r="K54" s="68">
        <v>2660</v>
      </c>
      <c r="L54" s="8" t="s">
        <v>1093</v>
      </c>
    </row>
    <row r="55" spans="2:12" x14ac:dyDescent="0.3">
      <c r="B55"/>
      <c r="D55" s="9" t="s">
        <v>1094</v>
      </c>
      <c r="E55" s="82">
        <v>52</v>
      </c>
      <c r="F55" s="67">
        <v>15750</v>
      </c>
      <c r="G55" s="88">
        <v>182</v>
      </c>
      <c r="H55" s="88">
        <v>30</v>
      </c>
      <c r="I55" s="88">
        <v>3</v>
      </c>
      <c r="J55" s="88">
        <f>J54+25500</f>
        <v>2677500</v>
      </c>
      <c r="K55" s="68">
        <v>2320</v>
      </c>
      <c r="L55" s="8" t="s">
        <v>1094</v>
      </c>
    </row>
    <row r="56" spans="2:12" x14ac:dyDescent="0.3">
      <c r="B56"/>
      <c r="D56" s="9" t="s">
        <v>1095</v>
      </c>
      <c r="E56" s="82">
        <v>53</v>
      </c>
      <c r="F56" s="67">
        <v>15750</v>
      </c>
      <c r="G56" s="88">
        <v>182</v>
      </c>
      <c r="H56" s="88">
        <v>30</v>
      </c>
      <c r="I56" s="88">
        <v>3</v>
      </c>
      <c r="J56" s="88">
        <f t="shared" ref="J56:J57" si="5">J55+25500</f>
        <v>2703000</v>
      </c>
      <c r="K56" s="68">
        <v>2320</v>
      </c>
      <c r="L56" s="8" t="s">
        <v>1095</v>
      </c>
    </row>
    <row r="57" spans="2:12" x14ac:dyDescent="0.3">
      <c r="B57"/>
      <c r="D57" s="9" t="s">
        <v>1096</v>
      </c>
      <c r="E57" s="82">
        <v>54</v>
      </c>
      <c r="F57" s="67">
        <v>15750</v>
      </c>
      <c r="G57" s="88">
        <v>182</v>
      </c>
      <c r="H57" s="88">
        <v>30</v>
      </c>
      <c r="I57" s="88">
        <v>3</v>
      </c>
      <c r="J57" s="88">
        <f t="shared" si="5"/>
        <v>2728500</v>
      </c>
      <c r="K57" s="68">
        <v>2320</v>
      </c>
      <c r="L57" s="8" t="s">
        <v>1096</v>
      </c>
    </row>
    <row r="58" spans="2:12" x14ac:dyDescent="0.3">
      <c r="B58"/>
      <c r="D58" s="9" t="s">
        <v>1097</v>
      </c>
      <c r="E58" s="82">
        <v>55</v>
      </c>
      <c r="F58" s="67">
        <v>15750</v>
      </c>
      <c r="G58" s="88">
        <v>184</v>
      </c>
      <c r="H58" s="88">
        <v>30</v>
      </c>
      <c r="I58" s="88">
        <v>6</v>
      </c>
      <c r="J58" s="88">
        <v>2754000</v>
      </c>
      <c r="K58" s="68">
        <v>2600</v>
      </c>
      <c r="L58" s="8" t="s">
        <v>1097</v>
      </c>
    </row>
    <row r="59" spans="2:12" x14ac:dyDescent="0.3">
      <c r="B59"/>
      <c r="D59" s="9" t="s">
        <v>1098</v>
      </c>
      <c r="E59" s="82">
        <v>56</v>
      </c>
      <c r="F59" s="67">
        <v>16250</v>
      </c>
      <c r="G59" s="88">
        <v>190</v>
      </c>
      <c r="H59" s="88">
        <v>31</v>
      </c>
      <c r="I59" s="88">
        <v>3</v>
      </c>
      <c r="J59" s="88">
        <f>J58+25500</f>
        <v>2779500</v>
      </c>
      <c r="K59" s="68">
        <v>2320</v>
      </c>
      <c r="L59" s="8" t="s">
        <v>1098</v>
      </c>
    </row>
    <row r="60" spans="2:12" x14ac:dyDescent="0.3">
      <c r="B60"/>
      <c r="D60" s="9" t="s">
        <v>1099</v>
      </c>
      <c r="E60" s="82">
        <v>57</v>
      </c>
      <c r="F60" s="67">
        <v>16250</v>
      </c>
      <c r="G60" s="88">
        <v>190</v>
      </c>
      <c r="H60" s="88">
        <v>31</v>
      </c>
      <c r="I60" s="88">
        <v>3</v>
      </c>
      <c r="J60" s="88">
        <f t="shared" ref="J60:J61" si="6">J59+25500</f>
        <v>2805000</v>
      </c>
      <c r="K60" s="68">
        <v>2320</v>
      </c>
      <c r="L60" s="8" t="s">
        <v>1099</v>
      </c>
    </row>
    <row r="61" spans="2:12" x14ac:dyDescent="0.3">
      <c r="B61"/>
      <c r="D61" s="9" t="s">
        <v>1100</v>
      </c>
      <c r="E61" s="82">
        <v>58</v>
      </c>
      <c r="F61" s="67">
        <v>16250</v>
      </c>
      <c r="G61" s="88">
        <v>190</v>
      </c>
      <c r="H61" s="88">
        <v>31</v>
      </c>
      <c r="I61" s="88">
        <v>3</v>
      </c>
      <c r="J61" s="88">
        <f t="shared" si="6"/>
        <v>2830500</v>
      </c>
      <c r="K61" s="68">
        <v>2320</v>
      </c>
      <c r="L61" s="8" t="s">
        <v>1100</v>
      </c>
    </row>
    <row r="62" spans="2:12" x14ac:dyDescent="0.3">
      <c r="B62"/>
      <c r="D62" s="9" t="s">
        <v>1101</v>
      </c>
      <c r="E62" s="82">
        <v>59</v>
      </c>
      <c r="F62" s="67">
        <v>16250</v>
      </c>
      <c r="G62" s="88">
        <v>190</v>
      </c>
      <c r="H62" s="88">
        <v>32</v>
      </c>
      <c r="I62" s="88">
        <v>6</v>
      </c>
      <c r="J62" s="88">
        <v>2856000</v>
      </c>
      <c r="K62" s="68">
        <v>2600</v>
      </c>
      <c r="L62" s="8" t="s">
        <v>1101</v>
      </c>
    </row>
    <row r="63" spans="2:12" x14ac:dyDescent="0.3">
      <c r="B63"/>
      <c r="D63" s="9" t="s">
        <v>1102</v>
      </c>
      <c r="E63" s="82">
        <v>60</v>
      </c>
      <c r="F63" s="67">
        <v>17000</v>
      </c>
      <c r="G63" s="88">
        <v>202</v>
      </c>
      <c r="H63" s="88">
        <v>33</v>
      </c>
      <c r="I63" s="88">
        <v>5</v>
      </c>
      <c r="J63" s="88">
        <f>J62+25500</f>
        <v>2881500</v>
      </c>
      <c r="K63" s="68">
        <v>2370</v>
      </c>
      <c r="L63" s="8" t="s">
        <v>1102</v>
      </c>
    </row>
    <row r="64" spans="2:12" x14ac:dyDescent="0.3">
      <c r="B64"/>
      <c r="D64" s="9" t="s">
        <v>1103</v>
      </c>
      <c r="E64" s="82">
        <v>61</v>
      </c>
      <c r="F64" s="67">
        <v>17000</v>
      </c>
      <c r="G64" s="88">
        <v>202</v>
      </c>
      <c r="H64" s="88">
        <v>33</v>
      </c>
      <c r="I64" s="88">
        <v>5</v>
      </c>
      <c r="J64" s="88">
        <f t="shared" ref="J64:J65" si="7">J63+25500</f>
        <v>2907000</v>
      </c>
      <c r="K64" s="68">
        <v>2370</v>
      </c>
      <c r="L64" s="8" t="s">
        <v>1103</v>
      </c>
    </row>
    <row r="65" spans="2:12" x14ac:dyDescent="0.3">
      <c r="B65"/>
      <c r="D65" s="9" t="s">
        <v>1104</v>
      </c>
      <c r="E65" s="82">
        <v>62</v>
      </c>
      <c r="F65" s="67">
        <v>17000</v>
      </c>
      <c r="G65" s="88">
        <v>202</v>
      </c>
      <c r="H65" s="88">
        <v>33</v>
      </c>
      <c r="I65" s="88">
        <v>5</v>
      </c>
      <c r="J65" s="88">
        <f t="shared" si="7"/>
        <v>2932500</v>
      </c>
      <c r="K65" s="68">
        <v>2370</v>
      </c>
      <c r="L65" s="8" t="s">
        <v>1104</v>
      </c>
    </row>
    <row r="66" spans="2:12" x14ac:dyDescent="0.3">
      <c r="B66"/>
      <c r="D66" s="9" t="s">
        <v>91</v>
      </c>
      <c r="E66" s="82">
        <v>63</v>
      </c>
      <c r="F66" s="67">
        <v>17000</v>
      </c>
      <c r="G66" s="88">
        <v>204</v>
      </c>
      <c r="H66" s="88">
        <v>36</v>
      </c>
      <c r="I66" s="88">
        <v>5</v>
      </c>
      <c r="J66" s="88">
        <v>2958000</v>
      </c>
      <c r="K66" s="68">
        <v>2450</v>
      </c>
      <c r="L66" s="8" t="s">
        <v>91</v>
      </c>
    </row>
    <row r="67" spans="2:12" x14ac:dyDescent="0.3">
      <c r="B67"/>
      <c r="D67" s="9" t="s">
        <v>1105</v>
      </c>
      <c r="E67" s="82">
        <v>64</v>
      </c>
      <c r="F67" s="67">
        <v>17500</v>
      </c>
      <c r="G67" s="88">
        <v>210</v>
      </c>
      <c r="H67" s="88">
        <v>35</v>
      </c>
      <c r="I67" s="88">
        <v>5</v>
      </c>
      <c r="J67" s="88">
        <f>J66+25500</f>
        <v>2983500</v>
      </c>
      <c r="K67" s="68">
        <v>2390</v>
      </c>
      <c r="L67" s="8" t="s">
        <v>1105</v>
      </c>
    </row>
    <row r="68" spans="2:12" x14ac:dyDescent="0.3">
      <c r="B68"/>
      <c r="D68" s="9" t="s">
        <v>1106</v>
      </c>
      <c r="E68" s="82">
        <v>65</v>
      </c>
      <c r="F68" s="67">
        <v>17500</v>
      </c>
      <c r="G68" s="88">
        <v>210</v>
      </c>
      <c r="H68" s="88">
        <v>35</v>
      </c>
      <c r="I68" s="88">
        <v>5</v>
      </c>
      <c r="J68" s="88">
        <f t="shared" ref="J68:J69" si="8">J67+25500</f>
        <v>3009000</v>
      </c>
      <c r="K68" s="68">
        <v>2390</v>
      </c>
      <c r="L68" s="8" t="s">
        <v>1106</v>
      </c>
    </row>
    <row r="69" spans="2:12" x14ac:dyDescent="0.3">
      <c r="B69"/>
      <c r="D69" s="9" t="s">
        <v>1107</v>
      </c>
      <c r="E69" s="82">
        <v>66</v>
      </c>
      <c r="F69" s="67">
        <v>17500</v>
      </c>
      <c r="G69" s="88">
        <v>210</v>
      </c>
      <c r="H69" s="88">
        <v>35</v>
      </c>
      <c r="I69" s="88">
        <v>5</v>
      </c>
      <c r="J69" s="88">
        <f t="shared" si="8"/>
        <v>3034500</v>
      </c>
      <c r="K69" s="68">
        <v>2390</v>
      </c>
      <c r="L69" s="8" t="s">
        <v>1107</v>
      </c>
    </row>
    <row r="70" spans="2:12" x14ac:dyDescent="0.3">
      <c r="B70"/>
      <c r="D70" s="9" t="s">
        <v>1108</v>
      </c>
      <c r="E70" s="82">
        <v>67</v>
      </c>
      <c r="F70" s="67">
        <v>17500</v>
      </c>
      <c r="G70" s="88">
        <v>210</v>
      </c>
      <c r="H70" s="88">
        <v>35</v>
      </c>
      <c r="I70" s="88">
        <v>5</v>
      </c>
      <c r="J70" s="88">
        <v>3060000</v>
      </c>
      <c r="K70" s="68">
        <v>2390</v>
      </c>
      <c r="L70" s="8" t="s">
        <v>1108</v>
      </c>
    </row>
    <row r="71" spans="2:12" x14ac:dyDescent="0.3">
      <c r="B71"/>
      <c r="D71" s="9" t="s">
        <v>1109</v>
      </c>
      <c r="E71" s="82">
        <v>68</v>
      </c>
      <c r="F71" s="67">
        <v>18000</v>
      </c>
      <c r="G71" s="88">
        <v>217</v>
      </c>
      <c r="H71" s="88">
        <v>36</v>
      </c>
      <c r="I71" s="88">
        <v>5</v>
      </c>
      <c r="J71" s="88">
        <f>J70+25500</f>
        <v>3085500</v>
      </c>
      <c r="K71" s="68">
        <v>2380</v>
      </c>
      <c r="L71" s="8" t="s">
        <v>1109</v>
      </c>
    </row>
    <row r="72" spans="2:12" x14ac:dyDescent="0.3">
      <c r="B72"/>
      <c r="D72" s="9" t="s">
        <v>1110</v>
      </c>
      <c r="E72" s="82">
        <v>69</v>
      </c>
      <c r="F72" s="67">
        <v>18000</v>
      </c>
      <c r="G72" s="88">
        <v>217</v>
      </c>
      <c r="H72" s="88">
        <v>36</v>
      </c>
      <c r="I72" s="88">
        <v>5</v>
      </c>
      <c r="J72" s="88">
        <f t="shared" ref="J72:J73" si="9">J71+25500</f>
        <v>3111000</v>
      </c>
      <c r="K72" s="68">
        <v>2380</v>
      </c>
      <c r="L72" s="8" t="s">
        <v>1110</v>
      </c>
    </row>
    <row r="73" spans="2:12" x14ac:dyDescent="0.3">
      <c r="B73"/>
      <c r="D73" s="9" t="s">
        <v>1111</v>
      </c>
      <c r="E73" s="82">
        <v>70</v>
      </c>
      <c r="F73" s="67">
        <v>18000</v>
      </c>
      <c r="G73" s="88">
        <v>217</v>
      </c>
      <c r="H73" s="88">
        <v>36</v>
      </c>
      <c r="I73" s="88">
        <v>5</v>
      </c>
      <c r="J73" s="88">
        <f t="shared" si="9"/>
        <v>3136500</v>
      </c>
      <c r="K73" s="68">
        <v>2380</v>
      </c>
      <c r="L73" s="8" t="s">
        <v>1111</v>
      </c>
    </row>
    <row r="74" spans="2:12" x14ac:dyDescent="0.3">
      <c r="B74"/>
      <c r="D74" s="9" t="s">
        <v>1112</v>
      </c>
      <c r="E74" s="82">
        <v>71</v>
      </c>
      <c r="F74" s="67">
        <v>18000</v>
      </c>
      <c r="G74" s="88">
        <v>219</v>
      </c>
      <c r="H74" s="88">
        <v>37</v>
      </c>
      <c r="I74" s="88">
        <v>5</v>
      </c>
      <c r="J74" s="88">
        <v>3162000</v>
      </c>
      <c r="K74" s="68">
        <v>2420</v>
      </c>
      <c r="L74" s="8" t="s">
        <v>1112</v>
      </c>
    </row>
    <row r="75" spans="2:12" x14ac:dyDescent="0.3">
      <c r="B75"/>
      <c r="D75" s="9" t="s">
        <v>1113</v>
      </c>
      <c r="E75" s="82">
        <v>72</v>
      </c>
      <c r="F75" s="67">
        <v>18500</v>
      </c>
      <c r="G75" s="88">
        <v>225</v>
      </c>
      <c r="H75" s="88">
        <v>37</v>
      </c>
      <c r="I75" s="88">
        <v>5</v>
      </c>
      <c r="J75" s="88">
        <f>J74+25500</f>
        <v>3187500</v>
      </c>
      <c r="K75" s="68">
        <v>2380</v>
      </c>
      <c r="L75" s="8" t="s">
        <v>1113</v>
      </c>
    </row>
    <row r="76" spans="2:12" x14ac:dyDescent="0.3">
      <c r="B76"/>
      <c r="D76" s="9" t="s">
        <v>1114</v>
      </c>
      <c r="E76" s="82">
        <v>73</v>
      </c>
      <c r="F76" s="67">
        <v>18500</v>
      </c>
      <c r="G76" s="88">
        <v>225</v>
      </c>
      <c r="H76" s="88">
        <v>37</v>
      </c>
      <c r="I76" s="88">
        <v>5</v>
      </c>
      <c r="J76" s="88">
        <f t="shared" ref="J76:J77" si="10">J75+25500</f>
        <v>3213000</v>
      </c>
      <c r="K76" s="68">
        <v>2380</v>
      </c>
      <c r="L76" s="8" t="s">
        <v>1114</v>
      </c>
    </row>
    <row r="77" spans="2:12" x14ac:dyDescent="0.3">
      <c r="B77"/>
      <c r="D77" s="9" t="s">
        <v>1115</v>
      </c>
      <c r="E77" s="82">
        <v>74</v>
      </c>
      <c r="F77" s="67">
        <v>18500</v>
      </c>
      <c r="G77" s="88">
        <v>225</v>
      </c>
      <c r="H77" s="88">
        <v>37</v>
      </c>
      <c r="I77" s="88">
        <v>5</v>
      </c>
      <c r="J77" s="88">
        <f t="shared" si="10"/>
        <v>3238500</v>
      </c>
      <c r="K77" s="68">
        <v>2380</v>
      </c>
      <c r="L77" s="8" t="s">
        <v>1115</v>
      </c>
    </row>
    <row r="78" spans="2:12" x14ac:dyDescent="0.3">
      <c r="B78"/>
      <c r="D78" s="9" t="s">
        <v>1116</v>
      </c>
      <c r="E78" s="82">
        <v>75</v>
      </c>
      <c r="F78" s="67">
        <v>18500</v>
      </c>
      <c r="G78" s="88">
        <v>225</v>
      </c>
      <c r="H78" s="88">
        <v>39</v>
      </c>
      <c r="I78" s="88">
        <v>5</v>
      </c>
      <c r="J78" s="88">
        <v>3264000</v>
      </c>
      <c r="K78" s="68">
        <v>2420</v>
      </c>
      <c r="L78" s="8" t="s">
        <v>1116</v>
      </c>
    </row>
    <row r="79" spans="2:12" x14ac:dyDescent="0.3">
      <c r="B79"/>
      <c r="D79" s="9" t="s">
        <v>1117</v>
      </c>
      <c r="E79" s="82">
        <v>76</v>
      </c>
      <c r="F79" s="67">
        <v>19250</v>
      </c>
      <c r="G79" s="88">
        <v>237</v>
      </c>
      <c r="H79" s="88">
        <v>40</v>
      </c>
      <c r="I79" s="88">
        <v>6</v>
      </c>
      <c r="J79" s="88">
        <f>J78+25500</f>
        <v>3289500</v>
      </c>
      <c r="K79" s="68">
        <v>2370</v>
      </c>
      <c r="L79" s="8" t="s">
        <v>1117</v>
      </c>
    </row>
    <row r="80" spans="2:12" x14ac:dyDescent="0.3">
      <c r="B80"/>
      <c r="D80" s="9" t="s">
        <v>1118</v>
      </c>
      <c r="E80" s="82">
        <v>77</v>
      </c>
      <c r="F80" s="67">
        <v>19250</v>
      </c>
      <c r="G80" s="88">
        <v>237</v>
      </c>
      <c r="H80" s="88">
        <v>40</v>
      </c>
      <c r="I80" s="88">
        <v>6</v>
      </c>
      <c r="J80" s="88">
        <f t="shared" ref="J80:J81" si="11">J79+25500</f>
        <v>3315000</v>
      </c>
      <c r="K80" s="68">
        <v>2370</v>
      </c>
      <c r="L80" s="8" t="s">
        <v>1118</v>
      </c>
    </row>
    <row r="81" spans="2:12" x14ac:dyDescent="0.3">
      <c r="B81"/>
      <c r="D81" s="9" t="s">
        <v>1119</v>
      </c>
      <c r="E81" s="82">
        <v>78</v>
      </c>
      <c r="F81" s="67">
        <v>19250</v>
      </c>
      <c r="G81" s="88">
        <v>237</v>
      </c>
      <c r="H81" s="88">
        <v>40</v>
      </c>
      <c r="I81" s="88">
        <v>6</v>
      </c>
      <c r="J81" s="88">
        <f t="shared" si="11"/>
        <v>3340500</v>
      </c>
      <c r="K81" s="68">
        <v>2370</v>
      </c>
      <c r="L81" s="8" t="s">
        <v>1119</v>
      </c>
    </row>
    <row r="82" spans="2:12" x14ac:dyDescent="0.3">
      <c r="B82"/>
      <c r="D82" s="9" t="s">
        <v>92</v>
      </c>
      <c r="E82" s="82">
        <v>79</v>
      </c>
      <c r="F82" s="67">
        <v>19250</v>
      </c>
      <c r="G82" s="88">
        <v>239</v>
      </c>
      <c r="H82" s="88">
        <v>40</v>
      </c>
      <c r="I82" s="88">
        <v>7</v>
      </c>
      <c r="J82" s="88">
        <v>3366000</v>
      </c>
      <c r="K82" s="68">
        <v>2450</v>
      </c>
      <c r="L82" s="8" t="s">
        <v>92</v>
      </c>
    </row>
    <row r="83" spans="2:12" x14ac:dyDescent="0.3">
      <c r="B83"/>
      <c r="D83" s="9" t="s">
        <v>1120</v>
      </c>
      <c r="E83" s="82">
        <v>80</v>
      </c>
      <c r="F83" s="67">
        <v>20000</v>
      </c>
      <c r="G83" s="88">
        <v>247</v>
      </c>
      <c r="H83" s="88">
        <v>41</v>
      </c>
      <c r="I83" s="88">
        <v>6</v>
      </c>
      <c r="J83" s="88">
        <f>J82+25500</f>
        <v>3391500</v>
      </c>
      <c r="K83" s="68">
        <v>2360</v>
      </c>
      <c r="L83" s="8" t="s">
        <v>1120</v>
      </c>
    </row>
    <row r="84" spans="2:12" x14ac:dyDescent="0.3">
      <c r="B84"/>
      <c r="D84" s="9" t="s">
        <v>1121</v>
      </c>
      <c r="E84" s="82">
        <v>81</v>
      </c>
      <c r="F84" s="67">
        <v>20000</v>
      </c>
      <c r="G84" s="88">
        <v>247</v>
      </c>
      <c r="H84" s="88">
        <v>41</v>
      </c>
      <c r="I84" s="88">
        <v>6</v>
      </c>
      <c r="J84" s="88">
        <f t="shared" ref="J84:J85" si="12">J83+25500</f>
        <v>3417000</v>
      </c>
      <c r="K84" s="68">
        <v>2360</v>
      </c>
      <c r="L84" s="8" t="s">
        <v>1121</v>
      </c>
    </row>
    <row r="85" spans="2:12" x14ac:dyDescent="0.3">
      <c r="B85"/>
      <c r="D85" s="9" t="s">
        <v>1122</v>
      </c>
      <c r="E85" s="82">
        <v>82</v>
      </c>
      <c r="F85" s="67">
        <v>20000</v>
      </c>
      <c r="G85" s="88">
        <v>247</v>
      </c>
      <c r="H85" s="88">
        <v>41</v>
      </c>
      <c r="I85" s="88">
        <v>6</v>
      </c>
      <c r="J85" s="88">
        <f t="shared" si="12"/>
        <v>3442500</v>
      </c>
      <c r="K85" s="68">
        <v>2360</v>
      </c>
      <c r="L85" s="8" t="s">
        <v>1122</v>
      </c>
    </row>
    <row r="86" spans="2:12" x14ac:dyDescent="0.3">
      <c r="B86"/>
      <c r="D86" s="9" t="s">
        <v>1123</v>
      </c>
      <c r="E86" s="82">
        <v>83</v>
      </c>
      <c r="F86" s="67">
        <v>20000</v>
      </c>
      <c r="G86" s="88">
        <v>249</v>
      </c>
      <c r="H86" s="88">
        <v>42</v>
      </c>
      <c r="I86" s="88">
        <v>7</v>
      </c>
      <c r="J86" s="88">
        <v>3468000</v>
      </c>
      <c r="K86" s="68">
        <v>2480</v>
      </c>
      <c r="L86" s="8" t="s">
        <v>1123</v>
      </c>
    </row>
    <row r="87" spans="2:12" x14ac:dyDescent="0.3">
      <c r="B87"/>
      <c r="D87" s="9" t="s">
        <v>1124</v>
      </c>
      <c r="E87" s="82">
        <v>84</v>
      </c>
      <c r="F87" s="67">
        <v>20750</v>
      </c>
      <c r="G87" s="88">
        <v>257</v>
      </c>
      <c r="H87" s="88">
        <v>42</v>
      </c>
      <c r="I87" s="88">
        <v>6</v>
      </c>
      <c r="J87" s="88">
        <f>J86+25500</f>
        <v>3493500</v>
      </c>
      <c r="K87" s="68">
        <v>2360</v>
      </c>
      <c r="L87" s="8" t="s">
        <v>1124</v>
      </c>
    </row>
    <row r="88" spans="2:12" x14ac:dyDescent="0.3">
      <c r="B88"/>
      <c r="D88" s="9" t="s">
        <v>1125</v>
      </c>
      <c r="E88" s="82">
        <v>85</v>
      </c>
      <c r="F88" s="67">
        <v>20750</v>
      </c>
      <c r="G88" s="88">
        <v>257</v>
      </c>
      <c r="H88" s="88">
        <v>42</v>
      </c>
      <c r="I88" s="88">
        <v>6</v>
      </c>
      <c r="J88" s="88">
        <f t="shared" ref="J88:J89" si="13">J87+25500</f>
        <v>3519000</v>
      </c>
      <c r="K88" s="68">
        <v>2360</v>
      </c>
      <c r="L88" s="8" t="s">
        <v>1125</v>
      </c>
    </row>
    <row r="89" spans="2:12" x14ac:dyDescent="0.3">
      <c r="B89"/>
      <c r="D89" s="9" t="s">
        <v>1126</v>
      </c>
      <c r="E89" s="82">
        <v>86</v>
      </c>
      <c r="F89" s="67">
        <v>20750</v>
      </c>
      <c r="G89" s="88">
        <v>257</v>
      </c>
      <c r="H89" s="88">
        <v>42</v>
      </c>
      <c r="I89" s="88">
        <v>6</v>
      </c>
      <c r="J89" s="88">
        <f t="shared" si="13"/>
        <v>3544500</v>
      </c>
      <c r="K89" s="68">
        <v>2360</v>
      </c>
      <c r="L89" s="8" t="s">
        <v>1126</v>
      </c>
    </row>
    <row r="90" spans="2:12" x14ac:dyDescent="0.3">
      <c r="B90"/>
      <c r="D90" s="9" t="s">
        <v>1127</v>
      </c>
      <c r="E90" s="82">
        <v>87</v>
      </c>
      <c r="F90" s="67">
        <v>20750</v>
      </c>
      <c r="G90" s="88">
        <v>259</v>
      </c>
      <c r="H90" s="88">
        <v>44</v>
      </c>
      <c r="I90" s="88">
        <v>7</v>
      </c>
      <c r="J90" s="88">
        <v>3570000</v>
      </c>
      <c r="K90" s="68">
        <v>2480</v>
      </c>
      <c r="L90" s="8" t="s">
        <v>1127</v>
      </c>
    </row>
    <row r="91" spans="2:12" x14ac:dyDescent="0.3">
      <c r="B91"/>
      <c r="D91" s="9" t="s">
        <v>1128</v>
      </c>
      <c r="E91" s="82">
        <v>88</v>
      </c>
      <c r="F91" s="67">
        <v>21500</v>
      </c>
      <c r="G91" s="88">
        <v>267</v>
      </c>
      <c r="H91" s="88">
        <v>45</v>
      </c>
      <c r="I91" s="88">
        <v>6</v>
      </c>
      <c r="J91" s="88">
        <f>J90+25500</f>
        <v>3595500</v>
      </c>
      <c r="K91" s="68">
        <v>2370</v>
      </c>
      <c r="L91" s="8" t="s">
        <v>1128</v>
      </c>
    </row>
    <row r="92" spans="2:12" x14ac:dyDescent="0.3">
      <c r="B92"/>
      <c r="D92" s="9" t="s">
        <v>1129</v>
      </c>
      <c r="E92" s="82">
        <v>89</v>
      </c>
      <c r="F92" s="67">
        <v>21500</v>
      </c>
      <c r="G92" s="88">
        <v>267</v>
      </c>
      <c r="H92" s="88">
        <v>45</v>
      </c>
      <c r="I92" s="88">
        <v>6</v>
      </c>
      <c r="J92" s="88">
        <f t="shared" ref="J92:J93" si="14">J91+25500</f>
        <v>3621000</v>
      </c>
      <c r="K92" s="68">
        <v>2370</v>
      </c>
      <c r="L92" s="8" t="s">
        <v>1129</v>
      </c>
    </row>
    <row r="93" spans="2:12" x14ac:dyDescent="0.3">
      <c r="B93"/>
      <c r="D93" s="9" t="s">
        <v>1130</v>
      </c>
      <c r="E93" s="82">
        <v>90</v>
      </c>
      <c r="F93" s="67">
        <v>21500</v>
      </c>
      <c r="G93" s="88">
        <v>267</v>
      </c>
      <c r="H93" s="88">
        <v>45</v>
      </c>
      <c r="I93" s="88">
        <v>6</v>
      </c>
      <c r="J93" s="88">
        <f t="shared" si="14"/>
        <v>3646500</v>
      </c>
      <c r="K93" s="68">
        <v>2370</v>
      </c>
      <c r="L93" s="8" t="s">
        <v>1130</v>
      </c>
    </row>
    <row r="94" spans="2:12" x14ac:dyDescent="0.3">
      <c r="B94"/>
      <c r="D94" s="9" t="s">
        <v>1131</v>
      </c>
      <c r="E94" s="105">
        <v>91</v>
      </c>
      <c r="F94" s="67">
        <v>21500</v>
      </c>
      <c r="G94" s="88">
        <v>269</v>
      </c>
      <c r="H94" s="88">
        <v>45</v>
      </c>
      <c r="I94" s="88">
        <v>7</v>
      </c>
      <c r="J94" s="88">
        <v>3672000</v>
      </c>
      <c r="K94" s="68">
        <v>2450</v>
      </c>
      <c r="L94" s="8" t="s">
        <v>1131</v>
      </c>
    </row>
    <row r="95" spans="2:12" x14ac:dyDescent="0.3">
      <c r="B95"/>
      <c r="D95" s="9" t="s">
        <v>1132</v>
      </c>
      <c r="E95" s="82">
        <v>92</v>
      </c>
      <c r="F95" s="67">
        <v>24000</v>
      </c>
      <c r="G95" s="88">
        <v>300</v>
      </c>
      <c r="H95" s="88">
        <v>50</v>
      </c>
      <c r="I95" s="88">
        <v>8</v>
      </c>
      <c r="J95" s="88">
        <v>3712000</v>
      </c>
      <c r="K95" s="68">
        <v>3190</v>
      </c>
      <c r="L95" s="8" t="s">
        <v>1132</v>
      </c>
    </row>
    <row r="96" spans="2:12" x14ac:dyDescent="0.3">
      <c r="B96"/>
      <c r="D96" s="9" t="s">
        <v>1133</v>
      </c>
      <c r="E96" s="82">
        <v>93</v>
      </c>
      <c r="F96" s="67">
        <v>24000</v>
      </c>
      <c r="G96" s="88">
        <v>300</v>
      </c>
      <c r="H96" s="88">
        <v>50</v>
      </c>
      <c r="I96" s="88">
        <v>8</v>
      </c>
      <c r="J96" s="88">
        <v>3753000</v>
      </c>
      <c r="K96" s="68">
        <v>3090</v>
      </c>
      <c r="L96" s="8" t="s">
        <v>1133</v>
      </c>
    </row>
    <row r="97" spans="2:12" x14ac:dyDescent="0.3">
      <c r="B97"/>
      <c r="D97" s="9" t="s">
        <v>1134</v>
      </c>
      <c r="E97" s="82">
        <v>94</v>
      </c>
      <c r="F97" s="67">
        <v>24000</v>
      </c>
      <c r="G97" s="88">
        <v>300</v>
      </c>
      <c r="H97" s="88">
        <v>50</v>
      </c>
      <c r="I97" s="88">
        <v>8</v>
      </c>
      <c r="J97" s="88">
        <v>3794000</v>
      </c>
      <c r="K97" s="68">
        <v>3090</v>
      </c>
      <c r="L97" s="8" t="s">
        <v>1134</v>
      </c>
    </row>
    <row r="98" spans="2:12" x14ac:dyDescent="0.3">
      <c r="B98"/>
      <c r="D98" s="9" t="s">
        <v>1135</v>
      </c>
      <c r="E98" s="82">
        <v>95</v>
      </c>
      <c r="F98" s="67">
        <v>24000</v>
      </c>
      <c r="G98" s="88">
        <v>300</v>
      </c>
      <c r="H98" s="88">
        <v>50</v>
      </c>
      <c r="I98" s="88">
        <v>8</v>
      </c>
      <c r="J98" s="88">
        <v>3835000</v>
      </c>
      <c r="K98" s="68">
        <v>3100</v>
      </c>
      <c r="L98" s="8" t="s">
        <v>1135</v>
      </c>
    </row>
    <row r="99" spans="2:12" x14ac:dyDescent="0.3">
      <c r="B99"/>
      <c r="D99" s="9" t="s">
        <v>860</v>
      </c>
      <c r="E99" s="82">
        <v>96</v>
      </c>
      <c r="F99" s="67">
        <v>28000</v>
      </c>
      <c r="G99" s="88">
        <v>300</v>
      </c>
      <c r="H99" s="88">
        <v>50</v>
      </c>
      <c r="I99" s="88">
        <v>8</v>
      </c>
      <c r="J99" s="88">
        <v>3876000</v>
      </c>
      <c r="K99" s="68">
        <v>3090</v>
      </c>
      <c r="L99" s="8" t="s">
        <v>860</v>
      </c>
    </row>
    <row r="100" spans="2:12" x14ac:dyDescent="0.3">
      <c r="B100"/>
      <c r="D100" s="9" t="s">
        <v>1137</v>
      </c>
      <c r="E100" s="82">
        <v>97</v>
      </c>
      <c r="F100" s="67">
        <v>28000</v>
      </c>
      <c r="G100" s="88">
        <v>330</v>
      </c>
      <c r="H100" s="88">
        <v>55</v>
      </c>
      <c r="I100" s="88">
        <v>8</v>
      </c>
      <c r="J100" s="88">
        <v>3916000</v>
      </c>
      <c r="K100" s="68">
        <v>3020</v>
      </c>
      <c r="L100" s="8" t="s">
        <v>1137</v>
      </c>
    </row>
    <row r="101" spans="2:12" x14ac:dyDescent="0.3">
      <c r="B101"/>
      <c r="D101" s="9" t="s">
        <v>1136</v>
      </c>
      <c r="E101" s="82">
        <v>98</v>
      </c>
      <c r="F101" s="67">
        <v>28000</v>
      </c>
      <c r="G101" s="88">
        <v>330</v>
      </c>
      <c r="H101" s="88">
        <v>55</v>
      </c>
      <c r="I101" s="88">
        <v>8</v>
      </c>
      <c r="J101" s="88">
        <v>3957000</v>
      </c>
      <c r="K101" s="68">
        <v>3100</v>
      </c>
      <c r="L101" s="8" t="s">
        <v>1136</v>
      </c>
    </row>
    <row r="102" spans="2:12" x14ac:dyDescent="0.3">
      <c r="B102"/>
      <c r="D102" s="9" t="s">
        <v>1138</v>
      </c>
      <c r="E102" s="82">
        <v>99</v>
      </c>
      <c r="F102" s="67">
        <v>28000</v>
      </c>
      <c r="G102" s="88">
        <v>330</v>
      </c>
      <c r="H102" s="88">
        <v>55</v>
      </c>
      <c r="I102" s="88">
        <v>8</v>
      </c>
      <c r="J102" s="88">
        <v>3998000</v>
      </c>
      <c r="K102" s="68">
        <v>3090</v>
      </c>
      <c r="L102" s="8" t="s">
        <v>1138</v>
      </c>
    </row>
    <row r="103" spans="2:12" x14ac:dyDescent="0.3">
      <c r="B103"/>
      <c r="D103" s="9" t="s">
        <v>1139</v>
      </c>
      <c r="E103" s="82">
        <v>100</v>
      </c>
      <c r="F103" s="67">
        <v>28000</v>
      </c>
      <c r="G103" s="88">
        <v>330</v>
      </c>
      <c r="H103" s="88">
        <v>55</v>
      </c>
      <c r="I103" s="88">
        <v>8</v>
      </c>
      <c r="J103" s="88">
        <v>4039000</v>
      </c>
      <c r="K103" s="68">
        <v>3100</v>
      </c>
      <c r="L103" s="8" t="s">
        <v>1139</v>
      </c>
    </row>
    <row r="104" spans="2:12" x14ac:dyDescent="0.3">
      <c r="B104"/>
      <c r="D104" s="9" t="s">
        <v>1140</v>
      </c>
      <c r="E104" s="82">
        <v>101</v>
      </c>
      <c r="F104" s="67">
        <v>28000</v>
      </c>
      <c r="G104" s="88">
        <v>330</v>
      </c>
      <c r="H104" s="88">
        <v>55</v>
      </c>
      <c r="I104" s="88">
        <v>8</v>
      </c>
      <c r="J104" s="88">
        <v>4080000</v>
      </c>
      <c r="K104" s="68">
        <v>3090</v>
      </c>
      <c r="L104" s="8" t="s">
        <v>1140</v>
      </c>
    </row>
    <row r="105" spans="2:12" x14ac:dyDescent="0.3">
      <c r="B105"/>
      <c r="D105" s="9" t="s">
        <v>1141</v>
      </c>
      <c r="E105" s="82">
        <v>102</v>
      </c>
      <c r="F105" s="67">
        <v>32000</v>
      </c>
      <c r="G105" s="88">
        <v>360</v>
      </c>
      <c r="H105" s="88">
        <v>60</v>
      </c>
      <c r="I105" s="88">
        <v>8</v>
      </c>
      <c r="J105" s="88">
        <v>4120000</v>
      </c>
      <c r="K105" s="68">
        <v>3020</v>
      </c>
      <c r="L105" s="8" t="s">
        <v>1141</v>
      </c>
    </row>
    <row r="106" spans="2:12" x14ac:dyDescent="0.3">
      <c r="B106"/>
      <c r="D106" s="9" t="s">
        <v>1142</v>
      </c>
      <c r="E106" s="82">
        <v>103</v>
      </c>
      <c r="F106" s="67">
        <v>32000</v>
      </c>
      <c r="G106" s="88">
        <v>360</v>
      </c>
      <c r="H106" s="88">
        <v>60</v>
      </c>
      <c r="I106" s="88">
        <v>8</v>
      </c>
      <c r="J106" s="88">
        <v>4161000</v>
      </c>
      <c r="K106" s="68">
        <v>3090</v>
      </c>
      <c r="L106" s="8" t="s">
        <v>1142</v>
      </c>
    </row>
    <row r="107" spans="2:12" x14ac:dyDescent="0.3">
      <c r="B107"/>
      <c r="D107" s="9" t="s">
        <v>1143</v>
      </c>
      <c r="E107" s="82">
        <v>104</v>
      </c>
      <c r="F107" s="67">
        <v>32000</v>
      </c>
      <c r="G107" s="88">
        <v>360</v>
      </c>
      <c r="H107" s="88">
        <v>60</v>
      </c>
      <c r="I107" s="88">
        <v>8</v>
      </c>
      <c r="J107" s="88">
        <v>4202000</v>
      </c>
      <c r="K107" s="68">
        <v>3100</v>
      </c>
      <c r="L107" s="8" t="s">
        <v>1143</v>
      </c>
    </row>
    <row r="108" spans="2:12" x14ac:dyDescent="0.3">
      <c r="B108"/>
      <c r="D108" s="9" t="s">
        <v>1144</v>
      </c>
      <c r="E108" s="82">
        <v>105</v>
      </c>
      <c r="F108" s="67">
        <v>32000</v>
      </c>
      <c r="G108" s="88">
        <v>360</v>
      </c>
      <c r="H108" s="88">
        <v>60</v>
      </c>
      <c r="I108" s="88">
        <v>8</v>
      </c>
      <c r="J108" s="88">
        <v>4243000</v>
      </c>
      <c r="K108" s="68">
        <v>3090</v>
      </c>
      <c r="L108" s="8" t="s">
        <v>1144</v>
      </c>
    </row>
    <row r="109" spans="2:12" x14ac:dyDescent="0.3">
      <c r="B109"/>
      <c r="D109" s="9" t="s">
        <v>1145</v>
      </c>
      <c r="E109" s="82">
        <v>106</v>
      </c>
      <c r="F109" s="67">
        <v>32000</v>
      </c>
      <c r="G109" s="88">
        <v>360</v>
      </c>
      <c r="H109" s="88">
        <v>60</v>
      </c>
      <c r="I109" s="88">
        <v>8</v>
      </c>
      <c r="J109" s="88">
        <v>4284000</v>
      </c>
      <c r="K109" s="68">
        <v>3100</v>
      </c>
      <c r="L109" s="8" t="s">
        <v>1145</v>
      </c>
    </row>
    <row r="110" spans="2:12" x14ac:dyDescent="0.3">
      <c r="B110"/>
      <c r="D110" s="9" t="s">
        <v>1146</v>
      </c>
      <c r="E110" s="82">
        <v>107</v>
      </c>
      <c r="F110" s="67">
        <v>36000</v>
      </c>
      <c r="G110" s="88">
        <v>390</v>
      </c>
      <c r="H110" s="88">
        <v>65</v>
      </c>
      <c r="I110" s="88">
        <v>8</v>
      </c>
      <c r="J110" s="88">
        <v>4234000</v>
      </c>
      <c r="K110" s="68">
        <v>3010</v>
      </c>
      <c r="L110" s="8" t="s">
        <v>1146</v>
      </c>
    </row>
    <row r="111" spans="2:12" x14ac:dyDescent="0.3">
      <c r="B111"/>
      <c r="D111" s="9" t="s">
        <v>1147</v>
      </c>
      <c r="E111" s="82">
        <v>108</v>
      </c>
      <c r="F111" s="67">
        <v>36000</v>
      </c>
      <c r="G111" s="88">
        <v>390</v>
      </c>
      <c r="H111" s="88">
        <v>65</v>
      </c>
      <c r="I111" s="88">
        <v>8</v>
      </c>
      <c r="J111" s="88">
        <v>4365000</v>
      </c>
      <c r="K111" s="68">
        <v>3100</v>
      </c>
      <c r="L111" s="8" t="s">
        <v>1147</v>
      </c>
    </row>
    <row r="112" spans="2:12" x14ac:dyDescent="0.3">
      <c r="B112"/>
      <c r="D112" s="9" t="s">
        <v>1148</v>
      </c>
      <c r="E112" s="82">
        <v>109</v>
      </c>
      <c r="F112" s="67">
        <v>36000</v>
      </c>
      <c r="G112" s="88">
        <v>390</v>
      </c>
      <c r="H112" s="88">
        <v>65</v>
      </c>
      <c r="I112" s="88">
        <v>8</v>
      </c>
      <c r="J112" s="88">
        <v>4406000</v>
      </c>
      <c r="K112" s="68">
        <v>3090</v>
      </c>
      <c r="L112" s="8" t="s">
        <v>1148</v>
      </c>
    </row>
    <row r="113" spans="2:25" x14ac:dyDescent="0.3">
      <c r="B113"/>
      <c r="D113" s="9" t="s">
        <v>1149</v>
      </c>
      <c r="E113" s="82">
        <v>110</v>
      </c>
      <c r="F113" s="67">
        <v>36000</v>
      </c>
      <c r="G113" s="88">
        <v>390</v>
      </c>
      <c r="H113" s="88">
        <v>65</v>
      </c>
      <c r="I113" s="88">
        <v>8</v>
      </c>
      <c r="J113" s="88">
        <v>4447000</v>
      </c>
      <c r="K113" s="68">
        <v>3100</v>
      </c>
      <c r="L113" s="8" t="s">
        <v>1149</v>
      </c>
    </row>
    <row r="114" spans="2:25" x14ac:dyDescent="0.3">
      <c r="B114"/>
      <c r="D114" s="9" t="s">
        <v>1150</v>
      </c>
      <c r="E114" s="84">
        <v>111</v>
      </c>
      <c r="F114" s="69">
        <v>36000</v>
      </c>
      <c r="G114" s="83">
        <v>390</v>
      </c>
      <c r="H114" s="83">
        <v>65</v>
      </c>
      <c r="I114" s="83">
        <v>8</v>
      </c>
      <c r="J114" s="83">
        <v>4488000</v>
      </c>
      <c r="K114" s="70">
        <v>3090</v>
      </c>
      <c r="L114" s="8" t="s">
        <v>1150</v>
      </c>
    </row>
    <row r="115" spans="2:25" x14ac:dyDescent="0.3">
      <c r="B115"/>
      <c r="E115" s="9" t="s">
        <v>1151</v>
      </c>
      <c r="F115" s="88">
        <f>SUM(F95:F114)</f>
        <v>604000</v>
      </c>
      <c r="G115" s="88">
        <f t="shared" ref="G115:I115" si="15">SUM(G95:G114)</f>
        <v>6900</v>
      </c>
      <c r="H115" s="88">
        <f t="shared" si="15"/>
        <v>1150</v>
      </c>
      <c r="I115" s="88">
        <f t="shared" si="15"/>
        <v>160</v>
      </c>
      <c r="J115" s="38"/>
      <c r="K115" s="38"/>
      <c r="L115" s="38"/>
    </row>
    <row r="116" spans="2:25" x14ac:dyDescent="0.3">
      <c r="D116" s="38"/>
      <c r="E116" s="38" t="s">
        <v>1152</v>
      </c>
      <c r="F116" s="88">
        <f>F115*6</f>
        <v>3624000</v>
      </c>
      <c r="G116" s="88">
        <f t="shared" ref="G116:I116" si="16">G115*6</f>
        <v>41400</v>
      </c>
      <c r="H116" s="88">
        <f t="shared" si="16"/>
        <v>6900</v>
      </c>
      <c r="I116" s="88">
        <f t="shared" si="16"/>
        <v>960</v>
      </c>
    </row>
    <row r="117" spans="2:25" x14ac:dyDescent="0.3">
      <c r="D117" s="38"/>
      <c r="E117" s="38"/>
      <c r="F117" s="38"/>
      <c r="G117" s="38"/>
    </row>
    <row r="118" spans="2:25" x14ac:dyDescent="0.3">
      <c r="B118"/>
      <c r="F118" s="2" t="s">
        <v>252</v>
      </c>
      <c r="G118" s="2" t="s">
        <v>253</v>
      </c>
      <c r="H118" s="2" t="s">
        <v>254</v>
      </c>
      <c r="I118" s="2" t="s">
        <v>792</v>
      </c>
      <c r="J118" s="2" t="s">
        <v>790</v>
      </c>
      <c r="K118" s="2" t="s">
        <v>791</v>
      </c>
      <c r="L118" s="2" t="s">
        <v>752</v>
      </c>
    </row>
    <row r="119" spans="2:25" x14ac:dyDescent="0.3">
      <c r="B119" s="404" t="s">
        <v>793</v>
      </c>
      <c r="C119" s="486"/>
      <c r="D119" s="486" t="s">
        <v>795</v>
      </c>
      <c r="E119" s="405"/>
      <c r="F119" s="286" cm="1">
        <f t="array" aca="1" ref="F119" ca="1">IFERROR(IF(VLOOKUP(INDIRECT($B119,TRUE),$D$4:$E$114,2,FALSE)&lt;VLOOKUP(INDIRECT($D119,TRUE),$D$4:$E$114,2,FALSE),SUM(INDEX($D$4:$K$114,VLOOKUP(INDIRECT($B119,TRUE),$D$4:$E$114,2,FALSE)+1,3):INDEX($D$4:$K$114,VLOOKUP(INDIRECT($D119,TRUE),$D$4:$E$114,2,FALSE),3)),0),0)</f>
        <v>102000</v>
      </c>
      <c r="G119" s="287" cm="1">
        <f t="array" aca="1" ref="G119" ca="1">IFERROR(IF(VLOOKUP(INDIRECT($B119,TRUE),$D$4:$E$114,2,FALSE)&lt;VLOOKUP(INDIRECT($D119,TRUE),$D$4:$E$114,2,FALSE),SUM(INDEX($D$4:$K$114,VLOOKUP(INDIRECT($B119,TRUE),$D$4:$E$114,2,FALSE)+1,4):INDEX($D$4:$K$114,VLOOKUP(INDIRECT($D119,TRUE),$D$4:$E$114,2,FALSE),4)),0),0)</f>
        <v>1020</v>
      </c>
      <c r="H119" s="287" cm="1">
        <f t="array" aca="1" ref="H119" ca="1">IFERROR(IF(VLOOKUP(INDIRECT($B119,TRUE),$D$4:$E$114,2,FALSE)&lt;VLOOKUP(INDIRECT($D119,TRUE),$D$4:$E$114,2,FALSE),SUM(INDEX($D$4:$K$114,VLOOKUP(INDIRECT($B119,TRUE),$D$4:$E$114,2,FALSE)+1,5):INDEX($D$4:$K$114,VLOOKUP(INDIRECT($D119,TRUE),$D$4:$E$114,2,FALSE),5)),0),0)</f>
        <v>175</v>
      </c>
      <c r="I119" s="287" cm="1">
        <f t="array" aca="1" ref="I119" ca="1">IFERROR(IF(VLOOKUP(INDIRECT($B119,TRUE),$D$4:$E$114,2,FALSE)&lt;VLOOKUP(INDIRECT($D119,TRUE),$D$4:$E$114,2,FALSE),SUM(INDEX($D$4:$K$114,VLOOKUP(INDIRECT($B119,TRUE),$D$4:$E$114,2,FALSE)+1,6):INDEX($D$4:$K$114,VLOOKUP(INDIRECT($D119,TRUE),$D$4:$E$114,2,FALSE),6)),0),0)</f>
        <v>0</v>
      </c>
      <c r="J119" s="287" cm="1">
        <f t="array" aca="1" ref="J119" ca="1">IFERROR(VLOOKUP(INDIRECT($B119,TRUE),$D$4:$K$114,7,FALSE),0)</f>
        <v>1362720</v>
      </c>
      <c r="K119" s="287" cm="1">
        <f t="array" aca="1" ref="K119" ca="1">IFERROR(IF(OR(ISBLANK(INDIRECT($D119,TRUE)),VLOOKUP(INDIRECT($D119,FALSE),$D$4:$K$114,2,FALSE)&lt;=VLOOKUP(INDIRECT($B119,FALSE),$D$4:$K$114,2,FALSE))=TRUE,VLOOKUP(INDIRECT($B119,TRUE),$D$4:$K$114,7,FALSE),VLOOKUP(INDIRECT($D119,TRUE),$D$4:$K$114,7,FALSE)),0)</f>
        <v>1607520</v>
      </c>
      <c r="L119" s="122" cm="1">
        <f t="array" aca="1" ref="L119" ca="1">IFERROR(IF(VLOOKUP(INDIRECT($B119,TRUE),$D$4:$E$114,2,FALSE)&lt;VLOOKUP(INDIRECT($D119,TRUE),$D$4:$E$114,2,FALSE),SUM(INDEX($D$4:$K$114,VLOOKUP(INDIRECT($B119,TRUE),$D$4:$E$114,2,FALSE)+1,8):INDEX($D$4:$K$114,VLOOKUP(INDIRECT($D119,TRUE),$D$4:$E$114,2,FALSE),8)),0),0)</f>
        <v>25000</v>
      </c>
      <c r="P119" s="38"/>
      <c r="Y119" s="38"/>
    </row>
    <row r="120" spans="2:25" x14ac:dyDescent="0.3">
      <c r="B120" s="404" t="s">
        <v>796</v>
      </c>
      <c r="C120" s="486"/>
      <c r="D120" s="486" t="s">
        <v>797</v>
      </c>
      <c r="E120" s="405"/>
      <c r="F120" s="286" cm="1">
        <f t="array" aca="1" ref="F120" ca="1">IFERROR(IF(VLOOKUP(INDIRECT($B120,TRUE),$D$4:$E$114,2,FALSE)&lt;VLOOKUP(INDIRECT($D120,TRUE),$D$4:$E$114,2,FALSE),SUM(INDEX($D$4:$K$114,VLOOKUP(INDIRECT($B120,TRUE),$D$4:$E$114,2,FALSE)+1,3):INDEX($D$4:$K$114,VLOOKUP(INDIRECT($D120,TRUE),$D$4:$E$114,2,FALSE),3)),0),0)</f>
        <v>135000</v>
      </c>
      <c r="G120" s="287" cm="1">
        <f t="array" aca="1" ref="G120" ca="1">IFERROR(IF(VLOOKUP(INDIRECT($B120,TRUE),$D$4:$E$114,2,FALSE)&lt;VLOOKUP(INDIRECT($D120,TRUE),$D$4:$E$114,2,FALSE),SUM(INDEX($D$4:$K$114,VLOOKUP(INDIRECT($B120,TRUE),$D$4:$E$114,2,FALSE)+1,4):INDEX($D$4:$K$114,VLOOKUP(INDIRECT($D120,TRUE),$D$4:$E$114,2,FALSE),4)),0),0)</f>
        <v>1350</v>
      </c>
      <c r="H120" s="287" cm="1">
        <f t="array" aca="1" ref="H120" ca="1">IFERROR(IF(VLOOKUP(INDIRECT($B120,TRUE),$D$4:$E$114,2,FALSE)&lt;VLOOKUP(INDIRECT($D120,TRUE),$D$4:$E$114,2,FALSE),SUM(INDEX($D$4:$K$114,VLOOKUP(INDIRECT($B120,TRUE),$D$4:$E$114,2,FALSE)+1,5):INDEX($D$4:$K$114,VLOOKUP(INDIRECT($D120,TRUE),$D$4:$E$114,2,FALSE),5)),0),0)</f>
        <v>220</v>
      </c>
      <c r="I120" s="287" cm="1">
        <f t="array" aca="1" ref="I120" ca="1">IFERROR(IF(VLOOKUP(INDIRECT($B120,TRUE),$D$4:$E$114,2,FALSE)&lt;VLOOKUP(INDIRECT($D120,TRUE),$D$4:$E$114,2,FALSE),SUM(INDEX($D$4:$K$114,VLOOKUP(INDIRECT($B120,TRUE),$D$4:$E$114,2,FALSE)+1,6):INDEX($D$4:$K$114,VLOOKUP(INDIRECT($D120,TRUE),$D$4:$E$114,2,FALSE),6)),0),0)</f>
        <v>0</v>
      </c>
      <c r="J120" s="287" cm="1">
        <f t="array" aca="1" ref="J120" ca="1">IFERROR(VLOOKUP(INDIRECT($B120,TRUE),$D$4:$K$114,7,FALSE),0)</f>
        <v>1607520</v>
      </c>
      <c r="K120" s="287" cm="1">
        <f t="array" aca="1" ref="K120" ca="1">IFERROR(IF(OR(ISBLANK(INDIRECT($D120,TRUE)),VLOOKUP(INDIRECT($D120,FALSE),$D$4:$K$114,2,FALSE)&lt;=VLOOKUP(INDIRECT($B120,FALSE),$D$4:$K$114,2,FALSE))=TRUE,VLOOKUP(INDIRECT($B120,TRUE),$D$4:$K$114,7,FALSE),VLOOKUP(INDIRECT($D120,TRUE),$D$4:$K$114,7,FALSE)),0)</f>
        <v>1852320</v>
      </c>
      <c r="L120" s="122" cm="1">
        <f t="array" aca="1" ref="L120" ca="1">IFERROR(IF(VLOOKUP(INDIRECT($B120,TRUE),$D$4:$E$114,2,FALSE)&lt;VLOOKUP(INDIRECT($D120,TRUE),$D$4:$E$114,2,FALSE),SUM(INDEX($D$4:$K$114,VLOOKUP(INDIRECT($B120,TRUE),$D$4:$E$114,2,FALSE)+1,8):INDEX($D$4:$K$114,VLOOKUP(INDIRECT($D120,TRUE),$D$4:$E$114,2,FALSE),8)),0),0)</f>
        <v>25000</v>
      </c>
    </row>
    <row r="121" spans="2:25" x14ac:dyDescent="0.3">
      <c r="B121" s="404" t="s">
        <v>798</v>
      </c>
      <c r="C121" s="486"/>
      <c r="D121" s="486" t="s">
        <v>799</v>
      </c>
      <c r="E121" s="405"/>
      <c r="F121" s="286" cm="1">
        <f t="array" aca="1" ref="F121" ca="1">IFERROR(IF(VLOOKUP(INDIRECT($B121,TRUE),$D$4:$E$114,2,FALSE)&lt;VLOOKUP(INDIRECT($D121,TRUE),$D$4:$E$114,2,FALSE),SUM(INDEX($D$4:$K$114,VLOOKUP(INDIRECT($B121,TRUE),$D$4:$E$114,2,FALSE)+1,3):INDEX($D$4:$K$114,VLOOKUP(INDIRECT($D121,TRUE),$D$4:$E$114,2,FALSE),3)),0),0)</f>
        <v>237000</v>
      </c>
      <c r="G121" s="287" cm="1">
        <f t="array" aca="1" ref="G121" ca="1">IFERROR(IF(VLOOKUP(INDIRECT($B121,TRUE),$D$4:$E$114,2,FALSE)&lt;VLOOKUP(INDIRECT($D121,TRUE),$D$4:$E$114,2,FALSE),SUM(INDEX($D$4:$K$114,VLOOKUP(INDIRECT($B121,TRUE),$D$4:$E$114,2,FALSE)+1,4):INDEX($D$4:$K$114,VLOOKUP(INDIRECT($D121,TRUE),$D$4:$E$114,2,FALSE),4)),0),0)</f>
        <v>2370</v>
      </c>
      <c r="H121" s="287" cm="1">
        <f t="array" aca="1" ref="H121" ca="1">IFERROR(IF(VLOOKUP(INDIRECT($B121,TRUE),$D$4:$E$114,2,FALSE)&lt;VLOOKUP(INDIRECT($D121,TRUE),$D$4:$E$114,2,FALSE),SUM(INDEX($D$4:$K$114,VLOOKUP(INDIRECT($B121,TRUE),$D$4:$E$114,2,FALSE)+1,5):INDEX($D$4:$K$114,VLOOKUP(INDIRECT($D121,TRUE),$D$4:$E$114,2,FALSE),5)),0),0)</f>
        <v>395</v>
      </c>
      <c r="I121" s="287" cm="1">
        <f t="array" aca="1" ref="I121" ca="1">IFERROR(IF(VLOOKUP(INDIRECT($B121,TRUE),$D$4:$E$114,2,FALSE)&lt;VLOOKUP(INDIRECT($D121,TRUE),$D$4:$E$114,2,FALSE),SUM(INDEX($D$4:$K$114,VLOOKUP(INDIRECT($B121,TRUE),$D$4:$E$114,2,FALSE)+1,6):INDEX($D$4:$K$114,VLOOKUP(INDIRECT($D121,TRUE),$D$4:$E$114,2,FALSE),6)),0),0)</f>
        <v>0</v>
      </c>
      <c r="J121" s="287" cm="1">
        <f t="array" aca="1" ref="J121" ca="1">IFERROR(VLOOKUP(INDIRECT($B121,TRUE),$D$4:$K$114,7,FALSE),0)</f>
        <v>1362720</v>
      </c>
      <c r="K121" s="287" cm="1">
        <f t="array" aca="1" ref="K121" ca="1">IFERROR(IF(OR(ISBLANK(INDIRECT($D121,TRUE)),VLOOKUP(INDIRECT($D121,FALSE),$D$4:$K$114,2,FALSE)&lt;=VLOOKUP(INDIRECT($B121,FALSE),$D$4:$K$114,2,FALSE))=TRUE,VLOOKUP(INDIRECT($B121,TRUE),$D$4:$K$114,7,FALSE),VLOOKUP(INDIRECT($D121,TRUE),$D$4:$K$114,7,FALSE)),0)</f>
        <v>1852320</v>
      </c>
      <c r="L121" s="122" cm="1">
        <f t="array" aca="1" ref="L121" ca="1">IFERROR(IF(VLOOKUP(INDIRECT($B121,TRUE),$D$4:$E$114,2,FALSE)&lt;VLOOKUP(INDIRECT($D121,TRUE),$D$4:$E$114,2,FALSE),SUM(INDEX($D$4:$K$114,VLOOKUP(INDIRECT($B121,TRUE),$D$4:$E$114,2,FALSE)+1,8):INDEX($D$4:$K$114,VLOOKUP(INDIRECT($D121,TRUE),$D$4:$E$114,2,FALSE),8)),0),0)</f>
        <v>50000</v>
      </c>
    </row>
    <row r="122" spans="2:25" x14ac:dyDescent="0.3">
      <c r="B122" s="404" t="s">
        <v>800</v>
      </c>
      <c r="C122" s="486"/>
      <c r="D122" s="486" t="s">
        <v>801</v>
      </c>
      <c r="E122" s="405"/>
      <c r="F122" s="286" cm="1">
        <f t="array" aca="1" ref="F122" ca="1">IFERROR(IF(VLOOKUP(INDIRECT($B122,TRUE),$D$4:$E$114,2,FALSE)&lt;VLOOKUP(INDIRECT($D122,TRUE),$D$4:$E$114,2,FALSE),SUM(INDEX($D$4:$K$114,VLOOKUP(INDIRECT($B122,TRUE),$D$4:$E$114,2,FALSE)+1,3):INDEX($D$4:$K$114,VLOOKUP(INDIRECT($D122,TRUE),$D$4:$E$114,2,FALSE),3)),0),0)</f>
        <v>102000</v>
      </c>
      <c r="G122" s="287" cm="1">
        <f t="array" aca="1" ref="G122" ca="1">IFERROR(IF(VLOOKUP(INDIRECT($B122,TRUE),$D$4:$E$114,2,FALSE)&lt;VLOOKUP(INDIRECT($D122,TRUE),$D$4:$E$114,2,FALSE),SUM(INDEX($D$4:$K$114,VLOOKUP(INDIRECT($B122,TRUE),$D$4:$E$114,2,FALSE)+1,4):INDEX($D$4:$K$114,VLOOKUP(INDIRECT($D122,TRUE),$D$4:$E$114,2,FALSE),4)),0),0)</f>
        <v>1020</v>
      </c>
      <c r="H122" s="287" cm="1">
        <f t="array" aca="1" ref="H122" ca="1">IFERROR(IF(VLOOKUP(INDIRECT($B122,TRUE),$D$4:$E$114,2,FALSE)&lt;VLOOKUP(INDIRECT($D122,TRUE),$D$4:$E$114,2,FALSE),SUM(INDEX($D$4:$K$114,VLOOKUP(INDIRECT($B122,TRUE),$D$4:$E$114,2,FALSE)+1,5):INDEX($D$4:$K$114,VLOOKUP(INDIRECT($D122,TRUE),$D$4:$E$114,2,FALSE),5)),0),0)</f>
        <v>175</v>
      </c>
      <c r="I122" s="287" cm="1">
        <f t="array" aca="1" ref="I122" ca="1">IFERROR(IF(VLOOKUP(INDIRECT($B122,TRUE),$D$4:$E$114,2,FALSE)&lt;VLOOKUP(INDIRECT($D122,TRUE),$D$4:$E$114,2,FALSE),SUM(INDEX($D$4:$K$114,VLOOKUP(INDIRECT($B122,TRUE),$D$4:$E$114,2,FALSE)+1,6):INDEX($D$4:$K$114,VLOOKUP(INDIRECT($D122,TRUE),$D$4:$E$114,2,FALSE),6)),0),0)</f>
        <v>0</v>
      </c>
      <c r="J122" s="287" cm="1">
        <f t="array" aca="1" ref="J122" ca="1">IFERROR(VLOOKUP(INDIRECT($B122,TRUE),$D$4:$K$114,7,FALSE),0)</f>
        <v>1362720</v>
      </c>
      <c r="K122" s="287" cm="1">
        <f t="array" aca="1" ref="K122" ca="1">IFERROR(IF(OR(ISBLANK(INDIRECT($D122,TRUE)),VLOOKUP(INDIRECT($D122,FALSE),$D$4:$K$114,2,FALSE)&lt;=VLOOKUP(INDIRECT($B122,FALSE),$D$4:$K$114,2,FALSE))=TRUE,VLOOKUP(INDIRECT($B122,TRUE),$D$4:$K$114,7,FALSE),VLOOKUP(INDIRECT($D122,TRUE),$D$4:$K$114,7,FALSE)),0)</f>
        <v>1607520</v>
      </c>
      <c r="L122" s="122" cm="1">
        <f t="array" aca="1" ref="L122" ca="1">IFERROR(IF(VLOOKUP(INDIRECT($B122,TRUE),$D$4:$E$114,2,FALSE)&lt;VLOOKUP(INDIRECT($D122,TRUE),$D$4:$E$114,2,FALSE),SUM(INDEX($D$4:$K$114,VLOOKUP(INDIRECT($B122,TRUE),$D$4:$E$114,2,FALSE)+1,8):INDEX($D$4:$K$114,VLOOKUP(INDIRECT($D122,TRUE),$D$4:$E$114,2,FALSE),8)),0),0)</f>
        <v>25000</v>
      </c>
    </row>
    <row r="123" spans="2:25" x14ac:dyDescent="0.3">
      <c r="B123" s="404" t="s">
        <v>802</v>
      </c>
      <c r="C123" s="486"/>
      <c r="D123" s="486" t="s">
        <v>803</v>
      </c>
      <c r="E123" s="405"/>
      <c r="F123" s="286" cm="1">
        <f t="array" aca="1" ref="F123" ca="1">IFERROR(IF(VLOOKUP(INDIRECT($B123,TRUE),$D$4:$E$114,2,FALSE)&lt;VLOOKUP(INDIRECT($D123,TRUE),$D$4:$E$114,2,FALSE),SUM(INDEX($D$4:$K$114,VLOOKUP(INDIRECT($B123,TRUE),$D$4:$E$114,2,FALSE)+1,3):INDEX($D$4:$K$114,VLOOKUP(INDIRECT($D123,TRUE),$D$4:$E$114,2,FALSE),3)),0),0)</f>
        <v>604000</v>
      </c>
      <c r="G123" s="287" cm="1">
        <f t="array" aca="1" ref="G123" ca="1">IFERROR(IF(VLOOKUP(INDIRECT($B123,TRUE),$D$4:$E$114,2,FALSE)&lt;VLOOKUP(INDIRECT($D123,TRUE),$D$4:$E$114,2,FALSE),SUM(INDEX($D$4:$K$114,VLOOKUP(INDIRECT($B123,TRUE),$D$4:$E$114,2,FALSE)+1,4):INDEX($D$4:$K$114,VLOOKUP(INDIRECT($D123,TRUE),$D$4:$E$114,2,FALSE),4)),0),0)</f>
        <v>6900</v>
      </c>
      <c r="H123" s="287" cm="1">
        <f t="array" aca="1" ref="H123" ca="1">IFERROR(IF(VLOOKUP(INDIRECT($B123,TRUE),$D$4:$E$114,2,FALSE)&lt;VLOOKUP(INDIRECT($D123,TRUE),$D$4:$E$114,2,FALSE),SUM(INDEX($D$4:$K$114,VLOOKUP(INDIRECT($B123,TRUE),$D$4:$E$114,2,FALSE)+1,5):INDEX($D$4:$K$114,VLOOKUP(INDIRECT($D123,TRUE),$D$4:$E$114,2,FALSE),5)),0),0)</f>
        <v>1150</v>
      </c>
      <c r="I123" s="287" cm="1">
        <f t="array" aca="1" ref="I123" ca="1">IFERROR(IF(VLOOKUP(INDIRECT($B123,TRUE),$D$4:$E$114,2,FALSE)&lt;VLOOKUP(INDIRECT($D123,TRUE),$D$4:$E$114,2,FALSE),SUM(INDEX($D$4:$K$114,VLOOKUP(INDIRECT($B123,TRUE),$D$4:$E$114,2,FALSE)+1,6):INDEX($D$4:$K$114,VLOOKUP(INDIRECT($D123,TRUE),$D$4:$E$114,2,FALSE),6)),0),0)</f>
        <v>160</v>
      </c>
      <c r="J123" s="287" cm="1">
        <f t="array" aca="1" ref="J123" ca="1">IFERROR(VLOOKUP(INDIRECT($B123,TRUE),$D$4:$K$114,7,FALSE),0)</f>
        <v>3672000</v>
      </c>
      <c r="K123" s="287" cm="1">
        <f t="array" aca="1" ref="K123" ca="1">IFERROR(IF(OR(ISBLANK(INDIRECT($D123,TRUE)),VLOOKUP(INDIRECT($D123,FALSE),$D$4:$K$114,2,FALSE)&lt;=VLOOKUP(INDIRECT($B123,FALSE),$D$4:$K$114,2,FALSE))=TRUE,VLOOKUP(INDIRECT($B123,TRUE),$D$4:$K$114,7,FALSE),VLOOKUP(INDIRECT($D123,TRUE),$D$4:$K$114,7,FALSE)),0)</f>
        <v>4488000</v>
      </c>
      <c r="L123" s="122" cm="1">
        <f t="array" aca="1" ref="L123" ca="1">IFERROR(IF(VLOOKUP(INDIRECT($B123,TRUE),$D$4:$E$114,2,FALSE)&lt;VLOOKUP(INDIRECT($D123,TRUE),$D$4:$E$114,2,FALSE),SUM(INDEX($D$4:$K$114,VLOOKUP(INDIRECT($B123,TRUE),$D$4:$E$114,2,FALSE)+1,8):INDEX($D$4:$K$114,VLOOKUP(INDIRECT($D123,TRUE),$D$4:$E$114,2,FALSE),8)),0),0)</f>
        <v>61750</v>
      </c>
    </row>
    <row r="124" spans="2:25" x14ac:dyDescent="0.3">
      <c r="B124" s="404" t="s">
        <v>805</v>
      </c>
      <c r="C124" s="486"/>
      <c r="D124" s="486" t="s">
        <v>804</v>
      </c>
      <c r="E124" s="405"/>
      <c r="F124" s="286" cm="1">
        <f t="array" aca="1" ref="F124" ca="1">IFERROR(IF(VLOOKUP(INDIRECT($B124,TRUE),$D$4:$E$114,2,FALSE)&lt;VLOOKUP(INDIRECT($D124,TRUE),$D$4:$E$114,2,FALSE),SUM(INDEX($D$4:$K$114,VLOOKUP(INDIRECT($B124,TRUE),$D$4:$E$114,2,FALSE)+1,3):INDEX($D$4:$K$114,VLOOKUP(INDIRECT($D124,TRUE),$D$4:$E$114,2,FALSE),3)),0),0)</f>
        <v>237000</v>
      </c>
      <c r="G124" s="287" cm="1">
        <f t="array" aca="1" ref="G124" ca="1">IFERROR(IF(VLOOKUP(INDIRECT($B124,TRUE),$D$4:$E$114,2,FALSE)&lt;VLOOKUP(INDIRECT($D124,TRUE),$D$4:$E$114,2,FALSE),SUM(INDEX($D$4:$K$114,VLOOKUP(INDIRECT($B124,TRUE),$D$4:$E$114,2,FALSE)+1,4):INDEX($D$4:$K$114,VLOOKUP(INDIRECT($D124,TRUE),$D$4:$E$114,2,FALSE),4)),0),0)</f>
        <v>2370</v>
      </c>
      <c r="H124" s="287" cm="1">
        <f t="array" aca="1" ref="H124" ca="1">IFERROR(IF(VLOOKUP(INDIRECT($B124,TRUE),$D$4:$E$114,2,FALSE)&lt;VLOOKUP(INDIRECT($D124,TRUE),$D$4:$E$114,2,FALSE),SUM(INDEX($D$4:$K$114,VLOOKUP(INDIRECT($B124,TRUE),$D$4:$E$114,2,FALSE)+1,5):INDEX($D$4:$K$114,VLOOKUP(INDIRECT($D124,TRUE),$D$4:$E$114,2,FALSE),5)),0),0)</f>
        <v>395</v>
      </c>
      <c r="I124" s="287" cm="1">
        <f t="array" aca="1" ref="I124" ca="1">IFERROR(IF(VLOOKUP(INDIRECT($B124,TRUE),$D$4:$E$114,2,FALSE)&lt;VLOOKUP(INDIRECT($D124,TRUE),$D$4:$E$114,2,FALSE),SUM(INDEX($D$4:$K$114,VLOOKUP(INDIRECT($B124,TRUE),$D$4:$E$114,2,FALSE)+1,6):INDEX($D$4:$K$114,VLOOKUP(INDIRECT($D124,TRUE),$D$4:$E$114,2,FALSE),6)),0),0)</f>
        <v>0</v>
      </c>
      <c r="J124" s="287" cm="1">
        <f t="array" aca="1" ref="J124" ca="1">IFERROR(VLOOKUP(INDIRECT($B124,TRUE),$D$4:$K$114,7,FALSE),0)</f>
        <v>1362720</v>
      </c>
      <c r="K124" s="287" cm="1">
        <f t="array" aca="1" ref="K124" ca="1">IFERROR(IF(OR(ISBLANK(INDIRECT($D124,TRUE)),VLOOKUP(INDIRECT($D124,FALSE),$D$4:$K$114,2,FALSE)&lt;=VLOOKUP(INDIRECT($B124,FALSE),$D$4:$K$114,2,FALSE))=TRUE,VLOOKUP(INDIRECT($B124,TRUE),$D$4:$K$114,7,FALSE),VLOOKUP(INDIRECT($D124,TRUE),$D$4:$K$114,7,FALSE)),0)</f>
        <v>1852320</v>
      </c>
      <c r="L124" s="122" cm="1">
        <f t="array" aca="1" ref="L124" ca="1">IFERROR(IF(VLOOKUP(INDIRECT($B124,TRUE),$D$4:$E$114,2,FALSE)&lt;VLOOKUP(INDIRECT($D124,TRUE),$D$4:$E$114,2,FALSE),SUM(INDEX($D$4:$K$114,VLOOKUP(INDIRECT($B124,TRUE),$D$4:$E$114,2,FALSE)+1,8):INDEX($D$4:$K$114,VLOOKUP(INDIRECT($D124,TRUE),$D$4:$E$114,2,FALSE),8)),0),0)</f>
        <v>50000</v>
      </c>
    </row>
    <row r="125" spans="2:25" x14ac:dyDescent="0.3">
      <c r="B125"/>
      <c r="F125" s="88">
        <f ca="1">SUM(F119:F124)</f>
        <v>1417000</v>
      </c>
      <c r="G125" s="88">
        <f ca="1">SUM(G119:G124)</f>
        <v>15030</v>
      </c>
      <c r="H125" s="88">
        <f ca="1">SUM(H119:H124)</f>
        <v>2510</v>
      </c>
      <c r="I125" s="88">
        <f ca="1">SUM(I119:I124)</f>
        <v>160</v>
      </c>
      <c r="J125" s="88">
        <f ca="1">SUM(J119:J124)</f>
        <v>10730400</v>
      </c>
      <c r="K125" s="88" cm="1">
        <f t="array" aca="1" ref="K125" ca="1">SUM(IF(K119:K124&gt;J119:J124,K119:K124,0))</f>
        <v>13260000</v>
      </c>
      <c r="L125" s="88">
        <f ca="1">SUM(L119:L124)*36</f>
        <v>8523000</v>
      </c>
    </row>
  </sheetData>
  <sheetProtection sheet="1" objects="1" scenarios="1"/>
  <mergeCells count="12">
    <mergeCell ref="D120:E120"/>
    <mergeCell ref="D119:E119"/>
    <mergeCell ref="B124:C124"/>
    <mergeCell ref="D124:E124"/>
    <mergeCell ref="B122:C122"/>
    <mergeCell ref="B123:C123"/>
    <mergeCell ref="D123:E123"/>
    <mergeCell ref="D122:E122"/>
    <mergeCell ref="B119:C119"/>
    <mergeCell ref="B120:C120"/>
    <mergeCell ref="B121:C121"/>
    <mergeCell ref="D121:E1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68E-D422-42C7-9A66-232EA79E11D8}">
  <sheetPr codeName="Sheet19"/>
  <dimension ref="B2:Q42"/>
  <sheetViews>
    <sheetView workbookViewId="0">
      <selection activeCell="L41" sqref="L41"/>
    </sheetView>
  </sheetViews>
  <sheetFormatPr baseColWidth="10" defaultColWidth="8.88671875" defaultRowHeight="14.4" x14ac:dyDescent="0.3"/>
  <cols>
    <col min="4" max="6" width="9.33203125" bestFit="1" customWidth="1"/>
    <col min="7" max="7" width="10.109375" bestFit="1" customWidth="1"/>
    <col min="8" max="8" width="9.33203125" bestFit="1" customWidth="1"/>
    <col min="11" max="12" width="10.109375" bestFit="1" customWidth="1"/>
    <col min="13" max="13" width="10.33203125" bestFit="1" customWidth="1"/>
  </cols>
  <sheetData>
    <row r="2" spans="2:8" x14ac:dyDescent="0.3">
      <c r="B2" s="402" t="s">
        <v>789</v>
      </c>
      <c r="C2" s="403"/>
      <c r="D2" s="403"/>
      <c r="E2" s="403"/>
      <c r="F2" s="403"/>
      <c r="G2" s="510"/>
    </row>
    <row r="3" spans="2:8" x14ac:dyDescent="0.3">
      <c r="B3" s="249" t="s">
        <v>174</v>
      </c>
      <c r="C3" s="249" t="s">
        <v>738</v>
      </c>
      <c r="D3" s="249" t="s">
        <v>747</v>
      </c>
      <c r="E3" s="249" t="s">
        <v>740</v>
      </c>
      <c r="F3" s="249" t="s">
        <v>79</v>
      </c>
      <c r="G3" s="249" t="s">
        <v>751</v>
      </c>
    </row>
    <row r="4" spans="2:8" x14ac:dyDescent="0.3">
      <c r="B4" s="244">
        <v>1</v>
      </c>
      <c r="C4" s="88">
        <v>5</v>
      </c>
      <c r="D4" s="88">
        <v>5</v>
      </c>
      <c r="E4" s="88">
        <v>0</v>
      </c>
      <c r="F4" s="88">
        <v>205700</v>
      </c>
      <c r="G4" s="68">
        <v>625</v>
      </c>
    </row>
    <row r="5" spans="2:8" x14ac:dyDescent="0.3">
      <c r="B5" s="244">
        <v>2</v>
      </c>
      <c r="C5" s="88">
        <v>40</v>
      </c>
      <c r="D5" s="88">
        <v>15</v>
      </c>
      <c r="E5" s="88">
        <v>0</v>
      </c>
      <c r="F5" s="88">
        <v>288000</v>
      </c>
      <c r="G5" s="68">
        <v>1250</v>
      </c>
    </row>
    <row r="6" spans="2:8" x14ac:dyDescent="0.3">
      <c r="B6" s="244">
        <v>3</v>
      </c>
      <c r="C6" s="88">
        <v>60</v>
      </c>
      <c r="D6" s="88">
        <v>40</v>
      </c>
      <c r="E6" s="88">
        <v>0</v>
      </c>
      <c r="F6" s="88">
        <v>370000</v>
      </c>
      <c r="G6" s="68">
        <v>3125</v>
      </c>
    </row>
    <row r="7" spans="2:8" x14ac:dyDescent="0.3">
      <c r="B7" s="244">
        <v>4</v>
      </c>
      <c r="C7" s="88">
        <v>80</v>
      </c>
      <c r="D7" s="88">
        <v>100</v>
      </c>
      <c r="E7" s="88">
        <v>0</v>
      </c>
      <c r="F7" s="88">
        <v>452000</v>
      </c>
      <c r="G7" s="68">
        <v>8750</v>
      </c>
    </row>
    <row r="8" spans="2:8" x14ac:dyDescent="0.3">
      <c r="B8" s="244">
        <v>5</v>
      </c>
      <c r="C8" s="88">
        <v>100</v>
      </c>
      <c r="D8" s="88">
        <v>200</v>
      </c>
      <c r="E8" s="88">
        <v>0</v>
      </c>
      <c r="F8" s="88">
        <v>576000</v>
      </c>
      <c r="G8" s="68">
        <v>11250</v>
      </c>
    </row>
    <row r="9" spans="2:8" x14ac:dyDescent="0.3">
      <c r="B9" s="244">
        <v>6</v>
      </c>
      <c r="C9" s="88">
        <v>120</v>
      </c>
      <c r="D9" s="88">
        <v>300</v>
      </c>
      <c r="E9" s="88">
        <v>0</v>
      </c>
      <c r="F9" s="88">
        <v>700000</v>
      </c>
      <c r="G9" s="68">
        <v>12500</v>
      </c>
    </row>
    <row r="10" spans="2:8" x14ac:dyDescent="0.3">
      <c r="B10" s="244">
        <v>7</v>
      </c>
      <c r="C10" s="88">
        <v>140</v>
      </c>
      <c r="D10" s="88">
        <v>400</v>
      </c>
      <c r="E10" s="88">
        <v>0</v>
      </c>
      <c r="F10" s="88">
        <v>824000</v>
      </c>
      <c r="G10" s="68">
        <v>12500</v>
      </c>
    </row>
    <row r="11" spans="2:8" x14ac:dyDescent="0.3">
      <c r="B11" s="244">
        <v>8</v>
      </c>
      <c r="C11" s="88">
        <v>200</v>
      </c>
      <c r="D11" s="88">
        <v>400</v>
      </c>
      <c r="E11" s="88">
        <v>0</v>
      </c>
      <c r="F11" s="88">
        <v>948000</v>
      </c>
      <c r="G11" s="68">
        <v>13000</v>
      </c>
    </row>
    <row r="12" spans="2:8" x14ac:dyDescent="0.3">
      <c r="B12" s="244">
        <v>9</v>
      </c>
      <c r="C12" s="88">
        <v>300</v>
      </c>
      <c r="D12" s="88">
        <v>400</v>
      </c>
      <c r="E12" s="88">
        <v>0</v>
      </c>
      <c r="F12" s="88">
        <v>1072000</v>
      </c>
      <c r="G12" s="68">
        <v>14000</v>
      </c>
    </row>
    <row r="13" spans="2:8" x14ac:dyDescent="0.3">
      <c r="B13" s="244">
        <v>10</v>
      </c>
      <c r="C13" s="88">
        <v>420</v>
      </c>
      <c r="D13" s="88">
        <v>420</v>
      </c>
      <c r="E13" s="88">
        <v>0</v>
      </c>
      <c r="F13" s="88">
        <v>1196000</v>
      </c>
      <c r="G13" s="68">
        <v>15000</v>
      </c>
    </row>
    <row r="14" spans="2:8" x14ac:dyDescent="0.3">
      <c r="B14" s="244">
        <v>11</v>
      </c>
      <c r="C14" s="88">
        <v>560</v>
      </c>
      <c r="D14" s="88">
        <v>420</v>
      </c>
      <c r="E14" s="88">
        <v>0</v>
      </c>
      <c r="F14" s="88">
        <v>1320000</v>
      </c>
      <c r="G14" s="68">
        <v>16000</v>
      </c>
      <c r="H14" s="38"/>
    </row>
    <row r="15" spans="2:8" x14ac:dyDescent="0.3">
      <c r="B15" s="244">
        <v>12</v>
      </c>
      <c r="C15" s="88">
        <v>580</v>
      </c>
      <c r="D15" s="88">
        <v>450</v>
      </c>
      <c r="E15" s="88">
        <v>15</v>
      </c>
      <c r="F15" s="88">
        <v>1536000</v>
      </c>
      <c r="G15" s="68">
        <v>17000</v>
      </c>
      <c r="H15" s="38"/>
    </row>
    <row r="16" spans="2:8" x14ac:dyDescent="0.3">
      <c r="B16" s="244">
        <v>13</v>
      </c>
      <c r="C16" s="88">
        <v>580</v>
      </c>
      <c r="D16" s="88">
        <v>450</v>
      </c>
      <c r="E16" s="88">
        <v>30</v>
      </c>
      <c r="F16" s="88">
        <v>1752000</v>
      </c>
      <c r="G16" s="68">
        <v>18000</v>
      </c>
      <c r="H16" s="38"/>
    </row>
    <row r="17" spans="2:17" x14ac:dyDescent="0.3">
      <c r="B17" s="244">
        <v>14</v>
      </c>
      <c r="C17" s="88">
        <v>600</v>
      </c>
      <c r="D17" s="88">
        <v>500</v>
      </c>
      <c r="E17" s="88">
        <v>45</v>
      </c>
      <c r="F17" s="88">
        <v>1968000</v>
      </c>
      <c r="G17" s="68">
        <v>19000</v>
      </c>
      <c r="H17" s="38"/>
    </row>
    <row r="18" spans="2:17" x14ac:dyDescent="0.3">
      <c r="B18" s="244">
        <v>15</v>
      </c>
      <c r="C18" s="88">
        <v>600</v>
      </c>
      <c r="D18" s="88">
        <v>500</v>
      </c>
      <c r="E18" s="88">
        <v>70</v>
      </c>
      <c r="F18" s="88">
        <v>2184000</v>
      </c>
      <c r="G18" s="68">
        <v>20000</v>
      </c>
      <c r="H18" s="38"/>
    </row>
    <row r="19" spans="2:17" x14ac:dyDescent="0.3">
      <c r="B19" s="245">
        <v>16</v>
      </c>
      <c r="C19" s="83">
        <v>650</v>
      </c>
      <c r="D19" s="83">
        <v>550</v>
      </c>
      <c r="E19" s="83">
        <v>100</v>
      </c>
      <c r="F19" s="83">
        <f>F18-F17+F18</f>
        <v>2400000</v>
      </c>
      <c r="G19" s="70">
        <v>21000</v>
      </c>
      <c r="H19" s="38"/>
    </row>
    <row r="20" spans="2:17" x14ac:dyDescent="0.3">
      <c r="C20" s="38"/>
    </row>
    <row r="21" spans="2:17" x14ac:dyDescent="0.3">
      <c r="C21" s="38"/>
    </row>
    <row r="22" spans="2:17" x14ac:dyDescent="0.3">
      <c r="H22" s="2" t="s">
        <v>738</v>
      </c>
      <c r="I22" s="2" t="s">
        <v>747</v>
      </c>
      <c r="J22" s="2" t="s">
        <v>740</v>
      </c>
      <c r="K22" s="2" t="s">
        <v>790</v>
      </c>
      <c r="L22" s="2" t="s">
        <v>791</v>
      </c>
      <c r="M22" s="2" t="s">
        <v>752</v>
      </c>
    </row>
    <row r="23" spans="2:17" x14ac:dyDescent="0.3">
      <c r="B23" s="559" t="s">
        <v>753</v>
      </c>
      <c r="C23" s="566"/>
      <c r="D23" s="566"/>
      <c r="E23" s="566" t="s">
        <v>760</v>
      </c>
      <c r="F23" s="566"/>
      <c r="G23" s="457"/>
      <c r="H23" s="65" cm="1">
        <f t="array" aca="1" ref="H23" ca="1">IFERROR(IF(INDIRECT($B23,TRUE)&lt;INDIRECT($E23,TRUE),SUM(INDEX($B$4:$G$19,INDIRECT($B23,TRUE)+1,2):INDEX($B$4:$G$19,INDIRECT($E23,TRUE),2)),0),0)</f>
        <v>580</v>
      </c>
      <c r="I23" s="80" cm="1">
        <f t="array" aca="1" ref="I23" ca="1">IFERROR(IF(INDIRECT($B23,TRUE)&lt;INDIRECT($E23,TRUE),SUM(INDEX($B$4:$G$19,INDIRECT($B23,TRUE)+1,3):INDEX($B$4:$G$19,INDIRECT($E23,TRUE),3)),0),0)</f>
        <v>450</v>
      </c>
      <c r="J23" s="80" cm="1">
        <f t="array" aca="1" ref="J23" ca="1">IFERROR(IF(INDIRECT($B23,TRUE)&lt;INDIRECT($E23,TRUE),SUM(INDEX($B$4:$G$19,INDIRECT($B23,TRUE)+1,4):INDEX($B$4:$G$19,INDIRECT($E23,TRUE),4)),0),0)</f>
        <v>30</v>
      </c>
      <c r="K23" s="80" cm="1">
        <f t="array" aca="1" ref="K23" ca="1">IFERROR(VLOOKUP(INDIRECT($B23,TRUE),$B$4:$G$19,5,FALSE),0)</f>
        <v>1536000</v>
      </c>
      <c r="L23" s="80" cm="1">
        <f t="array" aca="1" ref="L23" ca="1">IFERROR(IF(OR(ISBLANK(INDIRECT($E23,TRUE)),INDIRECT($E23,FALSE)&lt;=INDIRECT($B23,FALSE))=TRUE,VLOOKUP(INDIRECT($B23,TRUE),$B$4:$G$19,5,FALSE),VLOOKUP(INDIRECT($E23,TRUE),$B$4:$G$19,5,FALSE)),0)</f>
        <v>1752000</v>
      </c>
      <c r="M23" s="66" cm="1">
        <f t="array" aca="1" ref="M23" ca="1">IFERROR(IF(INDIRECT($B23,TRUE)&lt;INDIRECT($E23,TRUE),SUM(INDEX($B$4:$G$19,INDIRECT($B23,TRUE)+1,6):INDEX($B$4:$G$19,INDIRECT($E23,TRUE),6)),0),0)</f>
        <v>18000</v>
      </c>
    </row>
    <row r="24" spans="2:17" x14ac:dyDescent="0.3">
      <c r="B24" s="561" t="s">
        <v>754</v>
      </c>
      <c r="C24" s="564"/>
      <c r="D24" s="564"/>
      <c r="E24" s="564" t="s">
        <v>761</v>
      </c>
      <c r="F24" s="564"/>
      <c r="G24" s="459"/>
      <c r="H24" s="67" cm="1">
        <f t="array" aca="1" ref="H24" ca="1">IFERROR(IF(INDIRECT($B24,TRUE)&lt;INDIRECT($E24,TRUE),SUM(INDEX($B$4:$G$19,INDIRECT($B24,TRUE)+1,2):INDEX($B$4:$G$19,INDIRECT($E24,TRUE),2)),0),0)</f>
        <v>580</v>
      </c>
      <c r="I24" s="88" cm="1">
        <f t="array" aca="1" ref="I24" ca="1">IFERROR(IF(INDIRECT($B24,TRUE)&lt;INDIRECT($E24,TRUE),SUM(INDEX($B$4:$G$19,INDIRECT($B24,TRUE)+1,3):INDEX($B$4:$G$19,INDIRECT($E24,TRUE),3)),0),0)</f>
        <v>450</v>
      </c>
      <c r="J24" s="88" cm="1">
        <f t="array" aca="1" ref="J24" ca="1">IFERROR(IF(INDIRECT($B24,TRUE)&lt;INDIRECT($E24,TRUE),SUM(INDEX($B$4:$G$19,INDIRECT($B24,TRUE)+1,4):INDEX($B$4:$G$19,INDIRECT($E24,TRUE),4)),0),0)</f>
        <v>30</v>
      </c>
      <c r="K24" s="88" cm="1">
        <f t="array" aca="1" ref="K24" ca="1">IFERROR(VLOOKUP(INDIRECT($B24,TRUE),$B$4:$G$19,5,FALSE),0)</f>
        <v>1536000</v>
      </c>
      <c r="L24" s="88" cm="1">
        <f t="array" aca="1" ref="L24" ca="1">IFERROR(IF(OR(ISBLANK(INDIRECT($E24,TRUE)),INDIRECT($E24,FALSE)&lt;=INDIRECT($B24,FALSE))=TRUE,VLOOKUP(INDIRECT($B24,TRUE),$B$4:$G$19,5,FALSE),VLOOKUP(INDIRECT($E24,TRUE),$B$4:$G$19,5,FALSE)),0)</f>
        <v>1752000</v>
      </c>
      <c r="M24" s="68" cm="1">
        <f t="array" aca="1" ref="M24" ca="1">IFERROR(IF(INDIRECT($B24,TRUE)&lt;INDIRECT($E24,TRUE),SUM(INDEX($B$4:$G$19,INDIRECT($B24,TRUE)+1,6):INDEX($B$4:$G$19,INDIRECT($E24,TRUE),6)),0),0)</f>
        <v>18000</v>
      </c>
    </row>
    <row r="25" spans="2:17" x14ac:dyDescent="0.3">
      <c r="B25" s="560" t="s">
        <v>755</v>
      </c>
      <c r="C25" s="565"/>
      <c r="D25" s="565"/>
      <c r="E25" s="565" t="s">
        <v>778</v>
      </c>
      <c r="F25" s="565"/>
      <c r="G25" s="460"/>
      <c r="H25" s="69" cm="1">
        <f t="array" aca="1" ref="H25" ca="1">IFERROR(IF(INDIRECT($B25,TRUE)&lt;INDIRECT($E25,TRUE),SUM(INDEX($B$4:$G$19,INDIRECT($B25,TRUE)+1,2):INDEX($B$4:$G$19,INDIRECT($E25,TRUE),2)),0),0)</f>
        <v>580</v>
      </c>
      <c r="I25" s="83" cm="1">
        <f t="array" aca="1" ref="I25" ca="1">IFERROR(IF(INDIRECT($B25,TRUE)&lt;INDIRECT($E25,TRUE),SUM(INDEX($B$4:$G$19,INDIRECT($B25,TRUE)+1,3):INDEX($B$4:$G$19,INDIRECT($E25,TRUE),3)),0),0)</f>
        <v>450</v>
      </c>
      <c r="J25" s="83" cm="1">
        <f t="array" aca="1" ref="J25" ca="1">IFERROR(IF(INDIRECT($B25,TRUE)&lt;INDIRECT($E25,TRUE),SUM(INDEX($B$4:$G$19,INDIRECT($B25,TRUE)+1,4):INDEX($B$4:$G$19,INDIRECT($E25,TRUE),4)),0),0)</f>
        <v>30</v>
      </c>
      <c r="K25" s="83" cm="1">
        <f t="array" aca="1" ref="K25" ca="1">IFERROR(VLOOKUP(INDIRECT($B25,TRUE),$B$4:$G$19,5,FALSE),0)</f>
        <v>1536000</v>
      </c>
      <c r="L25" s="83" cm="1">
        <f t="array" aca="1" ref="L25" ca="1">IFERROR(IF(OR(ISBLANK(INDIRECT($E25,TRUE)),INDIRECT($E25,FALSE)&lt;=INDIRECT($B25,FALSE))=TRUE,VLOOKUP(INDIRECT($B25,TRUE),$B$4:$G$19,5,FALSE),VLOOKUP(INDIRECT($E25,TRUE),$B$4:$G$19,5,FALSE)),0)</f>
        <v>1752000</v>
      </c>
      <c r="M25" s="70" cm="1">
        <f t="array" aca="1" ref="M25" ca="1">IFERROR(IF(INDIRECT($B25,TRUE)&lt;INDIRECT($E25,TRUE),SUM(INDEX($B$4:$G$19,INDIRECT($B25,TRUE)+1,6):INDEX($B$4:$G$19,INDIRECT($E25,TRUE),6)),0),0)</f>
        <v>18000</v>
      </c>
    </row>
    <row r="26" spans="2:17" x14ac:dyDescent="0.3">
      <c r="B26" s="559" t="s">
        <v>756</v>
      </c>
      <c r="C26" s="566"/>
      <c r="D26" s="566"/>
      <c r="E26" s="566" t="s">
        <v>762</v>
      </c>
      <c r="F26" s="566"/>
      <c r="G26" s="457"/>
      <c r="H26" s="65" cm="1">
        <f t="array" aca="1" ref="H26" ca="1">IFERROR(IF(INDIRECT($B26,TRUE)&lt;INDIRECT($E26,TRUE),SUM(INDEX($B$4:$G$19,INDIRECT($B26,TRUE)+1,2):INDEX($B$4:$G$19,INDIRECT($E26,TRUE),2)),0),0)</f>
        <v>600</v>
      </c>
      <c r="I26" s="80" cm="1">
        <f t="array" aca="1" ref="I26" ca="1">IFERROR(IF(INDIRECT($B26,TRUE)&lt;INDIRECT($E26,TRUE),SUM(INDEX($B$4:$G$19,INDIRECT($B26,TRUE)+1,3):INDEX($B$4:$G$19,INDIRECT($E26,TRUE),3)),0),0)</f>
        <v>500</v>
      </c>
      <c r="J26" s="80" cm="1">
        <f t="array" aca="1" ref="J26" ca="1">IFERROR(IF(INDIRECT($B26,TRUE)&lt;INDIRECT($E26,TRUE),SUM(INDEX($B$4:$G$19,INDIRECT($B26,TRUE)+1,4):INDEX($B$4:$G$19,INDIRECT($E26,TRUE),4)),0),0)</f>
        <v>70</v>
      </c>
      <c r="K26" s="80" cm="1">
        <f t="array" aca="1" ref="K26" ca="1">IFERROR(VLOOKUP(INDIRECT($B26,TRUE),$B$4:$G$19,5,FALSE),0)</f>
        <v>1968000</v>
      </c>
      <c r="L26" s="80" cm="1">
        <f t="array" aca="1" ref="L26" ca="1">IFERROR(IF(OR(ISBLANK(INDIRECT($E26,TRUE)),INDIRECT($E26,FALSE)&lt;=INDIRECT($B26,FALSE))=TRUE,VLOOKUP(INDIRECT($B26,TRUE),$B$4:$G$19,5,FALSE),VLOOKUP(INDIRECT($E26,TRUE),$B$4:$G$19,5,FALSE)),0)</f>
        <v>2184000</v>
      </c>
      <c r="M26" s="66" cm="1">
        <f t="array" aca="1" ref="M26" ca="1">IFERROR(IF(INDIRECT($B26,TRUE)&lt;INDIRECT($E26,TRUE),SUM(INDEX($B$4:$G$19,INDIRECT($B26,TRUE)+1,6):INDEX($B$4:$G$19,INDIRECT($E26,TRUE),6)),0),0)</f>
        <v>20000</v>
      </c>
      <c r="Q26" s="38"/>
    </row>
    <row r="27" spans="2:17" x14ac:dyDescent="0.3">
      <c r="B27" s="561" t="s">
        <v>757</v>
      </c>
      <c r="C27" s="564"/>
      <c r="D27" s="564"/>
      <c r="E27" s="564" t="s">
        <v>763</v>
      </c>
      <c r="F27" s="564"/>
      <c r="G27" s="459"/>
      <c r="H27" s="67" cm="1">
        <f t="array" aca="1" ref="H27" ca="1">IFERROR(IF(INDIRECT($B27,TRUE)&lt;INDIRECT($E27,TRUE),SUM(INDEX($B$4:$G$19,INDIRECT($B27,TRUE)+1,2):INDEX($B$4:$G$19,INDIRECT($E27,TRUE),2)),0),0)</f>
        <v>600</v>
      </c>
      <c r="I27" s="88" cm="1">
        <f t="array" aca="1" ref="I27" ca="1">IFERROR(IF(INDIRECT($B27,TRUE)&lt;INDIRECT($E27,TRUE),SUM(INDEX($B$4:$G$19,INDIRECT($B27,TRUE)+1,3):INDEX($B$4:$G$19,INDIRECT($E27,TRUE),3)),0),0)</f>
        <v>500</v>
      </c>
      <c r="J27" s="88" cm="1">
        <f t="array" aca="1" ref="J27" ca="1">IFERROR(IF(INDIRECT($B27,TRUE)&lt;INDIRECT($E27,TRUE),SUM(INDEX($B$4:$G$19,INDIRECT($B27,TRUE)+1,4):INDEX($B$4:$G$19,INDIRECT($E27,TRUE),4)),0),0)</f>
        <v>70</v>
      </c>
      <c r="K27" s="88" cm="1">
        <f t="array" aca="1" ref="K27" ca="1">IFERROR(VLOOKUP(INDIRECT($B27,TRUE),$B$4:$G$19,5,FALSE),0)</f>
        <v>1968000</v>
      </c>
      <c r="L27" s="88" cm="1">
        <f t="array" aca="1" ref="L27" ca="1">IFERROR(IF(OR(ISBLANK(INDIRECT($E27,TRUE)),INDIRECT($E27,FALSE)&lt;=INDIRECT($B27,FALSE))=TRUE,VLOOKUP(INDIRECT($B27,TRUE),$B$4:$G$19,5,FALSE),VLOOKUP(INDIRECT($E27,TRUE),$B$4:$G$19,5,FALSE)),0)</f>
        <v>2184000</v>
      </c>
      <c r="M27" s="68" cm="1">
        <f t="array" aca="1" ref="M27" ca="1">IFERROR(IF(INDIRECT($B27,TRUE)&lt;INDIRECT($E27,TRUE),SUM(INDEX($B$4:$G$19,INDIRECT($B27,TRUE)+1,6):INDEX($B$4:$G$19,INDIRECT($E27,TRUE),6)),0),0)</f>
        <v>20000</v>
      </c>
    </row>
    <row r="28" spans="2:17" x14ac:dyDescent="0.3">
      <c r="B28" s="560" t="s">
        <v>758</v>
      </c>
      <c r="C28" s="565"/>
      <c r="D28" s="565"/>
      <c r="E28" s="565" t="s">
        <v>764</v>
      </c>
      <c r="F28" s="565"/>
      <c r="G28" s="460"/>
      <c r="H28" s="69" cm="1">
        <f t="array" aca="1" ref="H28" ca="1">IFERROR(IF(INDIRECT($B28,TRUE)&lt;INDIRECT($E28,TRUE),SUM(INDEX($B$4:$G$19,INDIRECT($B28,TRUE)+1,2):INDEX($B$4:$G$19,INDIRECT($E28,TRUE),2)),0),0)</f>
        <v>600</v>
      </c>
      <c r="I28" s="83" cm="1">
        <f t="array" aca="1" ref="I28" ca="1">IFERROR(IF(INDIRECT($B28,TRUE)&lt;INDIRECT($E28,TRUE),SUM(INDEX($B$4:$G$19,INDIRECT($B28,TRUE)+1,3):INDEX($B$4:$G$19,INDIRECT($E28,TRUE),3)),0),0)</f>
        <v>500</v>
      </c>
      <c r="J28" s="83" cm="1">
        <f t="array" aca="1" ref="J28" ca="1">IFERROR(IF(INDIRECT($B28,TRUE)&lt;INDIRECT($E28,TRUE),SUM(INDEX($B$4:$G$19,INDIRECT($B28,TRUE)+1,4):INDEX($B$4:$G$19,INDIRECT($E28,TRUE),4)),0),0)</f>
        <v>70</v>
      </c>
      <c r="K28" s="83" cm="1">
        <f t="array" aca="1" ref="K28" ca="1">IFERROR(VLOOKUP(INDIRECT($B28,TRUE),$B$4:$G$19,5,FALSE),0)</f>
        <v>1968000</v>
      </c>
      <c r="L28" s="83" cm="1">
        <f t="array" aca="1" ref="L28" ca="1">IFERROR(IF(OR(ISBLANK(INDIRECT($E28,TRUE)),INDIRECT($E28,FALSE)&lt;=INDIRECT($B28,FALSE))=TRUE,VLOOKUP(INDIRECT($B28,TRUE),$B$4:$G$19,5,FALSE),VLOOKUP(INDIRECT($E28,TRUE),$B$4:$G$19,5,FALSE)),0)</f>
        <v>2184000</v>
      </c>
      <c r="M28" s="70" cm="1">
        <f t="array" aca="1" ref="M28" ca="1">IFERROR(IF(INDIRECT($B28,TRUE)&lt;INDIRECT($E28,TRUE),SUM(INDEX($B$4:$G$19,INDIRECT($B28,TRUE)+1,6):INDEX($B$4:$G$19,INDIRECT($E28,TRUE),6)),0),0)</f>
        <v>20000</v>
      </c>
    </row>
    <row r="29" spans="2:17" x14ac:dyDescent="0.3">
      <c r="B29" s="559" t="s">
        <v>759</v>
      </c>
      <c r="C29" s="566"/>
      <c r="D29" s="566"/>
      <c r="E29" s="566" t="s">
        <v>765</v>
      </c>
      <c r="F29" s="566"/>
      <c r="G29" s="457"/>
      <c r="H29" s="65" cm="1">
        <f t="array" aca="1" ref="H29" ca="1">IFERROR(IF(INDIRECT($B29,TRUE)&lt;INDIRECT($E29,TRUE),SUM(INDEX($B$4:$G$19,INDIRECT($B29,TRUE)+1,2):INDEX($B$4:$G$19,INDIRECT($E29,TRUE),2)),0),0)</f>
        <v>600</v>
      </c>
      <c r="I29" s="80" cm="1">
        <f t="array" aca="1" ref="I29" ca="1">IFERROR(IF(INDIRECT($B29,TRUE)&lt;INDIRECT($E29,TRUE),SUM(INDEX($B$4:$G$19,INDIRECT($B29,TRUE)+1,3):INDEX($B$4:$G$19,INDIRECT($E29,TRUE),3)),0),0)</f>
        <v>500</v>
      </c>
      <c r="J29" s="80" cm="1">
        <f t="array" aca="1" ref="J29" ca="1">IFERROR(IF(INDIRECT($B29,TRUE)&lt;INDIRECT($E29,TRUE),SUM(INDEX($B$4:$G$19,INDIRECT($B29,TRUE)+1,4):INDEX($B$4:$G$19,INDIRECT($E29,TRUE),4)),0),0)</f>
        <v>45</v>
      </c>
      <c r="K29" s="80" cm="1">
        <f t="array" aca="1" ref="K29" ca="1">IFERROR(VLOOKUP(INDIRECT($B29,TRUE),$B$4:$G$19,5,FALSE),0)</f>
        <v>1752000</v>
      </c>
      <c r="L29" s="80" cm="1">
        <f t="array" aca="1" ref="L29" ca="1">IFERROR(IF(OR(ISBLANK(INDIRECT($E29,TRUE)),INDIRECT($E29,FALSE)&lt;=INDIRECT($B29,FALSE))=TRUE,VLOOKUP(INDIRECT($B29,TRUE),$B$4:$G$19,5,FALSE),VLOOKUP(INDIRECT($E29,TRUE),$B$4:$G$19,5,FALSE)),0)</f>
        <v>1968000</v>
      </c>
      <c r="M29" s="66" cm="1">
        <f t="array" aca="1" ref="M29" ca="1">IFERROR(IF(INDIRECT($B29,TRUE)&lt;INDIRECT($E29,TRUE),SUM(INDEX($B$4:$G$19,INDIRECT($B29,TRUE)+1,6):INDEX($B$4:$G$19,INDIRECT($E29,TRUE),6)),0),0)</f>
        <v>19000</v>
      </c>
    </row>
    <row r="30" spans="2:17" x14ac:dyDescent="0.3">
      <c r="B30" s="561" t="s">
        <v>766</v>
      </c>
      <c r="C30" s="564"/>
      <c r="D30" s="564"/>
      <c r="E30" s="564" t="s">
        <v>767</v>
      </c>
      <c r="F30" s="564"/>
      <c r="G30" s="459"/>
      <c r="H30" s="67" cm="1">
        <f t="array" aca="1" ref="H30" ca="1">IFERROR(IF(INDIRECT($B30,TRUE)&lt;INDIRECT($E30,TRUE),SUM(INDEX($B$4:$G$19,INDIRECT($B30,TRUE)+1,2):INDEX($B$4:$G$19,INDIRECT($E30,TRUE),2)),0),0)</f>
        <v>600</v>
      </c>
      <c r="I30" s="88" cm="1">
        <f t="array" aca="1" ref="I30" ca="1">IFERROR(IF(INDIRECT($B30,TRUE)&lt;INDIRECT($E30,TRUE),SUM(INDEX($B$4:$G$19,INDIRECT($B30,TRUE)+1,3):INDEX($B$4:$G$19,INDIRECT($E30,TRUE),3)),0),0)</f>
        <v>500</v>
      </c>
      <c r="J30" s="88" cm="1">
        <f t="array" aca="1" ref="J30" ca="1">IFERROR(IF(INDIRECT($B30,TRUE)&lt;INDIRECT($E30,TRUE),SUM(INDEX($B$4:$G$19,INDIRECT($B30,TRUE)+1,4):INDEX($B$4:$G$19,INDIRECT($E30,TRUE),4)),0),0)</f>
        <v>45</v>
      </c>
      <c r="K30" s="88" cm="1">
        <f t="array" aca="1" ref="K30" ca="1">IFERROR(VLOOKUP(INDIRECT($B30,TRUE),$B$4:$G$19,5,FALSE),0)</f>
        <v>1752000</v>
      </c>
      <c r="L30" s="88" cm="1">
        <f t="array" aca="1" ref="L30" ca="1">IFERROR(IF(OR(ISBLANK(INDIRECT($E30,TRUE)),INDIRECT($E30,FALSE)&lt;=INDIRECT($B30,FALSE))=TRUE,VLOOKUP(INDIRECT($B30,TRUE),$B$4:$G$19,5,FALSE),VLOOKUP(INDIRECT($E30,TRUE),$B$4:$G$19,5,FALSE)),0)</f>
        <v>1968000</v>
      </c>
      <c r="M30" s="68" cm="1">
        <f t="array" aca="1" ref="M30" ca="1">IFERROR(IF(INDIRECT($B30,TRUE)&lt;INDIRECT($E30,TRUE),SUM(INDEX($B$4:$G$19,INDIRECT($B30,TRUE)+1,6):INDEX($B$4:$G$19,INDIRECT($E30,TRUE),6)),0),0)</f>
        <v>19000</v>
      </c>
    </row>
    <row r="31" spans="2:17" x14ac:dyDescent="0.3">
      <c r="B31" s="560" t="s">
        <v>768</v>
      </c>
      <c r="C31" s="565"/>
      <c r="D31" s="565"/>
      <c r="E31" s="565" t="s">
        <v>779</v>
      </c>
      <c r="F31" s="565"/>
      <c r="G31" s="460"/>
      <c r="H31" s="69" cm="1">
        <f t="array" aca="1" ref="H31" ca="1">IFERROR(IF(INDIRECT($B31,TRUE)&lt;INDIRECT($E31,TRUE),SUM(INDEX($B$4:$G$19,INDIRECT($B31,TRUE)+1,2):INDEX($B$4:$G$19,INDIRECT($E31,TRUE),2)),0),0)</f>
        <v>600</v>
      </c>
      <c r="I31" s="83" cm="1">
        <f t="array" aca="1" ref="I31" ca="1">IFERROR(IF(INDIRECT($B31,TRUE)&lt;INDIRECT($E31,TRUE),SUM(INDEX($B$4:$G$19,INDIRECT($B31,TRUE)+1,3):INDEX($B$4:$G$19,INDIRECT($E31,TRUE),3)),0),0)</f>
        <v>500</v>
      </c>
      <c r="J31" s="83" cm="1">
        <f t="array" aca="1" ref="J31" ca="1">IFERROR(IF(INDIRECT($B31,TRUE)&lt;INDIRECT($E31,TRUE),SUM(INDEX($B$4:$G$19,INDIRECT($B31,TRUE)+1,4):INDEX($B$4:$G$19,INDIRECT($E31,TRUE),4)),0),0)</f>
        <v>45</v>
      </c>
      <c r="K31" s="83" cm="1">
        <f t="array" aca="1" ref="K31" ca="1">IFERROR(VLOOKUP(INDIRECT($B31,TRUE),$B$4:$G$19,5,FALSE),0)</f>
        <v>1752000</v>
      </c>
      <c r="L31" s="83" cm="1">
        <f t="array" aca="1" ref="L31" ca="1">IFERROR(IF(OR(ISBLANK(INDIRECT($E31,TRUE)),INDIRECT($E31,FALSE)&lt;=INDIRECT($B31,FALSE))=TRUE,VLOOKUP(INDIRECT($B31,TRUE),$B$4:$G$19,5,FALSE),VLOOKUP(INDIRECT($E31,TRUE),$B$4:$G$19,5,FALSE)),0)</f>
        <v>1968000</v>
      </c>
      <c r="M31" s="70" cm="1">
        <f t="array" aca="1" ref="M31" ca="1">IFERROR(IF(INDIRECT($B31,TRUE)&lt;INDIRECT($E31,TRUE),SUM(INDEX($B$4:$G$19,INDIRECT($B31,TRUE)+1,6):INDEX($B$4:$G$19,INDIRECT($E31,TRUE),6)),0),0)</f>
        <v>19000</v>
      </c>
    </row>
    <row r="32" spans="2:17" x14ac:dyDescent="0.3">
      <c r="B32" s="559" t="s">
        <v>769</v>
      </c>
      <c r="C32" s="566"/>
      <c r="D32" s="566"/>
      <c r="E32" s="566" t="s">
        <v>780</v>
      </c>
      <c r="F32" s="566"/>
      <c r="G32" s="457"/>
      <c r="H32" s="65" cm="1">
        <f t="array" aca="1" ref="H32" ca="1">IFERROR(IF(INDIRECT($B32,TRUE)&lt;INDIRECT($E32,TRUE),SUM(INDEX($B$4:$G$19,INDIRECT($B32,TRUE)+1,2):INDEX($B$4:$G$19,INDIRECT($E32,TRUE),2)),0),0)</f>
        <v>0</v>
      </c>
      <c r="I32" s="80" cm="1">
        <f t="array" aca="1" ref="I32" ca="1">IFERROR(IF(INDIRECT($B32,TRUE)&lt;INDIRECT($E32,TRUE),SUM(INDEX($B$4:$G$19,INDIRECT($B32,TRUE)+1,3):INDEX($B$4:$G$19,INDIRECT($E32,TRUE),3)),0),0)</f>
        <v>0</v>
      </c>
      <c r="J32" s="80" cm="1">
        <f t="array" aca="1" ref="J32" ca="1">IFERROR(IF(INDIRECT($B32,TRUE)&lt;INDIRECT($E32,TRUE),SUM(INDEX($B$4:$G$19,INDIRECT($B32,TRUE)+1,4):INDEX($B$4:$G$19,INDIRECT($E32,TRUE),4)),0),0)</f>
        <v>0</v>
      </c>
      <c r="K32" s="80" cm="1">
        <f t="array" aca="1" ref="K32" ca="1">IFERROR(VLOOKUP(INDIRECT($B32,TRUE),$B$4:$G$19,5,FALSE),0)</f>
        <v>1536000</v>
      </c>
      <c r="L32" s="80" cm="1">
        <f t="array" aca="1" ref="L32" ca="1">IFERROR(IF(OR(ISBLANK(INDIRECT($E32,TRUE)),INDIRECT($E32,FALSE)&lt;=INDIRECT($B32,FALSE))=TRUE,VLOOKUP(INDIRECT($B32,TRUE),$B$4:$G$19,5,FALSE),VLOOKUP(INDIRECT($E32,TRUE),$B$4:$G$19,5,FALSE)),0)</f>
        <v>1536000</v>
      </c>
      <c r="M32" s="66" cm="1">
        <f t="array" aca="1" ref="M32" ca="1">IFERROR(IF(INDIRECT($B32,TRUE)&lt;INDIRECT($E32,TRUE),SUM(INDEX($B$4:$G$19,INDIRECT($B32,TRUE)+1,6):INDEX($B$4:$G$19,INDIRECT($E32,TRUE),6)),0),0)</f>
        <v>0</v>
      </c>
    </row>
    <row r="33" spans="2:13" x14ac:dyDescent="0.3">
      <c r="B33" s="561" t="s">
        <v>770</v>
      </c>
      <c r="C33" s="564"/>
      <c r="D33" s="564"/>
      <c r="E33" s="564" t="s">
        <v>781</v>
      </c>
      <c r="F33" s="564"/>
      <c r="G33" s="459"/>
      <c r="H33" s="67" cm="1">
        <f t="array" aca="1" ref="H33" ca="1">IFERROR(IF(INDIRECT($B33,TRUE)&lt;INDIRECT($E33,TRUE),SUM(INDEX($B$4:$G$19,INDIRECT($B33,TRUE)+1,2):INDEX($B$4:$G$19,INDIRECT($E33,TRUE),2)),0),0)</f>
        <v>0</v>
      </c>
      <c r="I33" s="88" cm="1">
        <f t="array" aca="1" ref="I33" ca="1">IFERROR(IF(INDIRECT($B33,TRUE)&lt;INDIRECT($E33,TRUE),SUM(INDEX($B$4:$G$19,INDIRECT($B33,TRUE)+1,3):INDEX($B$4:$G$19,INDIRECT($E33,TRUE),3)),0),0)</f>
        <v>0</v>
      </c>
      <c r="J33" s="88" cm="1">
        <f t="array" aca="1" ref="J33" ca="1">IFERROR(IF(INDIRECT($B33,TRUE)&lt;INDIRECT($E33,TRUE),SUM(INDEX($B$4:$G$19,INDIRECT($B33,TRUE)+1,4):INDEX($B$4:$G$19,INDIRECT($E33,TRUE),4)),0),0)</f>
        <v>0</v>
      </c>
      <c r="K33" s="88" cm="1">
        <f t="array" aca="1" ref="K33" ca="1">IFERROR(VLOOKUP(INDIRECT($B33,TRUE),$B$4:$G$19,5,FALSE),0)</f>
        <v>1536000</v>
      </c>
      <c r="L33" s="88" cm="1">
        <f t="array" aca="1" ref="L33" ca="1">IFERROR(IF(OR(ISBLANK(INDIRECT($E33,TRUE)),INDIRECT($E33,FALSE)&lt;=INDIRECT($B33,FALSE))=TRUE,VLOOKUP(INDIRECT($B33,TRUE),$B$4:$G$19,5,FALSE),VLOOKUP(INDIRECT($E33,TRUE),$B$4:$G$19,5,FALSE)),0)</f>
        <v>1536000</v>
      </c>
      <c r="M33" s="68" cm="1">
        <f t="array" aca="1" ref="M33" ca="1">IFERROR(IF(INDIRECT($B33,TRUE)&lt;INDIRECT($E33,TRUE),SUM(INDEX($B$4:$G$19,INDIRECT($B33,TRUE)+1,6):INDEX($B$4:$G$19,INDIRECT($E33,TRUE),6)),0),0)</f>
        <v>0</v>
      </c>
    </row>
    <row r="34" spans="2:13" x14ac:dyDescent="0.3">
      <c r="B34" s="560" t="s">
        <v>771</v>
      </c>
      <c r="C34" s="565"/>
      <c r="D34" s="565"/>
      <c r="E34" s="565" t="s">
        <v>782</v>
      </c>
      <c r="F34" s="565"/>
      <c r="G34" s="460"/>
      <c r="H34" s="69" cm="1">
        <f t="array" aca="1" ref="H34" ca="1">IFERROR(IF(INDIRECT($B34,TRUE)&lt;INDIRECT($E34,TRUE),SUM(INDEX($B$4:$G$19,INDIRECT($B34,TRUE)+1,2):INDEX($B$4:$G$19,INDIRECT($E34,TRUE),2)),0),0)</f>
        <v>0</v>
      </c>
      <c r="I34" s="83" cm="1">
        <f t="array" aca="1" ref="I34" ca="1">IFERROR(IF(INDIRECT($B34,TRUE)&lt;INDIRECT($E34,TRUE),SUM(INDEX($B$4:$G$19,INDIRECT($B34,TRUE)+1,3):INDEX($B$4:$G$19,INDIRECT($E34,TRUE),3)),0),0)</f>
        <v>0</v>
      </c>
      <c r="J34" s="83" cm="1">
        <f t="array" aca="1" ref="J34" ca="1">IFERROR(IF(INDIRECT($B34,TRUE)&lt;INDIRECT($E34,TRUE),SUM(INDEX($B$4:$G$19,INDIRECT($B34,TRUE)+1,4):INDEX($B$4:$G$19,INDIRECT($E34,TRUE),4)),0),0)</f>
        <v>0</v>
      </c>
      <c r="K34" s="83" cm="1">
        <f t="array" aca="1" ref="K34" ca="1">IFERROR(VLOOKUP(INDIRECT($B34,TRUE),$B$4:$G$19,5,FALSE),0)</f>
        <v>1536000</v>
      </c>
      <c r="L34" s="83" cm="1">
        <f t="array" aca="1" ref="L34" ca="1">IFERROR(IF(OR(ISBLANK(INDIRECT($E34,TRUE)),INDIRECT($E34,FALSE)&lt;=INDIRECT($B34,FALSE))=TRUE,VLOOKUP(INDIRECT($B34,TRUE),$B$4:$G$19,5,FALSE),VLOOKUP(INDIRECT($E34,TRUE),$B$4:$G$19,5,FALSE)),0)</f>
        <v>1536000</v>
      </c>
      <c r="M34" s="70" cm="1">
        <f t="array" aca="1" ref="M34" ca="1">IFERROR(IF(INDIRECT($B34,TRUE)&lt;INDIRECT($E34,TRUE),SUM(INDEX($B$4:$G$19,INDIRECT($B34,TRUE)+1,6):INDEX($B$4:$G$19,INDIRECT($E34,TRUE),6)),0),0)</f>
        <v>0</v>
      </c>
    </row>
    <row r="35" spans="2:13" x14ac:dyDescent="0.3">
      <c r="B35" s="559" t="s">
        <v>772</v>
      </c>
      <c r="C35" s="566"/>
      <c r="D35" s="566"/>
      <c r="E35" s="566" t="s">
        <v>783</v>
      </c>
      <c r="F35" s="566"/>
      <c r="G35" s="457"/>
      <c r="H35" s="65" cm="1">
        <f t="array" aca="1" ref="H35" ca="1">IFERROR(IF(INDIRECT($B35,TRUE)&lt;INDIRECT($E35,TRUE),SUM(INDEX($B$4:$G$19,INDIRECT($B35,TRUE)+1,2):INDEX($B$4:$G$19,INDIRECT($E35,TRUE),2)),0),0)</f>
        <v>600</v>
      </c>
      <c r="I35" s="80" cm="1">
        <f t="array" aca="1" ref="I35" ca="1">IFERROR(IF(INDIRECT($B35,TRUE)&lt;INDIRECT($E35,TRUE),SUM(INDEX($B$4:$G$19,INDIRECT($B35,TRUE)+1,3):INDEX($B$4:$G$19,INDIRECT($E35,TRUE),3)),0),0)</f>
        <v>500</v>
      </c>
      <c r="J35" s="80" cm="1">
        <f t="array" aca="1" ref="J35" ca="1">IFERROR(IF(INDIRECT($B35,TRUE)&lt;INDIRECT($E35,TRUE),SUM(INDEX($B$4:$G$19,INDIRECT($B35,TRUE)+1,4):INDEX($B$4:$G$19,INDIRECT($E35,TRUE),4)),0),0)</f>
        <v>70</v>
      </c>
      <c r="K35" s="80" cm="1">
        <f t="array" aca="1" ref="K35" ca="1">IFERROR(VLOOKUP(INDIRECT($B35,TRUE),$B$4:$G$19,5,FALSE),0)</f>
        <v>1968000</v>
      </c>
      <c r="L35" s="80" cm="1">
        <f t="array" aca="1" ref="L35" ca="1">IFERROR(IF(OR(ISBLANK(INDIRECT($E35,TRUE)),INDIRECT($E35,FALSE)&lt;=INDIRECT($B35,FALSE))=TRUE,VLOOKUP(INDIRECT($B35,TRUE),$B$4:$G$19,5,FALSE),VLOOKUP(INDIRECT($E35,TRUE),$B$4:$G$19,5,FALSE)),0)</f>
        <v>2184000</v>
      </c>
      <c r="M35" s="66" cm="1">
        <f t="array" aca="1" ref="M35" ca="1">IFERROR(IF(INDIRECT($B35,TRUE)&lt;INDIRECT($E35,TRUE),SUM(INDEX($B$4:$G$19,INDIRECT($B35,TRUE)+1,6):INDEX($B$4:$G$19,INDIRECT($E35,TRUE),6)),0),0)</f>
        <v>20000</v>
      </c>
    </row>
    <row r="36" spans="2:13" x14ac:dyDescent="0.3">
      <c r="B36" s="561" t="s">
        <v>773</v>
      </c>
      <c r="C36" s="564"/>
      <c r="D36" s="564"/>
      <c r="E36" s="564" t="s">
        <v>784</v>
      </c>
      <c r="F36" s="564"/>
      <c r="G36" s="459"/>
      <c r="H36" s="67" cm="1">
        <f t="array" aca="1" ref="H36" ca="1">IFERROR(IF(INDIRECT($B36,TRUE)&lt;INDIRECT($E36,TRUE),SUM(INDEX($B$4:$G$19,INDIRECT($B36,TRUE)+1,2):INDEX($B$4:$G$19,INDIRECT($E36,TRUE),2)),0),0)</f>
        <v>600</v>
      </c>
      <c r="I36" s="88" cm="1">
        <f t="array" aca="1" ref="I36" ca="1">IFERROR(IF(INDIRECT($B36,TRUE)&lt;INDIRECT($E36,TRUE),SUM(INDEX($B$4:$G$19,INDIRECT($B36,TRUE)+1,3):INDEX($B$4:$G$19,INDIRECT($E36,TRUE),3)),0),0)</f>
        <v>500</v>
      </c>
      <c r="J36" s="88" cm="1">
        <f t="array" aca="1" ref="J36" ca="1">IFERROR(IF(INDIRECT($B36,TRUE)&lt;INDIRECT($E36,TRUE),SUM(INDEX($B$4:$G$19,INDIRECT($B36,TRUE)+1,4):INDEX($B$4:$G$19,INDIRECT($E36,TRUE),4)),0),0)</f>
        <v>70</v>
      </c>
      <c r="K36" s="88" cm="1">
        <f t="array" aca="1" ref="K36" ca="1">IFERROR(VLOOKUP(INDIRECT($B36,TRUE),$B$4:$G$19,5,FALSE),0)</f>
        <v>1968000</v>
      </c>
      <c r="L36" s="88" cm="1">
        <f t="array" aca="1" ref="L36" ca="1">IFERROR(IF(OR(ISBLANK(INDIRECT($E36,TRUE)),INDIRECT($E36,FALSE)&lt;=INDIRECT($B36,FALSE))=TRUE,VLOOKUP(INDIRECT($B36,TRUE),$B$4:$G$19,5,FALSE),VLOOKUP(INDIRECT($E36,TRUE),$B$4:$G$19,5,FALSE)),0)</f>
        <v>2184000</v>
      </c>
      <c r="M36" s="68" cm="1">
        <f t="array" aca="1" ref="M36" ca="1">IFERROR(IF(INDIRECT($B36,TRUE)&lt;INDIRECT($E36,TRUE),SUM(INDEX($B$4:$G$19,INDIRECT($B36,TRUE)+1,6):INDEX($B$4:$G$19,INDIRECT($E36,TRUE),6)),0),0)</f>
        <v>20000</v>
      </c>
    </row>
    <row r="37" spans="2:13" x14ac:dyDescent="0.3">
      <c r="B37" s="560" t="s">
        <v>774</v>
      </c>
      <c r="C37" s="565"/>
      <c r="D37" s="565"/>
      <c r="E37" s="565" t="s">
        <v>785</v>
      </c>
      <c r="F37" s="565"/>
      <c r="G37" s="460"/>
      <c r="H37" s="69" cm="1">
        <f t="array" aca="1" ref="H37" ca="1">IFERROR(IF(INDIRECT($B37,TRUE)&lt;INDIRECT($E37,TRUE),SUM(INDEX($B$4:$G$19,INDIRECT($B37,TRUE)+1,2):INDEX($B$4:$G$19,INDIRECT($E37,TRUE),2)),0),0)</f>
        <v>600</v>
      </c>
      <c r="I37" s="83" cm="1">
        <f t="array" aca="1" ref="I37" ca="1">IFERROR(IF(INDIRECT($B37,TRUE)&lt;INDIRECT($E37,TRUE),SUM(INDEX($B$4:$G$19,INDIRECT($B37,TRUE)+1,3):INDEX($B$4:$G$19,INDIRECT($E37,TRUE),3)),0),0)</f>
        <v>500</v>
      </c>
      <c r="J37" s="83" cm="1">
        <f t="array" aca="1" ref="J37" ca="1">IFERROR(IF(INDIRECT($B37,TRUE)&lt;INDIRECT($E37,TRUE),SUM(INDEX($B$4:$G$19,INDIRECT($B37,TRUE)+1,4):INDEX($B$4:$G$19,INDIRECT($E37,TRUE),4)),0),0)</f>
        <v>70</v>
      </c>
      <c r="K37" s="83" cm="1">
        <f t="array" aca="1" ref="K37" ca="1">IFERROR(VLOOKUP(INDIRECT($B37,TRUE),$B$4:$G$19,5,FALSE),0)</f>
        <v>1968000</v>
      </c>
      <c r="L37" s="83" cm="1">
        <f t="array" aca="1" ref="L37" ca="1">IFERROR(IF(OR(ISBLANK(INDIRECT($E37,TRUE)),INDIRECT($E37,FALSE)&lt;=INDIRECT($B37,FALSE))=TRUE,VLOOKUP(INDIRECT($B37,TRUE),$B$4:$G$19,5,FALSE),VLOOKUP(INDIRECT($E37,TRUE),$B$4:$G$19,5,FALSE)),0)</f>
        <v>2184000</v>
      </c>
      <c r="M37" s="70" cm="1">
        <f t="array" aca="1" ref="M37" ca="1">IFERROR(IF(INDIRECT($B37,TRUE)&lt;INDIRECT($E37,TRUE),SUM(INDEX($B$4:$G$19,INDIRECT($B37,TRUE)+1,6):INDEX($B$4:$G$19,INDIRECT($E37,TRUE),6)),0),0)</f>
        <v>20000</v>
      </c>
    </row>
    <row r="38" spans="2:13" x14ac:dyDescent="0.3">
      <c r="B38" s="559" t="s">
        <v>775</v>
      </c>
      <c r="C38" s="566"/>
      <c r="D38" s="566"/>
      <c r="E38" s="566" t="s">
        <v>786</v>
      </c>
      <c r="F38" s="566"/>
      <c r="G38" s="457"/>
      <c r="H38" s="65" cm="1">
        <f t="array" aca="1" ref="H38" ca="1">IFERROR(IF(INDIRECT($B38,TRUE)&lt;INDIRECT($E38,TRUE),SUM(INDEX($B$4:$G$19,INDIRECT($B38,TRUE)+1,2):INDEX($B$4:$G$19,INDIRECT($E38,TRUE),2)),0),0)</f>
        <v>600</v>
      </c>
      <c r="I38" s="80" cm="1">
        <f t="array" aca="1" ref="I38" ca="1">IFERROR(IF(INDIRECT($B38,TRUE)&lt;INDIRECT($E38,TRUE),SUM(INDEX($B$4:$G$19,INDIRECT($B38,TRUE)+1,3):INDEX($B$4:$G$19,INDIRECT($E38,TRUE),3)),0),0)</f>
        <v>500</v>
      </c>
      <c r="J38" s="80" cm="1">
        <f t="array" aca="1" ref="J38" ca="1">IFERROR(IF(INDIRECT($B38,TRUE)&lt;INDIRECT($E38,TRUE),SUM(INDEX($B$4:$G$19,INDIRECT($B38,TRUE)+1,4):INDEX($B$4:$G$19,INDIRECT($E38,TRUE),4)),0),0)</f>
        <v>45</v>
      </c>
      <c r="K38" s="80" cm="1">
        <f t="array" aca="1" ref="K38" ca="1">IFERROR(VLOOKUP(INDIRECT($B38,TRUE),$B$4:$G$19,5,FALSE),0)</f>
        <v>1752000</v>
      </c>
      <c r="L38" s="80" cm="1">
        <f t="array" aca="1" ref="L38" ca="1">IFERROR(IF(OR(ISBLANK(INDIRECT($E38,TRUE)),INDIRECT($E38,FALSE)&lt;=INDIRECT($B38,FALSE))=TRUE,VLOOKUP(INDIRECT($B38,TRUE),$B$4:$G$19,5,FALSE),VLOOKUP(INDIRECT($E38,TRUE),$B$4:$G$19,5,FALSE)),0)</f>
        <v>1968000</v>
      </c>
      <c r="M38" s="66" cm="1">
        <f t="array" aca="1" ref="M38" ca="1">IFERROR(IF(INDIRECT($B38,TRUE)&lt;INDIRECT($E38,TRUE),SUM(INDEX($B$4:$G$19,INDIRECT($B38,TRUE)+1,6):INDEX($B$4:$G$19,INDIRECT($E38,TRUE),6)),0),0)</f>
        <v>19000</v>
      </c>
    </row>
    <row r="39" spans="2:13" x14ac:dyDescent="0.3">
      <c r="B39" s="561" t="s">
        <v>776</v>
      </c>
      <c r="C39" s="564"/>
      <c r="D39" s="564"/>
      <c r="E39" s="564" t="s">
        <v>787</v>
      </c>
      <c r="F39" s="564"/>
      <c r="G39" s="459"/>
      <c r="H39" s="67" cm="1">
        <f t="array" aca="1" ref="H39" ca="1">IFERROR(IF(INDIRECT($B39,TRUE)&lt;INDIRECT($E39,TRUE),SUM(INDEX($B$4:$G$19,INDIRECT($B39,TRUE)+1,2):INDEX($B$4:$G$19,INDIRECT($E39,TRUE),2)),0),0)</f>
        <v>600</v>
      </c>
      <c r="I39" s="88" cm="1">
        <f t="array" aca="1" ref="I39" ca="1">IFERROR(IF(INDIRECT($B39,TRUE)&lt;INDIRECT($E39,TRUE),SUM(INDEX($B$4:$G$19,INDIRECT($B39,TRUE)+1,3):INDEX($B$4:$G$19,INDIRECT($E39,TRUE),3)),0),0)</f>
        <v>500</v>
      </c>
      <c r="J39" s="88" cm="1">
        <f t="array" aca="1" ref="J39" ca="1">IFERROR(IF(INDIRECT($B39,TRUE)&lt;INDIRECT($E39,TRUE),SUM(INDEX($B$4:$G$19,INDIRECT($B39,TRUE)+1,4):INDEX($B$4:$G$19,INDIRECT($E39,TRUE),4)),0),0)</f>
        <v>45</v>
      </c>
      <c r="K39" s="88" cm="1">
        <f t="array" aca="1" ref="K39" ca="1">IFERROR(VLOOKUP(INDIRECT($B39,TRUE),$B$4:$G$19,5,FALSE),0)</f>
        <v>1752000</v>
      </c>
      <c r="L39" s="88" cm="1">
        <f t="array" aca="1" ref="L39" ca="1">IFERROR(IF(OR(ISBLANK(INDIRECT($E39,TRUE)),INDIRECT($E39,FALSE)&lt;=INDIRECT($B39,FALSE))=TRUE,VLOOKUP(INDIRECT($B39,TRUE),$B$4:$G$19,5,FALSE),VLOOKUP(INDIRECT($E39,TRUE),$B$4:$G$19,5,FALSE)),0)</f>
        <v>1968000</v>
      </c>
      <c r="M39" s="68" cm="1">
        <f t="array" aca="1" ref="M39" ca="1">IFERROR(IF(INDIRECT($B39,TRUE)&lt;INDIRECT($E39,TRUE),SUM(INDEX($B$4:$G$19,INDIRECT($B39,TRUE)+1,6):INDEX($B$4:$G$19,INDIRECT($E39,TRUE),6)),0),0)</f>
        <v>19000</v>
      </c>
    </row>
    <row r="40" spans="2:13" x14ac:dyDescent="0.3">
      <c r="B40" s="560" t="s">
        <v>777</v>
      </c>
      <c r="C40" s="565"/>
      <c r="D40" s="565"/>
      <c r="E40" s="565" t="s">
        <v>788</v>
      </c>
      <c r="F40" s="565"/>
      <c r="G40" s="460"/>
      <c r="H40" s="69" cm="1">
        <f t="array" aca="1" ref="H40" ca="1">IFERROR(IF(INDIRECT($B40,TRUE)&lt;INDIRECT($E40,TRUE),SUM(INDEX($B$4:$G$19,INDIRECT($B40,TRUE)+1,2):INDEX($B$4:$G$19,INDIRECT($E40,TRUE),2)),0),0)</f>
        <v>600</v>
      </c>
      <c r="I40" s="83" cm="1">
        <f t="array" aca="1" ref="I40" ca="1">IFERROR(IF(INDIRECT($B40,TRUE)&lt;INDIRECT($E40,TRUE),SUM(INDEX($B$4:$G$19,INDIRECT($B40,TRUE)+1,3):INDEX($B$4:$G$19,INDIRECT($E40,TRUE),3)),0),0)</f>
        <v>500</v>
      </c>
      <c r="J40" s="83" cm="1">
        <f t="array" aca="1" ref="J40" ca="1">IFERROR(IF(INDIRECT($B40,TRUE)&lt;INDIRECT($E40,TRUE),SUM(INDEX($B$4:$G$19,INDIRECT($B40,TRUE)+1,4):INDEX($B$4:$G$19,INDIRECT($E40,TRUE),4)),0),0)</f>
        <v>45</v>
      </c>
      <c r="K40" s="83" cm="1">
        <f t="array" aca="1" ref="K40" ca="1">IFERROR(VLOOKUP(INDIRECT($B40,TRUE),$B$4:$G$19,5,FALSE),0)</f>
        <v>1752000</v>
      </c>
      <c r="L40" s="83" cm="1">
        <f t="array" aca="1" ref="L40" ca="1">IFERROR(IF(OR(ISBLANK(INDIRECT($E40,TRUE)),INDIRECT($E40,FALSE)&lt;=INDIRECT($B40,FALSE))=TRUE,VLOOKUP(INDIRECT($B40,TRUE),$B$4:$G$19,5,FALSE),VLOOKUP(INDIRECT($E40,TRUE),$B$4:$G$19,5,FALSE)),0)</f>
        <v>1968000</v>
      </c>
      <c r="M40" s="70" cm="1">
        <f t="array" aca="1" ref="M40" ca="1">IFERROR(IF(INDIRECT($B40,TRUE)&lt;INDIRECT($E40,TRUE),SUM(INDEX($B$4:$G$19,INDIRECT($B40,TRUE)+1,6):INDEX($B$4:$G$19,INDIRECT($E40,TRUE),6)),0),0)</f>
        <v>19000</v>
      </c>
    </row>
    <row r="41" spans="2:13" x14ac:dyDescent="0.3">
      <c r="H41" s="88">
        <f ca="1">SUM(H23:H40)</f>
        <v>8940</v>
      </c>
      <c r="I41" s="88">
        <f t="shared" ref="I41:K41" ca="1" si="0">SUM(I23:I40)</f>
        <v>7350</v>
      </c>
      <c r="J41" s="88">
        <f t="shared" ca="1" si="0"/>
        <v>780</v>
      </c>
      <c r="K41" s="88">
        <f t="shared" ca="1" si="0"/>
        <v>31536000</v>
      </c>
      <c r="L41" s="88" cm="1">
        <f t="array" aca="1" ref="L41" ca="1">SUM(IF(L23:L40&gt;K23:K40,L23:L40,0))</f>
        <v>30168000</v>
      </c>
      <c r="M41" s="88">
        <f ca="1">SUM(M23:M40)</f>
        <v>288000</v>
      </c>
    </row>
    <row r="42" spans="2:13" x14ac:dyDescent="0.3">
      <c r="L42" s="38"/>
    </row>
  </sheetData>
  <sheetProtection sheet="1" objects="1" scenarios="1"/>
  <mergeCells count="37">
    <mergeCell ref="B39:D39"/>
    <mergeCell ref="B40:D40"/>
    <mergeCell ref="B2:G2"/>
    <mergeCell ref="E39:G39"/>
    <mergeCell ref="E40:G40"/>
    <mergeCell ref="B23:D23"/>
    <mergeCell ref="B24:D24"/>
    <mergeCell ref="B25:D25"/>
    <mergeCell ref="B26:D26"/>
    <mergeCell ref="B27:D27"/>
    <mergeCell ref="B28:D28"/>
    <mergeCell ref="B29:D29"/>
    <mergeCell ref="B30:D30"/>
    <mergeCell ref="E27:G27"/>
    <mergeCell ref="E28:G28"/>
    <mergeCell ref="E29:G29"/>
    <mergeCell ref="E31:G31"/>
    <mergeCell ref="E36:G36"/>
    <mergeCell ref="E37:G37"/>
    <mergeCell ref="E38:G38"/>
    <mergeCell ref="E32:G32"/>
    <mergeCell ref="B36:D36"/>
    <mergeCell ref="B37:D37"/>
    <mergeCell ref="B38:D38"/>
    <mergeCell ref="E23:G23"/>
    <mergeCell ref="E24:G24"/>
    <mergeCell ref="E25:G25"/>
    <mergeCell ref="E26:G26"/>
    <mergeCell ref="B35:D35"/>
    <mergeCell ref="E35:G35"/>
    <mergeCell ref="B31:D31"/>
    <mergeCell ref="B32:D32"/>
    <mergeCell ref="B33:D33"/>
    <mergeCell ref="B34:D34"/>
    <mergeCell ref="E33:G33"/>
    <mergeCell ref="E34:G34"/>
    <mergeCell ref="E30:G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5032-8721-4983-9D66-D797402223F2}">
  <sheetPr codeName="Sheet20"/>
  <dimension ref="A1:Z61"/>
  <sheetViews>
    <sheetView topLeftCell="A4" workbookViewId="0">
      <selection sqref="A1:W2"/>
    </sheetView>
  </sheetViews>
  <sheetFormatPr baseColWidth="10" defaultColWidth="8.88671875" defaultRowHeight="14.4" x14ac:dyDescent="0.3"/>
  <cols>
    <col min="2" max="2" width="9.109375" style="1"/>
  </cols>
  <sheetData>
    <row r="1" spans="1:26" ht="15" customHeight="1" x14ac:dyDescent="0.3">
      <c r="A1" s="423" t="s">
        <v>532</v>
      </c>
      <c r="B1" s="424"/>
      <c r="C1" s="424"/>
      <c r="D1" s="424"/>
      <c r="E1" s="424"/>
      <c r="F1" s="424"/>
      <c r="G1" s="424"/>
      <c r="H1" s="424"/>
      <c r="I1" s="424"/>
      <c r="J1" s="424"/>
      <c r="K1" s="424"/>
      <c r="L1" s="424"/>
      <c r="M1" s="424"/>
      <c r="N1" s="424"/>
      <c r="O1" s="424"/>
      <c r="P1" s="424"/>
      <c r="Q1" s="424"/>
      <c r="R1" s="424"/>
      <c r="S1" s="424"/>
      <c r="T1" s="424"/>
      <c r="U1" s="424"/>
      <c r="V1" s="424"/>
      <c r="W1" s="424"/>
    </row>
    <row r="2" spans="1:26" ht="15" customHeight="1" x14ac:dyDescent="0.3">
      <c r="A2" s="423"/>
      <c r="B2" s="424"/>
      <c r="C2" s="424"/>
      <c r="D2" s="424"/>
      <c r="E2" s="424"/>
      <c r="F2" s="424"/>
      <c r="G2" s="424"/>
      <c r="H2" s="424"/>
      <c r="I2" s="424"/>
      <c r="J2" s="424"/>
      <c r="K2" s="424"/>
      <c r="L2" s="424"/>
      <c r="M2" s="424"/>
      <c r="N2" s="424"/>
      <c r="O2" s="424"/>
      <c r="P2" s="424"/>
      <c r="Q2" s="424"/>
      <c r="R2" s="424"/>
      <c r="S2" s="424"/>
      <c r="T2" s="424"/>
      <c r="U2" s="424"/>
      <c r="V2" s="424"/>
      <c r="W2" s="424"/>
    </row>
    <row r="4" spans="1:26" x14ac:dyDescent="0.3">
      <c r="B4" s="406" t="s">
        <v>335</v>
      </c>
      <c r="C4" s="591"/>
      <c r="D4" s="592" t="s">
        <v>333</v>
      </c>
      <c r="E4" s="593"/>
      <c r="F4" s="592" t="s">
        <v>281</v>
      </c>
      <c r="G4" s="594"/>
      <c r="H4" s="594"/>
      <c r="I4" s="594"/>
      <c r="J4" s="593"/>
      <c r="K4" s="592" t="s">
        <v>332</v>
      </c>
      <c r="L4" s="594"/>
      <c r="M4" s="593"/>
      <c r="N4" s="590" t="s">
        <v>334</v>
      </c>
      <c r="O4" s="426"/>
      <c r="P4" s="426"/>
      <c r="Q4" s="426"/>
      <c r="R4" s="426"/>
      <c r="S4" s="426"/>
      <c r="T4" s="426"/>
      <c r="U4" s="426"/>
      <c r="V4" s="426"/>
      <c r="W4" s="426"/>
      <c r="X4" s="426"/>
      <c r="Y4" s="426"/>
      <c r="Z4" s="426"/>
    </row>
    <row r="5" spans="1:26" x14ac:dyDescent="0.3">
      <c r="B5" s="14" t="s">
        <v>694</v>
      </c>
      <c r="C5" s="14" t="s">
        <v>701</v>
      </c>
      <c r="D5" s="14" t="s">
        <v>98</v>
      </c>
      <c r="E5" s="14" t="s">
        <v>99</v>
      </c>
      <c r="F5" s="14" t="s">
        <v>30</v>
      </c>
      <c r="G5" s="14" t="s">
        <v>533</v>
      </c>
      <c r="H5" s="14" t="s">
        <v>218</v>
      </c>
      <c r="I5" s="14" t="s">
        <v>32</v>
      </c>
      <c r="J5" s="236" t="s">
        <v>336</v>
      </c>
      <c r="K5" s="236" t="s">
        <v>719</v>
      </c>
      <c r="L5" s="14" t="s">
        <v>98</v>
      </c>
      <c r="M5" s="14" t="s">
        <v>99</v>
      </c>
      <c r="N5" s="14" t="s">
        <v>337</v>
      </c>
      <c r="O5" s="14" t="s">
        <v>338</v>
      </c>
      <c r="P5" s="14" t="s">
        <v>339</v>
      </c>
      <c r="Q5" s="14" t="s">
        <v>340</v>
      </c>
      <c r="R5" s="14" t="s">
        <v>341</v>
      </c>
      <c r="S5" s="14" t="s">
        <v>342</v>
      </c>
      <c r="T5" s="14" t="s">
        <v>534</v>
      </c>
      <c r="U5" s="14" t="s">
        <v>535</v>
      </c>
      <c r="V5" s="14" t="s">
        <v>536</v>
      </c>
      <c r="W5" s="14" t="s">
        <v>697</v>
      </c>
      <c r="X5" s="14" t="s">
        <v>916</v>
      </c>
      <c r="Y5" s="14" t="s">
        <v>917</v>
      </c>
      <c r="Z5" s="14" t="s">
        <v>918</v>
      </c>
    </row>
    <row r="6" spans="1:26" x14ac:dyDescent="0.3">
      <c r="A6" s="576" t="s">
        <v>337</v>
      </c>
      <c r="B6" s="237" t="s">
        <v>162</v>
      </c>
      <c r="C6" s="155" t="s">
        <v>313</v>
      </c>
      <c r="D6" s="47">
        <v>5</v>
      </c>
      <c r="E6" s="47"/>
      <c r="F6" s="99" t="str">
        <f>IFERROR(VLOOKUP($D6,'Chief &amp; Hero Data'!$G$68:$AM$101,MATCH($E6,'Chief &amp; Hero Data'!$G$69:$AM$69,0),TRUE),"-")</f>
        <v>-</v>
      </c>
      <c r="G6" s="117"/>
      <c r="H6" s="322"/>
      <c r="I6" s="57" t="str">
        <f>IFERROR(VLOOKUP($D6,'Chief &amp; Hero Data'!$G$68:$AM$101,MATCH($E6,'Chief &amp; Hero Data'!$G$69:$AM$69,0),FALSE)-G6,"-")</f>
        <v>-</v>
      </c>
      <c r="J6" s="176">
        <f>IFERROR(IF(VLOOKUP(E6,'Chief &amp; Hero Data'!$B$70:$C$101,2,FALSE)&gt;VLOOKUP(D6,'Chief &amp; Hero Data'!$B$70:$C$101,2,FALSE),IF(ISNUMBER(F6)=FALSE,"-",IF((G6+H6)&gt;F6-1,"Yes","No")),"-"),)</f>
        <v>0</v>
      </c>
      <c r="K6" s="106" t="s">
        <v>693</v>
      </c>
      <c r="L6" s="47">
        <v>10</v>
      </c>
      <c r="M6" s="47"/>
      <c r="N6" s="268" t="str">
        <f>IFERROR(VLOOKUP($L6,'Chief &amp; Hero Data'!$E$190:$O$200,MATCH($M6,'Chief &amp; Hero Data'!$E$189:$O$189,0),FALSE),"")</f>
        <v/>
      </c>
      <c r="O6" s="101"/>
      <c r="P6" s="101"/>
      <c r="Q6" s="101"/>
      <c r="R6" s="101"/>
      <c r="S6" s="102"/>
      <c r="T6" s="127"/>
      <c r="U6" s="127"/>
      <c r="V6" s="127"/>
      <c r="W6" s="127"/>
      <c r="X6" s="127"/>
      <c r="Y6" s="127"/>
      <c r="Z6" s="127"/>
    </row>
    <row r="7" spans="1:26" x14ac:dyDescent="0.3">
      <c r="A7" s="577"/>
      <c r="B7" s="238" t="s">
        <v>162</v>
      </c>
      <c r="C7" s="155" t="s">
        <v>314</v>
      </c>
      <c r="D7" s="47">
        <v>5</v>
      </c>
      <c r="E7" s="47"/>
      <c r="F7" s="59" t="str">
        <f>IFERROR(VLOOKUP($D7,'Chief &amp; Hero Data'!$G$68:$AM$101,MATCH($E7,'Chief &amp; Hero Data'!$G$69:$AM$69,0),FALSE),"-")</f>
        <v>-</v>
      </c>
      <c r="G7" s="183"/>
      <c r="H7" s="323"/>
      <c r="I7" s="55" t="str">
        <f>IFERROR(VLOOKUP($D7,'Chief &amp; Hero Data'!$G$68:$AM$101,MATCH($E7,'Chief &amp; Hero Data'!$G$69:$AM$69,0),FALSE)-G7,"-")</f>
        <v>-</v>
      </c>
      <c r="J7" s="103">
        <f>IFERROR(IF(VLOOKUP(E7,'Chief &amp; Hero Data'!$B$70:$C$101,2,FALSE)&gt;VLOOKUP(D7,'Chief &amp; Hero Data'!$B$70:$C$101,2,FALSE),IF(ISNUMBER(F7)=FALSE,"-",IF((G7+H7)&gt;F7-1,"Yes","No")),"-"),)</f>
        <v>0</v>
      </c>
      <c r="K7" s="105" t="s">
        <v>693</v>
      </c>
      <c r="L7" s="47">
        <v>0</v>
      </c>
      <c r="M7" s="47">
        <v>10</v>
      </c>
      <c r="N7" s="93">
        <f>IFERROR(VLOOKUP($L7,'Chief &amp; Hero Data'!$E$190:$O$200,MATCH($M7,'Chief &amp; Hero Data'!$E$189:$O$189,0),FALSE),"")</f>
        <v>275</v>
      </c>
      <c r="O7" s="101"/>
      <c r="P7" s="101"/>
      <c r="Q7" s="101"/>
      <c r="R7" s="101"/>
      <c r="S7" s="102"/>
      <c r="T7" s="127"/>
      <c r="U7" s="127"/>
      <c r="V7" s="127"/>
      <c r="W7" s="127"/>
      <c r="X7" s="127"/>
      <c r="Y7" s="127"/>
      <c r="Z7" s="127"/>
    </row>
    <row r="8" spans="1:26" x14ac:dyDescent="0.3">
      <c r="A8" s="577"/>
      <c r="B8" s="238" t="s">
        <v>163</v>
      </c>
      <c r="C8" s="155" t="s">
        <v>315</v>
      </c>
      <c r="D8" s="47">
        <v>5</v>
      </c>
      <c r="E8" s="47"/>
      <c r="F8" s="59" t="str">
        <f>IFERROR(VLOOKUP($D8,'Chief &amp; Hero Data'!$G$68:$AM$101,MATCH($E8,'Chief &amp; Hero Data'!$G$69:$AM$69,0),FALSE),"-")</f>
        <v>-</v>
      </c>
      <c r="G8" s="117"/>
      <c r="H8" s="117"/>
      <c r="I8" s="55" t="str">
        <f>IFERROR(VLOOKUP($D8,'Chief &amp; Hero Data'!$G$68:$AM$101,MATCH($E8,'Chief &amp; Hero Data'!$G$69:$AM$69,0),FALSE)-G8,"-")</f>
        <v>-</v>
      </c>
      <c r="J8" s="103">
        <f>IFERROR(IF(VLOOKUP(E8,'Chief &amp; Hero Data'!$B$70:$C$101,2,FALSE)&gt;VLOOKUP(D8,'Chief &amp; Hero Data'!$B$70:$C$101,2,FALSE),IF(ISNUMBER(F8)=FALSE,"-",IF((G8+H8)&gt;F8-1,"Yes","No")),"-"),)</f>
        <v>0</v>
      </c>
      <c r="K8" s="105" t="s">
        <v>696</v>
      </c>
      <c r="L8" s="47">
        <v>2</v>
      </c>
      <c r="M8" s="47"/>
      <c r="N8" s="93" t="str">
        <f>IFERROR(VLOOKUP($L8,'Chief &amp; Hero Data'!$E$190:$O$200,MATCH($M8,'Chief &amp; Hero Data'!$E$189:$O$189,0),FALSE),"")</f>
        <v/>
      </c>
      <c r="O8" s="101"/>
      <c r="P8" s="101"/>
      <c r="Q8" s="101"/>
      <c r="R8" s="101"/>
      <c r="S8" s="102"/>
      <c r="T8" s="127"/>
      <c r="U8" s="127"/>
      <c r="V8" s="127"/>
      <c r="W8" s="127"/>
      <c r="X8" s="127"/>
      <c r="Y8" s="127"/>
      <c r="Z8" s="127"/>
    </row>
    <row r="9" spans="1:26" x14ac:dyDescent="0.3">
      <c r="A9" s="577"/>
      <c r="B9" s="274" t="s">
        <v>164</v>
      </c>
      <c r="C9" s="220" t="s">
        <v>316</v>
      </c>
      <c r="D9" s="171">
        <v>4</v>
      </c>
      <c r="E9" s="171"/>
      <c r="F9" s="59" t="str">
        <f>IFERROR(VLOOKUP($D9,'Chief &amp; Hero Data'!$G$68:$AM$101,MATCH($E9,'Chief &amp; Hero Data'!$G$69:$AM$69,0),FALSE),"-")</f>
        <v>-</v>
      </c>
      <c r="G9" s="183"/>
      <c r="H9" s="183"/>
      <c r="I9" s="55" t="str">
        <f>IFERROR(VLOOKUP($D9,'Chief &amp; Hero Data'!$G$68:$AM$101,MATCH($E9,'Chief &amp; Hero Data'!$G$69:$AM$69,0),FALSE)-G9,"-")</f>
        <v>-</v>
      </c>
      <c r="J9" s="103">
        <f>IFERROR(IF(VLOOKUP(E9,'Chief &amp; Hero Data'!$B$70:$C$101,2,FALSE)&gt;VLOOKUP(D9,'Chief &amp; Hero Data'!$B$70:$C$101,2,FALSE),IF(ISNUMBER(F9)=FALSE,"-",IF((G9+H9)&gt;F9-1,"Yes","No")),"-"),)</f>
        <v>0</v>
      </c>
      <c r="K9" s="105" t="s">
        <v>696</v>
      </c>
      <c r="L9" s="171">
        <v>2</v>
      </c>
      <c r="M9" s="171"/>
      <c r="N9" s="93" t="str">
        <f>IFERROR(VLOOKUP($L9,'Chief &amp; Hero Data'!$E$190:$O$200,MATCH($M9,'Chief &amp; Hero Data'!$E$189:$O$189,0),FALSE),"")</f>
        <v/>
      </c>
      <c r="O9" s="101"/>
      <c r="P9" s="101"/>
      <c r="Q9" s="101"/>
      <c r="R9" s="101"/>
      <c r="S9" s="102"/>
      <c r="T9" s="127"/>
      <c r="U9" s="127"/>
      <c r="V9" s="127"/>
      <c r="W9" s="127"/>
      <c r="X9" s="127"/>
      <c r="Y9" s="127"/>
      <c r="Z9" s="127"/>
    </row>
    <row r="10" spans="1:26" x14ac:dyDescent="0.3">
      <c r="A10" s="576" t="s">
        <v>338</v>
      </c>
      <c r="B10" s="237" t="s">
        <v>162</v>
      </c>
      <c r="C10" s="155" t="s">
        <v>317</v>
      </c>
      <c r="D10" s="47">
        <v>5</v>
      </c>
      <c r="E10" s="47"/>
      <c r="F10" s="99" t="str">
        <f>IFERROR(VLOOKUP($D10,'Chief &amp; Hero Data'!$G$68:$AM$101,MATCH($E10,'Chief &amp; Hero Data'!$G$69:$AM$69,0),FALSE),"-")</f>
        <v>-</v>
      </c>
      <c r="G10" s="117"/>
      <c r="H10" s="117"/>
      <c r="I10" s="57" t="str">
        <f>IFERROR(VLOOKUP($D10,'Chief &amp; Hero Data'!$G$68:$AM$101,MATCH($E10,'Chief &amp; Hero Data'!$G$69:$AM$69,0),FALSE)-G10,"-")</f>
        <v>-</v>
      </c>
      <c r="J10" s="176">
        <f>IFERROR(IF(VLOOKUP(E10,'Chief &amp; Hero Data'!$B$70:$C$101,2,FALSE)&gt;VLOOKUP(D10,'Chief &amp; Hero Data'!$B$70:$C$101,2,FALSE),IF(ISNUMBER(F10)=FALSE,"-",IF((G10+H10)&gt;F10-1,"Yes","No")),"-"),)</f>
        <v>0</v>
      </c>
      <c r="K10" s="106" t="s">
        <v>696</v>
      </c>
      <c r="L10" s="47">
        <v>10</v>
      </c>
      <c r="M10" s="47"/>
      <c r="N10" s="275"/>
      <c r="O10" s="268" t="str">
        <f>IFERROR(VLOOKUP($L10,'Chief &amp; Hero Data'!$E$190:$O$200,MATCH($M10,'Chief &amp; Hero Data'!$E$189:$O$189,0),FALSE),"")</f>
        <v/>
      </c>
      <c r="P10" s="101"/>
      <c r="Q10" s="101"/>
      <c r="R10" s="101"/>
      <c r="S10" s="102"/>
      <c r="T10" s="127"/>
      <c r="U10" s="127"/>
      <c r="V10" s="127"/>
      <c r="W10" s="127"/>
      <c r="X10" s="127"/>
      <c r="Y10" s="127"/>
      <c r="Z10" s="127"/>
    </row>
    <row r="11" spans="1:26" x14ac:dyDescent="0.3">
      <c r="A11" s="577"/>
      <c r="B11" s="238" t="s">
        <v>163</v>
      </c>
      <c r="C11" s="155" t="s">
        <v>318</v>
      </c>
      <c r="D11" s="47">
        <v>5</v>
      </c>
      <c r="E11" s="47"/>
      <c r="F11" s="59" t="str">
        <f>IFERROR(VLOOKUP($D11,'Chief &amp; Hero Data'!$G$68:$AM$101,MATCH($E11,'Chief &amp; Hero Data'!$G$69:$AM$69,0),FALSE),"-")</f>
        <v>-</v>
      </c>
      <c r="G11" s="117"/>
      <c r="H11" s="117"/>
      <c r="I11" s="55" t="str">
        <f>IFERROR(VLOOKUP($D11,'Chief &amp; Hero Data'!$G$68:$AM$101,MATCH($E11,'Chief &amp; Hero Data'!$G$69:$AM$69,0),FALSE)-G11,"-")</f>
        <v>-</v>
      </c>
      <c r="J11" s="103">
        <f>IFERROR(IF(VLOOKUP(E11,'Chief &amp; Hero Data'!$B$70:$C$101,2,FALSE)&gt;VLOOKUP(D11,'Chief &amp; Hero Data'!$B$70:$C$101,2,FALSE),IF(ISNUMBER(F11)=FALSE,"-",IF((G11+H11)&gt;F11-1,"Yes","No")),"-"),)</f>
        <v>0</v>
      </c>
      <c r="K11" s="105" t="s">
        <v>696</v>
      </c>
      <c r="L11" s="47">
        <v>10</v>
      </c>
      <c r="M11" s="47"/>
      <c r="N11" s="101"/>
      <c r="O11" s="93" t="str">
        <f>IFERROR(VLOOKUP($L11,'Chief &amp; Hero Data'!$E$190:$O$200,MATCH($M11,'Chief &amp; Hero Data'!$E$189:$O$189,0),FALSE),"")</f>
        <v/>
      </c>
      <c r="P11" s="101"/>
      <c r="Q11" s="101"/>
      <c r="R11" s="101"/>
      <c r="S11" s="102"/>
      <c r="T11" s="127"/>
      <c r="U11" s="127"/>
      <c r="V11" s="127"/>
      <c r="W11" s="127"/>
      <c r="X11" s="127"/>
      <c r="Y11" s="127"/>
      <c r="Z11" s="127"/>
    </row>
    <row r="12" spans="1:26" x14ac:dyDescent="0.3">
      <c r="A12" s="577"/>
      <c r="B12" s="277" t="s">
        <v>164</v>
      </c>
      <c r="C12" s="220" t="s">
        <v>319</v>
      </c>
      <c r="D12" s="171">
        <v>5</v>
      </c>
      <c r="E12" s="171"/>
      <c r="F12" s="59" t="str">
        <f>IFERROR(VLOOKUP($D12,'Chief &amp; Hero Data'!$G$68:$AM$101,MATCH($E12,'Chief &amp; Hero Data'!$G$69:$AM$69,0),FALSE),"-")</f>
        <v>-</v>
      </c>
      <c r="G12" s="183"/>
      <c r="H12" s="183"/>
      <c r="I12" s="55" t="str">
        <f>IFERROR(VLOOKUP($D12,'Chief &amp; Hero Data'!$G$68:$AM$101,MATCH($E12,'Chief &amp; Hero Data'!$G$69:$AM$69,0),FALSE)-G12,"-")</f>
        <v>-</v>
      </c>
      <c r="J12" s="103">
        <f>IFERROR(IF(VLOOKUP(E12,'Chief &amp; Hero Data'!$B$70:$C$101,2,FALSE)&gt;VLOOKUP(D12,'Chief &amp; Hero Data'!$B$70:$C$101,2,FALSE),IF(ISNUMBER(F12)=FALSE,"-",IF((G12+H12)&gt;F12-1,"Yes","No")),"-"),)</f>
        <v>0</v>
      </c>
      <c r="K12" s="105" t="s">
        <v>693</v>
      </c>
      <c r="L12" s="171">
        <v>10</v>
      </c>
      <c r="M12" s="171"/>
      <c r="N12" s="101"/>
      <c r="O12" s="93" t="str">
        <f>IFERROR(VLOOKUP($L12,'Chief &amp; Hero Data'!$E$190:$O$200,MATCH($M12,'Chief &amp; Hero Data'!$E$189:$O$189,0),FALSE),"")</f>
        <v/>
      </c>
      <c r="P12" s="101"/>
      <c r="Q12" s="101"/>
      <c r="R12" s="101"/>
      <c r="S12" s="102"/>
      <c r="T12" s="127"/>
      <c r="U12" s="127"/>
      <c r="V12" s="127"/>
      <c r="W12" s="127"/>
      <c r="X12" s="127"/>
      <c r="Y12" s="127"/>
      <c r="Z12" s="127"/>
    </row>
    <row r="13" spans="1:26" x14ac:dyDescent="0.3">
      <c r="A13" s="576" t="s">
        <v>339</v>
      </c>
      <c r="B13" s="237" t="s">
        <v>162</v>
      </c>
      <c r="C13" s="155" t="s">
        <v>320</v>
      </c>
      <c r="D13" s="47">
        <v>5</v>
      </c>
      <c r="E13" s="47"/>
      <c r="F13" s="99" t="str">
        <f>IFERROR(VLOOKUP($D13,'Chief &amp; Hero Data'!$G$68:$AM$101,MATCH($E13,'Chief &amp; Hero Data'!$G$69:$AM$69,0),FALSE),"-")</f>
        <v>-</v>
      </c>
      <c r="G13" s="117"/>
      <c r="H13" s="117"/>
      <c r="I13" s="57" t="str">
        <f>IFERROR(VLOOKUP($D13,'Chief &amp; Hero Data'!$G$68:$AM$101,MATCH($E13,'Chief &amp; Hero Data'!$G$69:$AM$69,0),FALSE)-G13,"-")</f>
        <v>-</v>
      </c>
      <c r="J13" s="176">
        <f>IFERROR(IF(VLOOKUP(E13,'Chief &amp; Hero Data'!$B$70:$C$101,2,FALSE)&gt;VLOOKUP(D13,'Chief &amp; Hero Data'!$B$70:$C$101,2,FALSE),IF(ISNUMBER(F13)=FALSE,"-",IF((G13+H13)&gt;F13-1,"Yes","No")),"-"),)</f>
        <v>0</v>
      </c>
      <c r="K13" s="106" t="s">
        <v>696</v>
      </c>
      <c r="L13" s="47">
        <v>10</v>
      </c>
      <c r="M13" s="47"/>
      <c r="N13" s="275"/>
      <c r="O13" s="275"/>
      <c r="P13" s="268" t="str">
        <f>IFERROR(VLOOKUP($L13,'Chief &amp; Hero Data'!$E$190:$O$200,MATCH($M13,'Chief &amp; Hero Data'!$E$189:$O$189,0),FALSE),"")</f>
        <v/>
      </c>
      <c r="Q13" s="101"/>
      <c r="R13" s="101"/>
      <c r="S13" s="102"/>
      <c r="T13" s="127"/>
      <c r="U13" s="127"/>
      <c r="V13" s="127"/>
      <c r="W13" s="127"/>
      <c r="X13" s="127"/>
      <c r="Y13" s="127"/>
      <c r="Z13" s="127"/>
    </row>
    <row r="14" spans="1:26" x14ac:dyDescent="0.3">
      <c r="A14" s="577"/>
      <c r="B14" s="238" t="s">
        <v>163</v>
      </c>
      <c r="C14" s="155" t="s">
        <v>321</v>
      </c>
      <c r="D14" s="47">
        <v>5</v>
      </c>
      <c r="E14" s="47"/>
      <c r="F14" s="59" t="str">
        <f>IFERROR(VLOOKUP($D14,'Chief &amp; Hero Data'!$G$68:$AM$101,MATCH($E14,'Chief &amp; Hero Data'!$G$69:$AM$69,0),FALSE),"-")</f>
        <v>-</v>
      </c>
      <c r="G14" s="117"/>
      <c r="H14" s="117"/>
      <c r="I14" s="55" t="str">
        <f>IFERROR(VLOOKUP($D14,'Chief &amp; Hero Data'!$G$68:$AM$101,MATCH($E14,'Chief &amp; Hero Data'!$G$69:$AM$69,0),FALSE)-G14,"-")</f>
        <v>-</v>
      </c>
      <c r="J14" s="103">
        <f>IFERROR(IF(VLOOKUP(E14,'Chief &amp; Hero Data'!$B$70:$C$101,2,FALSE)&gt;VLOOKUP(D14,'Chief &amp; Hero Data'!$B$70:$C$101,2,FALSE),IF(ISNUMBER(F14)=FALSE,"-",IF((G14+H14)&gt;F14-1,"Yes","No")),"-"),)</f>
        <v>0</v>
      </c>
      <c r="K14" s="105" t="s">
        <v>693</v>
      </c>
      <c r="L14" s="47">
        <v>10</v>
      </c>
      <c r="M14" s="47"/>
      <c r="N14" s="101"/>
      <c r="O14" s="101"/>
      <c r="P14" s="93" t="str">
        <f>IFERROR(VLOOKUP($L14,'Chief &amp; Hero Data'!$E$190:$O$200,MATCH($M14,'Chief &amp; Hero Data'!$E$189:$O$189,0),FALSE),"")</f>
        <v/>
      </c>
      <c r="Q14" s="101"/>
      <c r="R14" s="101"/>
      <c r="S14" s="102"/>
      <c r="T14" s="127"/>
      <c r="U14" s="127"/>
      <c r="V14" s="127"/>
      <c r="W14" s="127"/>
      <c r="X14" s="127"/>
      <c r="Y14" s="127"/>
      <c r="Z14" s="127"/>
    </row>
    <row r="15" spans="1:26" x14ac:dyDescent="0.3">
      <c r="A15" s="577"/>
      <c r="B15" s="277" t="s">
        <v>164</v>
      </c>
      <c r="C15" s="220" t="s">
        <v>322</v>
      </c>
      <c r="D15" s="171">
        <v>5</v>
      </c>
      <c r="E15" s="171"/>
      <c r="F15" s="59" t="str">
        <f>IFERROR(VLOOKUP($D15,'Chief &amp; Hero Data'!$G$68:$AM$101,MATCH($E15,'Chief &amp; Hero Data'!$G$69:$AM$69,0),FALSE),"-")</f>
        <v>-</v>
      </c>
      <c r="G15" s="183"/>
      <c r="H15" s="183"/>
      <c r="I15" s="55" t="str">
        <f>IFERROR(VLOOKUP($D15,'Chief &amp; Hero Data'!$G$68:$AM$101,MATCH($E15,'Chief &amp; Hero Data'!$G$69:$AM$69,0),FALSE)-G15,"-")</f>
        <v>-</v>
      </c>
      <c r="J15" s="103">
        <f>IFERROR(IF(VLOOKUP(E15,'Chief &amp; Hero Data'!$B$70:$C$101,2,FALSE)&gt;VLOOKUP(D15,'Chief &amp; Hero Data'!$B$70:$C$101,2,FALSE),IF(ISNUMBER(F15)=FALSE,"-",IF((G15+H15)&gt;F15-1,"Yes","No")),"-"),)</f>
        <v>0</v>
      </c>
      <c r="K15" s="105" t="s">
        <v>693</v>
      </c>
      <c r="L15" s="171">
        <v>10</v>
      </c>
      <c r="M15" s="171"/>
      <c r="N15" s="101"/>
      <c r="O15" s="101"/>
      <c r="P15" s="93" t="str">
        <f>IFERROR(VLOOKUP($L15,'Chief &amp; Hero Data'!$E$190:$O$200,MATCH($M15,'Chief &amp; Hero Data'!$E$189:$O$189,0),FALSE),"")</f>
        <v/>
      </c>
      <c r="Q15" s="101"/>
      <c r="R15" s="101"/>
      <c r="S15" s="102"/>
      <c r="T15" s="127"/>
      <c r="U15" s="127"/>
      <c r="V15" s="127"/>
      <c r="W15" s="127"/>
      <c r="X15" s="127"/>
      <c r="Y15" s="127"/>
      <c r="Z15" s="127"/>
    </row>
    <row r="16" spans="1:26" x14ac:dyDescent="0.3">
      <c r="A16" s="576" t="s">
        <v>340</v>
      </c>
      <c r="B16" s="237" t="s">
        <v>162</v>
      </c>
      <c r="C16" s="155" t="s">
        <v>323</v>
      </c>
      <c r="D16" s="47">
        <v>5</v>
      </c>
      <c r="E16" s="47"/>
      <c r="F16" s="99" t="str">
        <f>IFERROR(VLOOKUP($D16,'Chief &amp; Hero Data'!$G$68:$AM$101,MATCH($E16,'Chief &amp; Hero Data'!$G$69:$AM$69,0),FALSE),"-")</f>
        <v>-</v>
      </c>
      <c r="G16" s="117"/>
      <c r="H16" s="117"/>
      <c r="I16" s="57" t="str">
        <f>IFERROR(VLOOKUP($D16,'Chief &amp; Hero Data'!$G$68:$AM$101,MATCH($E16,'Chief &amp; Hero Data'!$G$69:$AM$69,0),FALSE)-G16,"-")</f>
        <v>-</v>
      </c>
      <c r="J16" s="176">
        <f>IFERROR(IF(VLOOKUP(E16,'Chief &amp; Hero Data'!$B$70:$C$101,2,FALSE)&gt;VLOOKUP(D16,'Chief &amp; Hero Data'!$B$70:$C$101,2,FALSE),IF(ISNUMBER(F16)=FALSE,"-",IF((G16+H16)&gt;F16-1,"Yes","No")),"-"),)</f>
        <v>0</v>
      </c>
      <c r="K16" s="106" t="s">
        <v>696</v>
      </c>
      <c r="L16" s="47">
        <v>10</v>
      </c>
      <c r="M16" s="47"/>
      <c r="N16" s="275"/>
      <c r="O16" s="275"/>
      <c r="P16" s="275"/>
      <c r="Q16" s="268" t="str">
        <f>IFERROR(VLOOKUP($L16,'Chief &amp; Hero Data'!$E$190:$O$200,MATCH($M16,'Chief &amp; Hero Data'!$E$189:$O$189,0),FALSE),"")</f>
        <v/>
      </c>
      <c r="R16" s="101"/>
      <c r="S16" s="102"/>
      <c r="T16" s="127"/>
      <c r="U16" s="127"/>
      <c r="V16" s="127"/>
      <c r="W16" s="127"/>
      <c r="X16" s="127"/>
      <c r="Y16" s="127"/>
      <c r="Z16" s="127"/>
    </row>
    <row r="17" spans="1:26" x14ac:dyDescent="0.3">
      <c r="A17" s="577"/>
      <c r="B17" s="238" t="s">
        <v>163</v>
      </c>
      <c r="C17" s="155" t="s">
        <v>324</v>
      </c>
      <c r="D17" s="47">
        <v>5</v>
      </c>
      <c r="E17" s="47"/>
      <c r="F17" s="59" t="str">
        <f>IFERROR(VLOOKUP($D17,'Chief &amp; Hero Data'!$G$68:$AM$101,MATCH($E17,'Chief &amp; Hero Data'!$G$69:$AM$69,0),FALSE),"-")</f>
        <v>-</v>
      </c>
      <c r="G17" s="117"/>
      <c r="H17" s="117"/>
      <c r="I17" s="55" t="str">
        <f>IFERROR(VLOOKUP($D17,'Chief &amp; Hero Data'!$G$68:$AM$101,MATCH($E17,'Chief &amp; Hero Data'!$G$69:$AM$69,0),FALSE)-G17,"-")</f>
        <v>-</v>
      </c>
      <c r="J17" s="103">
        <f>IFERROR(IF(VLOOKUP(E17,'Chief &amp; Hero Data'!$B$70:$C$101,2,FALSE)&gt;VLOOKUP(D17,'Chief &amp; Hero Data'!$B$70:$C$101,2,FALSE),IF(ISNUMBER(F17)=FALSE,"-",IF((G17+H17)&gt;F17-1,"Yes","No")),"-"),)</f>
        <v>0</v>
      </c>
      <c r="K17" s="105" t="s">
        <v>693</v>
      </c>
      <c r="L17" s="47">
        <v>10</v>
      </c>
      <c r="M17" s="47"/>
      <c r="N17" s="101"/>
      <c r="O17" s="101"/>
      <c r="P17" s="101"/>
      <c r="Q17" s="93" t="str">
        <f>IFERROR(VLOOKUP($L17,'Chief &amp; Hero Data'!$E$190:$O$200,MATCH($M17,'Chief &amp; Hero Data'!$E$189:$O$189,0),FALSE),"")</f>
        <v/>
      </c>
      <c r="R17" s="101"/>
      <c r="S17" s="102"/>
      <c r="T17" s="127"/>
      <c r="U17" s="127"/>
      <c r="V17" s="127"/>
      <c r="W17" s="127"/>
      <c r="X17" s="127"/>
      <c r="Y17" s="127"/>
      <c r="Z17" s="127"/>
    </row>
    <row r="18" spans="1:26" x14ac:dyDescent="0.3">
      <c r="A18" s="577"/>
      <c r="B18" s="277" t="s">
        <v>164</v>
      </c>
      <c r="C18" s="220" t="s">
        <v>325</v>
      </c>
      <c r="D18" s="171">
        <v>5</v>
      </c>
      <c r="E18" s="171"/>
      <c r="F18" s="59" t="str">
        <f>IFERROR(VLOOKUP($D18,'Chief &amp; Hero Data'!$G$68:$AM$101,MATCH($E18,'Chief &amp; Hero Data'!$G$69:$AM$69,0),FALSE),"-")</f>
        <v>-</v>
      </c>
      <c r="G18" s="183"/>
      <c r="H18" s="183"/>
      <c r="I18" s="55" t="str">
        <f>IFERROR(VLOOKUP($D18,'Chief &amp; Hero Data'!$G$68:$AM$101,MATCH($E18,'Chief &amp; Hero Data'!$G$69:$AM$69,0),FALSE)-G18,"-")</f>
        <v>-</v>
      </c>
      <c r="J18" s="103">
        <f>IFERROR(IF(VLOOKUP(E18,'Chief &amp; Hero Data'!$B$70:$C$101,2,FALSE)&gt;VLOOKUP(D18,'Chief &amp; Hero Data'!$B$70:$C$101,2,FALSE),IF(ISNUMBER(F18)=FALSE,"-",IF((G18+H18)&gt;F18-1,"Yes","No")),"-"),)</f>
        <v>0</v>
      </c>
      <c r="K18" s="105" t="s">
        <v>696</v>
      </c>
      <c r="L18" s="171">
        <v>10</v>
      </c>
      <c r="M18" s="171"/>
      <c r="N18" s="101"/>
      <c r="O18" s="101"/>
      <c r="P18" s="101"/>
      <c r="Q18" s="93" t="str">
        <f>IFERROR(VLOOKUP($L18,'Chief &amp; Hero Data'!$E$190:$O$200,MATCH($M18,'Chief &amp; Hero Data'!$E$189:$O$189,0),FALSE),"")</f>
        <v/>
      </c>
      <c r="R18" s="101"/>
      <c r="S18" s="102"/>
      <c r="T18" s="127"/>
      <c r="U18" s="127"/>
      <c r="V18" s="127"/>
      <c r="W18" s="127"/>
      <c r="X18" s="127"/>
      <c r="Y18" s="127"/>
      <c r="Z18" s="127"/>
    </row>
    <row r="19" spans="1:26" x14ac:dyDescent="0.3">
      <c r="A19" s="576" t="s">
        <v>341</v>
      </c>
      <c r="B19" s="237" t="s">
        <v>162</v>
      </c>
      <c r="C19" s="155" t="s">
        <v>326</v>
      </c>
      <c r="D19" s="47">
        <v>5</v>
      </c>
      <c r="E19" s="47"/>
      <c r="F19" s="99" t="str">
        <f>IFERROR(VLOOKUP($D19,'Chief &amp; Hero Data'!$G$68:$AM$101,MATCH($E19,'Chief &amp; Hero Data'!$G$69:$AM$69,0),FALSE),"-")</f>
        <v>-</v>
      </c>
      <c r="G19" s="117"/>
      <c r="H19" s="117"/>
      <c r="I19" s="57" t="str">
        <f>IFERROR(VLOOKUP($D19,'Chief &amp; Hero Data'!$G$68:$AM$101,MATCH($E19,'Chief &amp; Hero Data'!$G$69:$AM$69,0),FALSE)-G19,"-")</f>
        <v>-</v>
      </c>
      <c r="J19" s="176">
        <f>IFERROR(IF(VLOOKUP(E19,'Chief &amp; Hero Data'!$B$70:$C$101,2,FALSE)&gt;VLOOKUP(D19,'Chief &amp; Hero Data'!$B$70:$C$101,2,FALSE),IF(ISNUMBER(F19)=FALSE,"-",IF((G19+H19)&gt;F19-1,"Yes","No")),"-"),)</f>
        <v>0</v>
      </c>
      <c r="K19" s="106" t="s">
        <v>696</v>
      </c>
      <c r="L19" s="47">
        <v>10</v>
      </c>
      <c r="M19" s="47"/>
      <c r="N19" s="275"/>
      <c r="O19" s="275"/>
      <c r="P19" s="275"/>
      <c r="Q19" s="275"/>
      <c r="R19" s="268" t="str">
        <f>IFERROR(VLOOKUP($L19,'Chief &amp; Hero Data'!$E$190:$O$200,MATCH($M19,'Chief &amp; Hero Data'!$E$189:$O$189,0),FALSE),"")</f>
        <v/>
      </c>
      <c r="S19" s="102"/>
      <c r="T19" s="127"/>
      <c r="U19" s="127"/>
      <c r="V19" s="127"/>
      <c r="W19" s="127"/>
      <c r="X19" s="127"/>
      <c r="Y19" s="127"/>
      <c r="Z19" s="127"/>
    </row>
    <row r="20" spans="1:26" x14ac:dyDescent="0.3">
      <c r="A20" s="577"/>
      <c r="B20" s="238" t="s">
        <v>163</v>
      </c>
      <c r="C20" s="155" t="s">
        <v>327</v>
      </c>
      <c r="D20" s="47">
        <v>5</v>
      </c>
      <c r="E20" s="47"/>
      <c r="F20" s="59" t="str">
        <f>IFERROR(VLOOKUP($D20,'Chief &amp; Hero Data'!$G$68:$AM$101,MATCH($E20,'Chief &amp; Hero Data'!$G$69:$AM$69,0),FALSE),"-")</f>
        <v>-</v>
      </c>
      <c r="G20" s="117"/>
      <c r="H20" s="117"/>
      <c r="I20" s="55" t="str">
        <f>IFERROR(VLOOKUP($D20,'Chief &amp; Hero Data'!$G$68:$AM$101,MATCH($E20,'Chief &amp; Hero Data'!$G$69:$AM$69,0),FALSE)-G20,"-")</f>
        <v>-</v>
      </c>
      <c r="J20" s="103">
        <f>IFERROR(IF(VLOOKUP(E20,'Chief &amp; Hero Data'!$B$70:$C$101,2,FALSE)&gt;VLOOKUP(D20,'Chief &amp; Hero Data'!$B$70:$C$101,2,FALSE),IF(ISNUMBER(F20)=FALSE,"-",IF((G20+H20)&gt;F20-1,"Yes","No")),"-"),)</f>
        <v>0</v>
      </c>
      <c r="K20" s="105" t="s">
        <v>696</v>
      </c>
      <c r="L20" s="47">
        <v>10</v>
      </c>
      <c r="M20" s="47"/>
      <c r="N20" s="101"/>
      <c r="O20" s="101"/>
      <c r="P20" s="101"/>
      <c r="Q20" s="101"/>
      <c r="R20" s="93" t="str">
        <f>IFERROR(VLOOKUP($L20,'Chief &amp; Hero Data'!$E$190:$O$200,MATCH($M20,'Chief &amp; Hero Data'!$E$189:$O$189,0),FALSE),"")</f>
        <v/>
      </c>
      <c r="S20" s="102"/>
      <c r="T20" s="127"/>
      <c r="U20" s="127"/>
      <c r="V20" s="127"/>
      <c r="W20" s="127"/>
      <c r="X20" s="127"/>
      <c r="Y20" s="127"/>
      <c r="Z20" s="127"/>
    </row>
    <row r="21" spans="1:26" x14ac:dyDescent="0.3">
      <c r="A21" s="577"/>
      <c r="B21" s="277" t="s">
        <v>164</v>
      </c>
      <c r="C21" s="220" t="s">
        <v>328</v>
      </c>
      <c r="D21" s="171">
        <v>5</v>
      </c>
      <c r="E21" s="171"/>
      <c r="F21" s="59" t="str">
        <f>IFERROR(VLOOKUP($D21,'Chief &amp; Hero Data'!$G$68:$AM$101,MATCH($E21,'Chief &amp; Hero Data'!$G$69:$AM$69,0),FALSE),"-")</f>
        <v>-</v>
      </c>
      <c r="G21" s="183"/>
      <c r="H21" s="183"/>
      <c r="I21" s="55" t="str">
        <f>IFERROR(VLOOKUP($D21,'Chief &amp; Hero Data'!$G$68:$AM$101,MATCH($E21,'Chief &amp; Hero Data'!$G$69:$AM$69,0),FALSE)-G21,"-")</f>
        <v>-</v>
      </c>
      <c r="J21" s="103">
        <f>IFERROR(IF(VLOOKUP(E21,'Chief &amp; Hero Data'!$B$70:$C$101,2,FALSE)&gt;VLOOKUP(D21,'Chief &amp; Hero Data'!$B$70:$C$101,2,FALSE),IF(ISNUMBER(F21)=FALSE,"-",IF((G21+H21)&gt;F21-1,"Yes","No")),"-"),)</f>
        <v>0</v>
      </c>
      <c r="K21" s="105" t="s">
        <v>693</v>
      </c>
      <c r="L21" s="171">
        <v>10</v>
      </c>
      <c r="M21" s="171"/>
      <c r="N21" s="101"/>
      <c r="O21" s="101"/>
      <c r="P21" s="101"/>
      <c r="Q21" s="101"/>
      <c r="R21" s="93" t="str">
        <f>IFERROR(VLOOKUP($L21,'Chief &amp; Hero Data'!$E$190:$O$200,MATCH($M21,'Chief &amp; Hero Data'!$E$189:$O$189,0),FALSE),"")</f>
        <v/>
      </c>
      <c r="S21" s="102"/>
      <c r="T21" s="127"/>
      <c r="U21" s="127"/>
      <c r="V21" s="127"/>
      <c r="W21" s="127"/>
      <c r="X21" s="127"/>
      <c r="Y21" s="127"/>
      <c r="Z21" s="127"/>
    </row>
    <row r="22" spans="1:26" x14ac:dyDescent="0.3">
      <c r="A22" s="576" t="s">
        <v>548</v>
      </c>
      <c r="B22" s="237" t="s">
        <v>162</v>
      </c>
      <c r="C22" s="155" t="s">
        <v>329</v>
      </c>
      <c r="D22" s="47">
        <v>5</v>
      </c>
      <c r="E22" s="47"/>
      <c r="F22" s="99" t="str">
        <f>IFERROR(VLOOKUP($D22,'Chief &amp; Hero Data'!$G$68:$AM$101,MATCH($E22,'Chief &amp; Hero Data'!$G$69:$AM$69,0),FALSE),"-")</f>
        <v>-</v>
      </c>
      <c r="G22" s="117"/>
      <c r="H22" s="117"/>
      <c r="I22" s="57" t="str">
        <f>IFERROR(VLOOKUP($D22,'Chief &amp; Hero Data'!$G$68:$AM$101,MATCH($E22,'Chief &amp; Hero Data'!$G$69:$AM$69,0),FALSE)-G22,"-")</f>
        <v>-</v>
      </c>
      <c r="J22" s="176">
        <f>IFERROR(IF(VLOOKUP(E22,'Chief &amp; Hero Data'!$B$70:$C$101,2,FALSE)&gt;VLOOKUP(D22,'Chief &amp; Hero Data'!$B$70:$C$101,2,FALSE),IF(ISNUMBER(F22)=FALSE,"-",IF((G22+H22)&gt;F22-1,"Yes","No")),"-"),)</f>
        <v>0</v>
      </c>
      <c r="K22" s="106" t="s">
        <v>696</v>
      </c>
      <c r="L22" s="47">
        <v>10</v>
      </c>
      <c r="M22" s="47"/>
      <c r="N22" s="275"/>
      <c r="O22" s="275"/>
      <c r="P22" s="275"/>
      <c r="Q22" s="275"/>
      <c r="R22" s="275"/>
      <c r="S22" s="268" t="str">
        <f>IFERROR(VLOOKUP($L22,'Chief &amp; Hero Data'!$E$190:$O$200,MATCH($M22,'Chief &amp; Hero Data'!$E$189:$O$189,0),FALSE),"")</f>
        <v/>
      </c>
      <c r="T22" s="127"/>
      <c r="U22" s="127"/>
      <c r="V22" s="127"/>
      <c r="W22" s="127"/>
      <c r="X22" s="127"/>
      <c r="Y22" s="127"/>
      <c r="Z22" s="127"/>
    </row>
    <row r="23" spans="1:26" x14ac:dyDescent="0.3">
      <c r="A23" s="577"/>
      <c r="B23" s="238" t="s">
        <v>163</v>
      </c>
      <c r="C23" s="155" t="s">
        <v>330</v>
      </c>
      <c r="D23" s="47">
        <v>5</v>
      </c>
      <c r="E23" s="47"/>
      <c r="F23" s="59" t="str">
        <f>IFERROR(VLOOKUP($D23,'Chief &amp; Hero Data'!$G$68:$AM$101,MATCH($E23,'Chief &amp; Hero Data'!$G$69:$AM$69,0),FALSE),"-")</f>
        <v>-</v>
      </c>
      <c r="G23" s="117"/>
      <c r="H23" s="117"/>
      <c r="I23" s="55" t="str">
        <f>IFERROR(VLOOKUP($D23,'Chief &amp; Hero Data'!$G$68:$AM$101,MATCH($E23,'Chief &amp; Hero Data'!$G$69:$AM$69,0),FALSE)-G23,"-")</f>
        <v>-</v>
      </c>
      <c r="J23" s="103">
        <f>IFERROR(IF(VLOOKUP(E23,'Chief &amp; Hero Data'!$B$70:$C$101,2,FALSE)&gt;VLOOKUP(D23,'Chief &amp; Hero Data'!$B$70:$C$101,2,FALSE),IF(ISNUMBER(F23)=FALSE,"-",IF((G23+H23)&gt;F23-1,"Yes","No")),"-"),)</f>
        <v>0</v>
      </c>
      <c r="K23" s="105" t="s">
        <v>693</v>
      </c>
      <c r="L23" s="47">
        <v>10</v>
      </c>
      <c r="M23" s="47"/>
      <c r="N23" s="101"/>
      <c r="O23" s="101"/>
      <c r="P23" s="101"/>
      <c r="Q23" s="101"/>
      <c r="R23" s="101"/>
      <c r="S23" s="93" t="str">
        <f>IFERROR(VLOOKUP($L23,'Chief &amp; Hero Data'!$E$190:$O$200,MATCH($M23,'Chief &amp; Hero Data'!$E$189:$O$189,0),FALSE),"")</f>
        <v/>
      </c>
      <c r="T23" s="127"/>
      <c r="U23" s="127"/>
      <c r="V23" s="127"/>
      <c r="W23" s="127"/>
      <c r="X23" s="127"/>
      <c r="Y23" s="127"/>
      <c r="Z23" s="127"/>
    </row>
    <row r="24" spans="1:26" x14ac:dyDescent="0.3">
      <c r="A24" s="577"/>
      <c r="B24" s="277" t="s">
        <v>164</v>
      </c>
      <c r="C24" s="220" t="s">
        <v>331</v>
      </c>
      <c r="D24" s="171">
        <v>5</v>
      </c>
      <c r="E24" s="171"/>
      <c r="F24" s="59" t="str">
        <f>IFERROR(VLOOKUP($D24,'Chief &amp; Hero Data'!$G$68:$AM$101,MATCH($E24,'Chief &amp; Hero Data'!$G$69:$AM$69,0),FALSE),"-")</f>
        <v>-</v>
      </c>
      <c r="G24" s="183"/>
      <c r="H24" s="183"/>
      <c r="I24" s="55" t="str">
        <f>IFERROR(VLOOKUP($D24,'Chief &amp; Hero Data'!$G$68:$AM$101,MATCH($E24,'Chief &amp; Hero Data'!$G$69:$AM$69,0),FALSE)-G24,"-")</f>
        <v>-</v>
      </c>
      <c r="J24" s="103">
        <f>IFERROR(IF(VLOOKUP(E24,'Chief &amp; Hero Data'!$B$70:$C$101,2,FALSE)&gt;VLOOKUP(D24,'Chief &amp; Hero Data'!$B$70:$C$101,2,FALSE),IF(ISNUMBER(F24)=FALSE,"-",IF((G24+H24)&gt;F24-1,"Yes","No")),"-"),)</f>
        <v>0</v>
      </c>
      <c r="K24" s="105" t="s">
        <v>696</v>
      </c>
      <c r="L24" s="171">
        <v>10</v>
      </c>
      <c r="M24" s="171"/>
      <c r="N24" s="101"/>
      <c r="O24" s="101"/>
      <c r="P24" s="101"/>
      <c r="Q24" s="101"/>
      <c r="R24" s="101"/>
      <c r="S24" s="93" t="str">
        <f>IFERROR(VLOOKUP($L24,'Chief &amp; Hero Data'!$E$190:$O$200,MATCH($M24,'Chief &amp; Hero Data'!$E$189:$O$189,0),FALSE),"")</f>
        <v/>
      </c>
      <c r="T24" s="127"/>
      <c r="U24" s="127"/>
      <c r="V24" s="127"/>
      <c r="W24" s="127"/>
      <c r="X24" s="127"/>
      <c r="Y24" s="127"/>
      <c r="Z24" s="127"/>
    </row>
    <row r="25" spans="1:26" x14ac:dyDescent="0.3">
      <c r="A25" s="576" t="s">
        <v>534</v>
      </c>
      <c r="B25" s="237" t="s">
        <v>162</v>
      </c>
      <c r="C25" s="155" t="s">
        <v>537</v>
      </c>
      <c r="D25" s="47">
        <v>5</v>
      </c>
      <c r="E25" s="47"/>
      <c r="F25" s="99" t="str">
        <f>IFERROR(VLOOKUP($D25,'Chief &amp; Hero Data'!$G$68:$AM$101,MATCH($E25,'Chief &amp; Hero Data'!$G$69:$AM$69,0),FALSE),"-")</f>
        <v>-</v>
      </c>
      <c r="G25" s="117"/>
      <c r="H25" s="117"/>
      <c r="I25" s="57" t="str">
        <f>IFERROR(VLOOKUP($D25,'Chief &amp; Hero Data'!$G$68:$AM$101,MATCH($E25,'Chief &amp; Hero Data'!$G$69:$AM$69,0),FALSE)-G25,"-")</f>
        <v>-</v>
      </c>
      <c r="J25" s="176">
        <f>IFERROR(IF(VLOOKUP(E25,'Chief &amp; Hero Data'!$B$70:$C$101,2,FALSE)&gt;VLOOKUP(D25,'Chief &amp; Hero Data'!$B$70:$C$101,2,FALSE),IF(ISNUMBER(F25)=FALSE,"-",IF((G25+H25)&gt;F25-1,"Yes","No")),"-"),)</f>
        <v>0</v>
      </c>
      <c r="K25" s="106" t="s">
        <v>696</v>
      </c>
      <c r="L25" s="47">
        <v>10</v>
      </c>
      <c r="M25" s="47"/>
      <c r="N25" s="275"/>
      <c r="O25" s="275"/>
      <c r="P25" s="275"/>
      <c r="Q25" s="275"/>
      <c r="R25" s="275"/>
      <c r="S25" s="278"/>
      <c r="T25" s="268" t="str">
        <f>IFERROR(VLOOKUP($L25,'Chief &amp; Hero Data'!$E$190:$O$200,MATCH($M25,'Chief &amp; Hero Data'!$E$189:$O$189,0),FALSE),"")</f>
        <v/>
      </c>
      <c r="U25" s="127"/>
      <c r="V25" s="127"/>
      <c r="W25" s="127"/>
      <c r="X25" s="127"/>
      <c r="Y25" s="127"/>
      <c r="Z25" s="127"/>
    </row>
    <row r="26" spans="1:26" x14ac:dyDescent="0.3">
      <c r="A26" s="577"/>
      <c r="B26" s="238" t="s">
        <v>163</v>
      </c>
      <c r="C26" s="155" t="s">
        <v>538</v>
      </c>
      <c r="D26" s="47">
        <v>5</v>
      </c>
      <c r="E26" s="47"/>
      <c r="F26" s="59" t="str">
        <f>IFERROR(VLOOKUP($D26,'Chief &amp; Hero Data'!$G$68:$AM$101,MATCH($E26,'Chief &amp; Hero Data'!$G$69:$AM$69,0),FALSE),"-")</f>
        <v>-</v>
      </c>
      <c r="G26" s="117"/>
      <c r="H26" s="117"/>
      <c r="I26" s="55" t="str">
        <f>IFERROR(VLOOKUP($D26,'Chief &amp; Hero Data'!$G$68:$AM$101,MATCH($E26,'Chief &amp; Hero Data'!$G$69:$AM$69,0),FALSE)-G26,"-")</f>
        <v>-</v>
      </c>
      <c r="J26" s="103">
        <f>IFERROR(IF(VLOOKUP(E26,'Chief &amp; Hero Data'!$B$70:$C$101,2,FALSE)&gt;VLOOKUP(D26,'Chief &amp; Hero Data'!$B$70:$C$101,2,FALSE),IF(ISNUMBER(F26)=FALSE,"-",IF((G26+H26)&gt;F26-1,"Yes","No")),"-"),)</f>
        <v>0</v>
      </c>
      <c r="K26" s="105" t="s">
        <v>693</v>
      </c>
      <c r="L26" s="47">
        <v>10</v>
      </c>
      <c r="M26" s="47"/>
      <c r="N26" s="101"/>
      <c r="O26" s="101"/>
      <c r="P26" s="101"/>
      <c r="Q26" s="101"/>
      <c r="R26" s="101"/>
      <c r="S26" s="178"/>
      <c r="T26" s="93" t="str">
        <f>IFERROR(VLOOKUP($L26,'Chief &amp; Hero Data'!$E$190:$O$200,MATCH($M26,'Chief &amp; Hero Data'!$E$189:$O$189,0),FALSE),"")</f>
        <v/>
      </c>
      <c r="U26" s="127"/>
      <c r="V26" s="127"/>
      <c r="W26" s="127"/>
      <c r="X26" s="127"/>
      <c r="Y26" s="127"/>
      <c r="Z26" s="127"/>
    </row>
    <row r="27" spans="1:26" x14ac:dyDescent="0.3">
      <c r="A27" s="577"/>
      <c r="B27" s="277" t="s">
        <v>164</v>
      </c>
      <c r="C27" s="220" t="s">
        <v>539</v>
      </c>
      <c r="D27" s="171">
        <v>5</v>
      </c>
      <c r="E27" s="171"/>
      <c r="F27" s="59" t="str">
        <f>IFERROR(VLOOKUP($D27,'Chief &amp; Hero Data'!$G$68:$AM$101,MATCH($E27,'Chief &amp; Hero Data'!$G$69:$AM$69,0),FALSE),"-")</f>
        <v>-</v>
      </c>
      <c r="G27" s="183"/>
      <c r="H27" s="183"/>
      <c r="I27" s="55" t="str">
        <f>IFERROR(VLOOKUP($D27,'Chief &amp; Hero Data'!$G$68:$AM$101,MATCH($E27,'Chief &amp; Hero Data'!$G$69:$AM$69,0),FALSE)-G27,"-")</f>
        <v>-</v>
      </c>
      <c r="J27" s="103">
        <f>IFERROR(IF(VLOOKUP(E27,'Chief &amp; Hero Data'!$B$70:$C$101,2,FALSE)&gt;VLOOKUP(D27,'Chief &amp; Hero Data'!$B$70:$C$101,2,FALSE),IF(ISNUMBER(F27)=FALSE,"-",IF((G27+H27)&gt;F27-1,"Yes","No")),"-"),)</f>
        <v>0</v>
      </c>
      <c r="K27" s="105" t="s">
        <v>696</v>
      </c>
      <c r="L27" s="171">
        <v>10</v>
      </c>
      <c r="M27" s="171"/>
      <c r="N27" s="101"/>
      <c r="O27" s="101"/>
      <c r="P27" s="101"/>
      <c r="Q27" s="101"/>
      <c r="R27" s="101"/>
      <c r="S27" s="178"/>
      <c r="T27" s="93" t="str">
        <f>IFERROR(VLOOKUP($L27,'Chief &amp; Hero Data'!$E$190:$O$200,MATCH($M27,'Chief &amp; Hero Data'!$E$189:$O$189,0),FALSE),"")</f>
        <v/>
      </c>
      <c r="U27" s="127"/>
      <c r="V27" s="127"/>
      <c r="W27" s="127"/>
      <c r="X27" s="127"/>
      <c r="Y27" s="127"/>
      <c r="Z27" s="127"/>
    </row>
    <row r="28" spans="1:26" x14ac:dyDescent="0.3">
      <c r="A28" s="576" t="s">
        <v>535</v>
      </c>
      <c r="B28" s="237" t="s">
        <v>162</v>
      </c>
      <c r="C28" s="155" t="s">
        <v>540</v>
      </c>
      <c r="D28" s="47">
        <v>5</v>
      </c>
      <c r="E28" s="47"/>
      <c r="F28" s="99" t="str">
        <f>IFERROR(VLOOKUP($D28,'Chief &amp; Hero Data'!$G$68:$AM$101,MATCH($E28,'Chief &amp; Hero Data'!$G$69:$AM$69,0),FALSE),"-")</f>
        <v>-</v>
      </c>
      <c r="G28" s="117"/>
      <c r="H28" s="117"/>
      <c r="I28" s="57" t="str">
        <f>IFERROR(VLOOKUP($D28,'Chief &amp; Hero Data'!$G$68:$AM$101,MATCH($E28,'Chief &amp; Hero Data'!$G$69:$AM$69,0),FALSE)-G28,"-")</f>
        <v>-</v>
      </c>
      <c r="J28" s="176">
        <f>IFERROR(IF(VLOOKUP(E28,'Chief &amp; Hero Data'!$B$70:$C$101,2,FALSE)&gt;VLOOKUP(D28,'Chief &amp; Hero Data'!$B$70:$C$101,2,FALSE),IF(ISNUMBER(F28)=FALSE,"-",IF((G28+H28)&gt;F28-1,"Yes","No")),"-"),)</f>
        <v>0</v>
      </c>
      <c r="K28" s="106" t="s">
        <v>696</v>
      </c>
      <c r="L28" s="47">
        <v>10</v>
      </c>
      <c r="M28" s="47"/>
      <c r="N28" s="275"/>
      <c r="O28" s="275"/>
      <c r="P28" s="275"/>
      <c r="Q28" s="275"/>
      <c r="R28" s="275"/>
      <c r="S28" s="278"/>
      <c r="T28" s="280"/>
      <c r="U28" s="268" t="str">
        <f>IFERROR(VLOOKUP($L28,'Chief &amp; Hero Data'!$E$190:$O$200,MATCH($M28,'Chief &amp; Hero Data'!$E$189:$O$189,0),FALSE),"")</f>
        <v/>
      </c>
      <c r="V28" s="127"/>
      <c r="W28" s="127"/>
      <c r="X28" s="127"/>
      <c r="Y28" s="127"/>
      <c r="Z28" s="127"/>
    </row>
    <row r="29" spans="1:26" x14ac:dyDescent="0.3">
      <c r="A29" s="577"/>
      <c r="B29" s="238" t="s">
        <v>163</v>
      </c>
      <c r="C29" s="155" t="s">
        <v>541</v>
      </c>
      <c r="D29" s="47">
        <v>5</v>
      </c>
      <c r="E29" s="47"/>
      <c r="F29" s="59" t="str">
        <f>IFERROR(VLOOKUP($D29,'Chief &amp; Hero Data'!$G$68:$AM$101,MATCH($E29,'Chief &amp; Hero Data'!$G$69:$AM$69,0),FALSE),"-")</f>
        <v>-</v>
      </c>
      <c r="G29" s="117"/>
      <c r="H29" s="117"/>
      <c r="I29" s="55" t="str">
        <f>IFERROR(VLOOKUP($D29,'Chief &amp; Hero Data'!$G$68:$AM$101,MATCH($E29,'Chief &amp; Hero Data'!$G$69:$AM$69,0),FALSE)-G29,"-")</f>
        <v>-</v>
      </c>
      <c r="J29" s="103">
        <f>IFERROR(IF(VLOOKUP(E29,'Chief &amp; Hero Data'!$B$70:$C$101,2,FALSE)&gt;VLOOKUP(D29,'Chief &amp; Hero Data'!$B$70:$C$101,2,FALSE),IF(ISNUMBER(F29)=FALSE,"-",IF((G29+H29)&gt;F29-1,"Yes","No")),"-"),)</f>
        <v>0</v>
      </c>
      <c r="K29" s="105" t="s">
        <v>696</v>
      </c>
      <c r="L29" s="47">
        <v>10</v>
      </c>
      <c r="M29" s="47"/>
      <c r="N29" s="101"/>
      <c r="O29" s="101"/>
      <c r="P29" s="101"/>
      <c r="Q29" s="101"/>
      <c r="R29" s="101"/>
      <c r="S29" s="178"/>
      <c r="T29" s="127"/>
      <c r="U29" s="93" t="str">
        <f>IFERROR(VLOOKUP($L29,'Chief &amp; Hero Data'!$E$190:$O$200,MATCH($M29,'Chief &amp; Hero Data'!$E$189:$O$189,0),FALSE),"")</f>
        <v/>
      </c>
      <c r="V29" s="127"/>
      <c r="W29" s="127"/>
      <c r="X29" s="127"/>
      <c r="Y29" s="127"/>
      <c r="Z29" s="127"/>
    </row>
    <row r="30" spans="1:26" x14ac:dyDescent="0.3">
      <c r="A30" s="577"/>
      <c r="B30" s="277" t="s">
        <v>164</v>
      </c>
      <c r="C30" s="220" t="s">
        <v>542</v>
      </c>
      <c r="D30" s="171">
        <v>5</v>
      </c>
      <c r="E30" s="171"/>
      <c r="F30" s="59" t="str">
        <f>IFERROR(VLOOKUP($D30,'Chief &amp; Hero Data'!$G$68:$AM$101,MATCH($E30,'Chief &amp; Hero Data'!$G$69:$AM$69,0),FALSE),"-")</f>
        <v>-</v>
      </c>
      <c r="G30" s="183"/>
      <c r="H30" s="183"/>
      <c r="I30" s="55" t="str">
        <f>IFERROR(VLOOKUP($D30,'Chief &amp; Hero Data'!$G$68:$AM$101,MATCH($E30,'Chief &amp; Hero Data'!$G$69:$AM$69,0),FALSE)-G30,"-")</f>
        <v>-</v>
      </c>
      <c r="J30" s="103">
        <f>IFERROR(IF(VLOOKUP(E30,'Chief &amp; Hero Data'!$B$70:$C$101,2,FALSE)&gt;VLOOKUP(D30,'Chief &amp; Hero Data'!$B$70:$C$101,2,FALSE),IF(ISNUMBER(F30)=FALSE,"-",IF((G30+H30)&gt;F30-1,"Yes","No")),"-"),)</f>
        <v>0</v>
      </c>
      <c r="K30" s="105" t="s">
        <v>693</v>
      </c>
      <c r="L30" s="171">
        <v>10</v>
      </c>
      <c r="M30" s="171"/>
      <c r="N30" s="101"/>
      <c r="O30" s="101"/>
      <c r="P30" s="101"/>
      <c r="Q30" s="101"/>
      <c r="R30" s="101"/>
      <c r="S30" s="178"/>
      <c r="T30" s="127"/>
      <c r="U30" s="93" t="str">
        <f>IFERROR(VLOOKUP($L30,'Chief &amp; Hero Data'!$E$190:$O$200,MATCH($M30,'Chief &amp; Hero Data'!$E$189:$O$189,0),FALSE),"")</f>
        <v/>
      </c>
      <c r="V30" s="127"/>
      <c r="W30" s="127"/>
      <c r="X30" s="127"/>
      <c r="Y30" s="127"/>
      <c r="Z30" s="127"/>
    </row>
    <row r="31" spans="1:26" x14ac:dyDescent="0.3">
      <c r="A31" s="576" t="s">
        <v>536</v>
      </c>
      <c r="B31" s="237" t="s">
        <v>162</v>
      </c>
      <c r="C31" s="155" t="s">
        <v>543</v>
      </c>
      <c r="D31" s="47">
        <v>5</v>
      </c>
      <c r="E31" s="47"/>
      <c r="F31" s="99" t="str">
        <f>IFERROR(VLOOKUP($D31,'Chief &amp; Hero Data'!$G$68:$AM$101,MATCH($E31,'Chief &amp; Hero Data'!$G$69:$AM$69,0),FALSE),"-")</f>
        <v>-</v>
      </c>
      <c r="G31" s="117"/>
      <c r="H31" s="117"/>
      <c r="I31" s="57" t="str">
        <f>IFERROR(VLOOKUP($D31,'Chief &amp; Hero Data'!$G$68:$AM$101,MATCH($E31,'Chief &amp; Hero Data'!$G$69:$AM$69,0),FALSE)-G31,"-")</f>
        <v>-</v>
      </c>
      <c r="J31" s="176">
        <f>IFERROR(IF(VLOOKUP(E31,'Chief &amp; Hero Data'!$B$70:$C$101,2,FALSE)&gt;VLOOKUP(D31,'Chief &amp; Hero Data'!$B$70:$C$101,2,FALSE),IF(ISNUMBER(F31)=FALSE,"-",IF((G31+H31)&gt;F31-1,"Yes","No")),"-"),)</f>
        <v>0</v>
      </c>
      <c r="K31" s="106" t="s">
        <v>696</v>
      </c>
      <c r="L31" s="47">
        <v>10</v>
      </c>
      <c r="M31" s="47"/>
      <c r="N31" s="275"/>
      <c r="O31" s="275"/>
      <c r="P31" s="275"/>
      <c r="Q31" s="275"/>
      <c r="R31" s="275"/>
      <c r="S31" s="278"/>
      <c r="T31" s="280"/>
      <c r="U31" s="280"/>
      <c r="V31" s="268" t="str">
        <f>IFERROR(VLOOKUP($L31,'Chief &amp; Hero Data'!$E$190:$O$200,MATCH($M31,'Chief &amp; Hero Data'!$E$189:$O$189,0),FALSE),"")</f>
        <v/>
      </c>
      <c r="W31" s="127"/>
      <c r="X31" s="127"/>
      <c r="Y31" s="127"/>
      <c r="Z31" s="127"/>
    </row>
    <row r="32" spans="1:26" x14ac:dyDescent="0.3">
      <c r="A32" s="577"/>
      <c r="B32" s="238" t="s">
        <v>163</v>
      </c>
      <c r="C32" s="155" t="s">
        <v>544</v>
      </c>
      <c r="D32" s="47">
        <v>5</v>
      </c>
      <c r="E32" s="47"/>
      <c r="F32" s="59" t="str">
        <f>IFERROR(VLOOKUP($D32,'Chief &amp; Hero Data'!$G$68:$AM$101,MATCH($E32,'Chief &amp; Hero Data'!$G$69:$AM$69,0),FALSE),"-")</f>
        <v>-</v>
      </c>
      <c r="G32" s="117"/>
      <c r="H32" s="117"/>
      <c r="I32" s="55" t="str">
        <f>IFERROR(VLOOKUP($D32,'Chief &amp; Hero Data'!$G$68:$AM$101,MATCH($E32,'Chief &amp; Hero Data'!$G$69:$AM$69,0),FALSE)-G32,"-")</f>
        <v>-</v>
      </c>
      <c r="J32" s="103">
        <f>IFERROR(IF(VLOOKUP(E32,'Chief &amp; Hero Data'!$B$70:$C$101,2,FALSE)&gt;VLOOKUP(D32,'Chief &amp; Hero Data'!$B$70:$C$101,2,FALSE),IF(ISNUMBER(F32)=FALSE,"-",IF((G32+H32)&gt;F32-1,"Yes","No")),"-"),)</f>
        <v>0</v>
      </c>
      <c r="K32" s="105" t="s">
        <v>693</v>
      </c>
      <c r="L32" s="47">
        <v>10</v>
      </c>
      <c r="M32" s="47"/>
      <c r="N32" s="101"/>
      <c r="O32" s="101"/>
      <c r="P32" s="101"/>
      <c r="Q32" s="101"/>
      <c r="R32" s="101"/>
      <c r="S32" s="178"/>
      <c r="T32" s="127"/>
      <c r="U32" s="127"/>
      <c r="V32" s="93" t="str">
        <f>IFERROR(VLOOKUP($L32,'Chief &amp; Hero Data'!$E$190:$O$200,MATCH($M32,'Chief &amp; Hero Data'!$E$189:$O$189,0),FALSE),"")</f>
        <v/>
      </c>
      <c r="W32" s="127"/>
      <c r="X32" s="127"/>
      <c r="Y32" s="127"/>
      <c r="Z32" s="127"/>
    </row>
    <row r="33" spans="1:26" x14ac:dyDescent="0.3">
      <c r="A33" s="578"/>
      <c r="B33" s="239" t="s">
        <v>164</v>
      </c>
      <c r="C33" s="155" t="s">
        <v>545</v>
      </c>
      <c r="D33" s="47">
        <v>5</v>
      </c>
      <c r="E33" s="47"/>
      <c r="F33" s="61" t="str">
        <f>IFERROR(VLOOKUP($D33,'Chief &amp; Hero Data'!$G$68:$AM$101,MATCH($E33,'Chief &amp; Hero Data'!$G$69:$AM$69,0),FALSE),"-")</f>
        <v>-</v>
      </c>
      <c r="G33" s="117"/>
      <c r="H33" s="117"/>
      <c r="I33" s="56" t="str">
        <f>IFERROR(VLOOKUP($D33,'Chief &amp; Hero Data'!$G$68:$AM$101,MATCH($E33,'Chief &amp; Hero Data'!$G$69:$AM$69,0),FALSE)-G33,"-")</f>
        <v>-</v>
      </c>
      <c r="J33" s="179">
        <f>IFERROR(IF(VLOOKUP(E33,'Chief &amp; Hero Data'!$B$70:$C$101,2,FALSE)&gt;VLOOKUP(D33,'Chief &amp; Hero Data'!$B$70:$C$101,2,FALSE),IF(ISNUMBER(F33)=FALSE,"-",IF((G33+H33)&gt;F33-1,"Yes","No")),"-"),)</f>
        <v>0</v>
      </c>
      <c r="K33" s="104" t="s">
        <v>696</v>
      </c>
      <c r="L33" s="47">
        <v>10</v>
      </c>
      <c r="M33" s="47"/>
      <c r="N33" s="276"/>
      <c r="O33" s="276"/>
      <c r="P33" s="276"/>
      <c r="Q33" s="276"/>
      <c r="R33" s="276"/>
      <c r="S33" s="279"/>
      <c r="T33" s="281"/>
      <c r="U33" s="281"/>
      <c r="V33" s="267" t="str">
        <f>IFERROR(VLOOKUP($L33,'Chief &amp; Hero Data'!$E$190:$O$200,MATCH($M33,'Chief &amp; Hero Data'!$E$189:$O$189,0),FALSE),"")</f>
        <v/>
      </c>
      <c r="W33" s="127"/>
      <c r="X33" s="127"/>
      <c r="Y33" s="127"/>
      <c r="Z33" s="127"/>
    </row>
    <row r="34" spans="1:26" x14ac:dyDescent="0.3">
      <c r="A34" s="576" t="s">
        <v>697</v>
      </c>
      <c r="B34" s="237" t="s">
        <v>162</v>
      </c>
      <c r="C34" s="155" t="s">
        <v>698</v>
      </c>
      <c r="D34" s="47" t="s">
        <v>283</v>
      </c>
      <c r="E34" s="47">
        <v>5</v>
      </c>
      <c r="F34" s="99">
        <f>IFERROR(VLOOKUP($D34,'Chief &amp; Hero Data'!$G$68:$AM$101,MATCH($E34,'Chief &amp; Hero Data'!$G$69:$AM$69,0),FALSE),"-")</f>
        <v>1065</v>
      </c>
      <c r="G34" s="117">
        <v>106</v>
      </c>
      <c r="H34" s="117">
        <v>959</v>
      </c>
      <c r="I34" s="57">
        <f>IFERROR(VLOOKUP($D34,'Chief &amp; Hero Data'!$G$68:$AM$101,MATCH($E34,'Chief &amp; Hero Data'!$G$69:$AM$69,0),FALSE)-G34,"-")</f>
        <v>959</v>
      </c>
      <c r="J34" s="176" t="str">
        <f>IFERROR(IF(VLOOKUP(E34,'Chief &amp; Hero Data'!$B$70:$C$101,2,FALSE)&gt;VLOOKUP(D34,'Chief &amp; Hero Data'!$B$70:$C$101,2,FALSE),IF(ISNUMBER(F34)=FALSE,"-",IF((G34+H34)&gt;F34-1,"Yes","No")),"-"),)</f>
        <v>Yes</v>
      </c>
      <c r="K34" s="106" t="s">
        <v>696</v>
      </c>
      <c r="L34" s="47">
        <v>0</v>
      </c>
      <c r="M34" s="47">
        <v>10</v>
      </c>
      <c r="N34" s="275"/>
      <c r="O34" s="275"/>
      <c r="P34" s="275"/>
      <c r="Q34" s="275"/>
      <c r="R34" s="275"/>
      <c r="S34" s="278"/>
      <c r="T34" s="280"/>
      <c r="U34" s="280"/>
      <c r="V34" s="280"/>
      <c r="W34" s="220">
        <f>IFERROR(VLOOKUP($L34,'Chief &amp; Hero Data'!$E$190:$O$200,MATCH($M34,'Chief &amp; Hero Data'!$E$189:$O$189,0),FALSE),"")</f>
        <v>275</v>
      </c>
      <c r="X34" s="127"/>
      <c r="Y34" s="127"/>
      <c r="Z34" s="127"/>
    </row>
    <row r="35" spans="1:26" x14ac:dyDescent="0.3">
      <c r="A35" s="577"/>
      <c r="B35" s="238" t="s">
        <v>163</v>
      </c>
      <c r="C35" s="219" t="s">
        <v>699</v>
      </c>
      <c r="D35" s="47" t="s">
        <v>283</v>
      </c>
      <c r="E35" s="47">
        <v>5</v>
      </c>
      <c r="F35" s="59">
        <f>IFERROR(VLOOKUP($D35,'Chief &amp; Hero Data'!$G$68:$AM$101,MATCH($E35,'Chief &amp; Hero Data'!$G$69:$AM$69,0),FALSE),"-")</f>
        <v>1065</v>
      </c>
      <c r="G35" s="117">
        <v>10</v>
      </c>
      <c r="H35" s="117">
        <v>1055</v>
      </c>
      <c r="I35" s="55">
        <f>IFERROR(VLOOKUP($D35,'Chief &amp; Hero Data'!$G$68:$AM$101,MATCH($E35,'Chief &amp; Hero Data'!$G$69:$AM$69,0),FALSE)-G35,"-")</f>
        <v>1055</v>
      </c>
      <c r="J35" s="103" t="str">
        <f>IFERROR(IF(VLOOKUP(E35,'Chief &amp; Hero Data'!$B$70:$C$101,2,FALSE)&gt;VLOOKUP(D35,'Chief &amp; Hero Data'!$B$70:$C$101,2,FALSE),IF(ISNUMBER(F35)=FALSE,"-",IF((G35+H35)&gt;F35-1,"Yes","No")),"-"),)</f>
        <v>Yes</v>
      </c>
      <c r="K35" s="105" t="s">
        <v>696</v>
      </c>
      <c r="L35" s="47">
        <v>0</v>
      </c>
      <c r="M35" s="47">
        <v>10</v>
      </c>
      <c r="N35" s="101"/>
      <c r="O35" s="101"/>
      <c r="P35" s="101"/>
      <c r="Q35" s="101"/>
      <c r="R35" s="101"/>
      <c r="S35" s="178"/>
      <c r="T35" s="127"/>
      <c r="U35" s="127"/>
      <c r="V35" s="127"/>
      <c r="W35" s="221">
        <f>IFERROR(VLOOKUP($L35,'Chief &amp; Hero Data'!$E$190:$O$200,MATCH($M35,'Chief &amp; Hero Data'!$E$189:$O$189,0),FALSE),"")</f>
        <v>275</v>
      </c>
      <c r="X35" s="127"/>
      <c r="Y35" s="127"/>
      <c r="Z35" s="127"/>
    </row>
    <row r="36" spans="1:26" x14ac:dyDescent="0.3">
      <c r="A36" s="578"/>
      <c r="B36" s="239" t="s">
        <v>164</v>
      </c>
      <c r="C36" s="222" t="s">
        <v>700</v>
      </c>
      <c r="D36" s="47" t="s">
        <v>283</v>
      </c>
      <c r="E36" s="47">
        <v>5</v>
      </c>
      <c r="F36" s="61">
        <f>IFERROR(VLOOKUP($D36,'Chief &amp; Hero Data'!$G$68:$AM$101,MATCH($E36,'Chief &amp; Hero Data'!$G$69:$AM$69,0),FALSE),"-")</f>
        <v>1065</v>
      </c>
      <c r="G36" s="117">
        <v>275</v>
      </c>
      <c r="H36" s="117">
        <v>790</v>
      </c>
      <c r="I36" s="56">
        <f>IFERROR(VLOOKUP($D36,'Chief &amp; Hero Data'!$G$68:$AM$101,MATCH($E36,'Chief &amp; Hero Data'!$G$69:$AM$69,0),FALSE)-G36,"-")</f>
        <v>790</v>
      </c>
      <c r="J36" s="179" t="str">
        <f>IFERROR(IF(VLOOKUP(E36,'Chief &amp; Hero Data'!$B$70:$C$101,2,FALSE)&gt;VLOOKUP(D36,'Chief &amp; Hero Data'!$B$70:$C$101,2,FALSE),IF(ISNUMBER(F36)=FALSE,"-",IF((G36+H36)&gt;F36-1,"Yes","No")),"-"),)</f>
        <v>Yes</v>
      </c>
      <c r="K36" s="104" t="s">
        <v>693</v>
      </c>
      <c r="L36" s="47">
        <v>0</v>
      </c>
      <c r="M36" s="47">
        <v>10</v>
      </c>
      <c r="N36" s="276"/>
      <c r="O36" s="276"/>
      <c r="P36" s="276"/>
      <c r="Q36" s="276"/>
      <c r="R36" s="276"/>
      <c r="S36" s="279"/>
      <c r="T36" s="281"/>
      <c r="U36" s="281"/>
      <c r="V36" s="281"/>
      <c r="W36" s="219">
        <f>IFERROR(VLOOKUP($L36,'Chief &amp; Hero Data'!$E$190:$O$200,MATCH($M36,'Chief &amp; Hero Data'!$E$189:$O$189,0),FALSE),"")</f>
        <v>275</v>
      </c>
      <c r="X36" s="127"/>
      <c r="Y36" s="127"/>
      <c r="Z36" s="127"/>
    </row>
    <row r="37" spans="1:26" x14ac:dyDescent="0.3">
      <c r="A37" s="576" t="s">
        <v>916</v>
      </c>
      <c r="B37" s="320" t="s">
        <v>162</v>
      </c>
      <c r="C37" s="222" t="s">
        <v>919</v>
      </c>
      <c r="D37" s="272" t="s">
        <v>374</v>
      </c>
      <c r="E37" s="272"/>
      <c r="F37" s="99" t="str">
        <f>IFERROR(VLOOKUP($D37,'Chief &amp; Hero Data'!$G$68:$AM$101,MATCH($E37,'Chief &amp; Hero Data'!$G$69:$AM$69,0),FALSE),"-")</f>
        <v>-</v>
      </c>
      <c r="G37" s="273"/>
      <c r="H37" s="273"/>
      <c r="I37" s="57" t="str">
        <f>IFERROR(VLOOKUP($D37,'Chief &amp; Hero Data'!$G$68:$AM$101,MATCH($E37,'Chief &amp; Hero Data'!$G$69:$AM$69,0),FALSE)-G37,"-")</f>
        <v>-</v>
      </c>
      <c r="J37" s="176">
        <f>IFERROR(IF(VLOOKUP(E37,'Chief &amp; Hero Data'!$B$70:$C$101,2,FALSE)&gt;VLOOKUP(D37,'Chief &amp; Hero Data'!$B$70:$C$101,2,FALSE),IF(ISNUMBER(F37)=FALSE,"-",IF((G37+H37)&gt;F37-1,"Yes","No")),"-"),)</f>
        <v>0</v>
      </c>
      <c r="K37" s="106" t="s">
        <v>696</v>
      </c>
      <c r="L37" s="47"/>
      <c r="M37" s="47"/>
      <c r="N37" s="276"/>
      <c r="O37" s="276"/>
      <c r="P37" s="276"/>
      <c r="Q37" s="276"/>
      <c r="R37" s="276"/>
      <c r="S37" s="279"/>
      <c r="T37" s="281"/>
      <c r="U37" s="281"/>
      <c r="V37" s="281"/>
      <c r="W37" s="321"/>
      <c r="X37" s="220" t="str">
        <f>IFERROR(VLOOKUP($L37,'Chief &amp; Hero Data'!$E$190:$O$200,MATCH($M37,'Chief &amp; Hero Data'!$E$189:$O$189,0),FALSE),"")</f>
        <v/>
      </c>
      <c r="Y37" s="127"/>
      <c r="Z37" s="127"/>
    </row>
    <row r="38" spans="1:26" x14ac:dyDescent="0.3">
      <c r="A38" s="577"/>
      <c r="B38" s="277" t="s">
        <v>163</v>
      </c>
      <c r="C38" s="222" t="s">
        <v>927</v>
      </c>
      <c r="D38" s="272" t="s">
        <v>374</v>
      </c>
      <c r="E38" s="272"/>
      <c r="F38" s="59" t="str">
        <f>IFERROR(VLOOKUP($D38,'Chief &amp; Hero Data'!$G$68:$AM$101,MATCH($E38,'Chief &amp; Hero Data'!$G$69:$AM$69,0),FALSE),"-")</f>
        <v>-</v>
      </c>
      <c r="G38" s="273"/>
      <c r="H38" s="273"/>
      <c r="I38" s="55" t="str">
        <f>IFERROR(VLOOKUP($D38,'Chief &amp; Hero Data'!$G$68:$AM$101,MATCH($E38,'Chief &amp; Hero Data'!$G$69:$AM$69,0),FALSE)-G38,"-")</f>
        <v>-</v>
      </c>
      <c r="J38" s="103">
        <f>IFERROR(IF(VLOOKUP(E38,'Chief &amp; Hero Data'!$B$70:$C$101,2,FALSE)&gt;VLOOKUP(D38,'Chief &amp; Hero Data'!$B$70:$C$101,2,FALSE),IF(ISNUMBER(F38)=FALSE,"-",IF((G38+H38)&gt;F38-1,"Yes","No")),"-"),)</f>
        <v>0</v>
      </c>
      <c r="K38" s="105" t="s">
        <v>696</v>
      </c>
      <c r="L38" s="47"/>
      <c r="M38" s="47"/>
      <c r="N38" s="276"/>
      <c r="O38" s="276"/>
      <c r="P38" s="276"/>
      <c r="Q38" s="276"/>
      <c r="R38" s="276"/>
      <c r="S38" s="279"/>
      <c r="T38" s="281"/>
      <c r="U38" s="281"/>
      <c r="V38" s="281"/>
      <c r="W38" s="321"/>
      <c r="X38" s="221" t="str">
        <f>IFERROR(VLOOKUP($L38,'Chief &amp; Hero Data'!$E$190:$O$200,MATCH($M38,'Chief &amp; Hero Data'!$E$189:$O$189,0),FALSE),"")</f>
        <v/>
      </c>
      <c r="Y38" s="127"/>
      <c r="Z38" s="127"/>
    </row>
    <row r="39" spans="1:26" x14ac:dyDescent="0.3">
      <c r="A39" s="578"/>
      <c r="B39" s="239" t="s">
        <v>164</v>
      </c>
      <c r="C39" s="222" t="s">
        <v>920</v>
      </c>
      <c r="D39" s="272" t="s">
        <v>374</v>
      </c>
      <c r="E39" s="272"/>
      <c r="F39" s="61" t="str">
        <f>IFERROR(VLOOKUP($D39,'Chief &amp; Hero Data'!$G$68:$AM$101,MATCH($E39,'Chief &amp; Hero Data'!$G$69:$AM$69,0),FALSE),"-")</f>
        <v>-</v>
      </c>
      <c r="G39" s="273"/>
      <c r="H39" s="273"/>
      <c r="I39" s="56" t="str">
        <f>IFERROR(VLOOKUP($D39,'Chief &amp; Hero Data'!$G$68:$AM$101,MATCH($E39,'Chief &amp; Hero Data'!$G$69:$AM$69,0),FALSE)-G39,"-")</f>
        <v>-</v>
      </c>
      <c r="J39" s="179">
        <f>IFERROR(IF(VLOOKUP(E39,'Chief &amp; Hero Data'!$B$70:$C$101,2,FALSE)&gt;VLOOKUP(D39,'Chief &amp; Hero Data'!$B$70:$C$101,2,FALSE),IF(ISNUMBER(F39)=FALSE,"-",IF((G39+H39)&gt;F39-1,"Yes","No")),"-"),)</f>
        <v>0</v>
      </c>
      <c r="K39" s="104" t="s">
        <v>693</v>
      </c>
      <c r="L39" s="47"/>
      <c r="M39" s="47"/>
      <c r="N39" s="276"/>
      <c r="O39" s="276"/>
      <c r="P39" s="276"/>
      <c r="Q39" s="276"/>
      <c r="R39" s="276"/>
      <c r="S39" s="279"/>
      <c r="T39" s="281"/>
      <c r="U39" s="281"/>
      <c r="V39" s="281"/>
      <c r="W39" s="321"/>
      <c r="X39" s="219" t="str">
        <f>IFERROR(VLOOKUP($L39,'Chief &amp; Hero Data'!$E$190:$O$200,MATCH($M39,'Chief &amp; Hero Data'!$E$189:$O$189,0),FALSE),"")</f>
        <v/>
      </c>
      <c r="Y39" s="127"/>
      <c r="Z39" s="127"/>
    </row>
    <row r="40" spans="1:26" x14ac:dyDescent="0.3">
      <c r="A40" s="576" t="s">
        <v>917</v>
      </c>
      <c r="B40" s="320" t="s">
        <v>162</v>
      </c>
      <c r="C40" s="222" t="s">
        <v>921</v>
      </c>
      <c r="D40" s="272" t="s">
        <v>374</v>
      </c>
      <c r="E40" s="272"/>
      <c r="F40" s="99" t="str">
        <f>IFERROR(VLOOKUP($D40,'Chief &amp; Hero Data'!$G$68:$AM$101,MATCH($E40,'Chief &amp; Hero Data'!$G$69:$AM$69,0),FALSE),"-")</f>
        <v>-</v>
      </c>
      <c r="G40" s="273"/>
      <c r="H40" s="273"/>
      <c r="I40" s="57" t="str">
        <f>IFERROR(VLOOKUP($D40,'Chief &amp; Hero Data'!$G$68:$AM$101,MATCH($E40,'Chief &amp; Hero Data'!$G$69:$AM$69,0),FALSE)-G40,"-")</f>
        <v>-</v>
      </c>
      <c r="J40" s="176">
        <f>IFERROR(IF(VLOOKUP(E40,'Chief &amp; Hero Data'!$B$70:$C$101,2,FALSE)&gt;VLOOKUP(D40,'Chief &amp; Hero Data'!$B$70:$C$101,2,FALSE),IF(ISNUMBER(F40)=FALSE,"-",IF((G40+H40)&gt;F40-1,"Yes","No")),"-"),)</f>
        <v>0</v>
      </c>
      <c r="K40" s="106" t="s">
        <v>696</v>
      </c>
      <c r="L40" s="47"/>
      <c r="M40" s="47"/>
      <c r="N40" s="276"/>
      <c r="O40" s="276"/>
      <c r="P40" s="276"/>
      <c r="Q40" s="276"/>
      <c r="R40" s="276"/>
      <c r="S40" s="279"/>
      <c r="T40" s="281"/>
      <c r="U40" s="281"/>
      <c r="V40" s="281"/>
      <c r="W40" s="321"/>
      <c r="X40" s="127"/>
      <c r="Y40" s="220" t="str">
        <f>IFERROR(VLOOKUP($L40,'Chief &amp; Hero Data'!$E$190:$O$200,MATCH($M40,'Chief &amp; Hero Data'!$E$189:$O$189,0),FALSE),"")</f>
        <v/>
      </c>
      <c r="Z40" s="127"/>
    </row>
    <row r="41" spans="1:26" x14ac:dyDescent="0.3">
      <c r="A41" s="577"/>
      <c r="B41" s="277" t="s">
        <v>163</v>
      </c>
      <c r="C41" s="222" t="s">
        <v>922</v>
      </c>
      <c r="D41" s="272" t="s">
        <v>374</v>
      </c>
      <c r="E41" s="272"/>
      <c r="F41" s="59" t="str">
        <f>IFERROR(VLOOKUP($D41,'Chief &amp; Hero Data'!$G$68:$AM$101,MATCH($E41,'Chief &amp; Hero Data'!$G$69:$AM$69,0),FALSE),"-")</f>
        <v>-</v>
      </c>
      <c r="G41" s="273"/>
      <c r="H41" s="273"/>
      <c r="I41" s="55" t="str">
        <f>IFERROR(VLOOKUP($D41,'Chief &amp; Hero Data'!$G$68:$AM$101,MATCH($E41,'Chief &amp; Hero Data'!$G$69:$AM$69,0),FALSE)-G41,"-")</f>
        <v>-</v>
      </c>
      <c r="J41" s="103">
        <f>IFERROR(IF(VLOOKUP(E41,'Chief &amp; Hero Data'!$B$70:$C$101,2,FALSE)&gt;VLOOKUP(D41,'Chief &amp; Hero Data'!$B$70:$C$101,2,FALSE),IF(ISNUMBER(F41)=FALSE,"-",IF((G41+H41)&gt;F41-1,"Yes","No")),"-"),)</f>
        <v>0</v>
      </c>
      <c r="K41" s="105" t="s">
        <v>693</v>
      </c>
      <c r="L41" s="47"/>
      <c r="M41" s="47"/>
      <c r="N41" s="276"/>
      <c r="O41" s="276"/>
      <c r="P41" s="276"/>
      <c r="Q41" s="276"/>
      <c r="R41" s="276"/>
      <c r="S41" s="279"/>
      <c r="T41" s="281"/>
      <c r="U41" s="281"/>
      <c r="V41" s="281"/>
      <c r="W41" s="321"/>
      <c r="X41" s="127"/>
      <c r="Y41" s="221" t="str">
        <f>IFERROR(VLOOKUP($L41,'Chief &amp; Hero Data'!$E$190:$O$200,MATCH($M41,'Chief &amp; Hero Data'!$E$189:$O$189,0),FALSE),"")</f>
        <v/>
      </c>
      <c r="Z41" s="127"/>
    </row>
    <row r="42" spans="1:26" x14ac:dyDescent="0.3">
      <c r="A42" s="578"/>
      <c r="B42" s="239" t="s">
        <v>164</v>
      </c>
      <c r="C42" s="222" t="s">
        <v>923</v>
      </c>
      <c r="D42" s="272" t="s">
        <v>374</v>
      </c>
      <c r="E42" s="272"/>
      <c r="F42" s="61" t="str">
        <f>IFERROR(VLOOKUP($D42,'Chief &amp; Hero Data'!$G$68:$AM$101,MATCH($E42,'Chief &amp; Hero Data'!$G$69:$AM$69,0),FALSE),"-")</f>
        <v>-</v>
      </c>
      <c r="G42" s="273"/>
      <c r="H42" s="273"/>
      <c r="I42" s="56" t="str">
        <f>IFERROR(VLOOKUP($D42,'Chief &amp; Hero Data'!$G$68:$AM$101,MATCH($E42,'Chief &amp; Hero Data'!$G$69:$AM$69,0),FALSE)-G42,"-")</f>
        <v>-</v>
      </c>
      <c r="J42" s="179">
        <f>IFERROR(IF(VLOOKUP(E42,'Chief &amp; Hero Data'!$B$70:$C$101,2,FALSE)&gt;VLOOKUP(D42,'Chief &amp; Hero Data'!$B$70:$C$101,2,FALSE),IF(ISNUMBER(F42)=FALSE,"-",IF((G42+H42)&gt;F42-1,"Yes","No")),"-"),)</f>
        <v>0</v>
      </c>
      <c r="K42" s="104" t="s">
        <v>696</v>
      </c>
      <c r="L42" s="47"/>
      <c r="M42" s="47"/>
      <c r="N42" s="276"/>
      <c r="O42" s="276"/>
      <c r="P42" s="276"/>
      <c r="Q42" s="276"/>
      <c r="R42" s="276"/>
      <c r="S42" s="279"/>
      <c r="T42" s="281"/>
      <c r="U42" s="281"/>
      <c r="V42" s="281"/>
      <c r="W42" s="321"/>
      <c r="X42" s="127"/>
      <c r="Y42" s="219" t="str">
        <f>IFERROR(VLOOKUP($L42,'Chief &amp; Hero Data'!$E$190:$O$200,MATCH($M42,'Chief &amp; Hero Data'!$E$189:$O$189,0),FALSE),"")</f>
        <v/>
      </c>
      <c r="Z42" s="127"/>
    </row>
    <row r="43" spans="1:26" x14ac:dyDescent="0.3">
      <c r="A43" s="576" t="s">
        <v>918</v>
      </c>
      <c r="B43" s="320" t="s">
        <v>162</v>
      </c>
      <c r="C43" s="222" t="s">
        <v>924</v>
      </c>
      <c r="D43" s="272" t="s">
        <v>374</v>
      </c>
      <c r="E43" s="272"/>
      <c r="F43" s="99" t="str">
        <f>IFERROR(VLOOKUP($D43,'Chief &amp; Hero Data'!$G$68:$AM$101,MATCH($E43,'Chief &amp; Hero Data'!$G$69:$AM$69,0),FALSE),"-")</f>
        <v>-</v>
      </c>
      <c r="G43" s="273"/>
      <c r="H43" s="273"/>
      <c r="I43" s="57" t="str">
        <f>IFERROR(VLOOKUP($D43,'Chief &amp; Hero Data'!$G$68:$AM$101,MATCH($E43,'Chief &amp; Hero Data'!$G$69:$AM$69,0),FALSE)-G43,"-")</f>
        <v>-</v>
      </c>
      <c r="J43" s="176">
        <f>IFERROR(IF(VLOOKUP(E43,'Chief &amp; Hero Data'!$B$70:$C$101,2,FALSE)&gt;VLOOKUP(D43,'Chief &amp; Hero Data'!$B$70:$C$101,2,FALSE),IF(ISNUMBER(F43)=FALSE,"-",IF((G43+H43)&gt;F43-1,"Yes","No")),"-"),)</f>
        <v>0</v>
      </c>
      <c r="K43" s="106" t="s">
        <v>696</v>
      </c>
      <c r="L43" s="47"/>
      <c r="M43" s="47"/>
      <c r="N43" s="276"/>
      <c r="O43" s="276"/>
      <c r="P43" s="276"/>
      <c r="Q43" s="276"/>
      <c r="R43" s="276"/>
      <c r="S43" s="279"/>
      <c r="T43" s="281"/>
      <c r="U43" s="281"/>
      <c r="V43" s="281"/>
      <c r="W43" s="321"/>
      <c r="X43" s="127"/>
      <c r="Y43" s="127"/>
      <c r="Z43" s="220" t="str">
        <f>IFERROR(VLOOKUP($L43,'Chief &amp; Hero Data'!$E$190:$O$200,MATCH($M43,'Chief &amp; Hero Data'!$E$189:$O$189,0),FALSE),"")</f>
        <v/>
      </c>
    </row>
    <row r="44" spans="1:26" x14ac:dyDescent="0.3">
      <c r="A44" s="577"/>
      <c r="B44" s="277" t="s">
        <v>163</v>
      </c>
      <c r="C44" s="222" t="s">
        <v>925</v>
      </c>
      <c r="D44" s="272" t="s">
        <v>374</v>
      </c>
      <c r="E44" s="272"/>
      <c r="F44" s="59" t="str">
        <f>IFERROR(VLOOKUP($D44,'Chief &amp; Hero Data'!$G$68:$AM$101,MATCH($E44,'Chief &amp; Hero Data'!$G$69:$AM$69,0),FALSE),"-")</f>
        <v>-</v>
      </c>
      <c r="G44" s="273"/>
      <c r="H44" s="273"/>
      <c r="I44" s="55" t="str">
        <f>IFERROR(VLOOKUP($D44,'Chief &amp; Hero Data'!$G$68:$AM$101,MATCH($E44,'Chief &amp; Hero Data'!$G$69:$AM$69,0),FALSE)-G44,"-")</f>
        <v>-</v>
      </c>
      <c r="J44" s="103">
        <f>IFERROR(IF(VLOOKUP(E44,'Chief &amp; Hero Data'!$B$70:$C$101,2,FALSE)&gt;VLOOKUP(D44,'Chief &amp; Hero Data'!$B$70:$C$101,2,FALSE),IF(ISNUMBER(F44)=FALSE,"-",IF((G44+H44)&gt;F44-1,"Yes","No")),"-"),)</f>
        <v>0</v>
      </c>
      <c r="K44" s="105" t="s">
        <v>696</v>
      </c>
      <c r="L44" s="47"/>
      <c r="M44" s="47"/>
      <c r="N44" s="276"/>
      <c r="O44" s="276"/>
      <c r="P44" s="276"/>
      <c r="Q44" s="276"/>
      <c r="R44" s="276"/>
      <c r="S44" s="279"/>
      <c r="T44" s="281"/>
      <c r="U44" s="281"/>
      <c r="V44" s="281"/>
      <c r="W44" s="321"/>
      <c r="X44" s="127"/>
      <c r="Y44" s="127"/>
      <c r="Z44" s="221" t="str">
        <f>IFERROR(VLOOKUP($L44,'Chief &amp; Hero Data'!$E$190:$O$200,MATCH($M44,'Chief &amp; Hero Data'!$E$189:$O$189,0),FALSE),"")</f>
        <v/>
      </c>
    </row>
    <row r="45" spans="1:26" x14ac:dyDescent="0.3">
      <c r="A45" s="578"/>
      <c r="B45" s="239" t="s">
        <v>164</v>
      </c>
      <c r="C45" s="222" t="s">
        <v>926</v>
      </c>
      <c r="D45" s="272" t="s">
        <v>374</v>
      </c>
      <c r="E45" s="272"/>
      <c r="F45" s="61" t="str">
        <f>IFERROR(VLOOKUP($D45,'Chief &amp; Hero Data'!$G$68:$AM$101,MATCH($E45,'Chief &amp; Hero Data'!$G$69:$AM$69,0),FALSE),"-")</f>
        <v>-</v>
      </c>
      <c r="G45" s="273"/>
      <c r="H45" s="273"/>
      <c r="I45" s="56" t="str">
        <f>IFERROR(VLOOKUP($D45,'Chief &amp; Hero Data'!$G$68:$AM$101,MATCH($E45,'Chief &amp; Hero Data'!$G$69:$AM$69,0),FALSE)-G45,"-")</f>
        <v>-</v>
      </c>
      <c r="J45" s="179">
        <f>IFERROR(IF(VLOOKUP(E45,'Chief &amp; Hero Data'!$B$70:$C$101,2,FALSE)&gt;VLOOKUP(D45,'Chief &amp; Hero Data'!$B$70:$C$101,2,FALSE),IF(ISNUMBER(F45)=FALSE,"-",IF((G45+H45)&gt;F45-1,"Yes","No")),"-"),)</f>
        <v>0</v>
      </c>
      <c r="K45" s="104" t="s">
        <v>693</v>
      </c>
      <c r="L45" s="47"/>
      <c r="M45" s="47"/>
      <c r="N45" s="276"/>
      <c r="O45" s="276"/>
      <c r="P45" s="276"/>
      <c r="Q45" s="276"/>
      <c r="R45" s="276"/>
      <c r="S45" s="279"/>
      <c r="T45" s="281"/>
      <c r="U45" s="281"/>
      <c r="V45" s="281"/>
      <c r="W45" s="321"/>
      <c r="X45" s="127"/>
      <c r="Y45" s="127"/>
      <c r="Z45" s="219" t="str">
        <f>IFERROR(VLOOKUP($L45,'Chief &amp; Hero Data'!$E$190:$O$200,MATCH($M45,'Chief &amp; Hero Data'!$E$189:$O$189,0),FALSE),"")</f>
        <v/>
      </c>
    </row>
    <row r="46" spans="1:26" x14ac:dyDescent="0.3">
      <c r="A46" s="577" t="s">
        <v>691</v>
      </c>
      <c r="B46" s="105" t="s">
        <v>162</v>
      </c>
      <c r="C46" s="181" t="s">
        <v>305</v>
      </c>
      <c r="D46" s="272">
        <v>5</v>
      </c>
      <c r="E46" s="272"/>
      <c r="F46" s="59" t="str">
        <f>IFERROR(VLOOKUP($D46,'Chief &amp; Hero Data'!$G$68:$AM$101,MATCH($E46,'Chief &amp; Hero Data'!$G$69:$AM$69,0),FALSE),"-")</f>
        <v>-</v>
      </c>
      <c r="G46" s="273"/>
      <c r="H46" s="273"/>
      <c r="I46" s="55" t="str">
        <f>IFERROR(VLOOKUP($D46,'Chief &amp; Hero Data'!$G$68:$AM$101,MATCH($E46,'Chief &amp; Hero Data'!$G$69:$AM$69,0),FALSE)-G46,"-")</f>
        <v>-</v>
      </c>
      <c r="J46" s="103">
        <f>IFERROR(IF(VLOOKUP(E46,'Chief &amp; Hero Data'!$B$70:$C$101,2,FALSE)&gt;VLOOKUP(D46,'Chief &amp; Hero Data'!$B$70:$C$101,2,FALSE),IF(ISNUMBER(F46)=FALSE,"-",IF((G46+H46)&gt;F46-1,"Yes","No")),"-"),)</f>
        <v>0</v>
      </c>
      <c r="K46" s="100"/>
      <c r="L46" s="8"/>
      <c r="M46" s="100"/>
      <c r="N46" s="264" t="s">
        <v>337</v>
      </c>
      <c r="O46" s="264" t="s">
        <v>338</v>
      </c>
      <c r="P46" s="264" t="s">
        <v>339</v>
      </c>
      <c r="Q46" s="264" t="s">
        <v>340</v>
      </c>
      <c r="R46" s="264" t="s">
        <v>341</v>
      </c>
      <c r="S46" s="264" t="s">
        <v>342</v>
      </c>
      <c r="T46" s="264" t="s">
        <v>534</v>
      </c>
      <c r="U46" s="264" t="s">
        <v>535</v>
      </c>
      <c r="V46" s="264" t="s">
        <v>536</v>
      </c>
      <c r="W46" s="264" t="s">
        <v>697</v>
      </c>
      <c r="X46" s="264" t="s">
        <v>916</v>
      </c>
      <c r="Y46" s="264" t="s">
        <v>917</v>
      </c>
      <c r="Z46" s="264" t="s">
        <v>918</v>
      </c>
    </row>
    <row r="47" spans="1:26" x14ac:dyDescent="0.3">
      <c r="A47" s="577"/>
      <c r="B47" s="105" t="s">
        <v>163</v>
      </c>
      <c r="C47" s="182" t="s">
        <v>306</v>
      </c>
      <c r="D47" s="47">
        <v>5</v>
      </c>
      <c r="E47" s="47"/>
      <c r="F47" s="59" t="str">
        <f>IFERROR(VLOOKUP($D47,'Chief &amp; Hero Data'!$G$68:$AM$101,MATCH($E47,'Chief &amp; Hero Data'!$G$69:$AM$69,0),FALSE),"-")</f>
        <v>-</v>
      </c>
      <c r="G47" s="117"/>
      <c r="H47" s="117"/>
      <c r="I47" s="55" t="str">
        <f>IFERROR(VLOOKUP($D47,'Chief &amp; Hero Data'!$G$68:$AM$101,MATCH($E47,'Chief &amp; Hero Data'!$G$69:$AM$69,0),FALSE)-G47,"-")</f>
        <v>-</v>
      </c>
      <c r="J47" s="103">
        <f>IFERROR(IF(VLOOKUP(E47,'Chief &amp; Hero Data'!$B$70:$C$101,2,FALSE)&gt;VLOOKUP(D47,'Chief &amp; Hero Data'!$B$70:$C$101,2,FALSE),IF(ISNUMBER(F47)=FALSE,"-",IF((G47+H47)&gt;F47-1,"Yes","No")),"-"),)</f>
        <v>0</v>
      </c>
      <c r="K47" s="100"/>
      <c r="L47" s="8"/>
      <c r="M47" s="11" t="s">
        <v>25</v>
      </c>
      <c r="N47" s="72">
        <f>SUM(N$6:N$45)</f>
        <v>275</v>
      </c>
      <c r="O47" s="72">
        <f t="shared" ref="O47:Z47" si="0">SUM(O$6:O$45)</f>
        <v>0</v>
      </c>
      <c r="P47" s="72">
        <f t="shared" si="0"/>
        <v>0</v>
      </c>
      <c r="Q47" s="72">
        <f t="shared" si="0"/>
        <v>0</v>
      </c>
      <c r="R47" s="72">
        <f t="shared" si="0"/>
        <v>0</v>
      </c>
      <c r="S47" s="72">
        <f t="shared" si="0"/>
        <v>0</v>
      </c>
      <c r="T47" s="72">
        <f t="shared" si="0"/>
        <v>0</v>
      </c>
      <c r="U47" s="72">
        <f t="shared" si="0"/>
        <v>0</v>
      </c>
      <c r="V47" s="72">
        <f t="shared" si="0"/>
        <v>0</v>
      </c>
      <c r="W47" s="72">
        <f t="shared" si="0"/>
        <v>825</v>
      </c>
      <c r="X47" s="72">
        <f t="shared" si="0"/>
        <v>0</v>
      </c>
      <c r="Y47" s="72">
        <f t="shared" si="0"/>
        <v>0</v>
      </c>
      <c r="Z47" s="72">
        <f t="shared" si="0"/>
        <v>0</v>
      </c>
    </row>
    <row r="48" spans="1:26" x14ac:dyDescent="0.3">
      <c r="A48" s="577"/>
      <c r="B48" s="105" t="s">
        <v>163</v>
      </c>
      <c r="C48" s="182" t="s">
        <v>307</v>
      </c>
      <c r="D48" s="47">
        <v>5</v>
      </c>
      <c r="E48" s="47"/>
      <c r="F48" s="59" t="str">
        <f>IFERROR(VLOOKUP($D48,'Chief &amp; Hero Data'!$G$68:$AM$101,MATCH($E48,'Chief &amp; Hero Data'!$G$69:$AM$69,0),FALSE)+IF(D48="Locked",30,),"-")</f>
        <v>-</v>
      </c>
      <c r="G48" s="117"/>
      <c r="H48" s="117"/>
      <c r="I48" s="55" t="str">
        <f>IFERROR(VLOOKUP($D48,'Chief &amp; Hero Data'!$G$68:$AM$101,MATCH($E48,'Chief &amp; Hero Data'!$G$69:$AM$69,0),FALSE)+IF(D48="Locked",30,)-G48,"-")</f>
        <v>-</v>
      </c>
      <c r="J48" s="103">
        <f>IFERROR(IF(VLOOKUP(E48,'Chief &amp; Hero Data'!$B$70:$C$101,2,FALSE)&gt;VLOOKUP(D48,'Chief &amp; Hero Data'!$B$70:$C$101,2,FALSE),IF(ISNUMBER(F48)=FALSE,"-",IF((G48+H48)&gt;F48-1,"Yes","No")),"-"),)</f>
        <v>0</v>
      </c>
      <c r="K48" s="100"/>
      <c r="L48" s="8"/>
      <c r="M48" s="11" t="s">
        <v>31</v>
      </c>
      <c r="N48" s="117"/>
      <c r="O48" s="117"/>
      <c r="P48" s="117"/>
      <c r="Q48" s="117"/>
      <c r="R48" s="117"/>
      <c r="S48" s="117"/>
      <c r="T48" s="117"/>
      <c r="U48" s="117"/>
      <c r="V48" s="117"/>
      <c r="W48" s="117">
        <v>650</v>
      </c>
      <c r="X48" s="117"/>
      <c r="Y48" s="117"/>
      <c r="Z48" s="117"/>
    </row>
    <row r="49" spans="1:26" x14ac:dyDescent="0.3">
      <c r="A49" s="577"/>
      <c r="B49" s="217" t="s">
        <v>164</v>
      </c>
      <c r="C49" s="182" t="s">
        <v>308</v>
      </c>
      <c r="D49" s="47">
        <v>5</v>
      </c>
      <c r="E49" s="47"/>
      <c r="F49" s="59" t="str">
        <f>IFERROR(VLOOKUP($D49,'Chief &amp; Hero Data'!$G$68:$AM$101,MATCH($E49,'Chief &amp; Hero Data'!$G$69:$AM$69,0),FALSE),"-")</f>
        <v>-</v>
      </c>
      <c r="G49" s="117"/>
      <c r="H49" s="117"/>
      <c r="I49" s="55" t="str">
        <f>IFERROR(VLOOKUP($D49,'Chief &amp; Hero Data'!$G$68:$AM$101,MATCH($E49,'Chief &amp; Hero Data'!$G$69:$AM$69,0),FALSE)-G49,"-")</f>
        <v>-</v>
      </c>
      <c r="J49" s="103">
        <f>IFERROR(IF(VLOOKUP(E49,'Chief &amp; Hero Data'!$B$70:$C$101,2,FALSE)&gt;VLOOKUP(D49,'Chief &amp; Hero Data'!$B$70:$C$101,2,FALSE),IF(ISNUMBER(F49)=FALSE,"-",IF((G49+H49)&gt;F49-1,"Yes","No")),"-"),)</f>
        <v>0</v>
      </c>
      <c r="K49" s="100"/>
      <c r="M49" s="11" t="s">
        <v>32</v>
      </c>
      <c r="N49" s="72">
        <f t="shared" ref="N49:U49" si="1">N47-N48</f>
        <v>275</v>
      </c>
      <c r="O49" s="72">
        <f t="shared" si="1"/>
        <v>0</v>
      </c>
      <c r="P49" s="72">
        <f t="shared" si="1"/>
        <v>0</v>
      </c>
      <c r="Q49" s="72">
        <f t="shared" si="1"/>
        <v>0</v>
      </c>
      <c r="R49" s="72">
        <f t="shared" si="1"/>
        <v>0</v>
      </c>
      <c r="S49" s="72">
        <f t="shared" si="1"/>
        <v>0</v>
      </c>
      <c r="T49" s="72">
        <f t="shared" si="1"/>
        <v>0</v>
      </c>
      <c r="U49" s="72">
        <f t="shared" si="1"/>
        <v>0</v>
      </c>
      <c r="V49" s="72">
        <f t="shared" ref="V49" si="2">V47-V48</f>
        <v>0</v>
      </c>
      <c r="W49" s="72">
        <f t="shared" ref="W49:Z49" si="3">W47-W48</f>
        <v>175</v>
      </c>
      <c r="X49" s="72">
        <f t="shared" si="3"/>
        <v>0</v>
      </c>
      <c r="Y49" s="72">
        <f t="shared" si="3"/>
        <v>0</v>
      </c>
      <c r="Z49" s="72">
        <f t="shared" si="3"/>
        <v>0</v>
      </c>
    </row>
    <row r="50" spans="1:26" x14ac:dyDescent="0.3">
      <c r="A50" s="577"/>
      <c r="B50" s="217" t="s">
        <v>164</v>
      </c>
      <c r="C50" s="182" t="s">
        <v>309</v>
      </c>
      <c r="D50" s="47">
        <v>5</v>
      </c>
      <c r="E50" s="47"/>
      <c r="F50" s="59" t="str">
        <f>IFERROR(VLOOKUP($D50,'Chief &amp; Hero Data'!$G$68:$AM$101,MATCH($E50,'Chief &amp; Hero Data'!$G$69:$AM$69,0),FALSE),"-")</f>
        <v>-</v>
      </c>
      <c r="G50" s="117"/>
      <c r="H50" s="117"/>
      <c r="I50" s="55" t="str">
        <f>IFERROR(VLOOKUP($D50,'Chief &amp; Hero Data'!$G$68:$AM$101,MATCH($E50,'Chief &amp; Hero Data'!$G$69:$AM$69,0),FALSE)-G50,"-")</f>
        <v>-</v>
      </c>
      <c r="J50" s="103">
        <f>IFERROR(IF(VLOOKUP(E50,'Chief &amp; Hero Data'!$B$70:$C$101,2,FALSE)&gt;VLOOKUP(D50,'Chief &amp; Hero Data'!$B$70:$C$101,2,FALSE),IF(ISNUMBER(F50)=FALSE,"-",IF((G50+H50)&gt;F50-1,"Yes","No")),"-"),)</f>
        <v>0</v>
      </c>
      <c r="K50" s="100"/>
    </row>
    <row r="51" spans="1:26" x14ac:dyDescent="0.3">
      <c r="A51" s="577"/>
      <c r="B51" s="105" t="s">
        <v>163</v>
      </c>
      <c r="C51" s="202" t="s">
        <v>310</v>
      </c>
      <c r="D51" s="47">
        <v>5</v>
      </c>
      <c r="E51" s="47"/>
      <c r="F51" s="59" t="str">
        <f>IFERROR(VLOOKUP($D51,'Chief &amp; Hero Data'!$G$68:$AM$101,MATCH($E51,'Chief &amp; Hero Data'!$G$69:$AM$69,0),FALSE),"-")</f>
        <v>-</v>
      </c>
      <c r="G51" s="117"/>
      <c r="H51" s="117"/>
      <c r="I51" s="55" t="str">
        <f>IFERROR(VLOOKUP($D51,'Chief &amp; Hero Data'!$G$68:$AM$101,MATCH($E51,'Chief &amp; Hero Data'!$G$69:$AM$69,0),FALSE)-G51,"-")</f>
        <v>-</v>
      </c>
      <c r="J51" s="103">
        <f>IFERROR(IF(VLOOKUP(E51,'Chief &amp; Hero Data'!$B$70:$C$101,2,FALSE)&gt;VLOOKUP(D51,'Chief &amp; Hero Data'!$B$70:$C$101,2,FALSE),IF(ISNUMBER(F51)=FALSE,"-",IF((G51+H51)&gt;F51-1,"Yes","No")),"-"),)</f>
        <v>0</v>
      </c>
      <c r="K51" s="100"/>
    </row>
    <row r="52" spans="1:26" x14ac:dyDescent="0.3">
      <c r="A52" s="577"/>
      <c r="B52" s="217" t="s">
        <v>164</v>
      </c>
      <c r="C52" s="182" t="s">
        <v>311</v>
      </c>
      <c r="D52" s="47">
        <v>5</v>
      </c>
      <c r="E52" s="47"/>
      <c r="F52" s="59" t="str">
        <f>IFERROR(VLOOKUP($D52,'Chief &amp; Hero Data'!$G$68:$AM$101,MATCH($E52,'Chief &amp; Hero Data'!$G$69:$AM$69,0),FALSE),"-")</f>
        <v>-</v>
      </c>
      <c r="G52" s="117"/>
      <c r="H52" s="117"/>
      <c r="I52" s="55" t="str">
        <f>IFERROR(VLOOKUP($D52,'Chief &amp; Hero Data'!$G$68:$AM$101,MATCH($E52,'Chief &amp; Hero Data'!$G$69:$AM$69,0),FALSE)-G52,"-")</f>
        <v>-</v>
      </c>
      <c r="J52" s="103">
        <f>IFERROR(IF(VLOOKUP(E52,'Chief &amp; Hero Data'!$B$70:$C$101,2,FALSE)&gt;VLOOKUP(D52,'Chief &amp; Hero Data'!$B$70:$C$101,2,FALSE),IF(ISNUMBER(F52)=FALSE,"-",IF((G52+H52)&gt;F52-1,"Yes","No")),"-"),)</f>
        <v>0</v>
      </c>
      <c r="K52" s="100"/>
      <c r="M52" s="406" t="s">
        <v>355</v>
      </c>
      <c r="N52" s="406"/>
      <c r="O52" s="406"/>
      <c r="P52" s="406"/>
    </row>
    <row r="53" spans="1:26" x14ac:dyDescent="0.3">
      <c r="A53" s="577"/>
      <c r="B53" s="217" t="s">
        <v>164</v>
      </c>
      <c r="C53" s="182" t="s">
        <v>312</v>
      </c>
      <c r="D53" s="47">
        <v>5</v>
      </c>
      <c r="E53" s="47"/>
      <c r="F53" s="59" t="str">
        <f>IFERROR(VLOOKUP($D53,'Chief &amp; Hero Data'!$G$68:$AM$101,MATCH($E53,'Chief &amp; Hero Data'!$G$69:$AM$69,0),FALSE),"-")</f>
        <v>-</v>
      </c>
      <c r="G53" s="117"/>
      <c r="H53" s="117"/>
      <c r="I53" s="55" t="str">
        <f>IFERROR(VLOOKUP($D53,'Chief &amp; Hero Data'!$G$68:$AM$101,MATCH($E53,'Chief &amp; Hero Data'!$G$69:$AM$69,0),FALSE)-G53,"-")</f>
        <v>-</v>
      </c>
      <c r="J53" s="103">
        <f>IFERROR(IF(VLOOKUP(E53,'Chief &amp; Hero Data'!$B$70:$C$101,2,FALSE)&gt;VLOOKUP(D53,'Chief &amp; Hero Data'!$B$70:$C$101,2,FALSE),IF(ISNUMBER(F53)=FALSE,"-",IF((G53+H53)&gt;F53-1,"Yes","No")),"-"),)</f>
        <v>0</v>
      </c>
      <c r="K53" s="100"/>
      <c r="M53" s="389" t="s">
        <v>281</v>
      </c>
      <c r="N53" s="390"/>
      <c r="O53" s="389" t="s">
        <v>332</v>
      </c>
      <c r="P53" s="390"/>
    </row>
    <row r="54" spans="1:26" x14ac:dyDescent="0.3">
      <c r="A54" s="578"/>
      <c r="B54" s="104" t="s">
        <v>163</v>
      </c>
      <c r="C54" s="182" t="s">
        <v>695</v>
      </c>
      <c r="D54" s="47">
        <v>5</v>
      </c>
      <c r="E54" s="47"/>
      <c r="F54" s="61" t="str">
        <f>IFERROR(VLOOKUP($D54,'Chief &amp; Hero Data'!$G$68:$AM$101,MATCH($E54,'Chief &amp; Hero Data'!$G$69:$AM$69,0),FALSE),"-")</f>
        <v>-</v>
      </c>
      <c r="G54" s="117"/>
      <c r="H54" s="117"/>
      <c r="I54" s="55" t="str">
        <f>IFERROR(VLOOKUP($D54,'Chief &amp; Hero Data'!$G$68:$AM$101,MATCH($E54,'Chief &amp; Hero Data'!$G$69:$AM$69,0),FALSE)-G54,"-")</f>
        <v>-</v>
      </c>
      <c r="J54" s="103">
        <f>IFERROR(IF(VLOOKUP(E54,'Chief &amp; Hero Data'!$B$70:$C$101,2,FALSE)&gt;VLOOKUP(D54,'Chief &amp; Hero Data'!$B$70:$C$101,2,FALSE),IF(ISNUMBER(F54)=FALSE,"-",IF((G54+H54)&gt;F54-1,"Yes","No")),"-"),)</f>
        <v>0</v>
      </c>
      <c r="K54" s="100"/>
      <c r="M54" s="494">
        <f>(F59)*3040+(F60)*1220+(F61)*350</f>
        <v>9712800</v>
      </c>
      <c r="N54" s="496"/>
      <c r="O54" s="494">
        <f>SUMIF(N49:Z49,"&lt;1",N47:Z47)*8000</f>
        <v>0</v>
      </c>
      <c r="P54" s="496"/>
      <c r="Q54" s="38"/>
    </row>
    <row r="55" spans="1:26" x14ac:dyDescent="0.3">
      <c r="A55" s="576" t="s">
        <v>692</v>
      </c>
      <c r="B55" s="106" t="s">
        <v>162</v>
      </c>
      <c r="C55" s="180" t="s">
        <v>301</v>
      </c>
      <c r="D55" s="47">
        <v>5</v>
      </c>
      <c r="E55" s="47"/>
      <c r="F55" s="99" t="str">
        <f>IFERROR(VLOOKUP($D55,'Chief &amp; Hero Data'!$G$68:$AM$101,MATCH($E55,'Chief &amp; Hero Data'!$G$69:$AM$69,0),FALSE),"-")</f>
        <v>-</v>
      </c>
      <c r="G55" s="117"/>
      <c r="H55" s="117"/>
      <c r="I55" s="57" t="str">
        <f>IFERROR(VLOOKUP($D55,'Chief &amp; Hero Data'!$G$68:$AM$101,MATCH($E55,'Chief &amp; Hero Data'!$G$69:$AM$69,0),FALSE)-G55,"-")</f>
        <v>-</v>
      </c>
      <c r="J55" s="176">
        <f>IFERROR(IF(VLOOKUP(E55,'Chief &amp; Hero Data'!$B$70:$C$101,2,FALSE)&gt;VLOOKUP(D55,'Chief &amp; Hero Data'!$B$70:$C$101,2,FALSE),IF(ISNUMBER(F55)=FALSE,"-",IF((G55+H55)&gt;F55-1,"Yes","No")),"-"),)</f>
        <v>0</v>
      </c>
      <c r="K55" s="100"/>
    </row>
    <row r="56" spans="1:26" x14ac:dyDescent="0.3">
      <c r="A56" s="577"/>
      <c r="B56" s="105" t="s">
        <v>162</v>
      </c>
      <c r="C56" s="180" t="s">
        <v>302</v>
      </c>
      <c r="D56" s="47">
        <v>5</v>
      </c>
      <c r="E56" s="47"/>
      <c r="F56" s="59" t="str">
        <f>IFERROR(VLOOKUP($D56,'Chief &amp; Hero Data'!$G$68:$AM$101,MATCH($E56,'Chief &amp; Hero Data'!$G$69:$AM$69,0),FALSE),"-")</f>
        <v>-</v>
      </c>
      <c r="G56" s="117"/>
      <c r="H56" s="117"/>
      <c r="I56" s="55" t="str">
        <f>IFERROR(VLOOKUP($D56,'Chief &amp; Hero Data'!$G$68:$AM$101,MATCH($E56,'Chief &amp; Hero Data'!$G$69:$AM$69,0),FALSE)-G56,"-")</f>
        <v>-</v>
      </c>
      <c r="J56" s="103">
        <f>IFERROR(IF(VLOOKUP(E56,'Chief &amp; Hero Data'!$B$70:$C$101,2,FALSE)&gt;VLOOKUP(D56,'Chief &amp; Hero Data'!$B$70:$C$101,2,FALSE),IF(ISNUMBER(F56)=FALSE,"-",IF((G56+H56)&gt;F56-1,"Yes","No")),"-"),)</f>
        <v>0</v>
      </c>
      <c r="K56" s="100"/>
    </row>
    <row r="57" spans="1:26" x14ac:dyDescent="0.3">
      <c r="A57" s="577"/>
      <c r="B57" s="105" t="s">
        <v>163</v>
      </c>
      <c r="C57" s="180" t="s">
        <v>303</v>
      </c>
      <c r="D57" s="47">
        <v>5</v>
      </c>
      <c r="E57" s="47"/>
      <c r="F57" s="59" t="str">
        <f>IFERROR(VLOOKUP($D57,'Chief &amp; Hero Data'!$G$68:$AM$101,MATCH($E57,'Chief &amp; Hero Data'!$G$69:$AM$69,0),FALSE),"-")</f>
        <v>-</v>
      </c>
      <c r="G57" s="117"/>
      <c r="H57" s="117"/>
      <c r="I57" s="55" t="str">
        <f>IFERROR(VLOOKUP($D57,'Chief &amp; Hero Data'!$G$68:$AM$101,MATCH($E57,'Chief &amp; Hero Data'!$G$69:$AM$69,0),FALSE)-G57,"-")</f>
        <v>-</v>
      </c>
      <c r="J57" s="103">
        <f>IFERROR(IF(VLOOKUP(E57,'Chief &amp; Hero Data'!$B$70:$C$101,2,FALSE)&gt;VLOOKUP(D57,'Chief &amp; Hero Data'!$B$70:$C$101,2,FALSE),IF(ISNUMBER(F57)=FALSE,"-",IF((G57+H57)&gt;F57-1,"Yes","No")),"-"),)</f>
        <v>0</v>
      </c>
      <c r="K57" s="100"/>
    </row>
    <row r="58" spans="1:26" x14ac:dyDescent="0.3">
      <c r="A58" s="578"/>
      <c r="B58" s="218" t="s">
        <v>164</v>
      </c>
      <c r="C58" s="180" t="s">
        <v>304</v>
      </c>
      <c r="D58" s="47">
        <v>5</v>
      </c>
      <c r="E58" s="47"/>
      <c r="F58" s="61" t="str">
        <f>IFERROR(VLOOKUP($D58,'Chief &amp; Hero Data'!$G$68:$AM$101,MATCH($E58,'Chief &amp; Hero Data'!$G$69:$AM$69,0),FALSE),"-")</f>
        <v>-</v>
      </c>
      <c r="G58" s="117"/>
      <c r="H58" s="117"/>
      <c r="I58" s="56" t="str">
        <f>IFERROR(VLOOKUP($D58,'Chief &amp; Hero Data'!$G$68:$AM$101,MATCH($E58,'Chief &amp; Hero Data'!$G$69:$AM$69,0),FALSE)-G58,"-")</f>
        <v>-</v>
      </c>
      <c r="J58" s="179">
        <f>IFERROR(IF(VLOOKUP(E58,'Chief &amp; Hero Data'!$B$70:$C$101,2,FALSE)&gt;VLOOKUP(D58,'Chief &amp; Hero Data'!$B$70:$C$101,2,FALSE),IF(ISNUMBER(F58)=FALSE,"-",IF((G58+H58)&gt;F58-1,"Yes","No")),"-"),)</f>
        <v>0</v>
      </c>
    </row>
    <row r="59" spans="1:26" x14ac:dyDescent="0.3">
      <c r="C59" s="579" t="s">
        <v>343</v>
      </c>
      <c r="D59" s="580"/>
      <c r="E59" s="581"/>
      <c r="F59" s="588">
        <f>SUMIF(J6:J45,"Yes",F6:F45)</f>
        <v>3195</v>
      </c>
      <c r="G59" s="589"/>
      <c r="H59" s="72">
        <f>SUMIF(J6:J45,"Yes",H6:H45)</f>
        <v>2804</v>
      </c>
      <c r="I59" s="567" t="s">
        <v>344</v>
      </c>
      <c r="J59" s="568"/>
      <c r="K59" s="569"/>
    </row>
    <row r="60" spans="1:26" x14ac:dyDescent="0.3">
      <c r="C60" s="582" t="s">
        <v>345</v>
      </c>
      <c r="D60" s="583"/>
      <c r="E60" s="584"/>
      <c r="F60" s="588">
        <f>SUMIF(J46:J54,"Yes",F46:F54)</f>
        <v>0</v>
      </c>
      <c r="G60" s="589"/>
      <c r="H60" s="72">
        <f>SUMIF(J46:J54,"Yes",H46:H54)</f>
        <v>0</v>
      </c>
      <c r="I60" s="570" t="s">
        <v>346</v>
      </c>
      <c r="J60" s="571"/>
      <c r="K60" s="572"/>
    </row>
    <row r="61" spans="1:26" x14ac:dyDescent="0.3">
      <c r="C61" s="585" t="s">
        <v>347</v>
      </c>
      <c r="D61" s="586"/>
      <c r="E61" s="587"/>
      <c r="F61" s="588">
        <f>SUMIF(J55:J58,"Yes",F55:F58)</f>
        <v>0</v>
      </c>
      <c r="G61" s="589"/>
      <c r="H61" s="72">
        <f>SUMIF(J55:J58,"Yes",H55:H58)</f>
        <v>0</v>
      </c>
      <c r="I61" s="573" t="s">
        <v>348</v>
      </c>
      <c r="J61" s="574"/>
      <c r="K61" s="575"/>
    </row>
  </sheetData>
  <sheetProtection sheet="1" formatColumns="0"/>
  <mergeCells count="35">
    <mergeCell ref="A37:A39"/>
    <mergeCell ref="A40:A42"/>
    <mergeCell ref="A43:A45"/>
    <mergeCell ref="N4:Z4"/>
    <mergeCell ref="A1:W2"/>
    <mergeCell ref="B4:C4"/>
    <mergeCell ref="D4:E4"/>
    <mergeCell ref="F4:J4"/>
    <mergeCell ref="K4:M4"/>
    <mergeCell ref="C60:E60"/>
    <mergeCell ref="C61:E61"/>
    <mergeCell ref="F59:G59"/>
    <mergeCell ref="F60:G60"/>
    <mergeCell ref="F61:G61"/>
    <mergeCell ref="I60:K60"/>
    <mergeCell ref="I61:K61"/>
    <mergeCell ref="M54:N54"/>
    <mergeCell ref="A6:A9"/>
    <mergeCell ref="A10:A12"/>
    <mergeCell ref="A13:A15"/>
    <mergeCell ref="A16:A18"/>
    <mergeCell ref="A55:A58"/>
    <mergeCell ref="A46:A54"/>
    <mergeCell ref="A19:A21"/>
    <mergeCell ref="A22:A24"/>
    <mergeCell ref="A25:A27"/>
    <mergeCell ref="A28:A30"/>
    <mergeCell ref="A31:A33"/>
    <mergeCell ref="A34:A36"/>
    <mergeCell ref="C59:E59"/>
    <mergeCell ref="M52:P52"/>
    <mergeCell ref="O53:P53"/>
    <mergeCell ref="O54:P54"/>
    <mergeCell ref="M53:N53"/>
    <mergeCell ref="I59:K59"/>
  </mergeCells>
  <phoneticPr fontId="13" type="noConversion"/>
  <conditionalFormatting sqref="E6:E58">
    <cfRule type="expression" dxfId="119" priority="6">
      <formula>D6=5</formula>
    </cfRule>
  </conditionalFormatting>
  <conditionalFormatting sqref="J6:K58">
    <cfRule type="cellIs" dxfId="118" priority="7" operator="equal">
      <formula>"Yes"</formula>
    </cfRule>
    <cfRule type="cellIs" dxfId="117" priority="8" operator="equal">
      <formula>"No"</formula>
    </cfRule>
  </conditionalFormatting>
  <conditionalFormatting sqref="M6:W45">
    <cfRule type="expression" dxfId="116" priority="5">
      <formula>$L6=10</formula>
    </cfRule>
  </conditionalFormatting>
  <conditionalFormatting sqref="N49:Z49">
    <cfRule type="cellIs" dxfId="115" priority="1" operator="greaterThan">
      <formula>0</formula>
    </cfRule>
  </conditionalFormatting>
  <conditionalFormatting sqref="X37:X39">
    <cfRule type="expression" dxfId="114" priority="4">
      <formula>$L37=10</formula>
    </cfRule>
  </conditionalFormatting>
  <conditionalFormatting sqref="Y40:Y42">
    <cfRule type="expression" dxfId="113" priority="2">
      <formula>$L40=10</formula>
    </cfRule>
  </conditionalFormatting>
  <conditionalFormatting sqref="Z43:Z45">
    <cfRule type="expression" dxfId="112" priority="3">
      <formula>$L43=10</formula>
    </cfRule>
  </conditionalFormatting>
  <dataValidations count="1">
    <dataValidation type="whole" operator="greaterThanOrEqual" allowBlank="1" showInputMessage="1" showErrorMessage="1" sqref="N48:Z48" xr:uid="{1B115BB4-DEE2-4105-B1C5-C5606D19CE49}">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9FCEB70-ADA5-49F9-89FE-B14C486E96CB}">
          <x14:formula1>
            <xm:f>'Chief &amp; Hero Data'!$B$70:$B$101</xm:f>
          </x14:formula1>
          <xm:sqref>D6:E58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B8C21-18E5-4CE3-B428-CBFDFEDCF88D}">
  <sheetPr codeName="Sheet21"/>
  <dimension ref="A2:BZ201"/>
  <sheetViews>
    <sheetView workbookViewId="0">
      <pane xSplit="2" topLeftCell="C1" activePane="topRight" state="frozen"/>
      <selection pane="topRight" activeCell="E71" sqref="E71"/>
    </sheetView>
  </sheetViews>
  <sheetFormatPr baseColWidth="10" defaultColWidth="8.88671875" defaultRowHeight="14.4" x14ac:dyDescent="0.3"/>
  <cols>
    <col min="1" max="1" width="14" bestFit="1" customWidth="1"/>
    <col min="2" max="2" width="13.5546875" bestFit="1" customWidth="1"/>
    <col min="3" max="3" width="14.5546875" bestFit="1" customWidth="1"/>
    <col min="4" max="4" width="15.6640625" bestFit="1" customWidth="1"/>
    <col min="5" max="5" width="16.88671875" bestFit="1" customWidth="1"/>
    <col min="6" max="6" width="16" bestFit="1" customWidth="1"/>
    <col min="7" max="8" width="18.44140625" bestFit="1" customWidth="1"/>
    <col min="9" max="9" width="18.6640625" bestFit="1" customWidth="1"/>
    <col min="10" max="11" width="16.88671875" bestFit="1" customWidth="1"/>
    <col min="12" max="12" width="17.33203125" bestFit="1" customWidth="1"/>
    <col min="13" max="14" width="17.6640625" bestFit="1" customWidth="1"/>
    <col min="15" max="15" width="18" bestFit="1" customWidth="1"/>
    <col min="16" max="16" width="17.6640625" bestFit="1" customWidth="1"/>
    <col min="17" max="17" width="16.5546875" bestFit="1" customWidth="1"/>
    <col min="18" max="18" width="16.88671875" bestFit="1" customWidth="1"/>
    <col min="19" max="20" width="19.109375" bestFit="1" customWidth="1"/>
    <col min="21" max="21" width="19.44140625" bestFit="1" customWidth="1"/>
    <col min="22" max="22" width="15.109375" bestFit="1" customWidth="1"/>
    <col min="23" max="23" width="17.6640625" bestFit="1" customWidth="1"/>
    <col min="24" max="24" width="15.6640625" bestFit="1" customWidth="1"/>
    <col min="25" max="25" width="16" bestFit="1" customWidth="1"/>
    <col min="26" max="27" width="18.44140625" bestFit="1" customWidth="1"/>
    <col min="28" max="28" width="18.6640625" bestFit="1" customWidth="1"/>
    <col min="29" max="29" width="16.88671875" bestFit="1" customWidth="1"/>
    <col min="30" max="30" width="17.6640625" bestFit="1" customWidth="1"/>
    <col min="31" max="31" width="17.33203125" bestFit="1" customWidth="1"/>
    <col min="32" max="33" width="17.6640625" bestFit="1" customWidth="1"/>
    <col min="34" max="34" width="18" bestFit="1" customWidth="1"/>
    <col min="35" max="36" width="16.5546875" bestFit="1" customWidth="1"/>
    <col min="37" max="37" width="16.88671875" bestFit="1" customWidth="1"/>
    <col min="38" max="39" width="19.109375" bestFit="1" customWidth="1"/>
    <col min="40" max="40" width="19.44140625" bestFit="1" customWidth="1"/>
    <col min="41" max="41" width="14.33203125" bestFit="1" customWidth="1"/>
    <col min="42" max="42" width="16.88671875" bestFit="1" customWidth="1"/>
    <col min="43" max="43" width="15.44140625" bestFit="1" customWidth="1"/>
    <col min="44" max="44" width="16.109375" bestFit="1" customWidth="1"/>
    <col min="45" max="45" width="15.109375" bestFit="1" customWidth="1"/>
    <col min="46" max="46" width="17.6640625" bestFit="1" customWidth="1"/>
  </cols>
  <sheetData>
    <row r="2" spans="1:44" ht="15" thickBot="1" x14ac:dyDescent="0.35">
      <c r="B2" s="3" t="s">
        <v>93</v>
      </c>
      <c r="C2" s="595" t="s">
        <v>94</v>
      </c>
      <c r="D2" s="519"/>
      <c r="E2" s="519"/>
      <c r="F2" s="519"/>
      <c r="G2" s="519"/>
      <c r="H2" s="519"/>
      <c r="I2" s="596"/>
      <c r="J2" s="595" t="s">
        <v>95</v>
      </c>
      <c r="K2" s="519"/>
      <c r="L2" s="519"/>
      <c r="M2" s="519"/>
      <c r="N2" s="519"/>
      <c r="O2" s="519"/>
      <c r="P2" s="596"/>
      <c r="Q2" s="595" t="s">
        <v>96</v>
      </c>
      <c r="R2" s="519"/>
      <c r="S2" s="519"/>
      <c r="T2" s="519"/>
      <c r="U2" s="519"/>
      <c r="V2" s="519"/>
      <c r="W2" s="596"/>
      <c r="X2" s="595" t="s">
        <v>97</v>
      </c>
      <c r="Y2" s="519"/>
      <c r="Z2" s="519"/>
      <c r="AA2" s="519"/>
      <c r="AB2" s="519"/>
      <c r="AC2" s="519"/>
      <c r="AD2" s="596"/>
      <c r="AE2" s="42" t="s">
        <v>79</v>
      </c>
      <c r="AF2" s="43"/>
      <c r="AG2" s="43"/>
      <c r="AH2" s="43"/>
      <c r="AI2" s="43"/>
      <c r="AJ2" s="43"/>
      <c r="AK2" s="44"/>
      <c r="AL2" s="389" t="s">
        <v>160</v>
      </c>
      <c r="AM2" s="450"/>
      <c r="AN2" s="450"/>
      <c r="AO2" s="450"/>
      <c r="AP2" s="450"/>
      <c r="AQ2" s="450"/>
      <c r="AR2" s="390"/>
    </row>
    <row r="3" spans="1:44" ht="15" thickBot="1" x14ac:dyDescent="0.35">
      <c r="A3" s="36">
        <v>0</v>
      </c>
      <c r="B3">
        <v>0</v>
      </c>
      <c r="C3" s="37" t="s">
        <v>25</v>
      </c>
      <c r="D3" s="37" t="s">
        <v>103</v>
      </c>
      <c r="E3" s="37" t="s">
        <v>104</v>
      </c>
      <c r="F3" s="37" t="s">
        <v>105</v>
      </c>
      <c r="G3" s="37" t="s">
        <v>106</v>
      </c>
      <c r="H3" s="37" t="s">
        <v>107</v>
      </c>
      <c r="I3" s="37" t="s">
        <v>108</v>
      </c>
      <c r="J3" s="37" t="s">
        <v>25</v>
      </c>
      <c r="K3" s="37" t="s">
        <v>103</v>
      </c>
      <c r="L3" s="37" t="s">
        <v>104</v>
      </c>
      <c r="M3" s="37" t="s">
        <v>105</v>
      </c>
      <c r="N3" s="37" t="s">
        <v>106</v>
      </c>
      <c r="O3" s="37" t="s">
        <v>107</v>
      </c>
      <c r="P3" s="37" t="s">
        <v>108</v>
      </c>
      <c r="Q3" s="37" t="s">
        <v>25</v>
      </c>
      <c r="R3" s="37" t="s">
        <v>103</v>
      </c>
      <c r="S3" s="37" t="s">
        <v>104</v>
      </c>
      <c r="T3" s="37" t="s">
        <v>105</v>
      </c>
      <c r="U3" s="37" t="s">
        <v>106</v>
      </c>
      <c r="V3" s="37" t="s">
        <v>107</v>
      </c>
      <c r="W3" s="37" t="s">
        <v>108</v>
      </c>
      <c r="X3" s="37" t="s">
        <v>25</v>
      </c>
      <c r="Y3" s="37" t="s">
        <v>103</v>
      </c>
      <c r="Z3" s="37" t="s">
        <v>104</v>
      </c>
      <c r="AA3" s="37" t="s">
        <v>105</v>
      </c>
      <c r="AB3" s="37" t="s">
        <v>106</v>
      </c>
      <c r="AC3" s="37" t="s">
        <v>107</v>
      </c>
      <c r="AD3" s="37" t="s">
        <v>108</v>
      </c>
      <c r="AE3" s="37" t="s">
        <v>25</v>
      </c>
      <c r="AF3" s="41" t="s">
        <v>137</v>
      </c>
      <c r="AG3" s="41" t="s">
        <v>138</v>
      </c>
      <c r="AH3" s="41" t="s">
        <v>139</v>
      </c>
      <c r="AI3" s="41" t="s">
        <v>140</v>
      </c>
      <c r="AJ3" s="41" t="s">
        <v>141</v>
      </c>
      <c r="AK3" s="41" t="s">
        <v>80</v>
      </c>
      <c r="AL3" s="41" t="s">
        <v>25</v>
      </c>
      <c r="AM3" s="41" t="s">
        <v>137</v>
      </c>
      <c r="AN3" s="41" t="s">
        <v>138</v>
      </c>
      <c r="AO3" s="41" t="s">
        <v>139</v>
      </c>
      <c r="AP3" s="41" t="s">
        <v>140</v>
      </c>
      <c r="AQ3" s="41" t="s">
        <v>141</v>
      </c>
      <c r="AR3" s="41" t="s">
        <v>80</v>
      </c>
    </row>
    <row r="4" spans="1:44" ht="15" thickBot="1" x14ac:dyDescent="0.35">
      <c r="A4" s="36" t="s">
        <v>82</v>
      </c>
      <c r="B4">
        <v>1</v>
      </c>
      <c r="C4" s="32">
        <v>1500</v>
      </c>
      <c r="D4" s="32" t="e">
        <f t="shared" ref="D4:D45" si="0">IF($B4&gt;VLOOKUP(_xlfn.SINGLE(HatDesiredLevel),$A$3:$B$45,2,FALSE),"",IF($B4&gt;VLOOKUP(_xlfn.SINGLE(HatCurrentLevel),$A$3:$B$45,2,FALSE),$C4,""))</f>
        <v>#N/A</v>
      </c>
      <c r="E4" s="32" t="e">
        <f t="shared" ref="E4:E45" si="1">IF($B4&gt;VLOOKUP(WatchDesiredLevel,$A$3:$B$45,2,FALSE),"",IF($B4&gt;VLOOKUP(WatchCurrentLevel,$A$3:$B$45,2,FALSE),$C4,""))</f>
        <v>#N/A</v>
      </c>
      <c r="F4" s="32" t="e">
        <f t="shared" ref="F4:F45" si="2">IF($B4&gt;VLOOKUP(_xlfn.SINGLE(CoatDesiredLevel),$A$3:$B$45,2,FALSE),"",IF($B4&gt;VLOOKUP(_xlfn.SINGLE(CoatCurrentLevel),$A$3:$B$45,2,FALSE),$C4,""))</f>
        <v>#N/A</v>
      </c>
      <c r="G4" s="32" t="e">
        <f t="shared" ref="G4:G45" si="3">IF($B4&gt;VLOOKUP(_xlfn.SINGLE(PantsDesiredLevel),$A$3:$B$45,2,FALSE),"",IF($B4&gt;VLOOKUP(_xlfn.SINGLE(PantsCurrentLevel),$A$3:$B$45,2,FALSE),$C4,""))</f>
        <v>#N/A</v>
      </c>
      <c r="H4" s="32" t="e">
        <f t="shared" ref="H4:H45" si="4">IF($B4&gt;VLOOKUP(RingDesiredLevel,$A$3:$B$45,2,FALSE),"",IF($B4&gt;VLOOKUP(RingCurrentLevel,$A$3:$B$45,2,FALSE),$C4,""))</f>
        <v>#N/A</v>
      </c>
      <c r="I4" s="32" t="e">
        <f t="shared" ref="I4:I45" si="5">IF($B4&gt;VLOOKUP(_xlfn.SINGLE(CudgelDesiredLevel),$A$3:$B$45,2,FALSE),"",IF($B4&gt;VLOOKUP(_xlfn.SINGLE(CudgelCurrentLevel),$A$3:$B$45,2,FALSE),$C4,""))</f>
        <v>#N/A</v>
      </c>
      <c r="J4" s="31">
        <v>15</v>
      </c>
      <c r="K4" s="32" t="e">
        <f t="shared" ref="K4:K45" si="6">IF($B4&gt;VLOOKUP(_xlfn.SINGLE(HatDesiredLevel),$A$3:$B$45,2,FALSE),"",IF($B4&gt;VLOOKUP(_xlfn.SINGLE(HatCurrentLevel),$A$3:$B$45,2,FALSE),$J4,""))</f>
        <v>#N/A</v>
      </c>
      <c r="L4" s="32" t="e">
        <f t="shared" ref="L4:L45" si="7">IF($B4&gt;VLOOKUP(WatchDesiredLevel,$A$3:$B$45,2,FALSE),"",IF($B4&gt;VLOOKUP(WatchCurrentLevel,$A$3:$B$45,2,FALSE),$J4,""))</f>
        <v>#N/A</v>
      </c>
      <c r="M4" s="32" t="e">
        <f t="shared" ref="M4:M45" si="8">IF($B4&gt;VLOOKUP(_xlfn.SINGLE(CoatDesiredLevel),$A$3:$B$45,2,FALSE),"",IF($B4&gt;VLOOKUP(_xlfn.SINGLE(CoatCurrentLevel),$A$3:$B$45,2,FALSE),$J4,""))</f>
        <v>#N/A</v>
      </c>
      <c r="N4" s="32" t="e">
        <f t="shared" ref="N4:N45" si="9">IF($B4&gt;VLOOKUP(_xlfn.SINGLE(PantsDesiredLevel),$A$3:$B$45,2,FALSE),"",IF($B4&gt;VLOOKUP(_xlfn.SINGLE(PantsCurrentLevel),$A$3:$B$45,2,FALSE),$J4,""))</f>
        <v>#N/A</v>
      </c>
      <c r="O4" s="32" t="e">
        <f t="shared" ref="O4:O45" si="10">IF($B4&gt;VLOOKUP(RingDesiredLevel,$A$3:$B$45,2,FALSE),"",IF($B4&gt;VLOOKUP(RingCurrentLevel,$A$3:$B$45,2,FALSE),$J4,""))</f>
        <v>#N/A</v>
      </c>
      <c r="P4" s="32" t="e">
        <f t="shared" ref="P4:P45" si="11">IF($B4&gt;VLOOKUP(_xlfn.SINGLE(CudgelDesiredLevel),$A$3:$B$45,2,FALSE),"",IF($B4&gt;VLOOKUP(_xlfn.SINGLE(CudgelCurrentLevel),$A$3:$B$45,2,FALSE),$J4,""))</f>
        <v>#N/A</v>
      </c>
      <c r="Q4" s="31">
        <v>0</v>
      </c>
      <c r="R4" s="32" t="e">
        <f t="shared" ref="R4:R45" si="12">IF($B4&gt;VLOOKUP(_xlfn.SINGLE(HatDesiredLevel),$A$3:$B$45,2,FALSE),"",IF($B4&gt;VLOOKUP(_xlfn.SINGLE(HatCurrentLevel),$A$3:$B$45,2,FALSE),$Q4,""))</f>
        <v>#N/A</v>
      </c>
      <c r="S4" s="32" t="e">
        <f t="shared" ref="S4:S45" si="13">IF($B4&gt;VLOOKUP(WatchDesiredLevel,$A$3:$B$45,2,FALSE),"",IF($B4&gt;VLOOKUP(WatchCurrentLevel,$A$3:$B$45,2,FALSE),$Q4,""))</f>
        <v>#N/A</v>
      </c>
      <c r="T4" s="32" t="e">
        <f t="shared" ref="T4:T45" si="14">IF($B4&gt;VLOOKUP(_xlfn.SINGLE(CoatDesiredLevel),$A$3:$B$45,2,FALSE),"",IF($B4&gt;VLOOKUP(_xlfn.SINGLE(CoatCurrentLevel),$A$3:$B$45,2,FALSE),$Q4,""))</f>
        <v>#N/A</v>
      </c>
      <c r="U4" s="32" t="e">
        <f t="shared" ref="U4:U45" si="15">IF($B4&gt;VLOOKUP(_xlfn.SINGLE(PantsDesiredLevel),$A$3:$B$45,2,FALSE),"",IF($B4&gt;VLOOKUP(_xlfn.SINGLE(PantsCurrentLevel),$A$3:$B$45,2,FALSE),$Q4,""))</f>
        <v>#N/A</v>
      </c>
      <c r="V4" s="32" t="e">
        <f t="shared" ref="V4:V45" si="16">IF($B4&gt;VLOOKUP(RingDesiredLevel,$A$3:$B$45,2,FALSE),"",IF($B4&gt;VLOOKUP(RingCurrentLevel,$A$3:$B$45,2,FALSE),$Q4,""))</f>
        <v>#N/A</v>
      </c>
      <c r="W4" s="32" t="e">
        <f t="shared" ref="W4:W45" si="17">IF($B4&gt;VLOOKUP(_xlfn.SINGLE(CudgelDesiredLevel),$A$3:$B$45,2,FALSE),"",IF($B4&gt;VLOOKUP(_xlfn.SINGLE(CudgelCurrentLevel),$A$3:$B$45,2,FALSE),$Q4,""))</f>
        <v>#N/A</v>
      </c>
      <c r="X4" s="31">
        <v>0</v>
      </c>
      <c r="Y4" s="32" t="e">
        <f t="shared" ref="Y4:Y45" si="18">IF($B4&gt;VLOOKUP(_xlfn.SINGLE(HatDesiredLevel),$A$3:$B$45,2,FALSE),"",IF($B4&gt;VLOOKUP(_xlfn.SINGLE(HatCurrentLevel),$A$3:$B$45,2,FALSE),$X4,""))</f>
        <v>#N/A</v>
      </c>
      <c r="Z4" s="32" t="e">
        <f t="shared" ref="Z4:Z45" si="19">IF($B4&gt;VLOOKUP(WatchDesiredLevel,$A$3:$B$45,2,FALSE),"",IF($B4&gt;VLOOKUP(WatchCurrentLevel,$A$3:$B$45,2,FALSE),$X4,""))</f>
        <v>#N/A</v>
      </c>
      <c r="AA4" s="32" t="e">
        <f t="shared" ref="AA4:AA45" si="20">IF($B4&gt;VLOOKUP(_xlfn.SINGLE(CoatDesiredLevel),$A$3:$B$45,2,FALSE),"",IF($B4&gt;VLOOKUP(_xlfn.SINGLE(CoatCurrentLevel),$A$3:$B$45,2,FALSE),$X4,""))</f>
        <v>#N/A</v>
      </c>
      <c r="AB4" s="32" t="e">
        <f t="shared" ref="AB4:AB45" si="21">IF($B4&gt;VLOOKUP(_xlfn.SINGLE(PantsDesiredLevel),$A$3:$B$45,2,FALSE),"",IF($B4&gt;VLOOKUP(_xlfn.SINGLE(PantsCurrentLevel),$A$3:$B$45,2,FALSE),$X4,""))</f>
        <v>#N/A</v>
      </c>
      <c r="AC4" s="32" t="e">
        <f t="shared" ref="AC4:AC45" si="22">IF($B4&gt;VLOOKUP(RingDesiredLevel,$A$3:$B$45,2,FALSE),"",IF($B4&gt;VLOOKUP(RingCurrentLevel,$A$3:$B$45,2,FALSE),$X4,""))</f>
        <v>#N/A</v>
      </c>
      <c r="AD4" s="32" t="e">
        <f t="shared" ref="AD4:AD45" si="23">IF($B4&gt;VLOOKUP(_xlfn.SINGLE(CudgelDesiredLevel),$A$3:$B$45,2,FALSE),"",IF($B4&gt;VLOOKUP(_xlfn.SINGLE(CudgelCurrentLevel),$A$3:$B$45,2,FALSE),$X4,""))</f>
        <v>#N/A</v>
      </c>
      <c r="AE4" s="32">
        <v>224400</v>
      </c>
      <c r="AF4" s="32" t="e">
        <f t="shared" ref="AF4:AF45" si="24">IF($B4=VLOOKUP(_xlfn.SINGLE(HatCurrentLevel),$A$3:$B$45,2,FALSE),$AE4,IF($B4=VLOOKUP(_xlfn.SINGLE(HatDesiredLevel),$A$3:$B$45,2,FALSE),$AE4,""))</f>
        <v>#N/A</v>
      </c>
      <c r="AG4" s="32" t="e">
        <f t="shared" ref="AG4:AG45" si="25">IF($B4=VLOOKUP(WatchCurrentLevel,$A$3:$B$45,2,FALSE),$AE4,IF($B4=VLOOKUP(WatchDesiredLevel,$A$3:$B$45,2,FALSE),$AE4,""))</f>
        <v>#N/A</v>
      </c>
      <c r="AH4" s="32" t="e">
        <f t="shared" ref="AH4:AH45" si="26">IF($B4=VLOOKUP(_xlfn.SINGLE(CoatCurrentLevel),$A$3:$B$45,2,FALSE),$AE4,IF($B4=VLOOKUP(_xlfn.SINGLE(CoatDesiredLevel),$A$3:$B$45,2,FALSE),$AE4,""))</f>
        <v>#N/A</v>
      </c>
      <c r="AI4" s="32" t="e">
        <f t="shared" ref="AI4:AI45" si="27">IF($B4=VLOOKUP(_xlfn.SINGLE(PantsCurrentLevel),$A$3:$B$45,2,FALSE),$AE4,IF($B4=VLOOKUP(_xlfn.SINGLE(PantsDesiredLevel),$A$3:$B$45,2,FALSE),$AE4,""))</f>
        <v>#N/A</v>
      </c>
      <c r="AJ4" s="32" t="e">
        <f t="shared" ref="AJ4:AJ45" si="28">IF($B4=VLOOKUP(RingCurrentLevel,$A$3:$B$45,2,FALSE),$AE4,IF($B4=VLOOKUP(RingDesiredLevel,$A$3:$B$45,2,FALSE),$AE4,""))</f>
        <v>#N/A</v>
      </c>
      <c r="AK4" s="32" t="e">
        <f t="shared" ref="AK4:AK45" si="29">IF($B4=VLOOKUP(_xlfn.SINGLE(CudgelCurrentLevel),$A$3:$B$45,2,FALSE),$AE4,IF($B4=VLOOKUP(_xlfn.SINGLE(CudgelDesiredLevel),$A$3:$B$45,2,FALSE),$AE4,""))</f>
        <v>#N/A</v>
      </c>
      <c r="AL4" s="1">
        <v>1125</v>
      </c>
      <c r="AM4" s="32" t="e">
        <f t="shared" ref="AM4:AM45" si="30">IF($B4&gt;VLOOKUP(_xlfn.SINGLE(HatDesiredLevel),$A$3:$B$45,2,FALSE),"",IF($B4&gt;VLOOKUP(_xlfn.SINGLE(HatCurrentLevel),$A$3:$B$45,2,FALSE),$AL4,""))</f>
        <v>#N/A</v>
      </c>
      <c r="AN4" s="32" t="e">
        <f t="shared" ref="AN4:AN45" si="31">IF($B4&gt;VLOOKUP(WatchDesiredLevel,$A$3:$B$45,2,FALSE),"",IF($B4&gt;VLOOKUP(WatchCurrentLevel,$A$3:$B$45,2,FALSE),$AL4,""))</f>
        <v>#N/A</v>
      </c>
      <c r="AO4" s="32" t="e">
        <f t="shared" ref="AO4:AO45" si="32">IF($B4&gt;VLOOKUP(_xlfn.SINGLE(CoatDesiredLevel),$A$3:$B$45,2,FALSE),"",IF($B4&gt;VLOOKUP(_xlfn.SINGLE(CoatCurrentLevel),$A$3:$B$45,2,FALSE),$AL4,""))</f>
        <v>#N/A</v>
      </c>
      <c r="AP4" s="32" t="e">
        <f t="shared" ref="AP4:AP45" si="33">IF($B4&gt;VLOOKUP(_xlfn.SINGLE(PantsDesiredLevel),$A$3:$B$45,2,FALSE),"",IF($B4&gt;VLOOKUP(_xlfn.SINGLE(PantsCurrentLevel),$A$3:$B$45,2,FALSE),$AL4,""))</f>
        <v>#N/A</v>
      </c>
      <c r="AQ4" s="32" t="e">
        <f t="shared" ref="AQ4:AQ45" si="34">IF($B4&gt;VLOOKUP(RingDesiredLevel,$A$3:$B$45,2,FALSE),"",IF($B4&gt;VLOOKUP(RingCurrentLevel,$A$3:$B$45,2,FALSE),$AL4,""))</f>
        <v>#N/A</v>
      </c>
      <c r="AR4" s="32" t="e">
        <f t="shared" ref="AR4:AR45" si="35">IF($B4&gt;VLOOKUP(_xlfn.SINGLE(CudgelDesiredLevel),$A$3:$B$45,2,FALSE),"",IF($B4&gt;VLOOKUP(_xlfn.SINGLE(CudgelCurrentLevel),$A$3:$B$45,2,FALSE),$AL4,""))</f>
        <v>#N/A</v>
      </c>
    </row>
    <row r="5" spans="1:44" ht="15" thickBot="1" x14ac:dyDescent="0.35">
      <c r="A5" s="36" t="s">
        <v>184</v>
      </c>
      <c r="B5">
        <v>2</v>
      </c>
      <c r="C5" s="32">
        <v>3800</v>
      </c>
      <c r="D5" s="32" t="e">
        <f t="shared" si="0"/>
        <v>#N/A</v>
      </c>
      <c r="E5" s="32" t="e">
        <f t="shared" si="1"/>
        <v>#N/A</v>
      </c>
      <c r="F5" s="32" t="e">
        <f t="shared" si="2"/>
        <v>#N/A</v>
      </c>
      <c r="G5" s="32" t="e">
        <f t="shared" si="3"/>
        <v>#N/A</v>
      </c>
      <c r="H5" s="32" t="e">
        <f t="shared" si="4"/>
        <v>#N/A</v>
      </c>
      <c r="I5" s="32" t="e">
        <f t="shared" si="5"/>
        <v>#N/A</v>
      </c>
      <c r="J5" s="31">
        <v>40</v>
      </c>
      <c r="K5" s="32" t="e">
        <f t="shared" si="6"/>
        <v>#N/A</v>
      </c>
      <c r="L5" s="32" t="e">
        <f t="shared" si="7"/>
        <v>#N/A</v>
      </c>
      <c r="M5" s="32" t="e">
        <f t="shared" si="8"/>
        <v>#N/A</v>
      </c>
      <c r="N5" s="32" t="e">
        <f t="shared" si="9"/>
        <v>#N/A</v>
      </c>
      <c r="O5" s="32" t="e">
        <f t="shared" si="10"/>
        <v>#N/A</v>
      </c>
      <c r="P5" s="32" t="e">
        <f t="shared" si="11"/>
        <v>#N/A</v>
      </c>
      <c r="Q5" s="31">
        <v>0</v>
      </c>
      <c r="R5" s="32" t="e">
        <f t="shared" si="12"/>
        <v>#N/A</v>
      </c>
      <c r="S5" s="32" t="e">
        <f t="shared" si="13"/>
        <v>#N/A</v>
      </c>
      <c r="T5" s="32" t="e">
        <f t="shared" si="14"/>
        <v>#N/A</v>
      </c>
      <c r="U5" s="32" t="e">
        <f t="shared" si="15"/>
        <v>#N/A</v>
      </c>
      <c r="V5" s="32" t="e">
        <f t="shared" si="16"/>
        <v>#N/A</v>
      </c>
      <c r="W5" s="32" t="e">
        <f t="shared" si="17"/>
        <v>#N/A</v>
      </c>
      <c r="X5" s="31">
        <v>0</v>
      </c>
      <c r="Y5" s="32" t="e">
        <f t="shared" si="18"/>
        <v>#N/A</v>
      </c>
      <c r="Z5" s="32" t="e">
        <f t="shared" si="19"/>
        <v>#N/A</v>
      </c>
      <c r="AA5" s="32" t="e">
        <f t="shared" si="20"/>
        <v>#N/A</v>
      </c>
      <c r="AB5" s="32" t="e">
        <f t="shared" si="21"/>
        <v>#N/A</v>
      </c>
      <c r="AC5" s="32" t="e">
        <f t="shared" si="22"/>
        <v>#N/A</v>
      </c>
      <c r="AD5" s="32" t="e">
        <f t="shared" si="23"/>
        <v>#N/A</v>
      </c>
      <c r="AE5" s="32">
        <v>306000</v>
      </c>
      <c r="AF5" s="32" t="e">
        <f t="shared" si="24"/>
        <v>#N/A</v>
      </c>
      <c r="AG5" s="32" t="e">
        <f t="shared" si="25"/>
        <v>#N/A</v>
      </c>
      <c r="AH5" s="32" t="e">
        <f t="shared" si="26"/>
        <v>#N/A</v>
      </c>
      <c r="AI5" s="32" t="e">
        <f t="shared" si="27"/>
        <v>#N/A</v>
      </c>
      <c r="AJ5" s="32" t="e">
        <f t="shared" si="28"/>
        <v>#N/A</v>
      </c>
      <c r="AK5" s="32" t="e">
        <f t="shared" si="29"/>
        <v>#N/A</v>
      </c>
      <c r="AL5" s="1">
        <v>1875</v>
      </c>
      <c r="AM5" s="32" t="e">
        <f t="shared" si="30"/>
        <v>#N/A</v>
      </c>
      <c r="AN5" s="32" t="e">
        <f t="shared" si="31"/>
        <v>#N/A</v>
      </c>
      <c r="AO5" s="32" t="e">
        <f t="shared" si="32"/>
        <v>#N/A</v>
      </c>
      <c r="AP5" s="32" t="e">
        <f t="shared" si="33"/>
        <v>#N/A</v>
      </c>
      <c r="AQ5" s="32" t="e">
        <f t="shared" si="34"/>
        <v>#N/A</v>
      </c>
      <c r="AR5" s="32" t="e">
        <f t="shared" si="35"/>
        <v>#N/A</v>
      </c>
    </row>
    <row r="6" spans="1:44" ht="15" thickBot="1" x14ac:dyDescent="0.35">
      <c r="A6" s="36" t="s">
        <v>183</v>
      </c>
      <c r="B6">
        <v>3</v>
      </c>
      <c r="C6" s="32">
        <v>7000</v>
      </c>
      <c r="D6" s="32" t="e">
        <f t="shared" si="0"/>
        <v>#N/A</v>
      </c>
      <c r="E6" s="32" t="e">
        <f t="shared" si="1"/>
        <v>#N/A</v>
      </c>
      <c r="F6" s="32" t="e">
        <f t="shared" si="2"/>
        <v>#N/A</v>
      </c>
      <c r="G6" s="32" t="e">
        <f t="shared" si="3"/>
        <v>#N/A</v>
      </c>
      <c r="H6" s="32" t="e">
        <f t="shared" si="4"/>
        <v>#N/A</v>
      </c>
      <c r="I6" s="32" t="e">
        <f t="shared" si="5"/>
        <v>#N/A</v>
      </c>
      <c r="J6" s="31">
        <v>70</v>
      </c>
      <c r="K6" s="32" t="e">
        <f t="shared" si="6"/>
        <v>#N/A</v>
      </c>
      <c r="L6" s="32" t="e">
        <f t="shared" si="7"/>
        <v>#N/A</v>
      </c>
      <c r="M6" s="32" t="e">
        <f t="shared" si="8"/>
        <v>#N/A</v>
      </c>
      <c r="N6" s="32" t="e">
        <f t="shared" si="9"/>
        <v>#N/A</v>
      </c>
      <c r="O6" s="32" t="e">
        <f t="shared" si="10"/>
        <v>#N/A</v>
      </c>
      <c r="P6" s="32" t="e">
        <f t="shared" si="11"/>
        <v>#N/A</v>
      </c>
      <c r="Q6" s="31">
        <v>0</v>
      </c>
      <c r="R6" s="32" t="e">
        <f t="shared" si="12"/>
        <v>#N/A</v>
      </c>
      <c r="S6" s="32" t="e">
        <f t="shared" si="13"/>
        <v>#N/A</v>
      </c>
      <c r="T6" s="32" t="e">
        <f t="shared" si="14"/>
        <v>#N/A</v>
      </c>
      <c r="U6" s="32" t="e">
        <f t="shared" si="15"/>
        <v>#N/A</v>
      </c>
      <c r="V6" s="32" t="e">
        <f t="shared" si="16"/>
        <v>#N/A</v>
      </c>
      <c r="W6" s="32" t="e">
        <f t="shared" si="17"/>
        <v>#N/A</v>
      </c>
      <c r="X6" s="31">
        <v>0</v>
      </c>
      <c r="Y6" s="32" t="e">
        <f t="shared" si="18"/>
        <v>#N/A</v>
      </c>
      <c r="Z6" s="32" t="e">
        <f t="shared" si="19"/>
        <v>#N/A</v>
      </c>
      <c r="AA6" s="32" t="e">
        <f t="shared" si="20"/>
        <v>#N/A</v>
      </c>
      <c r="AB6" s="32" t="e">
        <f t="shared" si="21"/>
        <v>#N/A</v>
      </c>
      <c r="AC6" s="32" t="e">
        <f t="shared" si="22"/>
        <v>#N/A</v>
      </c>
      <c r="AD6" s="32" t="e">
        <f t="shared" si="23"/>
        <v>#N/A</v>
      </c>
      <c r="AE6" s="32">
        <v>408000</v>
      </c>
      <c r="AF6" s="32" t="e">
        <f t="shared" si="24"/>
        <v>#N/A</v>
      </c>
      <c r="AG6" s="32" t="e">
        <f t="shared" si="25"/>
        <v>#N/A</v>
      </c>
      <c r="AH6" s="32" t="e">
        <f t="shared" si="26"/>
        <v>#N/A</v>
      </c>
      <c r="AI6" s="32" t="e">
        <f t="shared" si="27"/>
        <v>#N/A</v>
      </c>
      <c r="AJ6" s="32" t="e">
        <f t="shared" si="28"/>
        <v>#N/A</v>
      </c>
      <c r="AK6" s="32" t="e">
        <f t="shared" si="29"/>
        <v>#N/A</v>
      </c>
      <c r="AL6" s="1">
        <v>3000</v>
      </c>
      <c r="AM6" s="32" t="e">
        <f t="shared" si="30"/>
        <v>#N/A</v>
      </c>
      <c r="AN6" s="32" t="e">
        <f t="shared" si="31"/>
        <v>#N/A</v>
      </c>
      <c r="AO6" s="32" t="e">
        <f t="shared" si="32"/>
        <v>#N/A</v>
      </c>
      <c r="AP6" s="32" t="e">
        <f t="shared" si="33"/>
        <v>#N/A</v>
      </c>
      <c r="AQ6" s="32" t="e">
        <f t="shared" si="34"/>
        <v>#N/A</v>
      </c>
      <c r="AR6" s="32" t="e">
        <f t="shared" si="35"/>
        <v>#N/A</v>
      </c>
    </row>
    <row r="7" spans="1:44" ht="15" thickBot="1" x14ac:dyDescent="0.35">
      <c r="A7" s="36" t="s">
        <v>185</v>
      </c>
      <c r="B7">
        <v>4</v>
      </c>
      <c r="C7" s="32">
        <v>9700</v>
      </c>
      <c r="D7" s="32" t="e">
        <f t="shared" si="0"/>
        <v>#N/A</v>
      </c>
      <c r="E7" s="32" t="e">
        <f t="shared" si="1"/>
        <v>#N/A</v>
      </c>
      <c r="F7" s="32" t="e">
        <f t="shared" si="2"/>
        <v>#N/A</v>
      </c>
      <c r="G7" s="32" t="e">
        <f t="shared" si="3"/>
        <v>#N/A</v>
      </c>
      <c r="H7" s="32" t="e">
        <f t="shared" si="4"/>
        <v>#N/A</v>
      </c>
      <c r="I7" s="32" t="e">
        <f t="shared" si="5"/>
        <v>#N/A</v>
      </c>
      <c r="J7" s="31">
        <v>95</v>
      </c>
      <c r="K7" s="32" t="e">
        <f t="shared" si="6"/>
        <v>#N/A</v>
      </c>
      <c r="L7" s="32" t="e">
        <f t="shared" si="7"/>
        <v>#N/A</v>
      </c>
      <c r="M7" s="32" t="e">
        <f t="shared" si="8"/>
        <v>#N/A</v>
      </c>
      <c r="N7" s="32" t="e">
        <f t="shared" si="9"/>
        <v>#N/A</v>
      </c>
      <c r="O7" s="32" t="e">
        <f t="shared" si="10"/>
        <v>#N/A</v>
      </c>
      <c r="P7" s="32" t="e">
        <f t="shared" si="11"/>
        <v>#N/A</v>
      </c>
      <c r="Q7" s="31">
        <v>0</v>
      </c>
      <c r="R7" s="32" t="e">
        <f t="shared" si="12"/>
        <v>#N/A</v>
      </c>
      <c r="S7" s="32" t="e">
        <f t="shared" si="13"/>
        <v>#N/A</v>
      </c>
      <c r="T7" s="32" t="e">
        <f t="shared" si="14"/>
        <v>#N/A</v>
      </c>
      <c r="U7" s="32" t="e">
        <f t="shared" si="15"/>
        <v>#N/A</v>
      </c>
      <c r="V7" s="32" t="e">
        <f t="shared" si="16"/>
        <v>#N/A</v>
      </c>
      <c r="W7" s="32" t="e">
        <f t="shared" si="17"/>
        <v>#N/A</v>
      </c>
      <c r="X7" s="31">
        <v>0</v>
      </c>
      <c r="Y7" s="32" t="e">
        <f t="shared" si="18"/>
        <v>#N/A</v>
      </c>
      <c r="Z7" s="32" t="e">
        <f t="shared" si="19"/>
        <v>#N/A</v>
      </c>
      <c r="AA7" s="32" t="e">
        <f t="shared" si="20"/>
        <v>#N/A</v>
      </c>
      <c r="AB7" s="32" t="e">
        <f t="shared" si="21"/>
        <v>#N/A</v>
      </c>
      <c r="AC7" s="32" t="e">
        <f t="shared" si="22"/>
        <v>#N/A</v>
      </c>
      <c r="AD7" s="32" t="e">
        <f t="shared" si="23"/>
        <v>#N/A</v>
      </c>
      <c r="AE7" s="32">
        <v>510000</v>
      </c>
      <c r="AF7" s="32" t="e">
        <f t="shared" si="24"/>
        <v>#N/A</v>
      </c>
      <c r="AG7" s="32" t="e">
        <f t="shared" si="25"/>
        <v>#N/A</v>
      </c>
      <c r="AH7" s="32" t="e">
        <f t="shared" si="26"/>
        <v>#N/A</v>
      </c>
      <c r="AI7" s="32" t="e">
        <f t="shared" si="27"/>
        <v>#N/A</v>
      </c>
      <c r="AJ7" s="32" t="e">
        <f t="shared" si="28"/>
        <v>#N/A</v>
      </c>
      <c r="AK7" s="32" t="e">
        <f t="shared" si="29"/>
        <v>#N/A</v>
      </c>
      <c r="AL7" s="1">
        <v>4500</v>
      </c>
      <c r="AM7" s="32" t="e">
        <f t="shared" si="30"/>
        <v>#N/A</v>
      </c>
      <c r="AN7" s="32" t="e">
        <f t="shared" si="31"/>
        <v>#N/A</v>
      </c>
      <c r="AO7" s="32" t="e">
        <f t="shared" si="32"/>
        <v>#N/A</v>
      </c>
      <c r="AP7" s="32" t="e">
        <f t="shared" si="33"/>
        <v>#N/A</v>
      </c>
      <c r="AQ7" s="32" t="e">
        <f t="shared" si="34"/>
        <v>#N/A</v>
      </c>
      <c r="AR7" s="32" t="e">
        <f t="shared" si="35"/>
        <v>#N/A</v>
      </c>
    </row>
    <row r="8" spans="1:44" ht="15" thickBot="1" x14ac:dyDescent="0.35">
      <c r="A8" s="36" t="s">
        <v>186</v>
      </c>
      <c r="B8">
        <v>5</v>
      </c>
      <c r="C8" s="31">
        <v>0</v>
      </c>
      <c r="D8" s="32" t="e">
        <f t="shared" si="0"/>
        <v>#N/A</v>
      </c>
      <c r="E8" s="32" t="e">
        <f t="shared" si="1"/>
        <v>#N/A</v>
      </c>
      <c r="F8" s="32" t="e">
        <f t="shared" si="2"/>
        <v>#N/A</v>
      </c>
      <c r="G8" s="32" t="e">
        <f t="shared" si="3"/>
        <v>#N/A</v>
      </c>
      <c r="H8" s="32" t="e">
        <f t="shared" si="4"/>
        <v>#N/A</v>
      </c>
      <c r="I8" s="32" t="e">
        <f t="shared" si="5"/>
        <v>#N/A</v>
      </c>
      <c r="J8" s="31">
        <v>0</v>
      </c>
      <c r="K8" s="32" t="e">
        <f t="shared" si="6"/>
        <v>#N/A</v>
      </c>
      <c r="L8" s="32" t="e">
        <f t="shared" si="7"/>
        <v>#N/A</v>
      </c>
      <c r="M8" s="32" t="e">
        <f t="shared" si="8"/>
        <v>#N/A</v>
      </c>
      <c r="N8" s="32" t="e">
        <f t="shared" si="9"/>
        <v>#N/A</v>
      </c>
      <c r="O8" s="32" t="e">
        <f t="shared" si="10"/>
        <v>#N/A</v>
      </c>
      <c r="P8" s="32" t="e">
        <f t="shared" si="11"/>
        <v>#N/A</v>
      </c>
      <c r="Q8" s="31">
        <v>45</v>
      </c>
      <c r="R8" s="32" t="e">
        <f t="shared" si="12"/>
        <v>#N/A</v>
      </c>
      <c r="S8" s="32" t="e">
        <f t="shared" si="13"/>
        <v>#N/A</v>
      </c>
      <c r="T8" s="32" t="e">
        <f t="shared" si="14"/>
        <v>#N/A</v>
      </c>
      <c r="U8" s="32" t="e">
        <f t="shared" si="15"/>
        <v>#N/A</v>
      </c>
      <c r="V8" s="32" t="e">
        <f t="shared" si="16"/>
        <v>#N/A</v>
      </c>
      <c r="W8" s="32" t="e">
        <f t="shared" si="17"/>
        <v>#N/A</v>
      </c>
      <c r="X8" s="31">
        <v>0</v>
      </c>
      <c r="Y8" s="32" t="e">
        <f t="shared" si="18"/>
        <v>#N/A</v>
      </c>
      <c r="Z8" s="32" t="e">
        <f t="shared" si="19"/>
        <v>#N/A</v>
      </c>
      <c r="AA8" s="32" t="e">
        <f t="shared" si="20"/>
        <v>#N/A</v>
      </c>
      <c r="AB8" s="32" t="e">
        <f t="shared" si="21"/>
        <v>#N/A</v>
      </c>
      <c r="AC8" s="32" t="e">
        <f t="shared" si="22"/>
        <v>#N/A</v>
      </c>
      <c r="AD8" s="32" t="e">
        <f t="shared" si="23"/>
        <v>#N/A</v>
      </c>
      <c r="AE8" s="32">
        <v>612000</v>
      </c>
      <c r="AF8" s="32" t="e">
        <f t="shared" si="24"/>
        <v>#N/A</v>
      </c>
      <c r="AG8" s="32" t="e">
        <f t="shared" si="25"/>
        <v>#N/A</v>
      </c>
      <c r="AH8" s="32" t="e">
        <f t="shared" si="26"/>
        <v>#N/A</v>
      </c>
      <c r="AI8" s="32" t="e">
        <f t="shared" si="27"/>
        <v>#N/A</v>
      </c>
      <c r="AJ8" s="32" t="e">
        <f t="shared" si="28"/>
        <v>#N/A</v>
      </c>
      <c r="AK8" s="32" t="e">
        <f t="shared" si="29"/>
        <v>#N/A</v>
      </c>
      <c r="AL8" s="1">
        <v>5100</v>
      </c>
      <c r="AM8" s="32" t="e">
        <f t="shared" si="30"/>
        <v>#N/A</v>
      </c>
      <c r="AN8" s="32" t="e">
        <f t="shared" si="31"/>
        <v>#N/A</v>
      </c>
      <c r="AO8" s="32" t="e">
        <f t="shared" si="32"/>
        <v>#N/A</v>
      </c>
      <c r="AP8" s="32" t="e">
        <f t="shared" si="33"/>
        <v>#N/A</v>
      </c>
      <c r="AQ8" s="32" t="e">
        <f t="shared" si="34"/>
        <v>#N/A</v>
      </c>
      <c r="AR8" s="32" t="e">
        <f t="shared" si="35"/>
        <v>#N/A</v>
      </c>
    </row>
    <row r="9" spans="1:44" ht="15" thickBot="1" x14ac:dyDescent="0.35">
      <c r="A9" s="36" t="s">
        <v>187</v>
      </c>
      <c r="B9">
        <v>6</v>
      </c>
      <c r="C9" s="31">
        <v>0</v>
      </c>
      <c r="D9" s="32" t="e">
        <f t="shared" si="0"/>
        <v>#N/A</v>
      </c>
      <c r="E9" s="32" t="e">
        <f t="shared" si="1"/>
        <v>#N/A</v>
      </c>
      <c r="F9" s="32" t="e">
        <f t="shared" si="2"/>
        <v>#N/A</v>
      </c>
      <c r="G9" s="32" t="e">
        <f t="shared" si="3"/>
        <v>#N/A</v>
      </c>
      <c r="H9" s="32" t="e">
        <f t="shared" si="4"/>
        <v>#N/A</v>
      </c>
      <c r="I9" s="32" t="e">
        <f t="shared" si="5"/>
        <v>#N/A</v>
      </c>
      <c r="J9" s="31">
        <v>0</v>
      </c>
      <c r="K9" s="32" t="e">
        <f t="shared" si="6"/>
        <v>#N/A</v>
      </c>
      <c r="L9" s="32" t="e">
        <f t="shared" si="7"/>
        <v>#N/A</v>
      </c>
      <c r="M9" s="32" t="e">
        <f t="shared" si="8"/>
        <v>#N/A</v>
      </c>
      <c r="N9" s="32" t="e">
        <f t="shared" si="9"/>
        <v>#N/A</v>
      </c>
      <c r="O9" s="32" t="e">
        <f t="shared" si="10"/>
        <v>#N/A</v>
      </c>
      <c r="P9" s="32" t="e">
        <f t="shared" si="11"/>
        <v>#N/A</v>
      </c>
      <c r="Q9" s="31">
        <v>50</v>
      </c>
      <c r="R9" s="32" t="e">
        <f t="shared" si="12"/>
        <v>#N/A</v>
      </c>
      <c r="S9" s="32" t="e">
        <f t="shared" si="13"/>
        <v>#N/A</v>
      </c>
      <c r="T9" s="32" t="e">
        <f t="shared" si="14"/>
        <v>#N/A</v>
      </c>
      <c r="U9" s="32" t="e">
        <f t="shared" si="15"/>
        <v>#N/A</v>
      </c>
      <c r="V9" s="32" t="e">
        <f t="shared" si="16"/>
        <v>#N/A</v>
      </c>
      <c r="W9" s="32" t="e">
        <f t="shared" si="17"/>
        <v>#N/A</v>
      </c>
      <c r="X9" s="31">
        <v>0</v>
      </c>
      <c r="Y9" s="32" t="e">
        <f t="shared" si="18"/>
        <v>#N/A</v>
      </c>
      <c r="Z9" s="32" t="e">
        <f t="shared" si="19"/>
        <v>#N/A</v>
      </c>
      <c r="AA9" s="32" t="e">
        <f t="shared" si="20"/>
        <v>#N/A</v>
      </c>
      <c r="AB9" s="32" t="e">
        <f t="shared" si="21"/>
        <v>#N/A</v>
      </c>
      <c r="AC9" s="32" t="e">
        <f t="shared" si="22"/>
        <v>#N/A</v>
      </c>
      <c r="AD9" s="32" t="e">
        <f t="shared" si="23"/>
        <v>#N/A</v>
      </c>
      <c r="AE9" s="32">
        <v>714000</v>
      </c>
      <c r="AF9" s="32" t="e">
        <f t="shared" si="24"/>
        <v>#N/A</v>
      </c>
      <c r="AG9" s="32" t="e">
        <f t="shared" si="25"/>
        <v>#N/A</v>
      </c>
      <c r="AH9" s="32" t="e">
        <f t="shared" si="26"/>
        <v>#N/A</v>
      </c>
      <c r="AI9" s="32" t="e">
        <f t="shared" si="27"/>
        <v>#N/A</v>
      </c>
      <c r="AJ9" s="32" t="e">
        <f t="shared" si="28"/>
        <v>#N/A</v>
      </c>
      <c r="AK9" s="32" t="e">
        <f t="shared" si="29"/>
        <v>#N/A</v>
      </c>
      <c r="AL9" s="1">
        <v>5440</v>
      </c>
      <c r="AM9" s="32" t="e">
        <f t="shared" si="30"/>
        <v>#N/A</v>
      </c>
      <c r="AN9" s="32" t="e">
        <f t="shared" si="31"/>
        <v>#N/A</v>
      </c>
      <c r="AO9" s="32" t="e">
        <f t="shared" si="32"/>
        <v>#N/A</v>
      </c>
      <c r="AP9" s="32" t="e">
        <f t="shared" si="33"/>
        <v>#N/A</v>
      </c>
      <c r="AQ9" s="32" t="e">
        <f t="shared" si="34"/>
        <v>#N/A</v>
      </c>
      <c r="AR9" s="32" t="e">
        <f t="shared" si="35"/>
        <v>#N/A</v>
      </c>
    </row>
    <row r="10" spans="1:44" ht="15" thickBot="1" x14ac:dyDescent="0.35">
      <c r="A10" s="36" t="s">
        <v>84</v>
      </c>
      <c r="B10">
        <v>7</v>
      </c>
      <c r="C10" s="31">
        <v>0</v>
      </c>
      <c r="D10" s="32" t="e">
        <f t="shared" si="0"/>
        <v>#N/A</v>
      </c>
      <c r="E10" s="32" t="e">
        <f t="shared" si="1"/>
        <v>#N/A</v>
      </c>
      <c r="F10" s="32" t="e">
        <f t="shared" si="2"/>
        <v>#N/A</v>
      </c>
      <c r="G10" s="32" t="e">
        <f t="shared" si="3"/>
        <v>#N/A</v>
      </c>
      <c r="H10" s="32" t="e">
        <f t="shared" si="4"/>
        <v>#N/A</v>
      </c>
      <c r="I10" s="32" t="e">
        <f t="shared" si="5"/>
        <v>#N/A</v>
      </c>
      <c r="J10" s="31">
        <v>0</v>
      </c>
      <c r="K10" s="32" t="e">
        <f t="shared" si="6"/>
        <v>#N/A</v>
      </c>
      <c r="L10" s="32" t="e">
        <f t="shared" si="7"/>
        <v>#N/A</v>
      </c>
      <c r="M10" s="32" t="e">
        <f t="shared" si="8"/>
        <v>#N/A</v>
      </c>
      <c r="N10" s="32" t="e">
        <f t="shared" si="9"/>
        <v>#N/A</v>
      </c>
      <c r="O10" s="32" t="e">
        <f t="shared" si="10"/>
        <v>#N/A</v>
      </c>
      <c r="P10" s="32" t="e">
        <f t="shared" si="11"/>
        <v>#N/A</v>
      </c>
      <c r="Q10" s="31">
        <v>60</v>
      </c>
      <c r="R10" s="32" t="e">
        <f t="shared" si="12"/>
        <v>#N/A</v>
      </c>
      <c r="S10" s="32" t="e">
        <f t="shared" si="13"/>
        <v>#N/A</v>
      </c>
      <c r="T10" s="32" t="e">
        <f t="shared" si="14"/>
        <v>#N/A</v>
      </c>
      <c r="U10" s="32" t="e">
        <f t="shared" si="15"/>
        <v>#N/A</v>
      </c>
      <c r="V10" s="32" t="e">
        <f t="shared" si="16"/>
        <v>#N/A</v>
      </c>
      <c r="W10" s="32" t="e">
        <f t="shared" si="17"/>
        <v>#N/A</v>
      </c>
      <c r="X10" s="31">
        <v>0</v>
      </c>
      <c r="Y10" s="32" t="e">
        <f t="shared" si="18"/>
        <v>#N/A</v>
      </c>
      <c r="Z10" s="32" t="e">
        <f t="shared" si="19"/>
        <v>#N/A</v>
      </c>
      <c r="AA10" s="32" t="e">
        <f t="shared" si="20"/>
        <v>#N/A</v>
      </c>
      <c r="AB10" s="32" t="e">
        <f t="shared" si="21"/>
        <v>#N/A</v>
      </c>
      <c r="AC10" s="32" t="e">
        <f t="shared" si="22"/>
        <v>#N/A</v>
      </c>
      <c r="AD10" s="32" t="e">
        <f t="shared" si="23"/>
        <v>#N/A</v>
      </c>
      <c r="AE10" s="32">
        <v>816000</v>
      </c>
      <c r="AF10" s="32" t="e">
        <f t="shared" si="24"/>
        <v>#N/A</v>
      </c>
      <c r="AG10" s="32" t="e">
        <f t="shared" si="25"/>
        <v>#N/A</v>
      </c>
      <c r="AH10" s="32" t="e">
        <f t="shared" si="26"/>
        <v>#N/A</v>
      </c>
      <c r="AI10" s="32" t="e">
        <f t="shared" si="27"/>
        <v>#N/A</v>
      </c>
      <c r="AJ10" s="32" t="e">
        <f t="shared" si="28"/>
        <v>#N/A</v>
      </c>
      <c r="AK10" s="32" t="e">
        <f t="shared" si="29"/>
        <v>#N/A</v>
      </c>
      <c r="AL10" s="1">
        <v>3230</v>
      </c>
      <c r="AM10" s="32" t="e">
        <f t="shared" si="30"/>
        <v>#N/A</v>
      </c>
      <c r="AN10" s="32" t="e">
        <f t="shared" si="31"/>
        <v>#N/A</v>
      </c>
      <c r="AO10" s="32" t="e">
        <f t="shared" si="32"/>
        <v>#N/A</v>
      </c>
      <c r="AP10" s="32" t="e">
        <f t="shared" si="33"/>
        <v>#N/A</v>
      </c>
      <c r="AQ10" s="32" t="e">
        <f t="shared" si="34"/>
        <v>#N/A</v>
      </c>
      <c r="AR10" s="32" t="e">
        <f t="shared" si="35"/>
        <v>#N/A</v>
      </c>
    </row>
    <row r="11" spans="1:44" ht="15" thickBot="1" x14ac:dyDescent="0.35">
      <c r="A11" s="36" t="s">
        <v>188</v>
      </c>
      <c r="B11">
        <v>8</v>
      </c>
      <c r="C11" s="31">
        <v>0</v>
      </c>
      <c r="D11" s="32" t="e">
        <f t="shared" si="0"/>
        <v>#N/A</v>
      </c>
      <c r="E11" s="32" t="e">
        <f t="shared" si="1"/>
        <v>#N/A</v>
      </c>
      <c r="F11" s="32" t="e">
        <f t="shared" si="2"/>
        <v>#N/A</v>
      </c>
      <c r="G11" s="32" t="e">
        <f t="shared" si="3"/>
        <v>#N/A</v>
      </c>
      <c r="H11" s="32" t="e">
        <f t="shared" si="4"/>
        <v>#N/A</v>
      </c>
      <c r="I11" s="32" t="e">
        <f t="shared" si="5"/>
        <v>#N/A</v>
      </c>
      <c r="J11" s="31">
        <v>0</v>
      </c>
      <c r="K11" s="32" t="e">
        <f t="shared" si="6"/>
        <v>#N/A</v>
      </c>
      <c r="L11" s="32" t="e">
        <f t="shared" si="7"/>
        <v>#N/A</v>
      </c>
      <c r="M11" s="32" t="e">
        <f t="shared" si="8"/>
        <v>#N/A</v>
      </c>
      <c r="N11" s="32" t="e">
        <f t="shared" si="9"/>
        <v>#N/A</v>
      </c>
      <c r="O11" s="32" t="e">
        <f t="shared" si="10"/>
        <v>#N/A</v>
      </c>
      <c r="P11" s="32" t="e">
        <f t="shared" si="11"/>
        <v>#N/A</v>
      </c>
      <c r="Q11" s="31">
        <v>70</v>
      </c>
      <c r="R11" s="32" t="e">
        <f t="shared" si="12"/>
        <v>#N/A</v>
      </c>
      <c r="S11" s="32" t="e">
        <f t="shared" si="13"/>
        <v>#N/A</v>
      </c>
      <c r="T11" s="32" t="e">
        <f t="shared" si="14"/>
        <v>#N/A</v>
      </c>
      <c r="U11" s="32" t="e">
        <f t="shared" si="15"/>
        <v>#N/A</v>
      </c>
      <c r="V11" s="32" t="e">
        <f t="shared" si="16"/>
        <v>#N/A</v>
      </c>
      <c r="W11" s="32" t="e">
        <f t="shared" si="17"/>
        <v>#N/A</v>
      </c>
      <c r="X11" s="31">
        <v>0</v>
      </c>
      <c r="Y11" s="32" t="e">
        <f t="shared" si="18"/>
        <v>#N/A</v>
      </c>
      <c r="Z11" s="32" t="e">
        <f t="shared" si="19"/>
        <v>#N/A</v>
      </c>
      <c r="AA11" s="32" t="e">
        <f t="shared" si="20"/>
        <v>#N/A</v>
      </c>
      <c r="AB11" s="32" t="e">
        <f t="shared" si="21"/>
        <v>#N/A</v>
      </c>
      <c r="AC11" s="32" t="e">
        <f t="shared" si="22"/>
        <v>#N/A</v>
      </c>
      <c r="AD11" s="32" t="e">
        <f t="shared" si="23"/>
        <v>#N/A</v>
      </c>
      <c r="AE11" s="32">
        <v>885360</v>
      </c>
      <c r="AF11" s="32" t="e">
        <f t="shared" si="24"/>
        <v>#N/A</v>
      </c>
      <c r="AG11" s="32" t="e">
        <f t="shared" si="25"/>
        <v>#N/A</v>
      </c>
      <c r="AH11" s="32" t="e">
        <f t="shared" si="26"/>
        <v>#N/A</v>
      </c>
      <c r="AI11" s="32" t="e">
        <f t="shared" si="27"/>
        <v>#N/A</v>
      </c>
      <c r="AJ11" s="32" t="e">
        <f t="shared" si="28"/>
        <v>#N/A</v>
      </c>
      <c r="AK11" s="32" t="e">
        <f t="shared" si="29"/>
        <v>#N/A</v>
      </c>
      <c r="AL11" s="1">
        <v>3230</v>
      </c>
      <c r="AM11" s="32" t="e">
        <f t="shared" si="30"/>
        <v>#N/A</v>
      </c>
      <c r="AN11" s="32" t="e">
        <f t="shared" si="31"/>
        <v>#N/A</v>
      </c>
      <c r="AO11" s="32" t="e">
        <f t="shared" si="32"/>
        <v>#N/A</v>
      </c>
      <c r="AP11" s="32" t="e">
        <f t="shared" si="33"/>
        <v>#N/A</v>
      </c>
      <c r="AQ11" s="32" t="e">
        <f t="shared" si="34"/>
        <v>#N/A</v>
      </c>
      <c r="AR11" s="32" t="e">
        <f t="shared" si="35"/>
        <v>#N/A</v>
      </c>
    </row>
    <row r="12" spans="1:44" ht="15" thickBot="1" x14ac:dyDescent="0.35">
      <c r="A12" s="36" t="s">
        <v>189</v>
      </c>
      <c r="B12">
        <v>9</v>
      </c>
      <c r="C12" s="32">
        <v>6500</v>
      </c>
      <c r="D12" s="32" t="e">
        <f t="shared" si="0"/>
        <v>#N/A</v>
      </c>
      <c r="E12" s="32" t="e">
        <f t="shared" si="1"/>
        <v>#N/A</v>
      </c>
      <c r="F12" s="32" t="e">
        <f t="shared" si="2"/>
        <v>#N/A</v>
      </c>
      <c r="G12" s="32" t="e">
        <f t="shared" si="3"/>
        <v>#N/A</v>
      </c>
      <c r="H12" s="32" t="e">
        <f t="shared" si="4"/>
        <v>#N/A</v>
      </c>
      <c r="I12" s="32" t="e">
        <f t="shared" si="5"/>
        <v>#N/A</v>
      </c>
      <c r="J12" s="31">
        <v>65</v>
      </c>
      <c r="K12" s="32" t="e">
        <f t="shared" si="6"/>
        <v>#N/A</v>
      </c>
      <c r="L12" s="32" t="e">
        <f t="shared" si="7"/>
        <v>#N/A</v>
      </c>
      <c r="M12" s="32" t="e">
        <f t="shared" si="8"/>
        <v>#N/A</v>
      </c>
      <c r="N12" s="32" t="e">
        <f t="shared" si="9"/>
        <v>#N/A</v>
      </c>
      <c r="O12" s="32" t="e">
        <f t="shared" si="10"/>
        <v>#N/A</v>
      </c>
      <c r="P12" s="32" t="e">
        <f t="shared" si="11"/>
        <v>#N/A</v>
      </c>
      <c r="Q12" s="31">
        <v>40</v>
      </c>
      <c r="R12" s="32" t="e">
        <f t="shared" si="12"/>
        <v>#N/A</v>
      </c>
      <c r="S12" s="32" t="e">
        <f t="shared" si="13"/>
        <v>#N/A</v>
      </c>
      <c r="T12" s="32" t="e">
        <f t="shared" si="14"/>
        <v>#N/A</v>
      </c>
      <c r="U12" s="32" t="e">
        <f t="shared" si="15"/>
        <v>#N/A</v>
      </c>
      <c r="V12" s="32" t="e">
        <f t="shared" si="16"/>
        <v>#N/A</v>
      </c>
      <c r="W12" s="32" t="e">
        <f t="shared" si="17"/>
        <v>#N/A</v>
      </c>
      <c r="X12" s="31">
        <v>0</v>
      </c>
      <c r="Y12" s="32" t="e">
        <f t="shared" si="18"/>
        <v>#N/A</v>
      </c>
      <c r="Z12" s="32" t="e">
        <f t="shared" si="19"/>
        <v>#N/A</v>
      </c>
      <c r="AA12" s="32" t="e">
        <f t="shared" si="20"/>
        <v>#N/A</v>
      </c>
      <c r="AB12" s="32" t="e">
        <f t="shared" si="21"/>
        <v>#N/A</v>
      </c>
      <c r="AC12" s="32" t="e">
        <f t="shared" si="22"/>
        <v>#N/A</v>
      </c>
      <c r="AD12" s="32" t="e">
        <f t="shared" si="23"/>
        <v>#N/A</v>
      </c>
      <c r="AE12" s="32">
        <v>954720</v>
      </c>
      <c r="AF12" s="32" t="e">
        <f t="shared" si="24"/>
        <v>#N/A</v>
      </c>
      <c r="AG12" s="32" t="e">
        <f t="shared" si="25"/>
        <v>#N/A</v>
      </c>
      <c r="AH12" s="32" t="e">
        <f t="shared" si="26"/>
        <v>#N/A</v>
      </c>
      <c r="AI12" s="32" t="e">
        <f t="shared" si="27"/>
        <v>#N/A</v>
      </c>
      <c r="AJ12" s="32" t="e">
        <f t="shared" si="28"/>
        <v>#N/A</v>
      </c>
      <c r="AK12" s="32" t="e">
        <f t="shared" si="29"/>
        <v>#N/A</v>
      </c>
      <c r="AL12" s="1">
        <v>3225</v>
      </c>
      <c r="AM12" s="32" t="e">
        <f t="shared" si="30"/>
        <v>#N/A</v>
      </c>
      <c r="AN12" s="32" t="e">
        <f t="shared" si="31"/>
        <v>#N/A</v>
      </c>
      <c r="AO12" s="32" t="e">
        <f t="shared" si="32"/>
        <v>#N/A</v>
      </c>
      <c r="AP12" s="32" t="e">
        <f t="shared" si="33"/>
        <v>#N/A</v>
      </c>
      <c r="AQ12" s="32" t="e">
        <f t="shared" si="34"/>
        <v>#N/A</v>
      </c>
      <c r="AR12" s="32" t="e">
        <f t="shared" si="35"/>
        <v>#N/A</v>
      </c>
    </row>
    <row r="13" spans="1:44" ht="15" thickBot="1" x14ac:dyDescent="0.35">
      <c r="A13" s="36" t="s">
        <v>190</v>
      </c>
      <c r="B13">
        <v>10</v>
      </c>
      <c r="C13" s="32">
        <v>8000</v>
      </c>
      <c r="D13" s="32" t="e">
        <f t="shared" si="0"/>
        <v>#N/A</v>
      </c>
      <c r="E13" s="32" t="e">
        <f t="shared" si="1"/>
        <v>#N/A</v>
      </c>
      <c r="F13" s="32" t="e">
        <f t="shared" si="2"/>
        <v>#N/A</v>
      </c>
      <c r="G13" s="32" t="e">
        <f t="shared" si="3"/>
        <v>#N/A</v>
      </c>
      <c r="H13" s="32" t="e">
        <f t="shared" si="4"/>
        <v>#N/A</v>
      </c>
      <c r="I13" s="32" t="e">
        <f t="shared" si="5"/>
        <v>#N/A</v>
      </c>
      <c r="J13" s="31">
        <v>80</v>
      </c>
      <c r="K13" s="32" t="e">
        <f t="shared" si="6"/>
        <v>#N/A</v>
      </c>
      <c r="L13" s="32" t="e">
        <f t="shared" si="7"/>
        <v>#N/A</v>
      </c>
      <c r="M13" s="32" t="e">
        <f t="shared" si="8"/>
        <v>#N/A</v>
      </c>
      <c r="N13" s="32" t="e">
        <f t="shared" si="9"/>
        <v>#N/A</v>
      </c>
      <c r="O13" s="32" t="e">
        <f t="shared" si="10"/>
        <v>#N/A</v>
      </c>
      <c r="P13" s="32" t="e">
        <f t="shared" si="11"/>
        <v>#N/A</v>
      </c>
      <c r="Q13" s="31">
        <v>50</v>
      </c>
      <c r="R13" s="32" t="e">
        <f t="shared" si="12"/>
        <v>#N/A</v>
      </c>
      <c r="S13" s="32" t="e">
        <f t="shared" si="13"/>
        <v>#N/A</v>
      </c>
      <c r="T13" s="32" t="e">
        <f t="shared" si="14"/>
        <v>#N/A</v>
      </c>
      <c r="U13" s="32" t="e">
        <f t="shared" si="15"/>
        <v>#N/A</v>
      </c>
      <c r="V13" s="32" t="e">
        <f t="shared" si="16"/>
        <v>#N/A</v>
      </c>
      <c r="W13" s="32" t="e">
        <f t="shared" si="17"/>
        <v>#N/A</v>
      </c>
      <c r="X13" s="31">
        <v>0</v>
      </c>
      <c r="Y13" s="32" t="e">
        <f t="shared" si="18"/>
        <v>#N/A</v>
      </c>
      <c r="Z13" s="32" t="e">
        <f t="shared" si="19"/>
        <v>#N/A</v>
      </c>
      <c r="AA13" s="32" t="e">
        <f t="shared" si="20"/>
        <v>#N/A</v>
      </c>
      <c r="AB13" s="32" t="e">
        <f t="shared" si="21"/>
        <v>#N/A</v>
      </c>
      <c r="AC13" s="32" t="e">
        <f t="shared" si="22"/>
        <v>#N/A</v>
      </c>
      <c r="AD13" s="32" t="e">
        <f t="shared" si="23"/>
        <v>#N/A</v>
      </c>
      <c r="AE13" s="32">
        <v>1024080</v>
      </c>
      <c r="AF13" s="32" t="e">
        <f t="shared" si="24"/>
        <v>#N/A</v>
      </c>
      <c r="AG13" s="32" t="e">
        <f t="shared" si="25"/>
        <v>#N/A</v>
      </c>
      <c r="AH13" s="32" t="e">
        <f t="shared" si="26"/>
        <v>#N/A</v>
      </c>
      <c r="AI13" s="32" t="e">
        <f t="shared" si="27"/>
        <v>#N/A</v>
      </c>
      <c r="AJ13" s="32" t="e">
        <f t="shared" si="28"/>
        <v>#N/A</v>
      </c>
      <c r="AK13" s="32" t="e">
        <f t="shared" si="29"/>
        <v>#N/A</v>
      </c>
      <c r="AL13" s="1">
        <v>3225</v>
      </c>
      <c r="AM13" s="32" t="e">
        <f t="shared" si="30"/>
        <v>#N/A</v>
      </c>
      <c r="AN13" s="32" t="e">
        <f t="shared" si="31"/>
        <v>#N/A</v>
      </c>
      <c r="AO13" s="32" t="e">
        <f t="shared" si="32"/>
        <v>#N/A</v>
      </c>
      <c r="AP13" s="32" t="e">
        <f t="shared" si="33"/>
        <v>#N/A</v>
      </c>
      <c r="AQ13" s="32" t="e">
        <f t="shared" si="34"/>
        <v>#N/A</v>
      </c>
      <c r="AR13" s="32" t="e">
        <f t="shared" si="35"/>
        <v>#N/A</v>
      </c>
    </row>
    <row r="14" spans="1:44" ht="15" thickBot="1" x14ac:dyDescent="0.35">
      <c r="A14" s="36" t="s">
        <v>85</v>
      </c>
      <c r="B14">
        <v>11</v>
      </c>
      <c r="C14" s="32">
        <v>10000</v>
      </c>
      <c r="D14" s="32" t="e">
        <f t="shared" si="0"/>
        <v>#N/A</v>
      </c>
      <c r="E14" s="32" t="e">
        <f t="shared" si="1"/>
        <v>#N/A</v>
      </c>
      <c r="F14" s="32" t="e">
        <f t="shared" si="2"/>
        <v>#N/A</v>
      </c>
      <c r="G14" s="32" t="e">
        <f t="shared" si="3"/>
        <v>#N/A</v>
      </c>
      <c r="H14" s="32" t="e">
        <f t="shared" si="4"/>
        <v>#N/A</v>
      </c>
      <c r="I14" s="32" t="e">
        <f t="shared" si="5"/>
        <v>#N/A</v>
      </c>
      <c r="J14" s="31">
        <v>95</v>
      </c>
      <c r="K14" s="32" t="e">
        <f t="shared" si="6"/>
        <v>#N/A</v>
      </c>
      <c r="L14" s="32" t="e">
        <f t="shared" si="7"/>
        <v>#N/A</v>
      </c>
      <c r="M14" s="32" t="e">
        <f t="shared" si="8"/>
        <v>#N/A</v>
      </c>
      <c r="N14" s="32" t="e">
        <f t="shared" si="9"/>
        <v>#N/A</v>
      </c>
      <c r="O14" s="32" t="e">
        <f t="shared" si="10"/>
        <v>#N/A</v>
      </c>
      <c r="P14" s="32" t="e">
        <f t="shared" si="11"/>
        <v>#N/A</v>
      </c>
      <c r="Q14" s="31">
        <v>60</v>
      </c>
      <c r="R14" s="32" t="e">
        <f t="shared" si="12"/>
        <v>#N/A</v>
      </c>
      <c r="S14" s="32" t="e">
        <f t="shared" si="13"/>
        <v>#N/A</v>
      </c>
      <c r="T14" s="32" t="e">
        <f t="shared" si="14"/>
        <v>#N/A</v>
      </c>
      <c r="U14" s="32" t="e">
        <f t="shared" si="15"/>
        <v>#N/A</v>
      </c>
      <c r="V14" s="32" t="e">
        <f t="shared" si="16"/>
        <v>#N/A</v>
      </c>
      <c r="W14" s="32" t="e">
        <f t="shared" si="17"/>
        <v>#N/A</v>
      </c>
      <c r="X14" s="31">
        <v>0</v>
      </c>
      <c r="Y14" s="32" t="e">
        <f t="shared" si="18"/>
        <v>#N/A</v>
      </c>
      <c r="Z14" s="32" t="e">
        <f t="shared" si="19"/>
        <v>#N/A</v>
      </c>
      <c r="AA14" s="32" t="e">
        <f t="shared" si="20"/>
        <v>#N/A</v>
      </c>
      <c r="AB14" s="32" t="e">
        <f t="shared" si="21"/>
        <v>#N/A</v>
      </c>
      <c r="AC14" s="32" t="e">
        <f t="shared" si="22"/>
        <v>#N/A</v>
      </c>
      <c r="AD14" s="32" t="e">
        <f t="shared" si="23"/>
        <v>#N/A</v>
      </c>
      <c r="AE14" s="32">
        <v>1093440</v>
      </c>
      <c r="AF14" s="32" t="e">
        <f t="shared" si="24"/>
        <v>#N/A</v>
      </c>
      <c r="AG14" s="32" t="e">
        <f t="shared" si="25"/>
        <v>#N/A</v>
      </c>
      <c r="AH14" s="32" t="e">
        <f t="shared" si="26"/>
        <v>#N/A</v>
      </c>
      <c r="AI14" s="32" t="e">
        <f t="shared" si="27"/>
        <v>#N/A</v>
      </c>
      <c r="AJ14" s="32" t="e">
        <f t="shared" si="28"/>
        <v>#N/A</v>
      </c>
      <c r="AK14" s="32" t="e">
        <f t="shared" si="29"/>
        <v>#N/A</v>
      </c>
      <c r="AL14" s="1">
        <v>3440</v>
      </c>
      <c r="AM14" s="32" t="e">
        <f t="shared" si="30"/>
        <v>#N/A</v>
      </c>
      <c r="AN14" s="32" t="e">
        <f t="shared" si="31"/>
        <v>#N/A</v>
      </c>
      <c r="AO14" s="32" t="e">
        <f t="shared" si="32"/>
        <v>#N/A</v>
      </c>
      <c r="AP14" s="32" t="e">
        <f t="shared" si="33"/>
        <v>#N/A</v>
      </c>
      <c r="AQ14" s="32" t="e">
        <f t="shared" si="34"/>
        <v>#N/A</v>
      </c>
      <c r="AR14" s="32" t="e">
        <f t="shared" si="35"/>
        <v>#N/A</v>
      </c>
    </row>
    <row r="15" spans="1:44" ht="15" thickBot="1" x14ac:dyDescent="0.35">
      <c r="A15" s="36" t="s">
        <v>191</v>
      </c>
      <c r="B15">
        <v>12</v>
      </c>
      <c r="C15" s="32">
        <v>11000</v>
      </c>
      <c r="D15" s="32" t="e">
        <f t="shared" si="0"/>
        <v>#N/A</v>
      </c>
      <c r="E15" s="32" t="e">
        <f t="shared" si="1"/>
        <v>#N/A</v>
      </c>
      <c r="F15" s="32" t="e">
        <f t="shared" si="2"/>
        <v>#N/A</v>
      </c>
      <c r="G15" s="32" t="e">
        <f t="shared" si="3"/>
        <v>#N/A</v>
      </c>
      <c r="H15" s="32" t="e">
        <f t="shared" si="4"/>
        <v>#N/A</v>
      </c>
      <c r="I15" s="32" t="e">
        <f t="shared" si="5"/>
        <v>#N/A</v>
      </c>
      <c r="J15" s="31">
        <v>110</v>
      </c>
      <c r="K15" s="32" t="e">
        <f t="shared" si="6"/>
        <v>#N/A</v>
      </c>
      <c r="L15" s="32" t="e">
        <f t="shared" si="7"/>
        <v>#N/A</v>
      </c>
      <c r="M15" s="32" t="e">
        <f t="shared" si="8"/>
        <v>#N/A</v>
      </c>
      <c r="N15" s="32" t="e">
        <f t="shared" si="9"/>
        <v>#N/A</v>
      </c>
      <c r="O15" s="32" t="e">
        <f t="shared" si="10"/>
        <v>#N/A</v>
      </c>
      <c r="P15" s="32" t="e">
        <f t="shared" si="11"/>
        <v>#N/A</v>
      </c>
      <c r="Q15" s="31">
        <v>70</v>
      </c>
      <c r="R15" s="32" t="e">
        <f t="shared" si="12"/>
        <v>#N/A</v>
      </c>
      <c r="S15" s="32" t="e">
        <f t="shared" si="13"/>
        <v>#N/A</v>
      </c>
      <c r="T15" s="32" t="e">
        <f t="shared" si="14"/>
        <v>#N/A</v>
      </c>
      <c r="U15" s="32" t="e">
        <f t="shared" si="15"/>
        <v>#N/A</v>
      </c>
      <c r="V15" s="32" t="e">
        <f t="shared" si="16"/>
        <v>#N/A</v>
      </c>
      <c r="W15" s="32" t="e">
        <f t="shared" si="17"/>
        <v>#N/A</v>
      </c>
      <c r="X15" s="31">
        <v>0</v>
      </c>
      <c r="Y15" s="32" t="e">
        <f t="shared" si="18"/>
        <v>#N/A</v>
      </c>
      <c r="Z15" s="32" t="e">
        <f t="shared" si="19"/>
        <v>#N/A</v>
      </c>
      <c r="AA15" s="32" t="e">
        <f t="shared" si="20"/>
        <v>#N/A</v>
      </c>
      <c r="AB15" s="32" t="e">
        <f t="shared" si="21"/>
        <v>#N/A</v>
      </c>
      <c r="AC15" s="32" t="e">
        <f t="shared" si="22"/>
        <v>#N/A</v>
      </c>
      <c r="AD15" s="32" t="e">
        <f t="shared" si="23"/>
        <v>#N/A</v>
      </c>
      <c r="AE15" s="32">
        <v>1162800</v>
      </c>
      <c r="AF15" s="32" t="e">
        <f t="shared" si="24"/>
        <v>#N/A</v>
      </c>
      <c r="AG15" s="32" t="e">
        <f t="shared" si="25"/>
        <v>#N/A</v>
      </c>
      <c r="AH15" s="32" t="e">
        <f t="shared" si="26"/>
        <v>#N/A</v>
      </c>
      <c r="AI15" s="32" t="e">
        <f t="shared" si="27"/>
        <v>#N/A</v>
      </c>
      <c r="AJ15" s="32" t="e">
        <f t="shared" si="28"/>
        <v>#N/A</v>
      </c>
      <c r="AK15" s="32" t="e">
        <f t="shared" si="29"/>
        <v>#N/A</v>
      </c>
      <c r="AL15" s="1">
        <v>3440</v>
      </c>
      <c r="AM15" s="32" t="e">
        <f t="shared" si="30"/>
        <v>#N/A</v>
      </c>
      <c r="AN15" s="32" t="e">
        <f t="shared" si="31"/>
        <v>#N/A</v>
      </c>
      <c r="AO15" s="32" t="e">
        <f t="shared" si="32"/>
        <v>#N/A</v>
      </c>
      <c r="AP15" s="32" t="e">
        <f t="shared" si="33"/>
        <v>#N/A</v>
      </c>
      <c r="AQ15" s="32" t="e">
        <f t="shared" si="34"/>
        <v>#N/A</v>
      </c>
      <c r="AR15" s="32" t="e">
        <f t="shared" si="35"/>
        <v>#N/A</v>
      </c>
    </row>
    <row r="16" spans="1:44" ht="15" thickBot="1" x14ac:dyDescent="0.35">
      <c r="A16" s="36" t="s">
        <v>192</v>
      </c>
      <c r="B16">
        <v>13</v>
      </c>
      <c r="C16" s="32">
        <v>13000</v>
      </c>
      <c r="D16" s="32" t="e">
        <f t="shared" si="0"/>
        <v>#N/A</v>
      </c>
      <c r="E16" s="32" t="e">
        <f t="shared" si="1"/>
        <v>#N/A</v>
      </c>
      <c r="F16" s="32" t="e">
        <f t="shared" si="2"/>
        <v>#N/A</v>
      </c>
      <c r="G16" s="32" t="e">
        <f t="shared" si="3"/>
        <v>#N/A</v>
      </c>
      <c r="H16" s="32" t="e">
        <f t="shared" si="4"/>
        <v>#N/A</v>
      </c>
      <c r="I16" s="32" t="e">
        <f t="shared" si="5"/>
        <v>#N/A</v>
      </c>
      <c r="J16" s="31">
        <v>130</v>
      </c>
      <c r="K16" s="32" t="e">
        <f t="shared" si="6"/>
        <v>#N/A</v>
      </c>
      <c r="L16" s="32" t="e">
        <f t="shared" si="7"/>
        <v>#N/A</v>
      </c>
      <c r="M16" s="32" t="e">
        <f t="shared" si="8"/>
        <v>#N/A</v>
      </c>
      <c r="N16" s="32" t="e">
        <f t="shared" si="9"/>
        <v>#N/A</v>
      </c>
      <c r="O16" s="32" t="e">
        <f t="shared" si="10"/>
        <v>#N/A</v>
      </c>
      <c r="P16" s="32" t="e">
        <f t="shared" si="11"/>
        <v>#N/A</v>
      </c>
      <c r="Q16" s="31">
        <v>85</v>
      </c>
      <c r="R16" s="32" t="e">
        <f t="shared" si="12"/>
        <v>#N/A</v>
      </c>
      <c r="S16" s="32" t="e">
        <f t="shared" si="13"/>
        <v>#N/A</v>
      </c>
      <c r="T16" s="32" t="e">
        <f t="shared" si="14"/>
        <v>#N/A</v>
      </c>
      <c r="U16" s="32" t="e">
        <f t="shared" si="15"/>
        <v>#N/A</v>
      </c>
      <c r="V16" s="32" t="e">
        <f t="shared" si="16"/>
        <v>#N/A</v>
      </c>
      <c r="W16" s="32" t="e">
        <f t="shared" si="17"/>
        <v>#N/A</v>
      </c>
      <c r="X16" s="31">
        <v>0</v>
      </c>
      <c r="Y16" s="32" t="e">
        <f t="shared" si="18"/>
        <v>#N/A</v>
      </c>
      <c r="Z16" s="32" t="e">
        <f t="shared" si="19"/>
        <v>#N/A</v>
      </c>
      <c r="AA16" s="32" t="e">
        <f t="shared" si="20"/>
        <v>#N/A</v>
      </c>
      <c r="AB16" s="32" t="e">
        <f t="shared" si="21"/>
        <v>#N/A</v>
      </c>
      <c r="AC16" s="32" t="e">
        <f t="shared" si="22"/>
        <v>#N/A</v>
      </c>
      <c r="AD16" s="32" t="e">
        <f t="shared" si="23"/>
        <v>#N/A</v>
      </c>
      <c r="AE16" s="32">
        <v>1232160</v>
      </c>
      <c r="AF16" s="32" t="e">
        <f t="shared" si="24"/>
        <v>#N/A</v>
      </c>
      <c r="AG16" s="32" t="e">
        <f t="shared" si="25"/>
        <v>#N/A</v>
      </c>
      <c r="AH16" s="32" t="e">
        <f t="shared" si="26"/>
        <v>#N/A</v>
      </c>
      <c r="AI16" s="32" t="e">
        <f t="shared" si="27"/>
        <v>#N/A</v>
      </c>
      <c r="AJ16" s="32" t="e">
        <f t="shared" si="28"/>
        <v>#N/A</v>
      </c>
      <c r="AK16" s="32" t="e">
        <f t="shared" si="29"/>
        <v>#N/A</v>
      </c>
      <c r="AL16" s="1">
        <v>4085</v>
      </c>
      <c r="AM16" s="32" t="e">
        <f t="shared" si="30"/>
        <v>#N/A</v>
      </c>
      <c r="AN16" s="32" t="e">
        <f t="shared" si="31"/>
        <v>#N/A</v>
      </c>
      <c r="AO16" s="32" t="e">
        <f t="shared" si="32"/>
        <v>#N/A</v>
      </c>
      <c r="AP16" s="32" t="e">
        <f t="shared" si="33"/>
        <v>#N/A</v>
      </c>
      <c r="AQ16" s="32" t="e">
        <f t="shared" si="34"/>
        <v>#N/A</v>
      </c>
      <c r="AR16" s="32" t="e">
        <f t="shared" si="35"/>
        <v>#N/A</v>
      </c>
    </row>
    <row r="17" spans="1:44" ht="15" thickBot="1" x14ac:dyDescent="0.35">
      <c r="A17" s="36" t="s">
        <v>193</v>
      </c>
      <c r="B17">
        <v>14</v>
      </c>
      <c r="C17" s="32">
        <v>15000</v>
      </c>
      <c r="D17" s="32" t="e">
        <f t="shared" si="0"/>
        <v>#N/A</v>
      </c>
      <c r="E17" s="32" t="e">
        <f t="shared" si="1"/>
        <v>#N/A</v>
      </c>
      <c r="F17" s="32" t="e">
        <f t="shared" si="2"/>
        <v>#N/A</v>
      </c>
      <c r="G17" s="32" t="e">
        <f t="shared" si="3"/>
        <v>#N/A</v>
      </c>
      <c r="H17" s="32" t="e">
        <f t="shared" si="4"/>
        <v>#N/A</v>
      </c>
      <c r="I17" s="32" t="e">
        <f t="shared" si="5"/>
        <v>#N/A</v>
      </c>
      <c r="J17" s="31">
        <v>160</v>
      </c>
      <c r="K17" s="32" t="e">
        <f t="shared" si="6"/>
        <v>#N/A</v>
      </c>
      <c r="L17" s="32" t="e">
        <f t="shared" si="7"/>
        <v>#N/A</v>
      </c>
      <c r="M17" s="32" t="e">
        <f t="shared" si="8"/>
        <v>#N/A</v>
      </c>
      <c r="N17" s="32" t="e">
        <f t="shared" si="9"/>
        <v>#N/A</v>
      </c>
      <c r="O17" s="32" t="e">
        <f t="shared" si="10"/>
        <v>#N/A</v>
      </c>
      <c r="P17" s="32" t="e">
        <f t="shared" si="11"/>
        <v>#N/A</v>
      </c>
      <c r="Q17" s="31">
        <v>100</v>
      </c>
      <c r="R17" s="32" t="e">
        <f t="shared" si="12"/>
        <v>#N/A</v>
      </c>
      <c r="S17" s="32" t="e">
        <f t="shared" si="13"/>
        <v>#N/A</v>
      </c>
      <c r="T17" s="32" t="e">
        <f t="shared" si="14"/>
        <v>#N/A</v>
      </c>
      <c r="U17" s="32" t="e">
        <f t="shared" si="15"/>
        <v>#N/A</v>
      </c>
      <c r="V17" s="32" t="e">
        <f t="shared" si="16"/>
        <v>#N/A</v>
      </c>
      <c r="W17" s="32" t="e">
        <f t="shared" si="17"/>
        <v>#N/A</v>
      </c>
      <c r="X17" s="31">
        <v>0</v>
      </c>
      <c r="Y17" s="32" t="e">
        <f t="shared" si="18"/>
        <v>#N/A</v>
      </c>
      <c r="Z17" s="32" t="e">
        <f t="shared" si="19"/>
        <v>#N/A</v>
      </c>
      <c r="AA17" s="32" t="e">
        <f t="shared" si="20"/>
        <v>#N/A</v>
      </c>
      <c r="AB17" s="32" t="e">
        <f t="shared" si="21"/>
        <v>#N/A</v>
      </c>
      <c r="AC17" s="32" t="e">
        <f t="shared" si="22"/>
        <v>#N/A</v>
      </c>
      <c r="AD17" s="32" t="e">
        <f t="shared" si="23"/>
        <v>#N/A</v>
      </c>
      <c r="AE17" s="32">
        <v>1301520</v>
      </c>
      <c r="AF17" s="32" t="e">
        <f t="shared" si="24"/>
        <v>#N/A</v>
      </c>
      <c r="AG17" s="32" t="e">
        <f t="shared" si="25"/>
        <v>#N/A</v>
      </c>
      <c r="AH17" s="32" t="e">
        <f t="shared" si="26"/>
        <v>#N/A</v>
      </c>
      <c r="AI17" s="32" t="e">
        <f t="shared" si="27"/>
        <v>#N/A</v>
      </c>
      <c r="AJ17" s="32" t="e">
        <f t="shared" si="28"/>
        <v>#N/A</v>
      </c>
      <c r="AK17" s="32" t="e">
        <f t="shared" si="29"/>
        <v>#N/A</v>
      </c>
      <c r="AL17" s="1">
        <v>4085</v>
      </c>
      <c r="AM17" s="32" t="e">
        <f t="shared" si="30"/>
        <v>#N/A</v>
      </c>
      <c r="AN17" s="32" t="e">
        <f t="shared" si="31"/>
        <v>#N/A</v>
      </c>
      <c r="AO17" s="32" t="e">
        <f t="shared" si="32"/>
        <v>#N/A</v>
      </c>
      <c r="AP17" s="32" t="e">
        <f t="shared" si="33"/>
        <v>#N/A</v>
      </c>
      <c r="AQ17" s="32" t="e">
        <f t="shared" si="34"/>
        <v>#N/A</v>
      </c>
      <c r="AR17" s="32" t="e">
        <f t="shared" si="35"/>
        <v>#N/A</v>
      </c>
    </row>
    <row r="18" spans="1:44" ht="15" thickBot="1" x14ac:dyDescent="0.35">
      <c r="A18" s="36" t="s">
        <v>86</v>
      </c>
      <c r="B18">
        <v>15</v>
      </c>
      <c r="C18" s="32">
        <v>22000</v>
      </c>
      <c r="D18" s="32" t="e">
        <f t="shared" si="0"/>
        <v>#N/A</v>
      </c>
      <c r="E18" s="32" t="e">
        <f t="shared" si="1"/>
        <v>#N/A</v>
      </c>
      <c r="F18" s="32" t="e">
        <f t="shared" si="2"/>
        <v>#N/A</v>
      </c>
      <c r="G18" s="32" t="e">
        <f t="shared" si="3"/>
        <v>#N/A</v>
      </c>
      <c r="H18" s="32" t="e">
        <f t="shared" si="4"/>
        <v>#N/A</v>
      </c>
      <c r="I18" s="32" t="e">
        <f t="shared" si="5"/>
        <v>#N/A</v>
      </c>
      <c r="J18" s="31">
        <v>220</v>
      </c>
      <c r="K18" s="32" t="e">
        <f t="shared" si="6"/>
        <v>#N/A</v>
      </c>
      <c r="L18" s="32" t="e">
        <f t="shared" si="7"/>
        <v>#N/A</v>
      </c>
      <c r="M18" s="32" t="e">
        <f t="shared" si="8"/>
        <v>#N/A</v>
      </c>
      <c r="N18" s="32" t="e">
        <f t="shared" si="9"/>
        <v>#N/A</v>
      </c>
      <c r="O18" s="32" t="e">
        <f t="shared" si="10"/>
        <v>#N/A</v>
      </c>
      <c r="P18" s="32" t="e">
        <f t="shared" si="11"/>
        <v>#N/A</v>
      </c>
      <c r="Q18" s="31">
        <v>40</v>
      </c>
      <c r="R18" s="32" t="e">
        <f t="shared" si="12"/>
        <v>#N/A</v>
      </c>
      <c r="S18" s="32" t="e">
        <f t="shared" si="13"/>
        <v>#N/A</v>
      </c>
      <c r="T18" s="32" t="e">
        <f t="shared" si="14"/>
        <v>#N/A</v>
      </c>
      <c r="U18" s="32" t="e">
        <f t="shared" si="15"/>
        <v>#N/A</v>
      </c>
      <c r="V18" s="32" t="e">
        <f t="shared" si="16"/>
        <v>#N/A</v>
      </c>
      <c r="W18" s="32" t="e">
        <f t="shared" si="17"/>
        <v>#N/A</v>
      </c>
      <c r="X18" s="31">
        <v>0</v>
      </c>
      <c r="Y18" s="32" t="e">
        <f t="shared" si="18"/>
        <v>#N/A</v>
      </c>
      <c r="Z18" s="32" t="e">
        <f t="shared" si="19"/>
        <v>#N/A</v>
      </c>
      <c r="AA18" s="32" t="e">
        <f t="shared" si="20"/>
        <v>#N/A</v>
      </c>
      <c r="AB18" s="32" t="e">
        <f t="shared" si="21"/>
        <v>#N/A</v>
      </c>
      <c r="AC18" s="32" t="e">
        <f t="shared" si="22"/>
        <v>#N/A</v>
      </c>
      <c r="AD18" s="32" t="e">
        <f t="shared" si="23"/>
        <v>#N/A</v>
      </c>
      <c r="AE18" s="32">
        <v>1362720</v>
      </c>
      <c r="AF18" s="32" t="e">
        <f t="shared" si="24"/>
        <v>#N/A</v>
      </c>
      <c r="AG18" s="32" t="e">
        <f t="shared" si="25"/>
        <v>#N/A</v>
      </c>
      <c r="AH18" s="32" t="e">
        <f t="shared" si="26"/>
        <v>#N/A</v>
      </c>
      <c r="AI18" s="32" t="e">
        <f t="shared" si="27"/>
        <v>#N/A</v>
      </c>
      <c r="AJ18" s="32" t="e">
        <f t="shared" si="28"/>
        <v>#N/A</v>
      </c>
      <c r="AK18" s="32" t="e">
        <f t="shared" si="29"/>
        <v>#N/A</v>
      </c>
      <c r="AL18" s="1">
        <v>6250</v>
      </c>
      <c r="AM18" s="32" t="e">
        <f t="shared" si="30"/>
        <v>#N/A</v>
      </c>
      <c r="AN18" s="32" t="e">
        <f t="shared" si="31"/>
        <v>#N/A</v>
      </c>
      <c r="AO18" s="32" t="e">
        <f t="shared" si="32"/>
        <v>#N/A</v>
      </c>
      <c r="AP18" s="32" t="e">
        <f t="shared" si="33"/>
        <v>#N/A</v>
      </c>
      <c r="AQ18" s="32" t="e">
        <f t="shared" si="34"/>
        <v>#N/A</v>
      </c>
      <c r="AR18" s="32" t="e">
        <f t="shared" si="35"/>
        <v>#N/A</v>
      </c>
    </row>
    <row r="19" spans="1:44" ht="15" thickBot="1" x14ac:dyDescent="0.35">
      <c r="A19" s="36" t="s">
        <v>194</v>
      </c>
      <c r="B19">
        <v>16</v>
      </c>
      <c r="C19" s="32">
        <v>23000</v>
      </c>
      <c r="D19" s="32" t="e">
        <f t="shared" si="0"/>
        <v>#N/A</v>
      </c>
      <c r="E19" s="32" t="e">
        <f t="shared" si="1"/>
        <v>#N/A</v>
      </c>
      <c r="F19" s="32" t="e">
        <f t="shared" si="2"/>
        <v>#N/A</v>
      </c>
      <c r="G19" s="32" t="e">
        <f t="shared" si="3"/>
        <v>#N/A</v>
      </c>
      <c r="H19" s="32" t="e">
        <f t="shared" si="4"/>
        <v>#N/A</v>
      </c>
      <c r="I19" s="32" t="e">
        <f t="shared" si="5"/>
        <v>#N/A</v>
      </c>
      <c r="J19" s="31">
        <v>230</v>
      </c>
      <c r="K19" s="32" t="e">
        <f t="shared" si="6"/>
        <v>#N/A</v>
      </c>
      <c r="L19" s="32" t="e">
        <f t="shared" si="7"/>
        <v>#N/A</v>
      </c>
      <c r="M19" s="32" t="e">
        <f t="shared" si="8"/>
        <v>#N/A</v>
      </c>
      <c r="N19" s="32" t="e">
        <f t="shared" si="9"/>
        <v>#N/A</v>
      </c>
      <c r="O19" s="32" t="e">
        <f t="shared" si="10"/>
        <v>#N/A</v>
      </c>
      <c r="P19" s="32" t="e">
        <f t="shared" si="11"/>
        <v>#N/A</v>
      </c>
      <c r="Q19" s="31">
        <v>40</v>
      </c>
      <c r="R19" s="32" t="e">
        <f t="shared" si="12"/>
        <v>#N/A</v>
      </c>
      <c r="S19" s="32" t="e">
        <f t="shared" si="13"/>
        <v>#N/A</v>
      </c>
      <c r="T19" s="32" t="e">
        <f t="shared" si="14"/>
        <v>#N/A</v>
      </c>
      <c r="U19" s="32" t="e">
        <f t="shared" si="15"/>
        <v>#N/A</v>
      </c>
      <c r="V19" s="32" t="e">
        <f t="shared" si="16"/>
        <v>#N/A</v>
      </c>
      <c r="W19" s="32" t="e">
        <f t="shared" si="17"/>
        <v>#N/A</v>
      </c>
      <c r="X19" s="31">
        <v>0</v>
      </c>
      <c r="Y19" s="32" t="e">
        <f t="shared" si="18"/>
        <v>#N/A</v>
      </c>
      <c r="Z19" s="32" t="e">
        <f t="shared" si="19"/>
        <v>#N/A</v>
      </c>
      <c r="AA19" s="32" t="e">
        <f t="shared" si="20"/>
        <v>#N/A</v>
      </c>
      <c r="AB19" s="32" t="e">
        <f t="shared" si="21"/>
        <v>#N/A</v>
      </c>
      <c r="AC19" s="32" t="e">
        <f t="shared" si="22"/>
        <v>#N/A</v>
      </c>
      <c r="AD19" s="32" t="e">
        <f t="shared" si="23"/>
        <v>#N/A</v>
      </c>
      <c r="AE19" s="32">
        <v>1423920</v>
      </c>
      <c r="AF19" s="32" t="e">
        <f t="shared" si="24"/>
        <v>#N/A</v>
      </c>
      <c r="AG19" s="32" t="e">
        <f t="shared" si="25"/>
        <v>#N/A</v>
      </c>
      <c r="AH19" s="32" t="e">
        <f t="shared" si="26"/>
        <v>#N/A</v>
      </c>
      <c r="AI19" s="32" t="e">
        <f t="shared" si="27"/>
        <v>#N/A</v>
      </c>
      <c r="AJ19" s="32" t="e">
        <f t="shared" si="28"/>
        <v>#N/A</v>
      </c>
      <c r="AK19" s="32" t="e">
        <f t="shared" si="29"/>
        <v>#N/A</v>
      </c>
      <c r="AL19" s="1">
        <v>6250</v>
      </c>
      <c r="AM19" s="32" t="e">
        <f t="shared" si="30"/>
        <v>#N/A</v>
      </c>
      <c r="AN19" s="32" t="e">
        <f t="shared" si="31"/>
        <v>#N/A</v>
      </c>
      <c r="AO19" s="32" t="e">
        <f t="shared" si="32"/>
        <v>#N/A</v>
      </c>
      <c r="AP19" s="32" t="e">
        <f t="shared" si="33"/>
        <v>#N/A</v>
      </c>
      <c r="AQ19" s="32" t="e">
        <f t="shared" si="34"/>
        <v>#N/A</v>
      </c>
      <c r="AR19" s="32" t="e">
        <f t="shared" si="35"/>
        <v>#N/A</v>
      </c>
    </row>
    <row r="20" spans="1:44" ht="15" thickBot="1" x14ac:dyDescent="0.35">
      <c r="A20" s="36" t="s">
        <v>195</v>
      </c>
      <c r="B20">
        <v>17</v>
      </c>
      <c r="C20" s="32">
        <v>25000</v>
      </c>
      <c r="D20" s="32" t="e">
        <f t="shared" si="0"/>
        <v>#N/A</v>
      </c>
      <c r="E20" s="32" t="e">
        <f t="shared" si="1"/>
        <v>#N/A</v>
      </c>
      <c r="F20" s="32" t="e">
        <f t="shared" si="2"/>
        <v>#N/A</v>
      </c>
      <c r="G20" s="32" t="e">
        <f t="shared" si="3"/>
        <v>#N/A</v>
      </c>
      <c r="H20" s="32" t="e">
        <f t="shared" si="4"/>
        <v>#N/A</v>
      </c>
      <c r="I20" s="32" t="e">
        <f t="shared" si="5"/>
        <v>#N/A</v>
      </c>
      <c r="J20" s="31">
        <v>250</v>
      </c>
      <c r="K20" s="32" t="e">
        <f t="shared" si="6"/>
        <v>#N/A</v>
      </c>
      <c r="L20" s="32" t="e">
        <f t="shared" si="7"/>
        <v>#N/A</v>
      </c>
      <c r="M20" s="32" t="e">
        <f t="shared" si="8"/>
        <v>#N/A</v>
      </c>
      <c r="N20" s="32" t="e">
        <f t="shared" si="9"/>
        <v>#N/A</v>
      </c>
      <c r="O20" s="32" t="e">
        <f t="shared" si="10"/>
        <v>#N/A</v>
      </c>
      <c r="P20" s="32" t="e">
        <f t="shared" si="11"/>
        <v>#N/A</v>
      </c>
      <c r="Q20" s="31">
        <v>45</v>
      </c>
      <c r="R20" s="32" t="e">
        <f t="shared" si="12"/>
        <v>#N/A</v>
      </c>
      <c r="S20" s="32" t="e">
        <f t="shared" si="13"/>
        <v>#N/A</v>
      </c>
      <c r="T20" s="32" t="e">
        <f t="shared" si="14"/>
        <v>#N/A</v>
      </c>
      <c r="U20" s="32" t="e">
        <f t="shared" si="15"/>
        <v>#N/A</v>
      </c>
      <c r="V20" s="32" t="e">
        <f t="shared" si="16"/>
        <v>#N/A</v>
      </c>
      <c r="W20" s="32" t="e">
        <f t="shared" si="17"/>
        <v>#N/A</v>
      </c>
      <c r="X20" s="31">
        <v>0</v>
      </c>
      <c r="Y20" s="32" t="e">
        <f t="shared" si="18"/>
        <v>#N/A</v>
      </c>
      <c r="Z20" s="32" t="e">
        <f t="shared" si="19"/>
        <v>#N/A</v>
      </c>
      <c r="AA20" s="32" t="e">
        <f t="shared" si="20"/>
        <v>#N/A</v>
      </c>
      <c r="AB20" s="32" t="e">
        <f t="shared" si="21"/>
        <v>#N/A</v>
      </c>
      <c r="AC20" s="32" t="e">
        <f t="shared" si="22"/>
        <v>#N/A</v>
      </c>
      <c r="AD20" s="32" t="e">
        <f t="shared" si="23"/>
        <v>#N/A</v>
      </c>
      <c r="AE20" s="32">
        <v>1485120</v>
      </c>
      <c r="AF20" s="32" t="e">
        <f t="shared" si="24"/>
        <v>#N/A</v>
      </c>
      <c r="AG20" s="32" t="e">
        <f t="shared" si="25"/>
        <v>#N/A</v>
      </c>
      <c r="AH20" s="32" t="e">
        <f t="shared" si="26"/>
        <v>#N/A</v>
      </c>
      <c r="AI20" s="32" t="e">
        <f t="shared" si="27"/>
        <v>#N/A</v>
      </c>
      <c r="AJ20" s="32" t="e">
        <f t="shared" si="28"/>
        <v>#N/A</v>
      </c>
      <c r="AK20" s="32" t="e">
        <f t="shared" si="29"/>
        <v>#N/A</v>
      </c>
      <c r="AL20" s="1">
        <v>6250</v>
      </c>
      <c r="AM20" s="32" t="e">
        <f t="shared" si="30"/>
        <v>#N/A</v>
      </c>
      <c r="AN20" s="32" t="e">
        <f t="shared" si="31"/>
        <v>#N/A</v>
      </c>
      <c r="AO20" s="32" t="e">
        <f t="shared" si="32"/>
        <v>#N/A</v>
      </c>
      <c r="AP20" s="32" t="e">
        <f t="shared" si="33"/>
        <v>#N/A</v>
      </c>
      <c r="AQ20" s="32" t="e">
        <f t="shared" si="34"/>
        <v>#N/A</v>
      </c>
      <c r="AR20" s="32" t="e">
        <f t="shared" si="35"/>
        <v>#N/A</v>
      </c>
    </row>
    <row r="21" spans="1:44" ht="15" thickBot="1" x14ac:dyDescent="0.35">
      <c r="A21" s="36" t="s">
        <v>196</v>
      </c>
      <c r="B21">
        <v>18</v>
      </c>
      <c r="C21" s="32">
        <v>26000</v>
      </c>
      <c r="D21" s="32" t="e">
        <f t="shared" si="0"/>
        <v>#N/A</v>
      </c>
      <c r="E21" s="32" t="e">
        <f t="shared" si="1"/>
        <v>#N/A</v>
      </c>
      <c r="F21" s="32" t="e">
        <f t="shared" si="2"/>
        <v>#N/A</v>
      </c>
      <c r="G21" s="32" t="e">
        <f t="shared" si="3"/>
        <v>#N/A</v>
      </c>
      <c r="H21" s="32" t="e">
        <f t="shared" si="4"/>
        <v>#N/A</v>
      </c>
      <c r="I21" s="32" t="e">
        <f t="shared" si="5"/>
        <v>#N/A</v>
      </c>
      <c r="J21" s="31">
        <v>260</v>
      </c>
      <c r="K21" s="32" t="e">
        <f t="shared" si="6"/>
        <v>#N/A</v>
      </c>
      <c r="L21" s="32" t="e">
        <f t="shared" si="7"/>
        <v>#N/A</v>
      </c>
      <c r="M21" s="32" t="e">
        <f t="shared" si="8"/>
        <v>#N/A</v>
      </c>
      <c r="N21" s="32" t="e">
        <f t="shared" si="9"/>
        <v>#N/A</v>
      </c>
      <c r="O21" s="32" t="e">
        <f t="shared" si="10"/>
        <v>#N/A</v>
      </c>
      <c r="P21" s="32" t="e">
        <f t="shared" si="11"/>
        <v>#N/A</v>
      </c>
      <c r="Q21" s="31">
        <v>45</v>
      </c>
      <c r="R21" s="32" t="e">
        <f t="shared" si="12"/>
        <v>#N/A</v>
      </c>
      <c r="S21" s="32" t="e">
        <f t="shared" si="13"/>
        <v>#N/A</v>
      </c>
      <c r="T21" s="32" t="e">
        <f t="shared" si="14"/>
        <v>#N/A</v>
      </c>
      <c r="U21" s="32" t="e">
        <f t="shared" si="15"/>
        <v>#N/A</v>
      </c>
      <c r="V21" s="32" t="e">
        <f t="shared" si="16"/>
        <v>#N/A</v>
      </c>
      <c r="W21" s="32" t="e">
        <f t="shared" si="17"/>
        <v>#N/A</v>
      </c>
      <c r="X21" s="31">
        <v>0</v>
      </c>
      <c r="Y21" s="32" t="e">
        <f t="shared" si="18"/>
        <v>#N/A</v>
      </c>
      <c r="Z21" s="32" t="e">
        <f t="shared" si="19"/>
        <v>#N/A</v>
      </c>
      <c r="AA21" s="32" t="e">
        <f t="shared" si="20"/>
        <v>#N/A</v>
      </c>
      <c r="AB21" s="32" t="e">
        <f t="shared" si="21"/>
        <v>#N/A</v>
      </c>
      <c r="AC21" s="32" t="e">
        <f t="shared" si="22"/>
        <v>#N/A</v>
      </c>
      <c r="AD21" s="32" t="e">
        <f t="shared" si="23"/>
        <v>#N/A</v>
      </c>
      <c r="AE21" s="32">
        <v>1546320</v>
      </c>
      <c r="AF21" s="32" t="e">
        <f t="shared" si="24"/>
        <v>#N/A</v>
      </c>
      <c r="AG21" s="32" t="e">
        <f t="shared" si="25"/>
        <v>#N/A</v>
      </c>
      <c r="AH21" s="32" t="e">
        <f t="shared" si="26"/>
        <v>#N/A</v>
      </c>
      <c r="AI21" s="32" t="e">
        <f t="shared" si="27"/>
        <v>#N/A</v>
      </c>
      <c r="AJ21" s="32" t="e">
        <f t="shared" si="28"/>
        <v>#N/A</v>
      </c>
      <c r="AK21" s="32" t="e">
        <f t="shared" si="29"/>
        <v>#N/A</v>
      </c>
      <c r="AL21" s="1">
        <v>6250</v>
      </c>
      <c r="AM21" s="32" t="e">
        <f t="shared" si="30"/>
        <v>#N/A</v>
      </c>
      <c r="AN21" s="32" t="e">
        <f t="shared" si="31"/>
        <v>#N/A</v>
      </c>
      <c r="AO21" s="32" t="e">
        <f t="shared" si="32"/>
        <v>#N/A</v>
      </c>
      <c r="AP21" s="32" t="e">
        <f t="shared" si="33"/>
        <v>#N/A</v>
      </c>
      <c r="AQ21" s="32" t="e">
        <f t="shared" si="34"/>
        <v>#N/A</v>
      </c>
      <c r="AR21" s="32" t="e">
        <f t="shared" si="35"/>
        <v>#N/A</v>
      </c>
    </row>
    <row r="22" spans="1:44" ht="15" thickBot="1" x14ac:dyDescent="0.35">
      <c r="A22" s="36" t="s">
        <v>87</v>
      </c>
      <c r="B22">
        <v>19</v>
      </c>
      <c r="C22" s="32">
        <v>28000</v>
      </c>
      <c r="D22" s="32" t="e">
        <f t="shared" si="0"/>
        <v>#N/A</v>
      </c>
      <c r="E22" s="32" t="e">
        <f t="shared" si="1"/>
        <v>#N/A</v>
      </c>
      <c r="F22" s="32" t="e">
        <f t="shared" si="2"/>
        <v>#N/A</v>
      </c>
      <c r="G22" s="32" t="e">
        <f t="shared" si="3"/>
        <v>#N/A</v>
      </c>
      <c r="H22" s="32" t="e">
        <f t="shared" si="4"/>
        <v>#N/A</v>
      </c>
      <c r="I22" s="32" t="e">
        <f t="shared" si="5"/>
        <v>#N/A</v>
      </c>
      <c r="J22" s="31">
        <v>280</v>
      </c>
      <c r="K22" s="32" t="e">
        <f t="shared" si="6"/>
        <v>#N/A</v>
      </c>
      <c r="L22" s="32" t="e">
        <f t="shared" si="7"/>
        <v>#N/A</v>
      </c>
      <c r="M22" s="32" t="e">
        <f t="shared" si="8"/>
        <v>#N/A</v>
      </c>
      <c r="N22" s="32" t="e">
        <f t="shared" si="9"/>
        <v>#N/A</v>
      </c>
      <c r="O22" s="32" t="e">
        <f t="shared" si="10"/>
        <v>#N/A</v>
      </c>
      <c r="P22" s="32" t="e">
        <f t="shared" si="11"/>
        <v>#N/A</v>
      </c>
      <c r="Q22" s="31">
        <v>45</v>
      </c>
      <c r="R22" s="32" t="e">
        <f t="shared" si="12"/>
        <v>#N/A</v>
      </c>
      <c r="S22" s="32" t="e">
        <f t="shared" si="13"/>
        <v>#N/A</v>
      </c>
      <c r="T22" s="32" t="e">
        <f t="shared" si="14"/>
        <v>#N/A</v>
      </c>
      <c r="U22" s="32" t="e">
        <f t="shared" si="15"/>
        <v>#N/A</v>
      </c>
      <c r="V22" s="32" t="e">
        <f t="shared" si="16"/>
        <v>#N/A</v>
      </c>
      <c r="W22" s="32" t="e">
        <f t="shared" si="17"/>
        <v>#N/A</v>
      </c>
      <c r="X22" s="31">
        <v>0</v>
      </c>
      <c r="Y22" s="32" t="e">
        <f t="shared" si="18"/>
        <v>#N/A</v>
      </c>
      <c r="Z22" s="32" t="e">
        <f t="shared" si="19"/>
        <v>#N/A</v>
      </c>
      <c r="AA22" s="32" t="e">
        <f t="shared" si="20"/>
        <v>#N/A</v>
      </c>
      <c r="AB22" s="32" t="e">
        <f t="shared" si="21"/>
        <v>#N/A</v>
      </c>
      <c r="AC22" s="32" t="e">
        <f t="shared" si="22"/>
        <v>#N/A</v>
      </c>
      <c r="AD22" s="32" t="e">
        <f t="shared" si="23"/>
        <v>#N/A</v>
      </c>
      <c r="AE22" s="32">
        <v>1607520</v>
      </c>
      <c r="AF22" s="32" t="e">
        <f t="shared" si="24"/>
        <v>#N/A</v>
      </c>
      <c r="AG22" s="32" t="e">
        <f t="shared" si="25"/>
        <v>#N/A</v>
      </c>
      <c r="AH22" s="32" t="e">
        <f t="shared" si="26"/>
        <v>#N/A</v>
      </c>
      <c r="AI22" s="32" t="e">
        <f t="shared" si="27"/>
        <v>#N/A</v>
      </c>
      <c r="AJ22" s="32" t="e">
        <f t="shared" si="28"/>
        <v>#N/A</v>
      </c>
      <c r="AK22" s="32" t="e">
        <f t="shared" si="29"/>
        <v>#N/A</v>
      </c>
      <c r="AL22" s="1">
        <v>6250</v>
      </c>
      <c r="AM22" s="32" t="e">
        <f t="shared" si="30"/>
        <v>#N/A</v>
      </c>
      <c r="AN22" s="32" t="e">
        <f t="shared" si="31"/>
        <v>#N/A</v>
      </c>
      <c r="AO22" s="32" t="e">
        <f t="shared" si="32"/>
        <v>#N/A</v>
      </c>
      <c r="AP22" s="32" t="e">
        <f t="shared" si="33"/>
        <v>#N/A</v>
      </c>
      <c r="AQ22" s="32" t="e">
        <f t="shared" si="34"/>
        <v>#N/A</v>
      </c>
      <c r="AR22" s="32" t="e">
        <f t="shared" si="35"/>
        <v>#N/A</v>
      </c>
    </row>
    <row r="23" spans="1:44" ht="15" thickBot="1" x14ac:dyDescent="0.35">
      <c r="A23" s="36" t="s">
        <v>197</v>
      </c>
      <c r="B23">
        <v>20</v>
      </c>
      <c r="C23" s="32">
        <v>30000</v>
      </c>
      <c r="D23" s="32" t="e">
        <f t="shared" si="0"/>
        <v>#N/A</v>
      </c>
      <c r="E23" s="32" t="e">
        <f t="shared" si="1"/>
        <v>#N/A</v>
      </c>
      <c r="F23" s="32" t="e">
        <f t="shared" si="2"/>
        <v>#N/A</v>
      </c>
      <c r="G23" s="32" t="e">
        <f t="shared" si="3"/>
        <v>#N/A</v>
      </c>
      <c r="H23" s="32" t="e">
        <f t="shared" si="4"/>
        <v>#N/A</v>
      </c>
      <c r="I23" s="32" t="e">
        <f t="shared" si="5"/>
        <v>#N/A</v>
      </c>
      <c r="J23" s="31">
        <v>300</v>
      </c>
      <c r="K23" s="32" t="e">
        <f t="shared" si="6"/>
        <v>#N/A</v>
      </c>
      <c r="L23" s="32" t="e">
        <f t="shared" si="7"/>
        <v>#N/A</v>
      </c>
      <c r="M23" s="32" t="e">
        <f t="shared" si="8"/>
        <v>#N/A</v>
      </c>
      <c r="N23" s="32" t="e">
        <f t="shared" si="9"/>
        <v>#N/A</v>
      </c>
      <c r="O23" s="32" t="e">
        <f t="shared" si="10"/>
        <v>#N/A</v>
      </c>
      <c r="P23" s="32" t="e">
        <f t="shared" si="11"/>
        <v>#N/A</v>
      </c>
      <c r="Q23" s="31">
        <v>55</v>
      </c>
      <c r="R23" s="32" t="e">
        <f t="shared" si="12"/>
        <v>#N/A</v>
      </c>
      <c r="S23" s="32" t="e">
        <f t="shared" si="13"/>
        <v>#N/A</v>
      </c>
      <c r="T23" s="32" t="e">
        <f t="shared" si="14"/>
        <v>#N/A</v>
      </c>
      <c r="U23" s="32" t="e">
        <f t="shared" si="15"/>
        <v>#N/A</v>
      </c>
      <c r="V23" s="32" t="e">
        <f t="shared" si="16"/>
        <v>#N/A</v>
      </c>
      <c r="W23" s="32" t="e">
        <f t="shared" si="17"/>
        <v>#N/A</v>
      </c>
      <c r="X23" s="31">
        <v>0</v>
      </c>
      <c r="Y23" s="32" t="e">
        <f t="shared" si="18"/>
        <v>#N/A</v>
      </c>
      <c r="Z23" s="32" t="e">
        <f t="shared" si="19"/>
        <v>#N/A</v>
      </c>
      <c r="AA23" s="32" t="e">
        <f t="shared" si="20"/>
        <v>#N/A</v>
      </c>
      <c r="AB23" s="32" t="e">
        <f t="shared" si="21"/>
        <v>#N/A</v>
      </c>
      <c r="AC23" s="32" t="e">
        <f t="shared" si="22"/>
        <v>#N/A</v>
      </c>
      <c r="AD23" s="32" t="e">
        <f t="shared" si="23"/>
        <v>#N/A</v>
      </c>
      <c r="AE23" s="32">
        <v>1668720</v>
      </c>
      <c r="AF23" s="32" t="e">
        <f t="shared" si="24"/>
        <v>#N/A</v>
      </c>
      <c r="AG23" s="32" t="e">
        <f t="shared" si="25"/>
        <v>#N/A</v>
      </c>
      <c r="AH23" s="32" t="e">
        <f t="shared" si="26"/>
        <v>#N/A</v>
      </c>
      <c r="AI23" s="32" t="e">
        <f t="shared" si="27"/>
        <v>#N/A</v>
      </c>
      <c r="AJ23" s="32" t="e">
        <f t="shared" si="28"/>
        <v>#N/A</v>
      </c>
      <c r="AK23" s="32" t="e">
        <f t="shared" si="29"/>
        <v>#N/A</v>
      </c>
      <c r="AL23" s="1">
        <v>6250</v>
      </c>
      <c r="AM23" s="32" t="e">
        <f t="shared" si="30"/>
        <v>#N/A</v>
      </c>
      <c r="AN23" s="32" t="e">
        <f t="shared" si="31"/>
        <v>#N/A</v>
      </c>
      <c r="AO23" s="32" t="e">
        <f t="shared" si="32"/>
        <v>#N/A</v>
      </c>
      <c r="AP23" s="32" t="e">
        <f t="shared" si="33"/>
        <v>#N/A</v>
      </c>
      <c r="AQ23" s="32" t="e">
        <f t="shared" si="34"/>
        <v>#N/A</v>
      </c>
      <c r="AR23" s="32" t="e">
        <f t="shared" si="35"/>
        <v>#N/A</v>
      </c>
    </row>
    <row r="24" spans="1:44" ht="15" thickBot="1" x14ac:dyDescent="0.35">
      <c r="A24" s="36" t="s">
        <v>198</v>
      </c>
      <c r="B24">
        <v>21</v>
      </c>
      <c r="C24" s="32">
        <v>32000</v>
      </c>
      <c r="D24" s="32" t="e">
        <f t="shared" si="0"/>
        <v>#N/A</v>
      </c>
      <c r="E24" s="32" t="e">
        <f t="shared" si="1"/>
        <v>#N/A</v>
      </c>
      <c r="F24" s="32" t="e">
        <f t="shared" si="2"/>
        <v>#N/A</v>
      </c>
      <c r="G24" s="32" t="e">
        <f t="shared" si="3"/>
        <v>#N/A</v>
      </c>
      <c r="H24" s="32" t="e">
        <f t="shared" si="4"/>
        <v>#N/A</v>
      </c>
      <c r="I24" s="32" t="e">
        <f t="shared" si="5"/>
        <v>#N/A</v>
      </c>
      <c r="J24" s="31">
        <v>320</v>
      </c>
      <c r="K24" s="32" t="e">
        <f t="shared" si="6"/>
        <v>#N/A</v>
      </c>
      <c r="L24" s="32" t="e">
        <f t="shared" si="7"/>
        <v>#N/A</v>
      </c>
      <c r="M24" s="32" t="e">
        <f t="shared" si="8"/>
        <v>#N/A</v>
      </c>
      <c r="N24" s="32" t="e">
        <f t="shared" si="9"/>
        <v>#N/A</v>
      </c>
      <c r="O24" s="32" t="e">
        <f t="shared" si="10"/>
        <v>#N/A</v>
      </c>
      <c r="P24" s="32" t="e">
        <f t="shared" si="11"/>
        <v>#N/A</v>
      </c>
      <c r="Q24" s="31">
        <v>55</v>
      </c>
      <c r="R24" s="32" t="e">
        <f t="shared" si="12"/>
        <v>#N/A</v>
      </c>
      <c r="S24" s="32" t="e">
        <f t="shared" si="13"/>
        <v>#N/A</v>
      </c>
      <c r="T24" s="32" t="e">
        <f t="shared" si="14"/>
        <v>#N/A</v>
      </c>
      <c r="U24" s="32" t="e">
        <f t="shared" si="15"/>
        <v>#N/A</v>
      </c>
      <c r="V24" s="32" t="e">
        <f t="shared" si="16"/>
        <v>#N/A</v>
      </c>
      <c r="W24" s="32" t="e">
        <f t="shared" si="17"/>
        <v>#N/A</v>
      </c>
      <c r="X24" s="31">
        <v>0</v>
      </c>
      <c r="Y24" s="32" t="e">
        <f t="shared" si="18"/>
        <v>#N/A</v>
      </c>
      <c r="Z24" s="32" t="e">
        <f t="shared" si="19"/>
        <v>#N/A</v>
      </c>
      <c r="AA24" s="32" t="e">
        <f t="shared" si="20"/>
        <v>#N/A</v>
      </c>
      <c r="AB24" s="32" t="e">
        <f t="shared" si="21"/>
        <v>#N/A</v>
      </c>
      <c r="AC24" s="32" t="e">
        <f t="shared" si="22"/>
        <v>#N/A</v>
      </c>
      <c r="AD24" s="32" t="e">
        <f t="shared" si="23"/>
        <v>#N/A</v>
      </c>
      <c r="AE24" s="32">
        <v>1729920</v>
      </c>
      <c r="AF24" s="32" t="e">
        <f t="shared" si="24"/>
        <v>#N/A</v>
      </c>
      <c r="AG24" s="32" t="e">
        <f t="shared" si="25"/>
        <v>#N/A</v>
      </c>
      <c r="AH24" s="32" t="e">
        <f t="shared" si="26"/>
        <v>#N/A</v>
      </c>
      <c r="AI24" s="32" t="e">
        <f t="shared" si="27"/>
        <v>#N/A</v>
      </c>
      <c r="AJ24" s="32" t="e">
        <f t="shared" si="28"/>
        <v>#N/A</v>
      </c>
      <c r="AK24" s="32" t="e">
        <f t="shared" si="29"/>
        <v>#N/A</v>
      </c>
      <c r="AL24" s="1">
        <v>6250</v>
      </c>
      <c r="AM24" s="32" t="e">
        <f t="shared" si="30"/>
        <v>#N/A</v>
      </c>
      <c r="AN24" s="32" t="e">
        <f t="shared" si="31"/>
        <v>#N/A</v>
      </c>
      <c r="AO24" s="32" t="e">
        <f t="shared" si="32"/>
        <v>#N/A</v>
      </c>
      <c r="AP24" s="32" t="e">
        <f t="shared" si="33"/>
        <v>#N/A</v>
      </c>
      <c r="AQ24" s="32" t="e">
        <f t="shared" si="34"/>
        <v>#N/A</v>
      </c>
      <c r="AR24" s="32" t="e">
        <f t="shared" si="35"/>
        <v>#N/A</v>
      </c>
    </row>
    <row r="25" spans="1:44" ht="15" thickBot="1" x14ac:dyDescent="0.35">
      <c r="A25" s="36" t="s">
        <v>199</v>
      </c>
      <c r="B25">
        <v>22</v>
      </c>
      <c r="C25" s="32">
        <v>35000</v>
      </c>
      <c r="D25" s="32" t="e">
        <f t="shared" si="0"/>
        <v>#N/A</v>
      </c>
      <c r="E25" s="32" t="e">
        <f t="shared" si="1"/>
        <v>#N/A</v>
      </c>
      <c r="F25" s="32" t="e">
        <f t="shared" si="2"/>
        <v>#N/A</v>
      </c>
      <c r="G25" s="32" t="e">
        <f t="shared" si="3"/>
        <v>#N/A</v>
      </c>
      <c r="H25" s="32" t="e">
        <f t="shared" si="4"/>
        <v>#N/A</v>
      </c>
      <c r="I25" s="32" t="e">
        <f t="shared" si="5"/>
        <v>#N/A</v>
      </c>
      <c r="J25" s="31">
        <v>340</v>
      </c>
      <c r="K25" s="32" t="e">
        <f t="shared" si="6"/>
        <v>#N/A</v>
      </c>
      <c r="L25" s="32" t="e">
        <f t="shared" si="7"/>
        <v>#N/A</v>
      </c>
      <c r="M25" s="32" t="e">
        <f t="shared" si="8"/>
        <v>#N/A</v>
      </c>
      <c r="N25" s="32" t="e">
        <f t="shared" si="9"/>
        <v>#N/A</v>
      </c>
      <c r="O25" s="32" t="e">
        <f t="shared" si="10"/>
        <v>#N/A</v>
      </c>
      <c r="P25" s="32" t="e">
        <f t="shared" si="11"/>
        <v>#N/A</v>
      </c>
      <c r="Q25" s="31">
        <v>55</v>
      </c>
      <c r="R25" s="32" t="e">
        <f t="shared" si="12"/>
        <v>#N/A</v>
      </c>
      <c r="S25" s="32" t="e">
        <f t="shared" si="13"/>
        <v>#N/A</v>
      </c>
      <c r="T25" s="32" t="e">
        <f t="shared" si="14"/>
        <v>#N/A</v>
      </c>
      <c r="U25" s="32" t="e">
        <f t="shared" si="15"/>
        <v>#N/A</v>
      </c>
      <c r="V25" s="32" t="e">
        <f t="shared" si="16"/>
        <v>#N/A</v>
      </c>
      <c r="W25" s="32" t="e">
        <f t="shared" si="17"/>
        <v>#N/A</v>
      </c>
      <c r="X25" s="31">
        <v>0</v>
      </c>
      <c r="Y25" s="32" t="e">
        <f t="shared" si="18"/>
        <v>#N/A</v>
      </c>
      <c r="Z25" s="32" t="e">
        <f t="shared" si="19"/>
        <v>#N/A</v>
      </c>
      <c r="AA25" s="32" t="e">
        <f t="shared" si="20"/>
        <v>#N/A</v>
      </c>
      <c r="AB25" s="32" t="e">
        <f t="shared" si="21"/>
        <v>#N/A</v>
      </c>
      <c r="AC25" s="32" t="e">
        <f t="shared" si="22"/>
        <v>#N/A</v>
      </c>
      <c r="AD25" s="32" t="e">
        <f t="shared" si="23"/>
        <v>#N/A</v>
      </c>
      <c r="AE25" s="32">
        <v>1791120</v>
      </c>
      <c r="AF25" s="32" t="e">
        <f t="shared" si="24"/>
        <v>#N/A</v>
      </c>
      <c r="AG25" s="32" t="e">
        <f t="shared" si="25"/>
        <v>#N/A</v>
      </c>
      <c r="AH25" s="32" t="e">
        <f t="shared" si="26"/>
        <v>#N/A</v>
      </c>
      <c r="AI25" s="32" t="e">
        <f t="shared" si="27"/>
        <v>#N/A</v>
      </c>
      <c r="AJ25" s="32" t="e">
        <f t="shared" si="28"/>
        <v>#N/A</v>
      </c>
      <c r="AK25" s="32" t="e">
        <f t="shared" si="29"/>
        <v>#N/A</v>
      </c>
      <c r="AL25" s="1">
        <v>6250</v>
      </c>
      <c r="AM25" s="32" t="e">
        <f t="shared" si="30"/>
        <v>#N/A</v>
      </c>
      <c r="AN25" s="32" t="e">
        <f t="shared" si="31"/>
        <v>#N/A</v>
      </c>
      <c r="AO25" s="32" t="e">
        <f t="shared" si="32"/>
        <v>#N/A</v>
      </c>
      <c r="AP25" s="32" t="e">
        <f t="shared" si="33"/>
        <v>#N/A</v>
      </c>
      <c r="AQ25" s="32" t="e">
        <f t="shared" si="34"/>
        <v>#N/A</v>
      </c>
      <c r="AR25" s="32" t="e">
        <f t="shared" si="35"/>
        <v>#N/A</v>
      </c>
    </row>
    <row r="26" spans="1:44" ht="15" thickBot="1" x14ac:dyDescent="0.35">
      <c r="A26" s="36" t="s">
        <v>88</v>
      </c>
      <c r="B26">
        <v>23</v>
      </c>
      <c r="C26" s="32">
        <v>38000</v>
      </c>
      <c r="D26" s="32" t="e">
        <f t="shared" si="0"/>
        <v>#N/A</v>
      </c>
      <c r="E26" s="32" t="e">
        <f t="shared" si="1"/>
        <v>#N/A</v>
      </c>
      <c r="F26" s="32" t="e">
        <f t="shared" si="2"/>
        <v>#N/A</v>
      </c>
      <c r="G26" s="32" t="e">
        <f t="shared" si="3"/>
        <v>#N/A</v>
      </c>
      <c r="H26" s="32" t="e">
        <f t="shared" si="4"/>
        <v>#N/A</v>
      </c>
      <c r="I26" s="32" t="e">
        <f t="shared" si="5"/>
        <v>#N/A</v>
      </c>
      <c r="J26" s="31">
        <v>390</v>
      </c>
      <c r="K26" s="32" t="e">
        <f t="shared" si="6"/>
        <v>#N/A</v>
      </c>
      <c r="L26" s="32" t="e">
        <f t="shared" si="7"/>
        <v>#N/A</v>
      </c>
      <c r="M26" s="32" t="e">
        <f t="shared" si="8"/>
        <v>#N/A</v>
      </c>
      <c r="N26" s="32" t="e">
        <f t="shared" si="9"/>
        <v>#N/A</v>
      </c>
      <c r="O26" s="32" t="e">
        <f t="shared" si="10"/>
        <v>#N/A</v>
      </c>
      <c r="P26" s="32" t="e">
        <f t="shared" si="11"/>
        <v>#N/A</v>
      </c>
      <c r="Q26" s="31">
        <v>55</v>
      </c>
      <c r="R26" s="32" t="e">
        <f t="shared" si="12"/>
        <v>#N/A</v>
      </c>
      <c r="S26" s="32" t="e">
        <f t="shared" si="13"/>
        <v>#N/A</v>
      </c>
      <c r="T26" s="32" t="e">
        <f t="shared" si="14"/>
        <v>#N/A</v>
      </c>
      <c r="U26" s="32" t="e">
        <f t="shared" si="15"/>
        <v>#N/A</v>
      </c>
      <c r="V26" s="32" t="e">
        <f t="shared" si="16"/>
        <v>#N/A</v>
      </c>
      <c r="W26" s="32" t="e">
        <f t="shared" si="17"/>
        <v>#N/A</v>
      </c>
      <c r="X26" s="31">
        <v>0</v>
      </c>
      <c r="Y26" s="32" t="e">
        <f t="shared" si="18"/>
        <v>#N/A</v>
      </c>
      <c r="Z26" s="32" t="e">
        <f t="shared" si="19"/>
        <v>#N/A</v>
      </c>
      <c r="AA26" s="32" t="e">
        <f t="shared" si="20"/>
        <v>#N/A</v>
      </c>
      <c r="AB26" s="32" t="e">
        <f t="shared" si="21"/>
        <v>#N/A</v>
      </c>
      <c r="AC26" s="32" t="e">
        <f t="shared" si="22"/>
        <v>#N/A</v>
      </c>
      <c r="AD26" s="32" t="e">
        <f t="shared" si="23"/>
        <v>#N/A</v>
      </c>
      <c r="AE26" s="32">
        <v>1852320</v>
      </c>
      <c r="AF26" s="32" t="e">
        <f t="shared" si="24"/>
        <v>#N/A</v>
      </c>
      <c r="AG26" s="32" t="e">
        <f t="shared" si="25"/>
        <v>#N/A</v>
      </c>
      <c r="AH26" s="32" t="e">
        <f t="shared" si="26"/>
        <v>#N/A</v>
      </c>
      <c r="AI26" s="32" t="e">
        <f t="shared" si="27"/>
        <v>#N/A</v>
      </c>
      <c r="AJ26" s="32" t="e">
        <f t="shared" si="28"/>
        <v>#N/A</v>
      </c>
      <c r="AK26" s="32" t="e">
        <f t="shared" si="29"/>
        <v>#N/A</v>
      </c>
      <c r="AL26" s="1">
        <v>6250</v>
      </c>
      <c r="AM26" s="32" t="e">
        <f t="shared" si="30"/>
        <v>#N/A</v>
      </c>
      <c r="AN26" s="32" t="e">
        <f t="shared" si="31"/>
        <v>#N/A</v>
      </c>
      <c r="AO26" s="32" t="e">
        <f t="shared" si="32"/>
        <v>#N/A</v>
      </c>
      <c r="AP26" s="32" t="e">
        <f t="shared" si="33"/>
        <v>#N/A</v>
      </c>
      <c r="AQ26" s="32" t="e">
        <f t="shared" si="34"/>
        <v>#N/A</v>
      </c>
      <c r="AR26" s="32" t="e">
        <f t="shared" si="35"/>
        <v>#N/A</v>
      </c>
    </row>
    <row r="27" spans="1:44" ht="15" thickBot="1" x14ac:dyDescent="0.35">
      <c r="A27" s="36" t="s">
        <v>200</v>
      </c>
      <c r="B27">
        <v>24</v>
      </c>
      <c r="C27" s="32">
        <v>43000</v>
      </c>
      <c r="D27" s="32" t="e">
        <f t="shared" si="0"/>
        <v>#N/A</v>
      </c>
      <c r="E27" s="32" t="e">
        <f t="shared" si="1"/>
        <v>#N/A</v>
      </c>
      <c r="F27" s="32" t="e">
        <f t="shared" si="2"/>
        <v>#N/A</v>
      </c>
      <c r="G27" s="32" t="e">
        <f t="shared" si="3"/>
        <v>#N/A</v>
      </c>
      <c r="H27" s="32" t="e">
        <f t="shared" si="4"/>
        <v>#N/A</v>
      </c>
      <c r="I27" s="32" t="e">
        <f t="shared" si="5"/>
        <v>#N/A</v>
      </c>
      <c r="J27" s="31">
        <v>430</v>
      </c>
      <c r="K27" s="32" t="e">
        <f t="shared" si="6"/>
        <v>#N/A</v>
      </c>
      <c r="L27" s="32" t="e">
        <f t="shared" si="7"/>
        <v>#N/A</v>
      </c>
      <c r="M27" s="32" t="e">
        <f t="shared" si="8"/>
        <v>#N/A</v>
      </c>
      <c r="N27" s="32" t="e">
        <f t="shared" si="9"/>
        <v>#N/A</v>
      </c>
      <c r="O27" s="32" t="e">
        <f t="shared" si="10"/>
        <v>#N/A</v>
      </c>
      <c r="P27" s="32" t="e">
        <f t="shared" si="11"/>
        <v>#N/A</v>
      </c>
      <c r="Q27" s="31">
        <v>75</v>
      </c>
      <c r="R27" s="32" t="e">
        <f t="shared" si="12"/>
        <v>#N/A</v>
      </c>
      <c r="S27" s="32" t="e">
        <f t="shared" si="13"/>
        <v>#N/A</v>
      </c>
      <c r="T27" s="32" t="e">
        <f t="shared" si="14"/>
        <v>#N/A</v>
      </c>
      <c r="U27" s="32" t="e">
        <f t="shared" si="15"/>
        <v>#N/A</v>
      </c>
      <c r="V27" s="32" t="e">
        <f t="shared" si="16"/>
        <v>#N/A</v>
      </c>
      <c r="W27" s="32" t="e">
        <f t="shared" si="17"/>
        <v>#N/A</v>
      </c>
      <c r="X27" s="31">
        <v>0</v>
      </c>
      <c r="Y27" s="32" t="e">
        <f t="shared" si="18"/>
        <v>#N/A</v>
      </c>
      <c r="Z27" s="32" t="e">
        <f t="shared" si="19"/>
        <v>#N/A</v>
      </c>
      <c r="AA27" s="32" t="e">
        <f t="shared" si="20"/>
        <v>#N/A</v>
      </c>
      <c r="AB27" s="32" t="e">
        <f t="shared" si="21"/>
        <v>#N/A</v>
      </c>
      <c r="AC27" s="32" t="e">
        <f t="shared" si="22"/>
        <v>#N/A</v>
      </c>
      <c r="AD27" s="32" t="e">
        <f t="shared" si="23"/>
        <v>#N/A</v>
      </c>
      <c r="AE27" s="32">
        <v>1913520</v>
      </c>
      <c r="AF27" s="32" t="e">
        <f t="shared" si="24"/>
        <v>#N/A</v>
      </c>
      <c r="AG27" s="32" t="e">
        <f t="shared" si="25"/>
        <v>#N/A</v>
      </c>
      <c r="AH27" s="32" t="e">
        <f t="shared" si="26"/>
        <v>#N/A</v>
      </c>
      <c r="AI27" s="32" t="e">
        <f t="shared" si="27"/>
        <v>#N/A</v>
      </c>
      <c r="AJ27" s="32" t="e">
        <f t="shared" si="28"/>
        <v>#N/A</v>
      </c>
      <c r="AK27" s="32" t="e">
        <f t="shared" si="29"/>
        <v>#N/A</v>
      </c>
      <c r="AL27" s="1">
        <v>6250</v>
      </c>
      <c r="AM27" s="32" t="e">
        <f t="shared" si="30"/>
        <v>#N/A</v>
      </c>
      <c r="AN27" s="32" t="e">
        <f t="shared" si="31"/>
        <v>#N/A</v>
      </c>
      <c r="AO27" s="32" t="e">
        <f t="shared" si="32"/>
        <v>#N/A</v>
      </c>
      <c r="AP27" s="32" t="e">
        <f t="shared" si="33"/>
        <v>#N/A</v>
      </c>
      <c r="AQ27" s="32" t="e">
        <f t="shared" si="34"/>
        <v>#N/A</v>
      </c>
      <c r="AR27" s="32" t="e">
        <f t="shared" si="35"/>
        <v>#N/A</v>
      </c>
    </row>
    <row r="28" spans="1:44" ht="15" thickBot="1" x14ac:dyDescent="0.35">
      <c r="A28" s="36" t="s">
        <v>201</v>
      </c>
      <c r="B28">
        <v>25</v>
      </c>
      <c r="C28" s="32">
        <v>45000</v>
      </c>
      <c r="D28" s="32" t="e">
        <f t="shared" si="0"/>
        <v>#N/A</v>
      </c>
      <c r="E28" s="32" t="e">
        <f t="shared" si="1"/>
        <v>#N/A</v>
      </c>
      <c r="F28" s="32" t="e">
        <f t="shared" si="2"/>
        <v>#N/A</v>
      </c>
      <c r="G28" s="32" t="e">
        <f t="shared" si="3"/>
        <v>#N/A</v>
      </c>
      <c r="H28" s="32" t="e">
        <f t="shared" si="4"/>
        <v>#N/A</v>
      </c>
      <c r="I28" s="32" t="e">
        <f t="shared" si="5"/>
        <v>#N/A</v>
      </c>
      <c r="J28" s="31">
        <v>460</v>
      </c>
      <c r="K28" s="32" t="e">
        <f t="shared" si="6"/>
        <v>#N/A</v>
      </c>
      <c r="L28" s="32" t="e">
        <f t="shared" si="7"/>
        <v>#N/A</v>
      </c>
      <c r="M28" s="32" t="e">
        <f t="shared" si="8"/>
        <v>#N/A</v>
      </c>
      <c r="N28" s="32" t="e">
        <f t="shared" si="9"/>
        <v>#N/A</v>
      </c>
      <c r="O28" s="32" t="e">
        <f t="shared" si="10"/>
        <v>#N/A</v>
      </c>
      <c r="P28" s="32" t="e">
        <f t="shared" si="11"/>
        <v>#N/A</v>
      </c>
      <c r="Q28" s="31">
        <v>80</v>
      </c>
      <c r="R28" s="32" t="e">
        <f t="shared" si="12"/>
        <v>#N/A</v>
      </c>
      <c r="S28" s="32" t="e">
        <f t="shared" si="13"/>
        <v>#N/A</v>
      </c>
      <c r="T28" s="32" t="e">
        <f t="shared" si="14"/>
        <v>#N/A</v>
      </c>
      <c r="U28" s="32" t="e">
        <f t="shared" si="15"/>
        <v>#N/A</v>
      </c>
      <c r="V28" s="32" t="e">
        <f t="shared" si="16"/>
        <v>#N/A</v>
      </c>
      <c r="W28" s="32" t="e">
        <f t="shared" si="17"/>
        <v>#N/A</v>
      </c>
      <c r="X28" s="31">
        <v>0</v>
      </c>
      <c r="Y28" s="32" t="e">
        <f t="shared" si="18"/>
        <v>#N/A</v>
      </c>
      <c r="Z28" s="32" t="e">
        <f t="shared" si="19"/>
        <v>#N/A</v>
      </c>
      <c r="AA28" s="32" t="e">
        <f t="shared" si="20"/>
        <v>#N/A</v>
      </c>
      <c r="AB28" s="32" t="e">
        <f t="shared" si="21"/>
        <v>#N/A</v>
      </c>
      <c r="AC28" s="32" t="e">
        <f t="shared" si="22"/>
        <v>#N/A</v>
      </c>
      <c r="AD28" s="32" t="e">
        <f t="shared" si="23"/>
        <v>#N/A</v>
      </c>
      <c r="AE28" s="32">
        <v>1974720</v>
      </c>
      <c r="AF28" s="32" t="e">
        <f t="shared" si="24"/>
        <v>#N/A</v>
      </c>
      <c r="AG28" s="32" t="e">
        <f t="shared" si="25"/>
        <v>#N/A</v>
      </c>
      <c r="AH28" s="32" t="e">
        <f t="shared" si="26"/>
        <v>#N/A</v>
      </c>
      <c r="AI28" s="32" t="e">
        <f t="shared" si="27"/>
        <v>#N/A</v>
      </c>
      <c r="AJ28" s="32" t="e">
        <f t="shared" si="28"/>
        <v>#N/A</v>
      </c>
      <c r="AK28" s="32" t="e">
        <f t="shared" si="29"/>
        <v>#N/A</v>
      </c>
      <c r="AL28" s="1">
        <v>6250</v>
      </c>
      <c r="AM28" s="32" t="e">
        <f t="shared" si="30"/>
        <v>#N/A</v>
      </c>
      <c r="AN28" s="32" t="e">
        <f t="shared" si="31"/>
        <v>#N/A</v>
      </c>
      <c r="AO28" s="32" t="e">
        <f t="shared" si="32"/>
        <v>#N/A</v>
      </c>
      <c r="AP28" s="32" t="e">
        <f t="shared" si="33"/>
        <v>#N/A</v>
      </c>
      <c r="AQ28" s="32" t="e">
        <f t="shared" si="34"/>
        <v>#N/A</v>
      </c>
      <c r="AR28" s="32" t="e">
        <f t="shared" si="35"/>
        <v>#N/A</v>
      </c>
    </row>
    <row r="29" spans="1:44" ht="15" thickBot="1" x14ac:dyDescent="0.35">
      <c r="A29" s="36" t="s">
        <v>202</v>
      </c>
      <c r="B29">
        <v>26</v>
      </c>
      <c r="C29" s="32">
        <v>48000</v>
      </c>
      <c r="D29" s="32" t="e">
        <f t="shared" si="0"/>
        <v>#N/A</v>
      </c>
      <c r="E29" s="32" t="e">
        <f t="shared" si="1"/>
        <v>#N/A</v>
      </c>
      <c r="F29" s="32" t="e">
        <f t="shared" si="2"/>
        <v>#N/A</v>
      </c>
      <c r="G29" s="32" t="e">
        <f t="shared" si="3"/>
        <v>#N/A</v>
      </c>
      <c r="H29" s="32" t="e">
        <f t="shared" si="4"/>
        <v>#N/A</v>
      </c>
      <c r="I29" s="32" t="e">
        <f t="shared" si="5"/>
        <v>#N/A</v>
      </c>
      <c r="J29" s="31">
        <v>500</v>
      </c>
      <c r="K29" s="32" t="e">
        <f t="shared" si="6"/>
        <v>#N/A</v>
      </c>
      <c r="L29" s="32" t="e">
        <f t="shared" si="7"/>
        <v>#N/A</v>
      </c>
      <c r="M29" s="32" t="e">
        <f t="shared" si="8"/>
        <v>#N/A</v>
      </c>
      <c r="N29" s="32" t="e">
        <f t="shared" si="9"/>
        <v>#N/A</v>
      </c>
      <c r="O29" s="32" t="e">
        <f t="shared" si="10"/>
        <v>#N/A</v>
      </c>
      <c r="P29" s="32" t="e">
        <f t="shared" si="11"/>
        <v>#N/A</v>
      </c>
      <c r="Q29" s="31">
        <v>85</v>
      </c>
      <c r="R29" s="32" t="e">
        <f t="shared" si="12"/>
        <v>#N/A</v>
      </c>
      <c r="S29" s="32" t="e">
        <f t="shared" si="13"/>
        <v>#N/A</v>
      </c>
      <c r="T29" s="32" t="e">
        <f t="shared" si="14"/>
        <v>#N/A</v>
      </c>
      <c r="U29" s="32" t="e">
        <f t="shared" si="15"/>
        <v>#N/A</v>
      </c>
      <c r="V29" s="32" t="e">
        <f t="shared" si="16"/>
        <v>#N/A</v>
      </c>
      <c r="W29" s="32" t="e">
        <f t="shared" si="17"/>
        <v>#N/A</v>
      </c>
      <c r="X29" s="31">
        <v>0</v>
      </c>
      <c r="Y29" s="32" t="e">
        <f t="shared" si="18"/>
        <v>#N/A</v>
      </c>
      <c r="Z29" s="32" t="e">
        <f t="shared" si="19"/>
        <v>#N/A</v>
      </c>
      <c r="AA29" s="32" t="e">
        <f t="shared" si="20"/>
        <v>#N/A</v>
      </c>
      <c r="AB29" s="32" t="e">
        <f t="shared" si="21"/>
        <v>#N/A</v>
      </c>
      <c r="AC29" s="32" t="e">
        <f t="shared" si="22"/>
        <v>#N/A</v>
      </c>
      <c r="AD29" s="32" t="e">
        <f t="shared" si="23"/>
        <v>#N/A</v>
      </c>
      <c r="AE29" s="32">
        <v>2040000</v>
      </c>
      <c r="AF29" s="32" t="e">
        <f t="shared" si="24"/>
        <v>#N/A</v>
      </c>
      <c r="AG29" s="32" t="e">
        <f t="shared" si="25"/>
        <v>#N/A</v>
      </c>
      <c r="AH29" s="32" t="e">
        <f t="shared" si="26"/>
        <v>#N/A</v>
      </c>
      <c r="AI29" s="32" t="e">
        <f t="shared" si="27"/>
        <v>#N/A</v>
      </c>
      <c r="AJ29" s="32" t="e">
        <f t="shared" si="28"/>
        <v>#N/A</v>
      </c>
      <c r="AK29" s="32" t="e">
        <f t="shared" si="29"/>
        <v>#N/A</v>
      </c>
      <c r="AL29" s="1">
        <v>6250</v>
      </c>
      <c r="AM29" s="32" t="e">
        <f t="shared" si="30"/>
        <v>#N/A</v>
      </c>
      <c r="AN29" s="32" t="e">
        <f t="shared" si="31"/>
        <v>#N/A</v>
      </c>
      <c r="AO29" s="32" t="e">
        <f t="shared" si="32"/>
        <v>#N/A</v>
      </c>
      <c r="AP29" s="32" t="e">
        <f t="shared" si="33"/>
        <v>#N/A</v>
      </c>
      <c r="AQ29" s="32" t="e">
        <f t="shared" si="34"/>
        <v>#N/A</v>
      </c>
      <c r="AR29" s="32" t="e">
        <f t="shared" si="35"/>
        <v>#N/A</v>
      </c>
    </row>
    <row r="30" spans="1:44" ht="15" thickBot="1" x14ac:dyDescent="0.35">
      <c r="A30" s="36" t="s">
        <v>89</v>
      </c>
      <c r="B30">
        <v>27</v>
      </c>
      <c r="C30" s="32">
        <v>50000</v>
      </c>
      <c r="D30" s="32" t="e">
        <f t="shared" si="0"/>
        <v>#N/A</v>
      </c>
      <c r="E30" s="32" t="e">
        <f t="shared" si="1"/>
        <v>#N/A</v>
      </c>
      <c r="F30" s="32" t="e">
        <f t="shared" si="2"/>
        <v>#N/A</v>
      </c>
      <c r="G30" s="32" t="e">
        <f t="shared" si="3"/>
        <v>#N/A</v>
      </c>
      <c r="H30" s="32" t="e">
        <f t="shared" si="4"/>
        <v>#N/A</v>
      </c>
      <c r="I30" s="32" t="e">
        <f t="shared" si="5"/>
        <v>#N/A</v>
      </c>
      <c r="J30" s="31">
        <v>530</v>
      </c>
      <c r="K30" s="32" t="e">
        <f t="shared" si="6"/>
        <v>#N/A</v>
      </c>
      <c r="L30" s="32" t="e">
        <f t="shared" si="7"/>
        <v>#N/A</v>
      </c>
      <c r="M30" s="32" t="e">
        <f t="shared" si="8"/>
        <v>#N/A</v>
      </c>
      <c r="N30" s="32" t="e">
        <f t="shared" si="9"/>
        <v>#N/A</v>
      </c>
      <c r="O30" s="32" t="e">
        <f t="shared" si="10"/>
        <v>#N/A</v>
      </c>
      <c r="P30" s="32" t="e">
        <f t="shared" si="11"/>
        <v>#N/A</v>
      </c>
      <c r="Q30" s="31">
        <v>85</v>
      </c>
      <c r="R30" s="32" t="e">
        <f t="shared" si="12"/>
        <v>#N/A</v>
      </c>
      <c r="S30" s="32" t="e">
        <f t="shared" si="13"/>
        <v>#N/A</v>
      </c>
      <c r="T30" s="32" t="e">
        <f t="shared" si="14"/>
        <v>#N/A</v>
      </c>
      <c r="U30" s="32" t="e">
        <f t="shared" si="15"/>
        <v>#N/A</v>
      </c>
      <c r="V30" s="32" t="e">
        <f t="shared" si="16"/>
        <v>#N/A</v>
      </c>
      <c r="W30" s="32" t="e">
        <f t="shared" si="17"/>
        <v>#N/A</v>
      </c>
      <c r="X30" s="31">
        <v>10</v>
      </c>
      <c r="Y30" s="32" t="e">
        <f t="shared" si="18"/>
        <v>#N/A</v>
      </c>
      <c r="Z30" s="32" t="e">
        <f t="shared" si="19"/>
        <v>#N/A</v>
      </c>
      <c r="AA30" s="32" t="e">
        <f t="shared" si="20"/>
        <v>#N/A</v>
      </c>
      <c r="AB30" s="32" t="e">
        <f t="shared" si="21"/>
        <v>#N/A</v>
      </c>
      <c r="AC30" s="32" t="e">
        <f t="shared" si="22"/>
        <v>#N/A</v>
      </c>
      <c r="AD30" s="32" t="e">
        <f t="shared" si="23"/>
        <v>#N/A</v>
      </c>
      <c r="AE30" s="32">
        <v>2142000</v>
      </c>
      <c r="AF30" s="32" t="e">
        <f t="shared" si="24"/>
        <v>#N/A</v>
      </c>
      <c r="AG30" s="32" t="e">
        <f t="shared" si="25"/>
        <v>#N/A</v>
      </c>
      <c r="AH30" s="32" t="e">
        <f t="shared" si="26"/>
        <v>#N/A</v>
      </c>
      <c r="AI30" s="32" t="e">
        <f t="shared" si="27"/>
        <v>#N/A</v>
      </c>
      <c r="AJ30" s="32" t="e">
        <f t="shared" si="28"/>
        <v>#N/A</v>
      </c>
      <c r="AK30" s="32" t="e">
        <f t="shared" si="29"/>
        <v>#N/A</v>
      </c>
      <c r="AL30" s="1">
        <v>9560</v>
      </c>
      <c r="AM30" s="32" t="e">
        <f t="shared" si="30"/>
        <v>#N/A</v>
      </c>
      <c r="AN30" s="32" t="e">
        <f t="shared" si="31"/>
        <v>#N/A</v>
      </c>
      <c r="AO30" s="32" t="e">
        <f t="shared" si="32"/>
        <v>#N/A</v>
      </c>
      <c r="AP30" s="32" t="e">
        <f t="shared" si="33"/>
        <v>#N/A</v>
      </c>
      <c r="AQ30" s="32" t="e">
        <f t="shared" si="34"/>
        <v>#N/A</v>
      </c>
      <c r="AR30" s="32" t="e">
        <f t="shared" si="35"/>
        <v>#N/A</v>
      </c>
    </row>
    <row r="31" spans="1:44" ht="15" thickBot="1" x14ac:dyDescent="0.35">
      <c r="A31" s="36" t="s">
        <v>203</v>
      </c>
      <c r="B31">
        <v>28</v>
      </c>
      <c r="C31" s="32">
        <v>52000</v>
      </c>
      <c r="D31" s="32" t="e">
        <f t="shared" si="0"/>
        <v>#N/A</v>
      </c>
      <c r="E31" s="32" t="e">
        <f t="shared" si="1"/>
        <v>#N/A</v>
      </c>
      <c r="F31" s="32" t="e">
        <f t="shared" si="2"/>
        <v>#N/A</v>
      </c>
      <c r="G31" s="32" t="e">
        <f t="shared" si="3"/>
        <v>#N/A</v>
      </c>
      <c r="H31" s="32" t="e">
        <f t="shared" si="4"/>
        <v>#N/A</v>
      </c>
      <c r="I31" s="32" t="e">
        <f t="shared" si="5"/>
        <v>#N/A</v>
      </c>
      <c r="J31" s="31">
        <v>560</v>
      </c>
      <c r="K31" s="32" t="e">
        <f t="shared" si="6"/>
        <v>#N/A</v>
      </c>
      <c r="L31" s="32" t="e">
        <f t="shared" si="7"/>
        <v>#N/A</v>
      </c>
      <c r="M31" s="32" t="e">
        <f t="shared" si="8"/>
        <v>#N/A</v>
      </c>
      <c r="N31" s="32" t="e">
        <f t="shared" si="9"/>
        <v>#N/A</v>
      </c>
      <c r="O31" s="32" t="e">
        <f t="shared" si="10"/>
        <v>#N/A</v>
      </c>
      <c r="P31" s="32" t="e">
        <f t="shared" si="11"/>
        <v>#N/A</v>
      </c>
      <c r="Q31" s="31">
        <v>90</v>
      </c>
      <c r="R31" s="32" t="e">
        <f t="shared" si="12"/>
        <v>#N/A</v>
      </c>
      <c r="S31" s="32" t="e">
        <f t="shared" si="13"/>
        <v>#N/A</v>
      </c>
      <c r="T31" s="32" t="e">
        <f t="shared" si="14"/>
        <v>#N/A</v>
      </c>
      <c r="U31" s="32" t="e">
        <f t="shared" si="15"/>
        <v>#N/A</v>
      </c>
      <c r="V31" s="32" t="e">
        <f t="shared" si="16"/>
        <v>#N/A</v>
      </c>
      <c r="W31" s="32" t="e">
        <f t="shared" si="17"/>
        <v>#N/A</v>
      </c>
      <c r="X31" s="31">
        <v>10</v>
      </c>
      <c r="Y31" s="32" t="e">
        <f t="shared" si="18"/>
        <v>#N/A</v>
      </c>
      <c r="Z31" s="32" t="e">
        <f t="shared" si="19"/>
        <v>#N/A</v>
      </c>
      <c r="AA31" s="32" t="e">
        <f t="shared" si="20"/>
        <v>#N/A</v>
      </c>
      <c r="AB31" s="32" t="e">
        <f t="shared" si="21"/>
        <v>#N/A</v>
      </c>
      <c r="AC31" s="32" t="e">
        <f t="shared" si="22"/>
        <v>#N/A</v>
      </c>
      <c r="AD31" s="32" t="e">
        <f t="shared" si="23"/>
        <v>#N/A</v>
      </c>
      <c r="AE31" s="32">
        <v>2244000</v>
      </c>
      <c r="AF31" s="32" t="e">
        <f t="shared" si="24"/>
        <v>#N/A</v>
      </c>
      <c r="AG31" s="32" t="e">
        <f t="shared" si="25"/>
        <v>#N/A</v>
      </c>
      <c r="AH31" s="32" t="e">
        <f t="shared" si="26"/>
        <v>#N/A</v>
      </c>
      <c r="AI31" s="32" t="e">
        <f t="shared" si="27"/>
        <v>#N/A</v>
      </c>
      <c r="AJ31" s="32" t="e">
        <f t="shared" si="28"/>
        <v>#N/A</v>
      </c>
      <c r="AK31" s="32" t="e">
        <f t="shared" si="29"/>
        <v>#N/A</v>
      </c>
      <c r="AL31" s="1">
        <v>9560</v>
      </c>
      <c r="AM31" s="32" t="e">
        <f t="shared" si="30"/>
        <v>#N/A</v>
      </c>
      <c r="AN31" s="32" t="e">
        <f t="shared" si="31"/>
        <v>#N/A</v>
      </c>
      <c r="AO31" s="32" t="e">
        <f t="shared" si="32"/>
        <v>#N/A</v>
      </c>
      <c r="AP31" s="32" t="e">
        <f t="shared" si="33"/>
        <v>#N/A</v>
      </c>
      <c r="AQ31" s="32" t="e">
        <f t="shared" si="34"/>
        <v>#N/A</v>
      </c>
      <c r="AR31" s="32" t="e">
        <f t="shared" si="35"/>
        <v>#N/A</v>
      </c>
    </row>
    <row r="32" spans="1:44" ht="15" thickBot="1" x14ac:dyDescent="0.35">
      <c r="A32" s="36" t="s">
        <v>204</v>
      </c>
      <c r="B32">
        <v>29</v>
      </c>
      <c r="C32" s="32">
        <v>54000</v>
      </c>
      <c r="D32" s="32" t="e">
        <f t="shared" si="0"/>
        <v>#N/A</v>
      </c>
      <c r="E32" s="32" t="e">
        <f t="shared" si="1"/>
        <v>#N/A</v>
      </c>
      <c r="F32" s="32" t="e">
        <f t="shared" si="2"/>
        <v>#N/A</v>
      </c>
      <c r="G32" s="32" t="e">
        <f t="shared" si="3"/>
        <v>#N/A</v>
      </c>
      <c r="H32" s="32" t="e">
        <f t="shared" si="4"/>
        <v>#N/A</v>
      </c>
      <c r="I32" s="32" t="e">
        <f t="shared" si="5"/>
        <v>#N/A</v>
      </c>
      <c r="J32" s="31">
        <v>590</v>
      </c>
      <c r="K32" s="32" t="e">
        <f t="shared" si="6"/>
        <v>#N/A</v>
      </c>
      <c r="L32" s="32" t="e">
        <f t="shared" si="7"/>
        <v>#N/A</v>
      </c>
      <c r="M32" s="32" t="e">
        <f t="shared" si="8"/>
        <v>#N/A</v>
      </c>
      <c r="N32" s="32" t="e">
        <f t="shared" si="9"/>
        <v>#N/A</v>
      </c>
      <c r="O32" s="32" t="e">
        <f t="shared" si="10"/>
        <v>#N/A</v>
      </c>
      <c r="P32" s="32" t="e">
        <f t="shared" si="11"/>
        <v>#N/A</v>
      </c>
      <c r="Q32" s="31">
        <v>95</v>
      </c>
      <c r="R32" s="32" t="e">
        <f t="shared" si="12"/>
        <v>#N/A</v>
      </c>
      <c r="S32" s="32" t="e">
        <f t="shared" si="13"/>
        <v>#N/A</v>
      </c>
      <c r="T32" s="32" t="e">
        <f t="shared" si="14"/>
        <v>#N/A</v>
      </c>
      <c r="U32" s="32" t="e">
        <f t="shared" si="15"/>
        <v>#N/A</v>
      </c>
      <c r="V32" s="32" t="e">
        <f t="shared" si="16"/>
        <v>#N/A</v>
      </c>
      <c r="W32" s="32" t="e">
        <f t="shared" si="17"/>
        <v>#N/A</v>
      </c>
      <c r="X32" s="31">
        <v>10</v>
      </c>
      <c r="Y32" s="32" t="e">
        <f t="shared" si="18"/>
        <v>#N/A</v>
      </c>
      <c r="Z32" s="32" t="e">
        <f t="shared" si="19"/>
        <v>#N/A</v>
      </c>
      <c r="AA32" s="32" t="e">
        <f t="shared" si="20"/>
        <v>#N/A</v>
      </c>
      <c r="AB32" s="32" t="e">
        <f t="shared" si="21"/>
        <v>#N/A</v>
      </c>
      <c r="AC32" s="32" t="e">
        <f t="shared" si="22"/>
        <v>#N/A</v>
      </c>
      <c r="AD32" s="32" t="e">
        <f t="shared" si="23"/>
        <v>#N/A</v>
      </c>
      <c r="AE32" s="32">
        <v>2346000</v>
      </c>
      <c r="AF32" s="32" t="e">
        <f t="shared" si="24"/>
        <v>#N/A</v>
      </c>
      <c r="AG32" s="32" t="e">
        <f t="shared" si="25"/>
        <v>#N/A</v>
      </c>
      <c r="AH32" s="32" t="e">
        <f t="shared" si="26"/>
        <v>#N/A</v>
      </c>
      <c r="AI32" s="32" t="e">
        <f t="shared" si="27"/>
        <v>#N/A</v>
      </c>
      <c r="AJ32" s="32" t="e">
        <f t="shared" si="28"/>
        <v>#N/A</v>
      </c>
      <c r="AK32" s="32" t="e">
        <f t="shared" si="29"/>
        <v>#N/A</v>
      </c>
      <c r="AL32" s="1">
        <v>9560</v>
      </c>
      <c r="AM32" s="32" t="e">
        <f t="shared" si="30"/>
        <v>#N/A</v>
      </c>
      <c r="AN32" s="32" t="e">
        <f t="shared" si="31"/>
        <v>#N/A</v>
      </c>
      <c r="AO32" s="32" t="e">
        <f t="shared" si="32"/>
        <v>#N/A</v>
      </c>
      <c r="AP32" s="32" t="e">
        <f t="shared" si="33"/>
        <v>#N/A</v>
      </c>
      <c r="AQ32" s="32" t="e">
        <f t="shared" si="34"/>
        <v>#N/A</v>
      </c>
      <c r="AR32" s="32" t="e">
        <f t="shared" si="35"/>
        <v>#N/A</v>
      </c>
    </row>
    <row r="33" spans="1:44" ht="15" thickBot="1" x14ac:dyDescent="0.35">
      <c r="A33" s="36" t="s">
        <v>205</v>
      </c>
      <c r="B33">
        <v>30</v>
      </c>
      <c r="C33" s="32">
        <v>56000</v>
      </c>
      <c r="D33" s="32" t="e">
        <f t="shared" si="0"/>
        <v>#N/A</v>
      </c>
      <c r="E33" s="32" t="e">
        <f t="shared" si="1"/>
        <v>#N/A</v>
      </c>
      <c r="F33" s="32" t="e">
        <f t="shared" si="2"/>
        <v>#N/A</v>
      </c>
      <c r="G33" s="32" t="e">
        <f t="shared" si="3"/>
        <v>#N/A</v>
      </c>
      <c r="H33" s="32" t="e">
        <f t="shared" si="4"/>
        <v>#N/A</v>
      </c>
      <c r="I33" s="32" t="e">
        <f t="shared" si="5"/>
        <v>#N/A</v>
      </c>
      <c r="J33" s="31">
        <v>620</v>
      </c>
      <c r="K33" s="32" t="e">
        <f t="shared" si="6"/>
        <v>#N/A</v>
      </c>
      <c r="L33" s="32" t="e">
        <f t="shared" si="7"/>
        <v>#N/A</v>
      </c>
      <c r="M33" s="32" t="e">
        <f t="shared" si="8"/>
        <v>#N/A</v>
      </c>
      <c r="N33" s="32" t="e">
        <f t="shared" si="9"/>
        <v>#N/A</v>
      </c>
      <c r="O33" s="32" t="e">
        <f t="shared" si="10"/>
        <v>#N/A</v>
      </c>
      <c r="P33" s="32" t="e">
        <f t="shared" si="11"/>
        <v>#N/A</v>
      </c>
      <c r="Q33" s="31">
        <v>100</v>
      </c>
      <c r="R33" s="32" t="e">
        <f t="shared" si="12"/>
        <v>#N/A</v>
      </c>
      <c r="S33" s="32" t="e">
        <f t="shared" si="13"/>
        <v>#N/A</v>
      </c>
      <c r="T33" s="32" t="e">
        <f t="shared" si="14"/>
        <v>#N/A</v>
      </c>
      <c r="U33" s="32" t="e">
        <f t="shared" si="15"/>
        <v>#N/A</v>
      </c>
      <c r="V33" s="32" t="e">
        <f t="shared" si="16"/>
        <v>#N/A</v>
      </c>
      <c r="W33" s="32" t="e">
        <f t="shared" si="17"/>
        <v>#N/A</v>
      </c>
      <c r="X33" s="31">
        <v>10</v>
      </c>
      <c r="Y33" s="32" t="e">
        <f t="shared" si="18"/>
        <v>#N/A</v>
      </c>
      <c r="Z33" s="32" t="e">
        <f t="shared" si="19"/>
        <v>#N/A</v>
      </c>
      <c r="AA33" s="32" t="e">
        <f t="shared" si="20"/>
        <v>#N/A</v>
      </c>
      <c r="AB33" s="32" t="e">
        <f t="shared" si="21"/>
        <v>#N/A</v>
      </c>
      <c r="AC33" s="32" t="e">
        <f t="shared" si="22"/>
        <v>#N/A</v>
      </c>
      <c r="AD33" s="32" t="e">
        <f t="shared" si="23"/>
        <v>#N/A</v>
      </c>
      <c r="AE33" s="32">
        <v>2448000</v>
      </c>
      <c r="AF33" s="32" t="e">
        <f t="shared" si="24"/>
        <v>#N/A</v>
      </c>
      <c r="AG33" s="32" t="e">
        <f t="shared" si="25"/>
        <v>#N/A</v>
      </c>
      <c r="AH33" s="32" t="e">
        <f t="shared" si="26"/>
        <v>#N/A</v>
      </c>
      <c r="AI33" s="32" t="e">
        <f t="shared" si="27"/>
        <v>#N/A</v>
      </c>
      <c r="AJ33" s="32" t="e">
        <f t="shared" si="28"/>
        <v>#N/A</v>
      </c>
      <c r="AK33" s="32" t="e">
        <f t="shared" si="29"/>
        <v>#N/A</v>
      </c>
      <c r="AL33" s="1">
        <v>9560</v>
      </c>
      <c r="AM33" s="32" t="e">
        <f t="shared" si="30"/>
        <v>#N/A</v>
      </c>
      <c r="AN33" s="32" t="e">
        <f t="shared" si="31"/>
        <v>#N/A</v>
      </c>
      <c r="AO33" s="32" t="e">
        <f t="shared" si="32"/>
        <v>#N/A</v>
      </c>
      <c r="AP33" s="32" t="e">
        <f t="shared" si="33"/>
        <v>#N/A</v>
      </c>
      <c r="AQ33" s="32" t="e">
        <f t="shared" si="34"/>
        <v>#N/A</v>
      </c>
      <c r="AR33" s="32" t="e">
        <f t="shared" si="35"/>
        <v>#N/A</v>
      </c>
    </row>
    <row r="34" spans="1:44" ht="15" thickBot="1" x14ac:dyDescent="0.35">
      <c r="A34" s="36" t="s">
        <v>90</v>
      </c>
      <c r="B34">
        <v>31</v>
      </c>
      <c r="C34" s="32">
        <v>59000</v>
      </c>
      <c r="D34" s="32" t="e">
        <f t="shared" si="0"/>
        <v>#N/A</v>
      </c>
      <c r="E34" s="32" t="e">
        <f t="shared" si="1"/>
        <v>#N/A</v>
      </c>
      <c r="F34" s="32" t="e">
        <f t="shared" si="2"/>
        <v>#N/A</v>
      </c>
      <c r="G34" s="32" t="e">
        <f t="shared" si="3"/>
        <v>#N/A</v>
      </c>
      <c r="H34" s="32" t="e">
        <f t="shared" si="4"/>
        <v>#N/A</v>
      </c>
      <c r="I34" s="32" t="e">
        <f t="shared" si="5"/>
        <v>#N/A</v>
      </c>
      <c r="J34" s="31">
        <v>670</v>
      </c>
      <c r="K34" s="32" t="e">
        <f t="shared" si="6"/>
        <v>#N/A</v>
      </c>
      <c r="L34" s="32" t="e">
        <f t="shared" si="7"/>
        <v>#N/A</v>
      </c>
      <c r="M34" s="32" t="e">
        <f t="shared" si="8"/>
        <v>#N/A</v>
      </c>
      <c r="N34" s="32" t="e">
        <f t="shared" si="9"/>
        <v>#N/A</v>
      </c>
      <c r="O34" s="32" t="e">
        <f t="shared" si="10"/>
        <v>#N/A</v>
      </c>
      <c r="P34" s="32" t="e">
        <f t="shared" si="11"/>
        <v>#N/A</v>
      </c>
      <c r="Q34" s="31">
        <v>110</v>
      </c>
      <c r="R34" s="32" t="e">
        <f t="shared" si="12"/>
        <v>#N/A</v>
      </c>
      <c r="S34" s="32" t="e">
        <f t="shared" si="13"/>
        <v>#N/A</v>
      </c>
      <c r="T34" s="32" t="e">
        <f t="shared" si="14"/>
        <v>#N/A</v>
      </c>
      <c r="U34" s="32" t="e">
        <f t="shared" si="15"/>
        <v>#N/A</v>
      </c>
      <c r="V34" s="32" t="e">
        <f t="shared" si="16"/>
        <v>#N/A</v>
      </c>
      <c r="W34" s="32" t="e">
        <f t="shared" si="17"/>
        <v>#N/A</v>
      </c>
      <c r="X34" s="31">
        <v>15</v>
      </c>
      <c r="Y34" s="32" t="e">
        <f t="shared" si="18"/>
        <v>#N/A</v>
      </c>
      <c r="Z34" s="32" t="e">
        <f t="shared" si="19"/>
        <v>#N/A</v>
      </c>
      <c r="AA34" s="32" t="e">
        <f t="shared" si="20"/>
        <v>#N/A</v>
      </c>
      <c r="AB34" s="32" t="e">
        <f t="shared" si="21"/>
        <v>#N/A</v>
      </c>
      <c r="AC34" s="32" t="e">
        <f t="shared" si="22"/>
        <v>#N/A</v>
      </c>
      <c r="AD34" s="32" t="e">
        <f t="shared" si="23"/>
        <v>#N/A</v>
      </c>
      <c r="AE34" s="32">
        <v>2550000</v>
      </c>
      <c r="AF34" s="32" t="e">
        <f t="shared" si="24"/>
        <v>#N/A</v>
      </c>
      <c r="AG34" s="32" t="e">
        <f t="shared" si="25"/>
        <v>#N/A</v>
      </c>
      <c r="AH34" s="32" t="e">
        <f t="shared" si="26"/>
        <v>#N/A</v>
      </c>
      <c r="AI34" s="32" t="e">
        <f t="shared" si="27"/>
        <v>#N/A</v>
      </c>
      <c r="AJ34" s="32" t="e">
        <f t="shared" si="28"/>
        <v>#N/A</v>
      </c>
      <c r="AK34" s="32" t="e">
        <f t="shared" si="29"/>
        <v>#N/A</v>
      </c>
      <c r="AL34" s="1">
        <v>9560</v>
      </c>
      <c r="AM34" s="32" t="e">
        <f t="shared" si="30"/>
        <v>#N/A</v>
      </c>
      <c r="AN34" s="32" t="e">
        <f t="shared" si="31"/>
        <v>#N/A</v>
      </c>
      <c r="AO34" s="32" t="e">
        <f t="shared" si="32"/>
        <v>#N/A</v>
      </c>
      <c r="AP34" s="32" t="e">
        <f t="shared" si="33"/>
        <v>#N/A</v>
      </c>
      <c r="AQ34" s="32" t="e">
        <f t="shared" si="34"/>
        <v>#N/A</v>
      </c>
      <c r="AR34" s="32" t="e">
        <f t="shared" si="35"/>
        <v>#N/A</v>
      </c>
    </row>
    <row r="35" spans="1:44" ht="15" thickBot="1" x14ac:dyDescent="0.35">
      <c r="A35" s="36" t="s">
        <v>206</v>
      </c>
      <c r="B35">
        <v>32</v>
      </c>
      <c r="C35" s="32">
        <v>61000</v>
      </c>
      <c r="D35" s="32" t="e">
        <f t="shared" si="0"/>
        <v>#N/A</v>
      </c>
      <c r="E35" s="32" t="e">
        <f t="shared" si="1"/>
        <v>#N/A</v>
      </c>
      <c r="F35" s="32" t="e">
        <f t="shared" si="2"/>
        <v>#N/A</v>
      </c>
      <c r="G35" s="32" t="e">
        <f t="shared" si="3"/>
        <v>#N/A</v>
      </c>
      <c r="H35" s="32" t="e">
        <f t="shared" si="4"/>
        <v>#N/A</v>
      </c>
      <c r="I35" s="32" t="e">
        <f t="shared" si="5"/>
        <v>#N/A</v>
      </c>
      <c r="J35" s="31">
        <v>700</v>
      </c>
      <c r="K35" s="32" t="e">
        <f t="shared" si="6"/>
        <v>#N/A</v>
      </c>
      <c r="L35" s="32" t="e">
        <f t="shared" si="7"/>
        <v>#N/A</v>
      </c>
      <c r="M35" s="32" t="e">
        <f t="shared" si="8"/>
        <v>#N/A</v>
      </c>
      <c r="N35" s="32" t="e">
        <f t="shared" si="9"/>
        <v>#N/A</v>
      </c>
      <c r="O35" s="32" t="e">
        <f t="shared" si="10"/>
        <v>#N/A</v>
      </c>
      <c r="P35" s="32" t="e">
        <f t="shared" si="11"/>
        <v>#N/A</v>
      </c>
      <c r="Q35" s="31">
        <v>115</v>
      </c>
      <c r="R35" s="32" t="e">
        <f t="shared" si="12"/>
        <v>#N/A</v>
      </c>
      <c r="S35" s="32" t="e">
        <f t="shared" si="13"/>
        <v>#N/A</v>
      </c>
      <c r="T35" s="32" t="e">
        <f t="shared" si="14"/>
        <v>#N/A</v>
      </c>
      <c r="U35" s="32" t="e">
        <f t="shared" si="15"/>
        <v>#N/A</v>
      </c>
      <c r="V35" s="32" t="e">
        <f t="shared" si="16"/>
        <v>#N/A</v>
      </c>
      <c r="W35" s="32" t="e">
        <f t="shared" si="17"/>
        <v>#N/A</v>
      </c>
      <c r="X35" s="31">
        <v>15</v>
      </c>
      <c r="Y35" s="32" t="e">
        <f t="shared" si="18"/>
        <v>#N/A</v>
      </c>
      <c r="Z35" s="32" t="e">
        <f t="shared" si="19"/>
        <v>#N/A</v>
      </c>
      <c r="AA35" s="32" t="e">
        <f t="shared" si="20"/>
        <v>#N/A</v>
      </c>
      <c r="AB35" s="32" t="e">
        <f t="shared" si="21"/>
        <v>#N/A</v>
      </c>
      <c r="AC35" s="32" t="e">
        <f t="shared" si="22"/>
        <v>#N/A</v>
      </c>
      <c r="AD35" s="32" t="e">
        <f t="shared" si="23"/>
        <v>#N/A</v>
      </c>
      <c r="AE35" s="32">
        <v>2652000</v>
      </c>
      <c r="AF35" s="32" t="e">
        <f t="shared" si="24"/>
        <v>#N/A</v>
      </c>
      <c r="AG35" s="32" t="e">
        <f t="shared" si="25"/>
        <v>#N/A</v>
      </c>
      <c r="AH35" s="32" t="e">
        <f t="shared" si="26"/>
        <v>#N/A</v>
      </c>
      <c r="AI35" s="32" t="e">
        <f t="shared" si="27"/>
        <v>#N/A</v>
      </c>
      <c r="AJ35" s="32" t="e">
        <f t="shared" si="28"/>
        <v>#N/A</v>
      </c>
      <c r="AK35" s="32" t="e">
        <f t="shared" si="29"/>
        <v>#N/A</v>
      </c>
      <c r="AL35" s="1">
        <v>9560</v>
      </c>
      <c r="AM35" s="32" t="e">
        <f t="shared" si="30"/>
        <v>#N/A</v>
      </c>
      <c r="AN35" s="32" t="e">
        <f t="shared" si="31"/>
        <v>#N/A</v>
      </c>
      <c r="AO35" s="32" t="e">
        <f t="shared" si="32"/>
        <v>#N/A</v>
      </c>
      <c r="AP35" s="32" t="e">
        <f t="shared" si="33"/>
        <v>#N/A</v>
      </c>
      <c r="AQ35" s="32" t="e">
        <f t="shared" si="34"/>
        <v>#N/A</v>
      </c>
      <c r="AR35" s="32" t="e">
        <f t="shared" si="35"/>
        <v>#N/A</v>
      </c>
    </row>
    <row r="36" spans="1:44" ht="15" thickBot="1" x14ac:dyDescent="0.35">
      <c r="A36" s="36" t="s">
        <v>207</v>
      </c>
      <c r="B36">
        <v>33</v>
      </c>
      <c r="C36" s="32">
        <v>63000</v>
      </c>
      <c r="D36" s="32" t="e">
        <f t="shared" si="0"/>
        <v>#N/A</v>
      </c>
      <c r="E36" s="32" t="e">
        <f t="shared" si="1"/>
        <v>#N/A</v>
      </c>
      <c r="F36" s="32" t="e">
        <f t="shared" si="2"/>
        <v>#N/A</v>
      </c>
      <c r="G36" s="32" t="e">
        <f t="shared" si="3"/>
        <v>#N/A</v>
      </c>
      <c r="H36" s="32" t="e">
        <f t="shared" si="4"/>
        <v>#N/A</v>
      </c>
      <c r="I36" s="32" t="e">
        <f t="shared" si="5"/>
        <v>#N/A</v>
      </c>
      <c r="J36" s="31">
        <v>730</v>
      </c>
      <c r="K36" s="32" t="e">
        <f t="shared" si="6"/>
        <v>#N/A</v>
      </c>
      <c r="L36" s="32" t="e">
        <f t="shared" si="7"/>
        <v>#N/A</v>
      </c>
      <c r="M36" s="32" t="e">
        <f t="shared" si="8"/>
        <v>#N/A</v>
      </c>
      <c r="N36" s="32" t="e">
        <f t="shared" si="9"/>
        <v>#N/A</v>
      </c>
      <c r="O36" s="32" t="e">
        <f t="shared" si="10"/>
        <v>#N/A</v>
      </c>
      <c r="P36" s="32" t="e">
        <f t="shared" si="11"/>
        <v>#N/A</v>
      </c>
      <c r="Q36" s="31">
        <v>120</v>
      </c>
      <c r="R36" s="32" t="e">
        <f t="shared" si="12"/>
        <v>#N/A</v>
      </c>
      <c r="S36" s="32" t="e">
        <f t="shared" si="13"/>
        <v>#N/A</v>
      </c>
      <c r="T36" s="32" t="e">
        <f t="shared" si="14"/>
        <v>#N/A</v>
      </c>
      <c r="U36" s="32" t="e">
        <f t="shared" si="15"/>
        <v>#N/A</v>
      </c>
      <c r="V36" s="32" t="e">
        <f t="shared" si="16"/>
        <v>#N/A</v>
      </c>
      <c r="W36" s="32" t="e">
        <f t="shared" si="17"/>
        <v>#N/A</v>
      </c>
      <c r="X36" s="31">
        <v>15</v>
      </c>
      <c r="Y36" s="32" t="e">
        <f t="shared" si="18"/>
        <v>#N/A</v>
      </c>
      <c r="Z36" s="32" t="e">
        <f t="shared" si="19"/>
        <v>#N/A</v>
      </c>
      <c r="AA36" s="32" t="e">
        <f t="shared" si="20"/>
        <v>#N/A</v>
      </c>
      <c r="AB36" s="32" t="e">
        <f t="shared" si="21"/>
        <v>#N/A</v>
      </c>
      <c r="AC36" s="32" t="e">
        <f t="shared" si="22"/>
        <v>#N/A</v>
      </c>
      <c r="AD36" s="32" t="e">
        <f t="shared" si="23"/>
        <v>#N/A</v>
      </c>
      <c r="AE36" s="32">
        <v>2754000</v>
      </c>
      <c r="AF36" s="32" t="e">
        <f t="shared" si="24"/>
        <v>#N/A</v>
      </c>
      <c r="AG36" s="32" t="e">
        <f t="shared" si="25"/>
        <v>#N/A</v>
      </c>
      <c r="AH36" s="32" t="e">
        <f t="shared" si="26"/>
        <v>#N/A</v>
      </c>
      <c r="AI36" s="32" t="e">
        <f t="shared" si="27"/>
        <v>#N/A</v>
      </c>
      <c r="AJ36" s="32" t="e">
        <f t="shared" si="28"/>
        <v>#N/A</v>
      </c>
      <c r="AK36" s="32" t="e">
        <f t="shared" si="29"/>
        <v>#N/A</v>
      </c>
      <c r="AL36" s="1">
        <v>9560</v>
      </c>
      <c r="AM36" s="32" t="e">
        <f t="shared" si="30"/>
        <v>#N/A</v>
      </c>
      <c r="AN36" s="32" t="e">
        <f t="shared" si="31"/>
        <v>#N/A</v>
      </c>
      <c r="AO36" s="32" t="e">
        <f t="shared" si="32"/>
        <v>#N/A</v>
      </c>
      <c r="AP36" s="32" t="e">
        <f t="shared" si="33"/>
        <v>#N/A</v>
      </c>
      <c r="AQ36" s="32" t="e">
        <f t="shared" si="34"/>
        <v>#N/A</v>
      </c>
      <c r="AR36" s="32" t="e">
        <f t="shared" si="35"/>
        <v>#N/A</v>
      </c>
    </row>
    <row r="37" spans="1:44" ht="15" thickBot="1" x14ac:dyDescent="0.35">
      <c r="A37" s="36" t="s">
        <v>208</v>
      </c>
      <c r="B37">
        <v>34</v>
      </c>
      <c r="C37" s="32">
        <v>65000</v>
      </c>
      <c r="D37" s="32" t="e">
        <f t="shared" si="0"/>
        <v>#N/A</v>
      </c>
      <c r="E37" s="32" t="e">
        <f t="shared" si="1"/>
        <v>#N/A</v>
      </c>
      <c r="F37" s="32" t="e">
        <f t="shared" si="2"/>
        <v>#N/A</v>
      </c>
      <c r="G37" s="32" t="e">
        <f t="shared" si="3"/>
        <v>#N/A</v>
      </c>
      <c r="H37" s="32" t="e">
        <f t="shared" si="4"/>
        <v>#N/A</v>
      </c>
      <c r="I37" s="32" t="e">
        <f t="shared" si="5"/>
        <v>#N/A</v>
      </c>
      <c r="J37" s="31">
        <v>760</v>
      </c>
      <c r="K37" s="32" t="e">
        <f t="shared" si="6"/>
        <v>#N/A</v>
      </c>
      <c r="L37" s="32" t="e">
        <f t="shared" si="7"/>
        <v>#N/A</v>
      </c>
      <c r="M37" s="32" t="e">
        <f t="shared" si="8"/>
        <v>#N/A</v>
      </c>
      <c r="N37" s="32" t="e">
        <f t="shared" si="9"/>
        <v>#N/A</v>
      </c>
      <c r="O37" s="32" t="e">
        <f t="shared" si="10"/>
        <v>#N/A</v>
      </c>
      <c r="P37" s="32" t="e">
        <f t="shared" si="11"/>
        <v>#N/A</v>
      </c>
      <c r="Q37" s="31">
        <v>125</v>
      </c>
      <c r="R37" s="32" t="e">
        <f t="shared" si="12"/>
        <v>#N/A</v>
      </c>
      <c r="S37" s="32" t="e">
        <f t="shared" si="13"/>
        <v>#N/A</v>
      </c>
      <c r="T37" s="32" t="e">
        <f t="shared" si="14"/>
        <v>#N/A</v>
      </c>
      <c r="U37" s="32" t="e">
        <f t="shared" si="15"/>
        <v>#N/A</v>
      </c>
      <c r="V37" s="32" t="e">
        <f t="shared" si="16"/>
        <v>#N/A</v>
      </c>
      <c r="W37" s="32" t="e">
        <f t="shared" si="17"/>
        <v>#N/A</v>
      </c>
      <c r="X37" s="31">
        <v>15</v>
      </c>
      <c r="Y37" s="32" t="e">
        <f t="shared" si="18"/>
        <v>#N/A</v>
      </c>
      <c r="Z37" s="32" t="e">
        <f t="shared" si="19"/>
        <v>#N/A</v>
      </c>
      <c r="AA37" s="32" t="e">
        <f t="shared" si="20"/>
        <v>#N/A</v>
      </c>
      <c r="AB37" s="32" t="e">
        <f t="shared" si="21"/>
        <v>#N/A</v>
      </c>
      <c r="AC37" s="32" t="e">
        <f t="shared" si="22"/>
        <v>#N/A</v>
      </c>
      <c r="AD37" s="32" t="e">
        <f t="shared" si="23"/>
        <v>#N/A</v>
      </c>
      <c r="AE37" s="32">
        <v>2856000</v>
      </c>
      <c r="AF37" s="32" t="e">
        <f t="shared" si="24"/>
        <v>#N/A</v>
      </c>
      <c r="AG37" s="32" t="e">
        <f t="shared" si="25"/>
        <v>#N/A</v>
      </c>
      <c r="AH37" s="32" t="e">
        <f t="shared" si="26"/>
        <v>#N/A</v>
      </c>
      <c r="AI37" s="32" t="e">
        <f t="shared" si="27"/>
        <v>#N/A</v>
      </c>
      <c r="AJ37" s="32" t="e">
        <f t="shared" si="28"/>
        <v>#N/A</v>
      </c>
      <c r="AK37" s="32" t="e">
        <f t="shared" si="29"/>
        <v>#N/A</v>
      </c>
      <c r="AL37" s="1">
        <v>9560</v>
      </c>
      <c r="AM37" s="32" t="e">
        <f t="shared" si="30"/>
        <v>#N/A</v>
      </c>
      <c r="AN37" s="32" t="e">
        <f t="shared" si="31"/>
        <v>#N/A</v>
      </c>
      <c r="AO37" s="32" t="e">
        <f t="shared" si="32"/>
        <v>#N/A</v>
      </c>
      <c r="AP37" s="32" t="e">
        <f t="shared" si="33"/>
        <v>#N/A</v>
      </c>
      <c r="AQ37" s="32" t="e">
        <f t="shared" si="34"/>
        <v>#N/A</v>
      </c>
      <c r="AR37" s="32" t="e">
        <f t="shared" si="35"/>
        <v>#N/A</v>
      </c>
    </row>
    <row r="38" spans="1:44" ht="15" thickBot="1" x14ac:dyDescent="0.35">
      <c r="A38" s="36" t="s">
        <v>91</v>
      </c>
      <c r="B38">
        <v>35</v>
      </c>
      <c r="C38" s="32">
        <v>68000</v>
      </c>
      <c r="D38" s="32" t="e">
        <f t="shared" si="0"/>
        <v>#N/A</v>
      </c>
      <c r="E38" s="32" t="e">
        <f t="shared" si="1"/>
        <v>#N/A</v>
      </c>
      <c r="F38" s="32" t="e">
        <f t="shared" si="2"/>
        <v>#N/A</v>
      </c>
      <c r="G38" s="32" t="e">
        <f t="shared" si="3"/>
        <v>#N/A</v>
      </c>
      <c r="H38" s="32" t="e">
        <f t="shared" si="4"/>
        <v>#N/A</v>
      </c>
      <c r="I38" s="32" t="e">
        <f t="shared" si="5"/>
        <v>#N/A</v>
      </c>
      <c r="J38" s="31">
        <v>810</v>
      </c>
      <c r="K38" s="32" t="e">
        <f t="shared" si="6"/>
        <v>#N/A</v>
      </c>
      <c r="L38" s="32" t="e">
        <f t="shared" si="7"/>
        <v>#N/A</v>
      </c>
      <c r="M38" s="32" t="e">
        <f t="shared" si="8"/>
        <v>#N/A</v>
      </c>
      <c r="N38" s="32" t="e">
        <f t="shared" si="9"/>
        <v>#N/A</v>
      </c>
      <c r="O38" s="32" t="e">
        <f t="shared" si="10"/>
        <v>#N/A</v>
      </c>
      <c r="P38" s="32" t="e">
        <f t="shared" si="11"/>
        <v>#N/A</v>
      </c>
      <c r="Q38" s="31">
        <v>135</v>
      </c>
      <c r="R38" s="32" t="e">
        <f t="shared" si="12"/>
        <v>#N/A</v>
      </c>
      <c r="S38" s="32" t="e">
        <f t="shared" si="13"/>
        <v>#N/A</v>
      </c>
      <c r="T38" s="32" t="e">
        <f t="shared" si="14"/>
        <v>#N/A</v>
      </c>
      <c r="U38" s="32" t="e">
        <f t="shared" si="15"/>
        <v>#N/A</v>
      </c>
      <c r="V38" s="32" t="e">
        <f t="shared" si="16"/>
        <v>#N/A</v>
      </c>
      <c r="W38" s="32" t="e">
        <f t="shared" si="17"/>
        <v>#N/A</v>
      </c>
      <c r="X38" s="31">
        <v>20</v>
      </c>
      <c r="Y38" s="32" t="e">
        <f t="shared" si="18"/>
        <v>#N/A</v>
      </c>
      <c r="Z38" s="32" t="e">
        <f t="shared" si="19"/>
        <v>#N/A</v>
      </c>
      <c r="AA38" s="32" t="e">
        <f t="shared" si="20"/>
        <v>#N/A</v>
      </c>
      <c r="AB38" s="32" t="e">
        <f t="shared" si="21"/>
        <v>#N/A</v>
      </c>
      <c r="AC38" s="32" t="e">
        <f t="shared" si="22"/>
        <v>#N/A</v>
      </c>
      <c r="AD38" s="32" t="e">
        <f t="shared" si="23"/>
        <v>#N/A</v>
      </c>
      <c r="AE38" s="32">
        <v>2958000</v>
      </c>
      <c r="AF38" s="32" t="e">
        <f t="shared" si="24"/>
        <v>#N/A</v>
      </c>
      <c r="AG38" s="32" t="e">
        <f t="shared" si="25"/>
        <v>#N/A</v>
      </c>
      <c r="AH38" s="32" t="e">
        <f t="shared" si="26"/>
        <v>#N/A</v>
      </c>
      <c r="AI38" s="32" t="e">
        <f t="shared" si="27"/>
        <v>#N/A</v>
      </c>
      <c r="AJ38" s="32" t="e">
        <f t="shared" si="28"/>
        <v>#N/A</v>
      </c>
      <c r="AK38" s="32" t="e">
        <f t="shared" si="29"/>
        <v>#N/A</v>
      </c>
      <c r="AL38" s="1">
        <v>9560</v>
      </c>
      <c r="AM38" s="32" t="e">
        <f t="shared" si="30"/>
        <v>#N/A</v>
      </c>
      <c r="AN38" s="32" t="e">
        <f t="shared" si="31"/>
        <v>#N/A</v>
      </c>
      <c r="AO38" s="32" t="e">
        <f t="shared" si="32"/>
        <v>#N/A</v>
      </c>
      <c r="AP38" s="32" t="e">
        <f t="shared" si="33"/>
        <v>#N/A</v>
      </c>
      <c r="AQ38" s="32" t="e">
        <f t="shared" si="34"/>
        <v>#N/A</v>
      </c>
      <c r="AR38" s="32" t="e">
        <f t="shared" si="35"/>
        <v>#N/A</v>
      </c>
    </row>
    <row r="39" spans="1:44" ht="15" thickBot="1" x14ac:dyDescent="0.35">
      <c r="A39" s="36" t="s">
        <v>209</v>
      </c>
      <c r="B39">
        <v>36</v>
      </c>
      <c r="C39" s="32">
        <v>70000</v>
      </c>
      <c r="D39" s="32" t="e">
        <f t="shared" si="0"/>
        <v>#N/A</v>
      </c>
      <c r="E39" s="32" t="e">
        <f t="shared" si="1"/>
        <v>#N/A</v>
      </c>
      <c r="F39" s="32" t="e">
        <f t="shared" si="2"/>
        <v>#N/A</v>
      </c>
      <c r="G39" s="32" t="e">
        <f t="shared" si="3"/>
        <v>#N/A</v>
      </c>
      <c r="H39" s="32" t="e">
        <f t="shared" si="4"/>
        <v>#N/A</v>
      </c>
      <c r="I39" s="32" t="e">
        <f t="shared" si="5"/>
        <v>#N/A</v>
      </c>
      <c r="J39" s="31">
        <v>840</v>
      </c>
      <c r="K39" s="32" t="e">
        <f t="shared" si="6"/>
        <v>#N/A</v>
      </c>
      <c r="L39" s="32" t="e">
        <f t="shared" si="7"/>
        <v>#N/A</v>
      </c>
      <c r="M39" s="32" t="e">
        <f t="shared" si="8"/>
        <v>#N/A</v>
      </c>
      <c r="N39" s="32" t="e">
        <f t="shared" si="9"/>
        <v>#N/A</v>
      </c>
      <c r="O39" s="32" t="e">
        <f t="shared" si="10"/>
        <v>#N/A</v>
      </c>
      <c r="P39" s="32" t="e">
        <f t="shared" si="11"/>
        <v>#N/A</v>
      </c>
      <c r="Q39" s="31">
        <v>140</v>
      </c>
      <c r="R39" s="32" t="e">
        <f t="shared" si="12"/>
        <v>#N/A</v>
      </c>
      <c r="S39" s="32" t="e">
        <f t="shared" si="13"/>
        <v>#N/A</v>
      </c>
      <c r="T39" s="32" t="e">
        <f t="shared" si="14"/>
        <v>#N/A</v>
      </c>
      <c r="U39" s="32" t="e">
        <f t="shared" si="15"/>
        <v>#N/A</v>
      </c>
      <c r="V39" s="32" t="e">
        <f t="shared" si="16"/>
        <v>#N/A</v>
      </c>
      <c r="W39" s="32" t="e">
        <f t="shared" si="17"/>
        <v>#N/A</v>
      </c>
      <c r="X39" s="31">
        <v>20</v>
      </c>
      <c r="Y39" s="32" t="e">
        <f t="shared" si="18"/>
        <v>#N/A</v>
      </c>
      <c r="Z39" s="32" t="e">
        <f t="shared" si="19"/>
        <v>#N/A</v>
      </c>
      <c r="AA39" s="32" t="e">
        <f t="shared" si="20"/>
        <v>#N/A</v>
      </c>
      <c r="AB39" s="32" t="e">
        <f t="shared" si="21"/>
        <v>#N/A</v>
      </c>
      <c r="AC39" s="32" t="e">
        <f t="shared" si="22"/>
        <v>#N/A</v>
      </c>
      <c r="AD39" s="32" t="e">
        <f t="shared" si="23"/>
        <v>#N/A</v>
      </c>
      <c r="AE39" s="32">
        <v>3060000</v>
      </c>
      <c r="AF39" s="32" t="e">
        <f t="shared" si="24"/>
        <v>#N/A</v>
      </c>
      <c r="AG39" s="32" t="e">
        <f t="shared" si="25"/>
        <v>#N/A</v>
      </c>
      <c r="AH39" s="32" t="e">
        <f t="shared" si="26"/>
        <v>#N/A</v>
      </c>
      <c r="AI39" s="32" t="e">
        <f t="shared" si="27"/>
        <v>#N/A</v>
      </c>
      <c r="AJ39" s="32" t="e">
        <f t="shared" si="28"/>
        <v>#N/A</v>
      </c>
      <c r="AK39" s="32" t="e">
        <f t="shared" si="29"/>
        <v>#N/A</v>
      </c>
      <c r="AL39" s="1">
        <v>9560</v>
      </c>
      <c r="AM39" s="32" t="e">
        <f t="shared" si="30"/>
        <v>#N/A</v>
      </c>
      <c r="AN39" s="32" t="e">
        <f t="shared" si="31"/>
        <v>#N/A</v>
      </c>
      <c r="AO39" s="32" t="e">
        <f t="shared" si="32"/>
        <v>#N/A</v>
      </c>
      <c r="AP39" s="32" t="e">
        <f t="shared" si="33"/>
        <v>#N/A</v>
      </c>
      <c r="AQ39" s="32" t="e">
        <f t="shared" si="34"/>
        <v>#N/A</v>
      </c>
      <c r="AR39" s="32" t="e">
        <f t="shared" si="35"/>
        <v>#N/A</v>
      </c>
    </row>
    <row r="40" spans="1:44" ht="15" thickBot="1" x14ac:dyDescent="0.35">
      <c r="A40" s="36" t="s">
        <v>210</v>
      </c>
      <c r="B40">
        <v>37</v>
      </c>
      <c r="C40" s="32">
        <v>72000</v>
      </c>
      <c r="D40" s="32" t="e">
        <f t="shared" si="0"/>
        <v>#N/A</v>
      </c>
      <c r="E40" s="32" t="e">
        <f t="shared" si="1"/>
        <v>#N/A</v>
      </c>
      <c r="F40" s="32" t="e">
        <f t="shared" si="2"/>
        <v>#N/A</v>
      </c>
      <c r="G40" s="32" t="e">
        <f t="shared" si="3"/>
        <v>#N/A</v>
      </c>
      <c r="H40" s="32" t="e">
        <f t="shared" si="4"/>
        <v>#N/A</v>
      </c>
      <c r="I40" s="32" t="e">
        <f t="shared" si="5"/>
        <v>#N/A</v>
      </c>
      <c r="J40" s="31">
        <v>870</v>
      </c>
      <c r="K40" s="32" t="e">
        <f t="shared" si="6"/>
        <v>#N/A</v>
      </c>
      <c r="L40" s="32" t="e">
        <f t="shared" si="7"/>
        <v>#N/A</v>
      </c>
      <c r="M40" s="32" t="e">
        <f t="shared" si="8"/>
        <v>#N/A</v>
      </c>
      <c r="N40" s="32" t="e">
        <f t="shared" si="9"/>
        <v>#N/A</v>
      </c>
      <c r="O40" s="32" t="e">
        <f t="shared" si="10"/>
        <v>#N/A</v>
      </c>
      <c r="P40" s="32" t="e">
        <f t="shared" si="11"/>
        <v>#N/A</v>
      </c>
      <c r="Q40" s="31">
        <v>145</v>
      </c>
      <c r="R40" s="32" t="e">
        <f t="shared" si="12"/>
        <v>#N/A</v>
      </c>
      <c r="S40" s="32" t="e">
        <f t="shared" si="13"/>
        <v>#N/A</v>
      </c>
      <c r="T40" s="32" t="e">
        <f t="shared" si="14"/>
        <v>#N/A</v>
      </c>
      <c r="U40" s="32" t="e">
        <f t="shared" si="15"/>
        <v>#N/A</v>
      </c>
      <c r="V40" s="32" t="e">
        <f t="shared" si="16"/>
        <v>#N/A</v>
      </c>
      <c r="W40" s="32" t="e">
        <f t="shared" si="17"/>
        <v>#N/A</v>
      </c>
      <c r="X40" s="31">
        <v>20</v>
      </c>
      <c r="Y40" s="32" t="e">
        <f t="shared" si="18"/>
        <v>#N/A</v>
      </c>
      <c r="Z40" s="32" t="e">
        <f t="shared" si="19"/>
        <v>#N/A</v>
      </c>
      <c r="AA40" s="32" t="e">
        <f t="shared" si="20"/>
        <v>#N/A</v>
      </c>
      <c r="AB40" s="32" t="e">
        <f t="shared" si="21"/>
        <v>#N/A</v>
      </c>
      <c r="AC40" s="32" t="e">
        <f t="shared" si="22"/>
        <v>#N/A</v>
      </c>
      <c r="AD40" s="32" t="e">
        <f t="shared" si="23"/>
        <v>#N/A</v>
      </c>
      <c r="AE40" s="32">
        <v>3162000</v>
      </c>
      <c r="AF40" s="32" t="e">
        <f t="shared" si="24"/>
        <v>#N/A</v>
      </c>
      <c r="AG40" s="32" t="e">
        <f t="shared" si="25"/>
        <v>#N/A</v>
      </c>
      <c r="AH40" s="32" t="e">
        <f t="shared" si="26"/>
        <v>#N/A</v>
      </c>
      <c r="AI40" s="32" t="e">
        <f t="shared" si="27"/>
        <v>#N/A</v>
      </c>
      <c r="AJ40" s="32" t="e">
        <f t="shared" si="28"/>
        <v>#N/A</v>
      </c>
      <c r="AK40" s="32" t="e">
        <f t="shared" si="29"/>
        <v>#N/A</v>
      </c>
      <c r="AL40" s="1">
        <v>9560</v>
      </c>
      <c r="AM40" s="32" t="e">
        <f t="shared" si="30"/>
        <v>#N/A</v>
      </c>
      <c r="AN40" s="32" t="e">
        <f t="shared" si="31"/>
        <v>#N/A</v>
      </c>
      <c r="AO40" s="32" t="e">
        <f t="shared" si="32"/>
        <v>#N/A</v>
      </c>
      <c r="AP40" s="32" t="e">
        <f t="shared" si="33"/>
        <v>#N/A</v>
      </c>
      <c r="AQ40" s="32" t="e">
        <f t="shared" si="34"/>
        <v>#N/A</v>
      </c>
      <c r="AR40" s="32" t="e">
        <f t="shared" si="35"/>
        <v>#N/A</v>
      </c>
    </row>
    <row r="41" spans="1:44" ht="15" thickBot="1" x14ac:dyDescent="0.35">
      <c r="A41" s="36" t="s">
        <v>211</v>
      </c>
      <c r="B41">
        <v>38</v>
      </c>
      <c r="C41" s="32">
        <v>74000</v>
      </c>
      <c r="D41" s="32" t="e">
        <f t="shared" si="0"/>
        <v>#N/A</v>
      </c>
      <c r="E41" s="32" t="e">
        <f t="shared" si="1"/>
        <v>#N/A</v>
      </c>
      <c r="F41" s="32" t="e">
        <f t="shared" si="2"/>
        <v>#N/A</v>
      </c>
      <c r="G41" s="32" t="e">
        <f t="shared" si="3"/>
        <v>#N/A</v>
      </c>
      <c r="H41" s="32" t="e">
        <f t="shared" si="4"/>
        <v>#N/A</v>
      </c>
      <c r="I41" s="32" t="e">
        <f t="shared" si="5"/>
        <v>#N/A</v>
      </c>
      <c r="J41" s="31">
        <v>900</v>
      </c>
      <c r="K41" s="32" t="e">
        <f t="shared" si="6"/>
        <v>#N/A</v>
      </c>
      <c r="L41" s="32" t="e">
        <f t="shared" si="7"/>
        <v>#N/A</v>
      </c>
      <c r="M41" s="32" t="e">
        <f t="shared" si="8"/>
        <v>#N/A</v>
      </c>
      <c r="N41" s="32" t="e">
        <f t="shared" si="9"/>
        <v>#N/A</v>
      </c>
      <c r="O41" s="32" t="e">
        <f t="shared" si="10"/>
        <v>#N/A</v>
      </c>
      <c r="P41" s="32" t="e">
        <f t="shared" si="11"/>
        <v>#N/A</v>
      </c>
      <c r="Q41" s="31">
        <v>150</v>
      </c>
      <c r="R41" s="32" t="e">
        <f t="shared" si="12"/>
        <v>#N/A</v>
      </c>
      <c r="S41" s="32" t="e">
        <f t="shared" si="13"/>
        <v>#N/A</v>
      </c>
      <c r="T41" s="32" t="e">
        <f t="shared" si="14"/>
        <v>#N/A</v>
      </c>
      <c r="U41" s="32" t="e">
        <f t="shared" si="15"/>
        <v>#N/A</v>
      </c>
      <c r="V41" s="32" t="e">
        <f t="shared" si="16"/>
        <v>#N/A</v>
      </c>
      <c r="W41" s="32" t="e">
        <f t="shared" si="17"/>
        <v>#N/A</v>
      </c>
      <c r="X41" s="31">
        <v>20</v>
      </c>
      <c r="Y41" s="32" t="e">
        <f t="shared" si="18"/>
        <v>#N/A</v>
      </c>
      <c r="Z41" s="32" t="e">
        <f t="shared" si="19"/>
        <v>#N/A</v>
      </c>
      <c r="AA41" s="32" t="e">
        <f t="shared" si="20"/>
        <v>#N/A</v>
      </c>
      <c r="AB41" s="32" t="e">
        <f t="shared" si="21"/>
        <v>#N/A</v>
      </c>
      <c r="AC41" s="32" t="e">
        <f t="shared" si="22"/>
        <v>#N/A</v>
      </c>
      <c r="AD41" s="32" t="e">
        <f t="shared" si="23"/>
        <v>#N/A</v>
      </c>
      <c r="AE41" s="32">
        <v>3264000</v>
      </c>
      <c r="AF41" s="32" t="e">
        <f t="shared" si="24"/>
        <v>#N/A</v>
      </c>
      <c r="AG41" s="32" t="e">
        <f t="shared" si="25"/>
        <v>#N/A</v>
      </c>
      <c r="AH41" s="32" t="e">
        <f t="shared" si="26"/>
        <v>#N/A</v>
      </c>
      <c r="AI41" s="32" t="e">
        <f t="shared" si="27"/>
        <v>#N/A</v>
      </c>
      <c r="AJ41" s="32" t="e">
        <f t="shared" si="28"/>
        <v>#N/A</v>
      </c>
      <c r="AK41" s="32" t="e">
        <f t="shared" si="29"/>
        <v>#N/A</v>
      </c>
      <c r="AL41" s="1">
        <v>9560</v>
      </c>
      <c r="AM41" s="32" t="e">
        <f t="shared" si="30"/>
        <v>#N/A</v>
      </c>
      <c r="AN41" s="32" t="e">
        <f t="shared" si="31"/>
        <v>#N/A</v>
      </c>
      <c r="AO41" s="32" t="e">
        <f t="shared" si="32"/>
        <v>#N/A</v>
      </c>
      <c r="AP41" s="32" t="e">
        <f t="shared" si="33"/>
        <v>#N/A</v>
      </c>
      <c r="AQ41" s="32" t="e">
        <f t="shared" si="34"/>
        <v>#N/A</v>
      </c>
      <c r="AR41" s="32" t="e">
        <f t="shared" si="35"/>
        <v>#N/A</v>
      </c>
    </row>
    <row r="42" spans="1:44" ht="15" thickBot="1" x14ac:dyDescent="0.35">
      <c r="A42" s="36" t="s">
        <v>92</v>
      </c>
      <c r="B42">
        <v>39</v>
      </c>
      <c r="C42" s="32">
        <v>77000</v>
      </c>
      <c r="D42" s="32" t="e">
        <f t="shared" si="0"/>
        <v>#N/A</v>
      </c>
      <c r="E42" s="32" t="e">
        <f t="shared" si="1"/>
        <v>#N/A</v>
      </c>
      <c r="F42" s="32" t="e">
        <f t="shared" si="2"/>
        <v>#N/A</v>
      </c>
      <c r="G42" s="32" t="e">
        <f t="shared" si="3"/>
        <v>#N/A</v>
      </c>
      <c r="H42" s="32" t="e">
        <f t="shared" si="4"/>
        <v>#N/A</v>
      </c>
      <c r="I42" s="32" t="e">
        <f t="shared" si="5"/>
        <v>#N/A</v>
      </c>
      <c r="J42" s="31">
        <v>950</v>
      </c>
      <c r="K42" s="32" t="e">
        <f t="shared" si="6"/>
        <v>#N/A</v>
      </c>
      <c r="L42" s="32" t="e">
        <f t="shared" si="7"/>
        <v>#N/A</v>
      </c>
      <c r="M42" s="32" t="e">
        <f t="shared" si="8"/>
        <v>#N/A</v>
      </c>
      <c r="N42" s="32" t="e">
        <f t="shared" si="9"/>
        <v>#N/A</v>
      </c>
      <c r="O42" s="32" t="e">
        <f t="shared" si="10"/>
        <v>#N/A</v>
      </c>
      <c r="P42" s="32" t="e">
        <f t="shared" si="11"/>
        <v>#N/A</v>
      </c>
      <c r="Q42" s="31">
        <v>160</v>
      </c>
      <c r="R42" s="32" t="e">
        <f t="shared" si="12"/>
        <v>#N/A</v>
      </c>
      <c r="S42" s="32" t="e">
        <f t="shared" si="13"/>
        <v>#N/A</v>
      </c>
      <c r="T42" s="32" t="e">
        <f t="shared" si="14"/>
        <v>#N/A</v>
      </c>
      <c r="U42" s="32" t="e">
        <f t="shared" si="15"/>
        <v>#N/A</v>
      </c>
      <c r="V42" s="32" t="e">
        <f t="shared" si="16"/>
        <v>#N/A</v>
      </c>
      <c r="W42" s="32" t="e">
        <f t="shared" si="17"/>
        <v>#N/A</v>
      </c>
      <c r="X42" s="31">
        <v>25</v>
      </c>
      <c r="Y42" s="32" t="e">
        <f t="shared" si="18"/>
        <v>#N/A</v>
      </c>
      <c r="Z42" s="32" t="e">
        <f t="shared" si="19"/>
        <v>#N/A</v>
      </c>
      <c r="AA42" s="32" t="e">
        <f t="shared" si="20"/>
        <v>#N/A</v>
      </c>
      <c r="AB42" s="32" t="e">
        <f t="shared" si="21"/>
        <v>#N/A</v>
      </c>
      <c r="AC42" s="32" t="e">
        <f t="shared" si="22"/>
        <v>#N/A</v>
      </c>
      <c r="AD42" s="32" t="e">
        <f t="shared" si="23"/>
        <v>#N/A</v>
      </c>
      <c r="AE42" s="32">
        <v>3366000</v>
      </c>
      <c r="AF42" s="32" t="e">
        <f t="shared" si="24"/>
        <v>#N/A</v>
      </c>
      <c r="AG42" s="32" t="e">
        <f t="shared" si="25"/>
        <v>#N/A</v>
      </c>
      <c r="AH42" s="32" t="e">
        <f t="shared" si="26"/>
        <v>#N/A</v>
      </c>
      <c r="AI42" s="32" t="e">
        <f t="shared" si="27"/>
        <v>#N/A</v>
      </c>
      <c r="AJ42" s="32" t="e">
        <f t="shared" si="28"/>
        <v>#N/A</v>
      </c>
      <c r="AK42" s="32" t="e">
        <f t="shared" si="29"/>
        <v>#N/A</v>
      </c>
      <c r="AL42" s="1">
        <v>9560</v>
      </c>
      <c r="AM42" s="32" t="e">
        <f t="shared" si="30"/>
        <v>#N/A</v>
      </c>
      <c r="AN42" s="32" t="e">
        <f t="shared" si="31"/>
        <v>#N/A</v>
      </c>
      <c r="AO42" s="32" t="e">
        <f t="shared" si="32"/>
        <v>#N/A</v>
      </c>
      <c r="AP42" s="32" t="e">
        <f t="shared" si="33"/>
        <v>#N/A</v>
      </c>
      <c r="AQ42" s="32" t="e">
        <f t="shared" si="34"/>
        <v>#N/A</v>
      </c>
      <c r="AR42" s="32" t="e">
        <f t="shared" si="35"/>
        <v>#N/A</v>
      </c>
    </row>
    <row r="43" spans="1:44" ht="15" thickBot="1" x14ac:dyDescent="0.35">
      <c r="A43" s="36" t="s">
        <v>212</v>
      </c>
      <c r="B43">
        <v>40</v>
      </c>
      <c r="C43" s="32">
        <v>80000</v>
      </c>
      <c r="D43" s="32" t="e">
        <f t="shared" si="0"/>
        <v>#N/A</v>
      </c>
      <c r="E43" s="32" t="e">
        <f t="shared" si="1"/>
        <v>#N/A</v>
      </c>
      <c r="F43" s="32" t="e">
        <f t="shared" si="2"/>
        <v>#N/A</v>
      </c>
      <c r="G43" s="32" t="e">
        <f t="shared" si="3"/>
        <v>#N/A</v>
      </c>
      <c r="H43" s="32" t="e">
        <f t="shared" si="4"/>
        <v>#N/A</v>
      </c>
      <c r="I43" s="32" t="e">
        <f t="shared" si="5"/>
        <v>#N/A</v>
      </c>
      <c r="J43" s="31">
        <v>990</v>
      </c>
      <c r="K43" s="32" t="e">
        <f t="shared" si="6"/>
        <v>#N/A</v>
      </c>
      <c r="L43" s="32" t="e">
        <f t="shared" si="7"/>
        <v>#N/A</v>
      </c>
      <c r="M43" s="32" t="e">
        <f t="shared" si="8"/>
        <v>#N/A</v>
      </c>
      <c r="N43" s="32" t="e">
        <f t="shared" si="9"/>
        <v>#N/A</v>
      </c>
      <c r="O43" s="32" t="e">
        <f t="shared" si="10"/>
        <v>#N/A</v>
      </c>
      <c r="P43" s="32" t="e">
        <f t="shared" si="11"/>
        <v>#N/A</v>
      </c>
      <c r="Q43" s="31">
        <v>165</v>
      </c>
      <c r="R43" s="32" t="e">
        <f t="shared" si="12"/>
        <v>#N/A</v>
      </c>
      <c r="S43" s="32" t="e">
        <f t="shared" si="13"/>
        <v>#N/A</v>
      </c>
      <c r="T43" s="32" t="e">
        <f t="shared" si="14"/>
        <v>#N/A</v>
      </c>
      <c r="U43" s="32" t="e">
        <f t="shared" si="15"/>
        <v>#N/A</v>
      </c>
      <c r="V43" s="32" t="e">
        <f t="shared" si="16"/>
        <v>#N/A</v>
      </c>
      <c r="W43" s="32" t="e">
        <f t="shared" si="17"/>
        <v>#N/A</v>
      </c>
      <c r="X43" s="31">
        <v>25</v>
      </c>
      <c r="Y43" s="32" t="e">
        <f t="shared" si="18"/>
        <v>#N/A</v>
      </c>
      <c r="Z43" s="32" t="e">
        <f t="shared" si="19"/>
        <v>#N/A</v>
      </c>
      <c r="AA43" s="32" t="e">
        <f t="shared" si="20"/>
        <v>#N/A</v>
      </c>
      <c r="AB43" s="32" t="e">
        <f t="shared" si="21"/>
        <v>#N/A</v>
      </c>
      <c r="AC43" s="32" t="e">
        <f t="shared" si="22"/>
        <v>#N/A</v>
      </c>
      <c r="AD43" s="32" t="e">
        <f t="shared" si="23"/>
        <v>#N/A</v>
      </c>
      <c r="AE43" s="32">
        <v>3468000</v>
      </c>
      <c r="AF43" s="32" t="e">
        <f t="shared" si="24"/>
        <v>#N/A</v>
      </c>
      <c r="AG43" s="32" t="e">
        <f t="shared" si="25"/>
        <v>#N/A</v>
      </c>
      <c r="AH43" s="32" t="e">
        <f t="shared" si="26"/>
        <v>#N/A</v>
      </c>
      <c r="AI43" s="32" t="e">
        <f t="shared" si="27"/>
        <v>#N/A</v>
      </c>
      <c r="AJ43" s="32" t="e">
        <f t="shared" si="28"/>
        <v>#N/A</v>
      </c>
      <c r="AK43" s="32" t="e">
        <f t="shared" si="29"/>
        <v>#N/A</v>
      </c>
      <c r="AL43" s="1">
        <v>9560</v>
      </c>
      <c r="AM43" s="32" t="e">
        <f t="shared" si="30"/>
        <v>#N/A</v>
      </c>
      <c r="AN43" s="32" t="e">
        <f t="shared" si="31"/>
        <v>#N/A</v>
      </c>
      <c r="AO43" s="32" t="e">
        <f t="shared" si="32"/>
        <v>#N/A</v>
      </c>
      <c r="AP43" s="32" t="e">
        <f t="shared" si="33"/>
        <v>#N/A</v>
      </c>
      <c r="AQ43" s="32" t="e">
        <f t="shared" si="34"/>
        <v>#N/A</v>
      </c>
      <c r="AR43" s="32" t="e">
        <f t="shared" si="35"/>
        <v>#N/A</v>
      </c>
    </row>
    <row r="44" spans="1:44" ht="15" thickBot="1" x14ac:dyDescent="0.35">
      <c r="A44" s="36" t="s">
        <v>213</v>
      </c>
      <c r="B44">
        <v>41</v>
      </c>
      <c r="C44" s="32">
        <v>83000</v>
      </c>
      <c r="D44" s="32" t="e">
        <f t="shared" si="0"/>
        <v>#N/A</v>
      </c>
      <c r="E44" s="32" t="e">
        <f t="shared" si="1"/>
        <v>#N/A</v>
      </c>
      <c r="F44" s="32" t="e">
        <f t="shared" si="2"/>
        <v>#N/A</v>
      </c>
      <c r="G44" s="32" t="e">
        <f t="shared" si="3"/>
        <v>#N/A</v>
      </c>
      <c r="H44" s="32" t="e">
        <f t="shared" si="4"/>
        <v>#N/A</v>
      </c>
      <c r="I44" s="32" t="e">
        <f t="shared" si="5"/>
        <v>#N/A</v>
      </c>
      <c r="J44" s="32">
        <v>1030</v>
      </c>
      <c r="K44" s="32" t="e">
        <f t="shared" si="6"/>
        <v>#N/A</v>
      </c>
      <c r="L44" s="32" t="e">
        <f t="shared" si="7"/>
        <v>#N/A</v>
      </c>
      <c r="M44" s="32" t="e">
        <f t="shared" si="8"/>
        <v>#N/A</v>
      </c>
      <c r="N44" s="32" t="e">
        <f t="shared" si="9"/>
        <v>#N/A</v>
      </c>
      <c r="O44" s="32" t="e">
        <f t="shared" si="10"/>
        <v>#N/A</v>
      </c>
      <c r="P44" s="32" t="e">
        <f t="shared" si="11"/>
        <v>#N/A</v>
      </c>
      <c r="Q44" s="31">
        <v>170</v>
      </c>
      <c r="R44" s="32" t="e">
        <f t="shared" si="12"/>
        <v>#N/A</v>
      </c>
      <c r="S44" s="32" t="e">
        <f t="shared" si="13"/>
        <v>#N/A</v>
      </c>
      <c r="T44" s="32" t="e">
        <f t="shared" si="14"/>
        <v>#N/A</v>
      </c>
      <c r="U44" s="32" t="e">
        <f t="shared" si="15"/>
        <v>#N/A</v>
      </c>
      <c r="V44" s="32" t="e">
        <f t="shared" si="16"/>
        <v>#N/A</v>
      </c>
      <c r="W44" s="32" t="e">
        <f t="shared" si="17"/>
        <v>#N/A</v>
      </c>
      <c r="X44" s="31">
        <v>25</v>
      </c>
      <c r="Y44" s="32" t="e">
        <f t="shared" si="18"/>
        <v>#N/A</v>
      </c>
      <c r="Z44" s="32" t="e">
        <f t="shared" si="19"/>
        <v>#N/A</v>
      </c>
      <c r="AA44" s="32" t="e">
        <f t="shared" si="20"/>
        <v>#N/A</v>
      </c>
      <c r="AB44" s="32" t="e">
        <f t="shared" si="21"/>
        <v>#N/A</v>
      </c>
      <c r="AC44" s="32" t="e">
        <f t="shared" si="22"/>
        <v>#N/A</v>
      </c>
      <c r="AD44" s="32" t="e">
        <f t="shared" si="23"/>
        <v>#N/A</v>
      </c>
      <c r="AE44" s="32">
        <v>3570000</v>
      </c>
      <c r="AF44" s="32" t="e">
        <f t="shared" si="24"/>
        <v>#N/A</v>
      </c>
      <c r="AG44" s="32" t="e">
        <f t="shared" si="25"/>
        <v>#N/A</v>
      </c>
      <c r="AH44" s="32" t="e">
        <f t="shared" si="26"/>
        <v>#N/A</v>
      </c>
      <c r="AI44" s="32" t="e">
        <f t="shared" si="27"/>
        <v>#N/A</v>
      </c>
      <c r="AJ44" s="32" t="e">
        <f t="shared" si="28"/>
        <v>#N/A</v>
      </c>
      <c r="AK44" s="32" t="e">
        <f t="shared" si="29"/>
        <v>#N/A</v>
      </c>
      <c r="AL44" s="1">
        <v>9560</v>
      </c>
      <c r="AM44" s="32" t="e">
        <f t="shared" si="30"/>
        <v>#N/A</v>
      </c>
      <c r="AN44" s="32" t="e">
        <f t="shared" si="31"/>
        <v>#N/A</v>
      </c>
      <c r="AO44" s="32" t="e">
        <f t="shared" si="32"/>
        <v>#N/A</v>
      </c>
      <c r="AP44" s="32" t="e">
        <f t="shared" si="33"/>
        <v>#N/A</v>
      </c>
      <c r="AQ44" s="32" t="e">
        <f t="shared" si="34"/>
        <v>#N/A</v>
      </c>
      <c r="AR44" s="32" t="e">
        <f t="shared" si="35"/>
        <v>#N/A</v>
      </c>
    </row>
    <row r="45" spans="1:44" ht="15" thickBot="1" x14ac:dyDescent="0.35">
      <c r="A45" s="36" t="s">
        <v>214</v>
      </c>
      <c r="B45">
        <v>42</v>
      </c>
      <c r="C45" s="32">
        <v>86000</v>
      </c>
      <c r="D45" s="32" t="e">
        <f t="shared" si="0"/>
        <v>#N/A</v>
      </c>
      <c r="E45" s="32" t="e">
        <f t="shared" si="1"/>
        <v>#N/A</v>
      </c>
      <c r="F45" s="32" t="e">
        <f t="shared" si="2"/>
        <v>#N/A</v>
      </c>
      <c r="G45" s="32" t="e">
        <f t="shared" si="3"/>
        <v>#N/A</v>
      </c>
      <c r="H45" s="32" t="e">
        <f t="shared" si="4"/>
        <v>#N/A</v>
      </c>
      <c r="I45" s="32" t="e">
        <f t="shared" si="5"/>
        <v>#N/A</v>
      </c>
      <c r="J45" s="32">
        <v>1070</v>
      </c>
      <c r="K45" s="32" t="e">
        <f t="shared" si="6"/>
        <v>#N/A</v>
      </c>
      <c r="L45" s="32" t="e">
        <f t="shared" si="7"/>
        <v>#N/A</v>
      </c>
      <c r="M45" s="32" t="e">
        <f t="shared" si="8"/>
        <v>#N/A</v>
      </c>
      <c r="N45" s="32" t="e">
        <f t="shared" si="9"/>
        <v>#N/A</v>
      </c>
      <c r="O45" s="32" t="e">
        <f t="shared" si="10"/>
        <v>#N/A</v>
      </c>
      <c r="P45" s="32" t="e">
        <f t="shared" si="11"/>
        <v>#N/A</v>
      </c>
      <c r="Q45" s="31">
        <v>180</v>
      </c>
      <c r="R45" s="32" t="e">
        <f t="shared" si="12"/>
        <v>#N/A</v>
      </c>
      <c r="S45" s="32" t="e">
        <f t="shared" si="13"/>
        <v>#N/A</v>
      </c>
      <c r="T45" s="32" t="e">
        <f t="shared" si="14"/>
        <v>#N/A</v>
      </c>
      <c r="U45" s="32" t="e">
        <f t="shared" si="15"/>
        <v>#N/A</v>
      </c>
      <c r="V45" s="32" t="e">
        <f t="shared" si="16"/>
        <v>#N/A</v>
      </c>
      <c r="W45" s="32" t="e">
        <f t="shared" si="17"/>
        <v>#N/A</v>
      </c>
      <c r="X45" s="31">
        <v>25</v>
      </c>
      <c r="Y45" s="32" t="e">
        <f t="shared" si="18"/>
        <v>#N/A</v>
      </c>
      <c r="Z45" s="32" t="e">
        <f t="shared" si="19"/>
        <v>#N/A</v>
      </c>
      <c r="AA45" s="32" t="e">
        <f t="shared" si="20"/>
        <v>#N/A</v>
      </c>
      <c r="AB45" s="32" t="e">
        <f t="shared" si="21"/>
        <v>#N/A</v>
      </c>
      <c r="AC45" s="32" t="e">
        <f t="shared" si="22"/>
        <v>#N/A</v>
      </c>
      <c r="AD45" s="32" t="e">
        <f t="shared" si="23"/>
        <v>#N/A</v>
      </c>
      <c r="AE45" s="32">
        <v>3672000</v>
      </c>
      <c r="AF45" s="32" t="e">
        <f t="shared" si="24"/>
        <v>#N/A</v>
      </c>
      <c r="AG45" s="32" t="e">
        <f t="shared" si="25"/>
        <v>#N/A</v>
      </c>
      <c r="AH45" s="32" t="e">
        <f t="shared" si="26"/>
        <v>#N/A</v>
      </c>
      <c r="AI45" s="32" t="e">
        <f t="shared" si="27"/>
        <v>#N/A</v>
      </c>
      <c r="AJ45" s="32" t="e">
        <f t="shared" si="28"/>
        <v>#N/A</v>
      </c>
      <c r="AK45" s="32" t="e">
        <f t="shared" si="29"/>
        <v>#N/A</v>
      </c>
      <c r="AL45" s="1">
        <v>9560</v>
      </c>
      <c r="AM45" s="32" t="e">
        <f t="shared" si="30"/>
        <v>#N/A</v>
      </c>
      <c r="AN45" s="32" t="e">
        <f t="shared" si="31"/>
        <v>#N/A</v>
      </c>
      <c r="AO45" s="32" t="e">
        <f t="shared" si="32"/>
        <v>#N/A</v>
      </c>
      <c r="AP45" s="32" t="e">
        <f t="shared" si="33"/>
        <v>#N/A</v>
      </c>
      <c r="AQ45" s="32" t="e">
        <f t="shared" si="34"/>
        <v>#N/A</v>
      </c>
      <c r="AR45" s="32" t="e">
        <f t="shared" si="35"/>
        <v>#N/A</v>
      </c>
    </row>
    <row r="47" spans="1:44" x14ac:dyDescent="0.3">
      <c r="C47" s="38">
        <f>SUM(C4:C45)</f>
        <v>1550500</v>
      </c>
      <c r="D47" s="38" t="e">
        <f t="shared" ref="D47:AD47" si="36">SUM(D4:D45)</f>
        <v>#N/A</v>
      </c>
      <c r="E47" s="38" t="e">
        <f t="shared" si="36"/>
        <v>#N/A</v>
      </c>
      <c r="F47" s="38" t="e">
        <f t="shared" si="36"/>
        <v>#N/A</v>
      </c>
      <c r="G47" s="38" t="e">
        <f t="shared" si="36"/>
        <v>#N/A</v>
      </c>
      <c r="H47" s="38" t="e">
        <f t="shared" si="36"/>
        <v>#N/A</v>
      </c>
      <c r="I47" s="38" t="e">
        <f t="shared" si="36"/>
        <v>#N/A</v>
      </c>
      <c r="J47" s="38">
        <f>SUM(J4:J45)</f>
        <v>17460</v>
      </c>
      <c r="K47" s="38" t="e">
        <f t="shared" si="36"/>
        <v>#N/A</v>
      </c>
      <c r="L47" s="38" t="e">
        <f t="shared" si="36"/>
        <v>#N/A</v>
      </c>
      <c r="M47" s="38" t="e">
        <f t="shared" si="36"/>
        <v>#N/A</v>
      </c>
      <c r="N47" s="38" t="e">
        <f t="shared" si="36"/>
        <v>#N/A</v>
      </c>
      <c r="O47" s="38" t="e">
        <f t="shared" si="36"/>
        <v>#N/A</v>
      </c>
      <c r="P47" s="38" t="e">
        <f t="shared" si="36"/>
        <v>#N/A</v>
      </c>
      <c r="Q47" s="38">
        <f>SUM(Q4:Q45)</f>
        <v>3390</v>
      </c>
      <c r="R47" s="38" t="e">
        <f t="shared" si="36"/>
        <v>#N/A</v>
      </c>
      <c r="S47" s="38" t="e">
        <f t="shared" si="36"/>
        <v>#N/A</v>
      </c>
      <c r="T47" s="38" t="e">
        <f t="shared" si="36"/>
        <v>#N/A</v>
      </c>
      <c r="U47" s="38" t="e">
        <f t="shared" si="36"/>
        <v>#N/A</v>
      </c>
      <c r="V47" s="38" t="e">
        <f t="shared" si="36"/>
        <v>#N/A</v>
      </c>
      <c r="W47" s="38" t="e">
        <f t="shared" si="36"/>
        <v>#N/A</v>
      </c>
      <c r="X47" s="38">
        <f>SUM(X4:X45)</f>
        <v>280</v>
      </c>
      <c r="Y47" s="38" t="e">
        <f t="shared" si="36"/>
        <v>#N/A</v>
      </c>
      <c r="Z47" s="38" t="e">
        <f t="shared" si="36"/>
        <v>#N/A</v>
      </c>
      <c r="AA47" s="38" t="e">
        <f t="shared" si="36"/>
        <v>#N/A</v>
      </c>
      <c r="AB47" s="38" t="e">
        <f t="shared" si="36"/>
        <v>#N/A</v>
      </c>
      <c r="AC47" s="38" t="e">
        <f t="shared" si="36"/>
        <v>#N/A</v>
      </c>
      <c r="AD47" s="38" t="e">
        <f t="shared" si="36"/>
        <v>#N/A</v>
      </c>
      <c r="AE47" s="38">
        <f>SUM(AE4:AE45)</f>
        <v>78152400</v>
      </c>
      <c r="AM47" s="38" t="e">
        <f>SUM(AM4:AM45)</f>
        <v>#N/A</v>
      </c>
      <c r="AN47" s="38" t="e">
        <f t="shared" ref="AN47:AR47" si="37">SUM(AN4:AN45)</f>
        <v>#N/A</v>
      </c>
      <c r="AO47" s="38" t="e">
        <f t="shared" si="37"/>
        <v>#N/A</v>
      </c>
      <c r="AP47" s="38" t="e">
        <f t="shared" si="37"/>
        <v>#N/A</v>
      </c>
      <c r="AQ47" s="38" t="e">
        <f t="shared" si="37"/>
        <v>#N/A</v>
      </c>
      <c r="AR47" s="38" t="e">
        <f t="shared" si="37"/>
        <v>#N/A</v>
      </c>
    </row>
    <row r="48" spans="1:44" x14ac:dyDescent="0.3">
      <c r="F48" s="9" t="s">
        <v>128</v>
      </c>
      <c r="G48" s="38" t="e">
        <f>SUM(D47:I47)</f>
        <v>#N/A</v>
      </c>
      <c r="M48" s="9" t="s">
        <v>127</v>
      </c>
      <c r="N48" s="38" t="e">
        <f>SUM(K47:P47)</f>
        <v>#N/A</v>
      </c>
      <c r="T48" s="9" t="s">
        <v>132</v>
      </c>
      <c r="U48" s="38" t="e">
        <f>SUM(R47:W47)</f>
        <v>#N/A</v>
      </c>
      <c r="AA48" s="9" t="s">
        <v>129</v>
      </c>
      <c r="AB48" s="38" t="e">
        <f>SUM(Y47:AD47)</f>
        <v>#N/A</v>
      </c>
    </row>
    <row r="50" spans="2:78" ht="15" thickBot="1" x14ac:dyDescent="0.35">
      <c r="AP50" s="4" t="str">
        <f>IF($B53&lt;HatLeftCurrentLevel,"",IF($B53=HatLeftCurrentLevel,$AO53,IF($B53=HatLeftDesiredLevel,$AO53,"")))</f>
        <v/>
      </c>
    </row>
    <row r="51" spans="2:78" ht="15" thickBot="1" x14ac:dyDescent="0.35">
      <c r="B51" s="40" t="s">
        <v>100</v>
      </c>
      <c r="C51" s="595" t="s">
        <v>101</v>
      </c>
      <c r="D51" s="519"/>
      <c r="E51" s="519"/>
      <c r="F51" s="519"/>
      <c r="G51" s="519"/>
      <c r="H51" s="519"/>
      <c r="I51" s="519"/>
      <c r="J51" s="519"/>
      <c r="K51" s="519"/>
      <c r="L51" s="519"/>
      <c r="M51" s="519"/>
      <c r="N51" s="519"/>
      <c r="O51" s="519"/>
      <c r="P51" s="519"/>
      <c r="Q51" s="519"/>
      <c r="R51" s="519"/>
      <c r="S51" s="519"/>
      <c r="T51" s="519"/>
      <c r="U51" s="596"/>
      <c r="V51" s="595" t="s">
        <v>102</v>
      </c>
      <c r="W51" s="519"/>
      <c r="X51" s="519"/>
      <c r="Y51" s="519"/>
      <c r="Z51" s="519"/>
      <c r="AA51" s="519"/>
      <c r="AB51" s="519"/>
      <c r="AC51" s="519"/>
      <c r="AD51" s="519"/>
      <c r="AE51" s="519"/>
      <c r="AF51" s="519"/>
      <c r="AG51" s="519"/>
      <c r="AH51" s="519"/>
      <c r="AI51" s="519"/>
      <c r="AJ51" s="519"/>
      <c r="AK51" s="519"/>
      <c r="AL51" s="519"/>
      <c r="AM51" s="519"/>
      <c r="AN51" s="596"/>
      <c r="AO51" s="389" t="s">
        <v>79</v>
      </c>
      <c r="AP51" s="450"/>
      <c r="AQ51" s="450"/>
      <c r="AR51" s="450"/>
      <c r="AS51" s="450"/>
      <c r="AT51" s="450"/>
      <c r="AU51" s="450"/>
      <c r="AV51" s="450"/>
      <c r="AW51" s="450"/>
      <c r="AX51" s="450"/>
      <c r="AY51" s="450"/>
      <c r="AZ51" s="450"/>
      <c r="BA51" s="450"/>
      <c r="BB51" s="450"/>
      <c r="BC51" s="450"/>
      <c r="BD51" s="450"/>
      <c r="BE51" s="450"/>
      <c r="BF51" s="450"/>
      <c r="BG51" s="390"/>
      <c r="BH51" s="597" t="s">
        <v>168</v>
      </c>
      <c r="BI51" s="598"/>
      <c r="BJ51" s="598"/>
      <c r="BK51" s="598"/>
      <c r="BL51" s="598"/>
      <c r="BM51" s="598"/>
      <c r="BN51" s="598"/>
      <c r="BO51" s="598"/>
      <c r="BP51" s="598"/>
      <c r="BQ51" s="598"/>
      <c r="BR51" s="598"/>
      <c r="BS51" s="598"/>
      <c r="BT51" s="598"/>
      <c r="BU51" s="598"/>
      <c r="BV51" s="598"/>
      <c r="BW51" s="598"/>
      <c r="BX51" s="598"/>
      <c r="BY51" s="598"/>
      <c r="BZ51" s="598"/>
    </row>
    <row r="52" spans="2:78" ht="15" thickBot="1" x14ac:dyDescent="0.35">
      <c r="B52" s="35">
        <v>0</v>
      </c>
      <c r="C52" s="39" t="s">
        <v>25</v>
      </c>
      <c r="D52" s="37" t="s">
        <v>109</v>
      </c>
      <c r="E52" s="37" t="s">
        <v>110</v>
      </c>
      <c r="F52" s="37" t="s">
        <v>111</v>
      </c>
      <c r="G52" s="37" t="s">
        <v>112</v>
      </c>
      <c r="H52" s="37" t="s">
        <v>113</v>
      </c>
      <c r="I52" s="37" t="s">
        <v>114</v>
      </c>
      <c r="J52" s="37" t="s">
        <v>133</v>
      </c>
      <c r="K52" s="37" t="s">
        <v>116</v>
      </c>
      <c r="L52" s="37" t="s">
        <v>117</v>
      </c>
      <c r="M52" s="37" t="s">
        <v>118</v>
      </c>
      <c r="N52" s="37" t="s">
        <v>119</v>
      </c>
      <c r="O52" s="37" t="s">
        <v>120</v>
      </c>
      <c r="P52" s="37" t="s">
        <v>121</v>
      </c>
      <c r="Q52" s="37" t="s">
        <v>122</v>
      </c>
      <c r="R52" s="37" t="s">
        <v>123</v>
      </c>
      <c r="S52" s="37" t="s">
        <v>124</v>
      </c>
      <c r="T52" s="37" t="s">
        <v>125</v>
      </c>
      <c r="U52" s="37" t="s">
        <v>126</v>
      </c>
      <c r="V52" s="39" t="s">
        <v>25</v>
      </c>
      <c r="W52" s="37" t="s">
        <v>109</v>
      </c>
      <c r="X52" s="37" t="s">
        <v>110</v>
      </c>
      <c r="Y52" s="37" t="s">
        <v>111</v>
      </c>
      <c r="Z52" s="37" t="s">
        <v>112</v>
      </c>
      <c r="AA52" s="37" t="s">
        <v>113</v>
      </c>
      <c r="AB52" s="37" t="s">
        <v>114</v>
      </c>
      <c r="AC52" s="37" t="s">
        <v>115</v>
      </c>
      <c r="AD52" s="37" t="s">
        <v>116</v>
      </c>
      <c r="AE52" s="37" t="s">
        <v>117</v>
      </c>
      <c r="AF52" s="37" t="s">
        <v>118</v>
      </c>
      <c r="AG52" s="37" t="s">
        <v>119</v>
      </c>
      <c r="AH52" s="37" t="s">
        <v>120</v>
      </c>
      <c r="AI52" s="37" t="s">
        <v>121</v>
      </c>
      <c r="AJ52" s="37" t="s">
        <v>122</v>
      </c>
      <c r="AK52" s="37" t="s">
        <v>123</v>
      </c>
      <c r="AL52" s="37" t="s">
        <v>124</v>
      </c>
      <c r="AM52" s="37" t="s">
        <v>125</v>
      </c>
      <c r="AN52" s="37" t="s">
        <v>126</v>
      </c>
      <c r="AO52" s="39" t="s">
        <v>25</v>
      </c>
      <c r="AP52" s="37" t="s">
        <v>142</v>
      </c>
      <c r="AQ52" s="37" t="s">
        <v>143</v>
      </c>
      <c r="AR52" s="37" t="s">
        <v>144</v>
      </c>
      <c r="AS52" s="37" t="s">
        <v>145</v>
      </c>
      <c r="AT52" s="37" t="s">
        <v>146</v>
      </c>
      <c r="AU52" s="37" t="s">
        <v>147</v>
      </c>
      <c r="AV52" s="37" t="s">
        <v>148</v>
      </c>
      <c r="AW52" s="37" t="s">
        <v>149</v>
      </c>
      <c r="AX52" s="37" t="s">
        <v>150</v>
      </c>
      <c r="AY52" s="37" t="s">
        <v>151</v>
      </c>
      <c r="AZ52" s="37" t="s">
        <v>152</v>
      </c>
      <c r="BA52" s="37" t="s">
        <v>153</v>
      </c>
      <c r="BB52" s="37" t="s">
        <v>154</v>
      </c>
      <c r="BC52" s="37" t="s">
        <v>155</v>
      </c>
      <c r="BD52" s="37" t="s">
        <v>156</v>
      </c>
      <c r="BE52" s="37" t="s">
        <v>157</v>
      </c>
      <c r="BF52" s="37" t="s">
        <v>158</v>
      </c>
      <c r="BG52" s="37" t="s">
        <v>159</v>
      </c>
      <c r="BH52" s="41" t="s">
        <v>25</v>
      </c>
      <c r="BI52" s="37" t="s">
        <v>142</v>
      </c>
      <c r="BJ52" s="37" t="s">
        <v>143</v>
      </c>
      <c r="BK52" s="37" t="s">
        <v>144</v>
      </c>
      <c r="BL52" s="37" t="s">
        <v>145</v>
      </c>
      <c r="BM52" s="37" t="s">
        <v>146</v>
      </c>
      <c r="BN52" s="37" t="s">
        <v>147</v>
      </c>
      <c r="BO52" s="37" t="s">
        <v>148</v>
      </c>
      <c r="BP52" s="37" t="s">
        <v>149</v>
      </c>
      <c r="BQ52" s="37" t="s">
        <v>150</v>
      </c>
      <c r="BR52" s="37" t="s">
        <v>151</v>
      </c>
      <c r="BS52" s="37" t="s">
        <v>152</v>
      </c>
      <c r="BT52" s="37" t="s">
        <v>153</v>
      </c>
      <c r="BU52" s="37" t="s">
        <v>154</v>
      </c>
      <c r="BV52" s="37" t="s">
        <v>155</v>
      </c>
      <c r="BW52" s="37" t="s">
        <v>156</v>
      </c>
      <c r="BX52" s="37" t="s">
        <v>157</v>
      </c>
      <c r="BY52" s="37" t="s">
        <v>158</v>
      </c>
      <c r="BZ52" s="37" t="s">
        <v>159</v>
      </c>
    </row>
    <row r="53" spans="2:78" ht="15" thickBot="1" x14ac:dyDescent="0.35">
      <c r="B53" s="33">
        <v>1</v>
      </c>
      <c r="C53" s="33">
        <v>5</v>
      </c>
      <c r="D53" s="33" t="str">
        <f t="shared" ref="D53:D63" si="38">IF($B53&gt;HatLeftDesiredLevel,"",IF($B53&gt;HatLeftCurrentLevel,$C53,""))</f>
        <v/>
      </c>
      <c r="E53" s="33" t="str">
        <f t="shared" ref="E53:E63" si="39">IF($B53&gt;HatTopDesiredLevel,"",IF($B53&gt;HatTopCurrentLevel,$C53,""))</f>
        <v/>
      </c>
      <c r="F53" s="33" t="str">
        <f t="shared" ref="F53:F63" si="40">IF($B53&gt;HatRightDesiredLevel,"",IF($B53&gt;HatRightCurrentLevel,$C53,""))</f>
        <v/>
      </c>
      <c r="G53" s="33" t="str">
        <f t="shared" ref="G53:G63" si="41">IF($B53&gt;WatchLeftDesiredLevel,"",IF($B53&gt;WatchLeftCurrentLevel,$C53,""))</f>
        <v/>
      </c>
      <c r="H53" s="33" t="str">
        <f t="shared" ref="H53:H63" si="42">IF($B53&gt;WatchTopDesiredLevel,"",IF($B53&gt;WatchTopCurrentLevel,$C53,""))</f>
        <v/>
      </c>
      <c r="I53" s="33" t="str">
        <f t="shared" ref="I53:I63" si="43">IF($B53&gt;WatchRightDesiredLevel,"",IF($B53&gt;WatchRightCurrentLevel,$C53,""))</f>
        <v/>
      </c>
      <c r="J53" s="33" t="str">
        <f t="shared" ref="J53:J63" si="44">IF($B53&gt;CoatLeftDesiredLevel,"",IF($B53&gt;CoatLeftCurrentLevel,$C53,""))</f>
        <v/>
      </c>
      <c r="K53" s="33" t="str">
        <f t="shared" ref="K53:K63" si="45">IF($B53&gt;CoatTopDesiredLevel,"",IF($B53&gt;CoatTopCurrentLevel,$C53,""))</f>
        <v/>
      </c>
      <c r="L53" s="33" t="str">
        <f t="shared" ref="L53:L63" si="46">IF($B53&gt;CoatRightDesiredLevel,"",IF($B53&gt;CoatRightCurrentLevel,$C53,""))</f>
        <v/>
      </c>
      <c r="M53" s="33" t="str">
        <f t="shared" ref="M53:M63" si="47">IF($B53&gt;PantsLeftDesiredLevel,"",IF($B53&gt;PantsLeftCurrentLevel,$C53,""))</f>
        <v/>
      </c>
      <c r="N53" s="33" t="str">
        <f t="shared" ref="N53:N63" si="48">IF($B53&gt;PantsTopDesiredLevel,"",IF($B53&gt;PantsTopCurrentLevel,$C53,""))</f>
        <v/>
      </c>
      <c r="O53" s="33" t="str">
        <f t="shared" ref="O53:O63" si="49">IF($B53&gt;PantsRightDesiredLevel,"",IF($B53&gt;PantsRightCurrentLevel,$C53,""))</f>
        <v/>
      </c>
      <c r="P53" s="33" t="str">
        <f t="shared" ref="P53:P63" si="50">IF($B53&gt;RingLeftDesiredLevel,"",IF($B53&gt;RingLeftCurrentLevel,$C53,""))</f>
        <v/>
      </c>
      <c r="Q53" s="33" t="str">
        <f t="shared" ref="Q53:Q63" si="51">IF($B53&gt;RingTopDesiredLevel,"",IF($B53&gt;RingTopCurrentLevel,$C53,""))</f>
        <v/>
      </c>
      <c r="R53" s="33" t="str">
        <f t="shared" ref="R53:R63" si="52">IF($B53&gt;RingRightDesiredLevel,"",IF($B53&gt;RingRightCurrentLevel,$C53,""))</f>
        <v/>
      </c>
      <c r="S53" s="33" t="str">
        <f t="shared" ref="S53:S63" si="53">IF($B53&gt;CudgelLeftDesiredLevel,"",IF($B53&gt;CudgelLeftCurrentLevel,$C53,""))</f>
        <v/>
      </c>
      <c r="T53" s="33" t="str">
        <f t="shared" ref="T53:T63" si="54">IF($B53&gt;CudgelTopDesiredLevel,"",IF($B53&gt;CudgelTopCurrentLevel,$C53,""))</f>
        <v/>
      </c>
      <c r="U53" s="33" t="str">
        <f t="shared" ref="U53:U63" si="55">IF($B53&gt;CudgelRightDesiredLevel,"",IF($B53&gt;CudgelRightCurrentLevel,$C53,""))</f>
        <v/>
      </c>
      <c r="V53" s="33">
        <v>5</v>
      </c>
      <c r="W53" s="33" t="str">
        <f t="shared" ref="W53:W63" si="56">IF($B53&gt;HatLeftDesiredLevel,"",IF($B53&gt;HatLeftCurrentLevel,$V53,""))</f>
        <v/>
      </c>
      <c r="X53" s="33" t="str">
        <f t="shared" ref="X53:X63" si="57">IF($B53&gt;HatTopDesiredLevel,"",IF($B53&gt;HatTopCurrentLevel,$V53,""))</f>
        <v/>
      </c>
      <c r="Y53" s="33" t="str">
        <f t="shared" ref="Y53:Y63" si="58">IF($B53&gt;HatRightDesiredLevel,"",IF($B53&gt;HatRightCurrentLevel,$V53,""))</f>
        <v/>
      </c>
      <c r="Z53" s="33" t="str">
        <f t="shared" ref="Z53:Z63" si="59">IF($B53&gt;WatchLeftDesiredLevel,"",IF($B53&gt;WatchLeftCurrentLevel,$V53,""))</f>
        <v/>
      </c>
      <c r="AA53" s="33" t="str">
        <f t="shared" ref="AA53:AA63" si="60">IF($B53&gt;WatchTopDesiredLevel,"",IF($B53&gt;WatchTopCurrentLevel,$V53,""))</f>
        <v/>
      </c>
      <c r="AB53" s="33" t="str">
        <f t="shared" ref="AB53:AB63" si="61">IF($B53&gt;WatchRightDesiredLevel,"",IF($B53&gt;WatchRightCurrentLevel,$V53,""))</f>
        <v/>
      </c>
      <c r="AC53" s="33" t="str">
        <f t="shared" ref="AC53:AC63" si="62">IF($B53&gt;CoatLeftDesiredLevel,"",IF($B53&gt;CoatLeftCurrentLevel,$V53,""))</f>
        <v/>
      </c>
      <c r="AD53" s="33" t="str">
        <f t="shared" ref="AD53:AD63" si="63">IF($B53&gt;CoatTopDesiredLevel,"",IF($B53&gt;CoatTopCurrentLevel,$V53,""))</f>
        <v/>
      </c>
      <c r="AE53" s="33" t="str">
        <f t="shared" ref="AE53:AE63" si="64">IF($B53&gt;CoatRightDesiredLevel,"",IF($B53&gt;CoatRightCurrentLevel,$V53,""))</f>
        <v/>
      </c>
      <c r="AF53" s="33" t="str">
        <f t="shared" ref="AF53:AF63" si="65">IF($B53&gt;PantsLeftDesiredLevel,"",IF($B53&gt;PantsLeftCurrentLevel,$V53,""))</f>
        <v/>
      </c>
      <c r="AG53" s="33" t="str">
        <f t="shared" ref="AG53:AG63" si="66">IF($B53&gt;PantsTopDesiredLevel,"",IF($B53&gt;PantsTopCurrentLevel,$V53,""))</f>
        <v/>
      </c>
      <c r="AH53" s="33" t="str">
        <f t="shared" ref="AH53:AH63" si="67">IF($B53&gt;PantsRightDesiredLevel,"",IF($B53&gt;PantsRightCurrentLevel,$V53,""))</f>
        <v/>
      </c>
      <c r="AI53" s="33" t="str">
        <f t="shared" ref="AI53:AI63" si="68">IF($B53&gt;RingLeftDesiredLevel,"",IF($B53&gt;RingLeftCurrentLevel,$V53,""))</f>
        <v/>
      </c>
      <c r="AJ53" s="33" t="str">
        <f t="shared" ref="AJ53:AJ63" si="69">IF($B53&gt;RingTopDesiredLevel,"",IF($B53&gt;RingTopCurrentLevel,$V53,""))</f>
        <v/>
      </c>
      <c r="AK53" s="33" t="str">
        <f t="shared" ref="AK53:AK63" si="70">IF($B53&gt;RingRightDesiredLevel,"",IF($B53&gt;RingRightCurrentLevel,$V53,""))</f>
        <v/>
      </c>
      <c r="AL53" s="33" t="str">
        <f t="shared" ref="AL53:AL63" si="71">IF($B53&gt;CudgelLeftDesiredLevel,"",IF($B53&gt;CudgelLeftCurrentLevel,$V53,""))</f>
        <v/>
      </c>
      <c r="AM53" s="33" t="str">
        <f t="shared" ref="AM53:AM63" si="72">IF($B53&gt;CudgelTopDesiredLevel,"",IF($B53&gt;CudgelTopCurrentLevel,$V53,""))</f>
        <v/>
      </c>
      <c r="AN53" s="33" t="str">
        <f t="shared" ref="AN53:AN63" si="73">IF($B53&gt;CudgelRightDesiredLevel,"",IF($B53&gt;CudgelRightCurrentLevel,$V53,""))</f>
        <v/>
      </c>
      <c r="AO53" s="34">
        <v>205700</v>
      </c>
      <c r="AP53" s="34" t="str">
        <f t="shared" ref="AP53:AP63" si="74">IF($B53&lt;HatLeftCurrentLevel,"",IF($B53=HatLeftCurrentLevel,$AO53,IF($B53=HatLeftDesiredLevel,$AO53,"")))</f>
        <v/>
      </c>
      <c r="AQ53" s="34" t="str">
        <f t="shared" ref="AQ53:AQ63" si="75">IF($B53=HatTopCurrentLevel,$AO53,IF($B53=HatTopDesiredLevel,$AO53,""))</f>
        <v/>
      </c>
      <c r="AR53" s="34" t="str">
        <f t="shared" ref="AR53:AR63" si="76">IF($B53=HatRightCurrentLevel,$AO53,IF($B53=HatRightDesiredLevel,$AO53,""))</f>
        <v/>
      </c>
      <c r="AS53" s="34" t="str">
        <f t="shared" ref="AS53:AS63" si="77">IF($B53=WatchLeftCurrentLevel,$AO53,IF($B53=WatchLeftDesiredLevel,$AO53,""))</f>
        <v/>
      </c>
      <c r="AT53" s="34" t="str">
        <f t="shared" ref="AT53:AT63" si="78">IF($B53=WatchTopCurrentLevel,$AO53,IF($B53=WatchTopDesiredLevel,$AO53,""))</f>
        <v/>
      </c>
      <c r="AU53" s="34" t="str">
        <f t="shared" ref="AU53:AU63" si="79">IF($B53=WatchRightCurrentLevel,$AO53,IF($B53=WatchRightDesiredLevel,$AO53,""))</f>
        <v/>
      </c>
      <c r="AV53" s="34" t="str">
        <f t="shared" ref="AV53:AV63" si="80">IF($B53=CoatLeftCurrentLevel,$AO53,IF($B53=CoatLeftDesiredLevel,$AO53,""))</f>
        <v/>
      </c>
      <c r="AW53" s="34" t="str">
        <f t="shared" ref="AW53:AW63" si="81">IF($B53=CoatTopCurrentLevel,$AO53,IF($B53=CoatTopDesiredLevel,$AO53,""))</f>
        <v/>
      </c>
      <c r="AX53" s="34" t="str">
        <f t="shared" ref="AX53:AX63" si="82">IF($B53=CoatRightCurrentLevel,$AO53,IF($B53=CoatRightDesiredLevel,$AO53,""))</f>
        <v/>
      </c>
      <c r="AY53" s="34" t="str">
        <f t="shared" ref="AY53:AY63" si="83">IF($B53=PantsLeftCurrentLevel,$AO53,IF($B53=PantsLeftDesiredLevel,$AO53,""))</f>
        <v/>
      </c>
      <c r="AZ53" s="34" t="str">
        <f t="shared" ref="AZ53:AZ63" si="84">IF($B53=PantsTopCurrentLevel,$AO53,IF($B53=PantsTopDesiredLevel,$AO53,""))</f>
        <v/>
      </c>
      <c r="BA53" s="34" t="str">
        <f t="shared" ref="BA53:BA63" si="85">IF($B53=PantsRightCurrentLevel,$AO53,IF($B53=PantsRightDesiredLevel,$AO53,""))</f>
        <v/>
      </c>
      <c r="BB53" s="34" t="str">
        <f t="shared" ref="BB53:BB63" si="86">IF($B53=RingLeftCurrentLevel,$AO53,IF($B53=RingLeftDesiredLevel,$AO53,""))</f>
        <v/>
      </c>
      <c r="BC53" s="34" t="str">
        <f>IF($B53&lt;RingTopCurrentLevel,"",IF($B53=RingTopCurrentLevel,$AO53,IF($B53=RingTopDesiredLevel,$AO53,"")))</f>
        <v/>
      </c>
      <c r="BD53" s="34" t="str">
        <f t="shared" ref="BD53:BD63" si="87">IF($B53=RingRightCurrentLevel,$AO53,IF($B53=RingRightDesiredLevel,$AO53,""))</f>
        <v/>
      </c>
      <c r="BE53" s="34" t="str">
        <f t="shared" ref="BE53:BE63" si="88">IF($B53=CudgelLeftCurrentLevel,$AO53,IF($B53=CudgelLeftDesiredLevel,$AO53,""))</f>
        <v/>
      </c>
      <c r="BF53" s="34" t="str">
        <f t="shared" ref="BF53:BF63" si="89">IF($B53=CudgelTopCurrentLevel,$AO53,IF($B53=CudgelTopDesiredLevel,$AO53,""))</f>
        <v/>
      </c>
      <c r="BG53" s="34" t="str">
        <f t="shared" ref="BG53:BG63" si="90">IF($B53=CudgelRightCurrentLevel,$AO53,IF($B53=CudgelRightDesiredLevel,$AO53,""))</f>
        <v/>
      </c>
      <c r="BH53">
        <v>625</v>
      </c>
      <c r="BI53" s="34" t="str">
        <f t="shared" ref="BI53:BI63" si="91">IF(HatLeftCurrentLevel&gt;$B53-1,"-",IF(HatLeftDesiredLevel&gt;$B53-1,$BH53,"-"))</f>
        <v>-</v>
      </c>
      <c r="BJ53" s="34" t="str">
        <f t="shared" ref="BJ53:BJ63" si="92">IF(HatTopCurrentLevel&gt;$B53-1,"-",IF(HatTopDesiredLevel&gt;$B53-1,$BH53,"-"))</f>
        <v>-</v>
      </c>
      <c r="BK53" s="34" t="str">
        <f t="shared" ref="BK53:BK63" si="93">IF(HatRightCurrentLevel&gt;$B53-1,"-",IF(HatRightDesiredLevel&gt;$B53-1,$BH53,"-"))</f>
        <v>-</v>
      </c>
      <c r="BL53" s="34" t="str">
        <f t="shared" ref="BL53:BL63" si="94">IF(WatchLeftCurrentLevel&gt;$B53-1,"-",IF(WatchLeftDesiredLevel&gt;$B53-1,$BH53,"-"))</f>
        <v>-</v>
      </c>
      <c r="BM53" s="34" t="str">
        <f t="shared" ref="BM53:BM63" si="95">IF(WatchTopCurrentLevel&gt;$B53-1,"-",IF(WatchTopDesiredLevel&gt;$B53-1,$BH53,"-"))</f>
        <v>-</v>
      </c>
      <c r="BN53" s="34" t="str">
        <f t="shared" ref="BN53:BN63" si="96">IF(WatchRightCurrentLevel&gt;$B53-1,"-",IF(WatchRightDesiredLevel&gt;$B53-1,$BH53,"-"))</f>
        <v>-</v>
      </c>
      <c r="BO53" s="34" t="str">
        <f t="shared" ref="BO53:BO63" si="97">IF(CoatLeftCurrentLevel&gt;$B53-1,"-",IF(CoatLeftDesiredLevel&gt;$B53-1,$BH53,"-"))</f>
        <v>-</v>
      </c>
      <c r="BP53" s="34" t="str">
        <f t="shared" ref="BP53:BP63" si="98">IF(CoatTopCurrentLevel&gt;$B53-1,"-",IF(CoatTopDesiredLevel&gt;$B53-1,$BH53,"-"))</f>
        <v>-</v>
      </c>
      <c r="BQ53" s="34" t="str">
        <f t="shared" ref="BQ53:BQ63" si="99">IF(CoatRightCurrentLevel&gt;$B53-1,"-",IF(CoatRightDesiredLevel&gt;$B53-1,$BH53,"-"))</f>
        <v>-</v>
      </c>
      <c r="BR53" s="34" t="str">
        <f t="shared" ref="BR53:BR63" si="100">IF(PantsLeftCurrentLevel&gt;$B53-1,"-",IF(PantsLeftDesiredLevel&gt;$B53-1,$BH53,"-"))</f>
        <v>-</v>
      </c>
      <c r="BS53" s="34" t="str">
        <f t="shared" ref="BS53:BS63" si="101">IF(PantsTopCurrentLevel&gt;$B53-1,"-",IF(PantsTopDesiredLevel&gt;$B53-1,$BH53,"-"))</f>
        <v>-</v>
      </c>
      <c r="BT53" s="34" t="str">
        <f t="shared" ref="BT53:BT63" si="102">IF(PantsRightCurrentLevel&gt;$B53-1,"-",IF(PantsRightDesiredLevel&gt;$B53-1,$BH53,"-"))</f>
        <v>-</v>
      </c>
      <c r="BU53" s="34" t="str">
        <f t="shared" ref="BU53:BU63" si="103">IF(RingLeftCurrentLevel&gt;$B53-1,"-",IF(RingLeftDesiredLevel&gt;$B53-1,$BH53,"-"))</f>
        <v>-</v>
      </c>
      <c r="BV53" s="34" t="str">
        <f t="shared" ref="BV53:BV63" si="104">IF(RingTopCurrentLevel&gt;$B53-1,"-",IF(RingTopDesiredLevel&gt;$B53-1,$BH53,"-"))</f>
        <v>-</v>
      </c>
      <c r="BW53" s="34" t="str">
        <f t="shared" ref="BW53:BW63" si="105">IF(RingRightCurrentLevel&gt;$B53-1,"-",IF(RingRightDesiredLevel&gt;$B53-1,$BH53,"-"))</f>
        <v>-</v>
      </c>
      <c r="BX53" s="34" t="str">
        <f t="shared" ref="BX53:BX63" si="106">IF(CudgelLeftCurrentLevel&gt;$B53-1,"-",IF(CudgelLeftDesiredLevel&gt;$B53-1,$BH53,"-"))</f>
        <v>-</v>
      </c>
      <c r="BY53" s="34" t="str">
        <f t="shared" ref="BY53:BY63" si="107">IF(CudgelTopCurrentLevel&gt;$B53-1,"-",IF(CudgelTopDesiredLevel&gt;$B53-1,$BH53,"-"))</f>
        <v>-</v>
      </c>
      <c r="BZ53" s="34" t="str">
        <f t="shared" ref="BZ53:BZ63" si="108">IF(CudgelRightCurrentLevel&gt;$B53-1,"-",IF(CudgelRightDesiredLevel&gt;$B53-1,$BH53,"-"))</f>
        <v>-</v>
      </c>
    </row>
    <row r="54" spans="2:78" ht="15" thickBot="1" x14ac:dyDescent="0.35">
      <c r="B54" s="33">
        <v>2</v>
      </c>
      <c r="C54" s="33">
        <v>40</v>
      </c>
      <c r="D54" s="33" t="str">
        <f t="shared" si="38"/>
        <v/>
      </c>
      <c r="E54" s="33" t="str">
        <f t="shared" si="39"/>
        <v/>
      </c>
      <c r="F54" s="33" t="str">
        <f t="shared" si="40"/>
        <v/>
      </c>
      <c r="G54" s="33" t="str">
        <f t="shared" si="41"/>
        <v/>
      </c>
      <c r="H54" s="33" t="str">
        <f t="shared" si="42"/>
        <v/>
      </c>
      <c r="I54" s="33" t="str">
        <f t="shared" si="43"/>
        <v/>
      </c>
      <c r="J54" s="33" t="str">
        <f t="shared" si="44"/>
        <v/>
      </c>
      <c r="K54" s="33" t="str">
        <f t="shared" si="45"/>
        <v/>
      </c>
      <c r="L54" s="33" t="str">
        <f t="shared" si="46"/>
        <v/>
      </c>
      <c r="M54" s="33" t="str">
        <f t="shared" si="47"/>
        <v/>
      </c>
      <c r="N54" s="33" t="str">
        <f t="shared" si="48"/>
        <v/>
      </c>
      <c r="O54" s="33" t="str">
        <f t="shared" si="49"/>
        <v/>
      </c>
      <c r="P54" s="33" t="str">
        <f t="shared" si="50"/>
        <v/>
      </c>
      <c r="Q54" s="33" t="str">
        <f t="shared" si="51"/>
        <v/>
      </c>
      <c r="R54" s="33" t="str">
        <f t="shared" si="52"/>
        <v/>
      </c>
      <c r="S54" s="33" t="str">
        <f t="shared" si="53"/>
        <v/>
      </c>
      <c r="T54" s="33" t="str">
        <f t="shared" si="54"/>
        <v/>
      </c>
      <c r="U54" s="33" t="str">
        <f t="shared" si="55"/>
        <v/>
      </c>
      <c r="V54" s="33">
        <v>15</v>
      </c>
      <c r="W54" s="33" t="str">
        <f t="shared" si="56"/>
        <v/>
      </c>
      <c r="X54" s="33" t="str">
        <f t="shared" si="57"/>
        <v/>
      </c>
      <c r="Y54" s="33" t="str">
        <f t="shared" si="58"/>
        <v/>
      </c>
      <c r="Z54" s="33" t="str">
        <f t="shared" si="59"/>
        <v/>
      </c>
      <c r="AA54" s="33" t="str">
        <f t="shared" si="60"/>
        <v/>
      </c>
      <c r="AB54" s="33" t="str">
        <f t="shared" si="61"/>
        <v/>
      </c>
      <c r="AC54" s="33" t="str">
        <f t="shared" si="62"/>
        <v/>
      </c>
      <c r="AD54" s="33" t="str">
        <f t="shared" si="63"/>
        <v/>
      </c>
      <c r="AE54" s="33" t="str">
        <f t="shared" si="64"/>
        <v/>
      </c>
      <c r="AF54" s="33" t="str">
        <f t="shared" si="65"/>
        <v/>
      </c>
      <c r="AG54" s="33" t="str">
        <f t="shared" si="66"/>
        <v/>
      </c>
      <c r="AH54" s="33" t="str">
        <f t="shared" si="67"/>
        <v/>
      </c>
      <c r="AI54" s="33" t="str">
        <f t="shared" si="68"/>
        <v/>
      </c>
      <c r="AJ54" s="33" t="str">
        <f t="shared" si="69"/>
        <v/>
      </c>
      <c r="AK54" s="33" t="str">
        <f t="shared" si="70"/>
        <v/>
      </c>
      <c r="AL54" s="33" t="str">
        <f t="shared" si="71"/>
        <v/>
      </c>
      <c r="AM54" s="33" t="str">
        <f t="shared" si="72"/>
        <v/>
      </c>
      <c r="AN54" s="33" t="str">
        <f t="shared" si="73"/>
        <v/>
      </c>
      <c r="AO54" s="34">
        <v>288000</v>
      </c>
      <c r="AP54" s="34" t="str">
        <f t="shared" si="74"/>
        <v/>
      </c>
      <c r="AQ54" s="34" t="str">
        <f t="shared" si="75"/>
        <v/>
      </c>
      <c r="AR54" s="34" t="str">
        <f t="shared" si="76"/>
        <v/>
      </c>
      <c r="AS54" s="34" t="str">
        <f t="shared" si="77"/>
        <v/>
      </c>
      <c r="AT54" s="34" t="str">
        <f t="shared" si="78"/>
        <v/>
      </c>
      <c r="AU54" s="34" t="str">
        <f t="shared" si="79"/>
        <v/>
      </c>
      <c r="AV54" s="34" t="str">
        <f t="shared" si="80"/>
        <v/>
      </c>
      <c r="AW54" s="34" t="str">
        <f t="shared" si="81"/>
        <v/>
      </c>
      <c r="AX54" s="34" t="str">
        <f t="shared" si="82"/>
        <v/>
      </c>
      <c r="AY54" s="34" t="str">
        <f t="shared" si="83"/>
        <v/>
      </c>
      <c r="AZ54" s="34" t="str">
        <f t="shared" si="84"/>
        <v/>
      </c>
      <c r="BA54" s="34" t="str">
        <f t="shared" si="85"/>
        <v/>
      </c>
      <c r="BB54" s="34" t="str">
        <f t="shared" si="86"/>
        <v/>
      </c>
      <c r="BC54" s="34" t="str">
        <f t="shared" ref="BC54:BC63" si="109">IF($B54=RingTopCurrentLevel,$AO54,IF($B54=RingTopDesiredLevel,$AO54,""))</f>
        <v/>
      </c>
      <c r="BD54" s="34" t="str">
        <f t="shared" si="87"/>
        <v/>
      </c>
      <c r="BE54" s="34" t="str">
        <f t="shared" si="88"/>
        <v/>
      </c>
      <c r="BF54" s="34" t="str">
        <f t="shared" si="89"/>
        <v/>
      </c>
      <c r="BG54" s="34" t="str">
        <f t="shared" si="90"/>
        <v/>
      </c>
      <c r="BH54">
        <v>1250</v>
      </c>
      <c r="BI54" s="34" t="str">
        <f t="shared" si="91"/>
        <v>-</v>
      </c>
      <c r="BJ54" s="34" t="str">
        <f t="shared" si="92"/>
        <v>-</v>
      </c>
      <c r="BK54" s="34" t="str">
        <f t="shared" si="93"/>
        <v>-</v>
      </c>
      <c r="BL54" s="34" t="str">
        <f t="shared" si="94"/>
        <v>-</v>
      </c>
      <c r="BM54" s="34" t="str">
        <f t="shared" si="95"/>
        <v>-</v>
      </c>
      <c r="BN54" s="34" t="str">
        <f t="shared" si="96"/>
        <v>-</v>
      </c>
      <c r="BO54" s="34" t="str">
        <f t="shared" si="97"/>
        <v>-</v>
      </c>
      <c r="BP54" s="34" t="str">
        <f t="shared" si="98"/>
        <v>-</v>
      </c>
      <c r="BQ54" s="34" t="str">
        <f t="shared" si="99"/>
        <v>-</v>
      </c>
      <c r="BR54" s="34" t="str">
        <f t="shared" si="100"/>
        <v>-</v>
      </c>
      <c r="BS54" s="34" t="str">
        <f t="shared" si="101"/>
        <v>-</v>
      </c>
      <c r="BT54" s="34" t="str">
        <f t="shared" si="102"/>
        <v>-</v>
      </c>
      <c r="BU54" s="34" t="str">
        <f t="shared" si="103"/>
        <v>-</v>
      </c>
      <c r="BV54" s="34" t="str">
        <f t="shared" si="104"/>
        <v>-</v>
      </c>
      <c r="BW54" s="34" t="str">
        <f t="shared" si="105"/>
        <v>-</v>
      </c>
      <c r="BX54" s="34" t="str">
        <f t="shared" si="106"/>
        <v>-</v>
      </c>
      <c r="BY54" s="34" t="str">
        <f t="shared" si="107"/>
        <v>-</v>
      </c>
      <c r="BZ54" s="34" t="str">
        <f t="shared" si="108"/>
        <v>-</v>
      </c>
    </row>
    <row r="55" spans="2:78" ht="15" thickBot="1" x14ac:dyDescent="0.35">
      <c r="B55" s="33">
        <v>3</v>
      </c>
      <c r="C55" s="33">
        <v>60</v>
      </c>
      <c r="D55" s="33" t="str">
        <f t="shared" si="38"/>
        <v/>
      </c>
      <c r="E55" s="33" t="str">
        <f t="shared" si="39"/>
        <v/>
      </c>
      <c r="F55" s="33" t="str">
        <f t="shared" si="40"/>
        <v/>
      </c>
      <c r="G55" s="33" t="str">
        <f t="shared" si="41"/>
        <v/>
      </c>
      <c r="H55" s="33" t="str">
        <f t="shared" si="42"/>
        <v/>
      </c>
      <c r="I55" s="33" t="str">
        <f t="shared" si="43"/>
        <v/>
      </c>
      <c r="J55" s="33" t="str">
        <f t="shared" si="44"/>
        <v/>
      </c>
      <c r="K55" s="33" t="str">
        <f t="shared" si="45"/>
        <v/>
      </c>
      <c r="L55" s="33" t="str">
        <f t="shared" si="46"/>
        <v/>
      </c>
      <c r="M55" s="33" t="str">
        <f t="shared" si="47"/>
        <v/>
      </c>
      <c r="N55" s="33" t="str">
        <f t="shared" si="48"/>
        <v/>
      </c>
      <c r="O55" s="33" t="str">
        <f t="shared" si="49"/>
        <v/>
      </c>
      <c r="P55" s="33" t="str">
        <f t="shared" si="50"/>
        <v/>
      </c>
      <c r="Q55" s="33" t="str">
        <f t="shared" si="51"/>
        <v/>
      </c>
      <c r="R55" s="33" t="str">
        <f t="shared" si="52"/>
        <v/>
      </c>
      <c r="S55" s="33" t="str">
        <f t="shared" si="53"/>
        <v/>
      </c>
      <c r="T55" s="33" t="str">
        <f t="shared" si="54"/>
        <v/>
      </c>
      <c r="U55" s="33" t="str">
        <f t="shared" si="55"/>
        <v/>
      </c>
      <c r="V55" s="33">
        <v>40</v>
      </c>
      <c r="W55" s="33" t="str">
        <f t="shared" si="56"/>
        <v/>
      </c>
      <c r="X55" s="33" t="str">
        <f t="shared" si="57"/>
        <v/>
      </c>
      <c r="Y55" s="33" t="str">
        <f t="shared" si="58"/>
        <v/>
      </c>
      <c r="Z55" s="33" t="str">
        <f t="shared" si="59"/>
        <v/>
      </c>
      <c r="AA55" s="33" t="str">
        <f t="shared" si="60"/>
        <v/>
      </c>
      <c r="AB55" s="33" t="str">
        <f t="shared" si="61"/>
        <v/>
      </c>
      <c r="AC55" s="33" t="str">
        <f t="shared" si="62"/>
        <v/>
      </c>
      <c r="AD55" s="33" t="str">
        <f t="shared" si="63"/>
        <v/>
      </c>
      <c r="AE55" s="33" t="str">
        <f t="shared" si="64"/>
        <v/>
      </c>
      <c r="AF55" s="33" t="str">
        <f t="shared" si="65"/>
        <v/>
      </c>
      <c r="AG55" s="33" t="str">
        <f t="shared" si="66"/>
        <v/>
      </c>
      <c r="AH55" s="33" t="str">
        <f t="shared" si="67"/>
        <v/>
      </c>
      <c r="AI55" s="33" t="str">
        <f t="shared" si="68"/>
        <v/>
      </c>
      <c r="AJ55" s="33" t="str">
        <f t="shared" si="69"/>
        <v/>
      </c>
      <c r="AK55" s="33" t="str">
        <f t="shared" si="70"/>
        <v/>
      </c>
      <c r="AL55" s="33" t="str">
        <f t="shared" si="71"/>
        <v/>
      </c>
      <c r="AM55" s="33" t="str">
        <f t="shared" si="72"/>
        <v/>
      </c>
      <c r="AN55" s="33" t="str">
        <f t="shared" si="73"/>
        <v/>
      </c>
      <c r="AO55" s="34">
        <v>370000</v>
      </c>
      <c r="AP55" s="34" t="str">
        <f t="shared" si="74"/>
        <v/>
      </c>
      <c r="AQ55" s="34" t="str">
        <f t="shared" si="75"/>
        <v/>
      </c>
      <c r="AR55" s="34" t="str">
        <f t="shared" si="76"/>
        <v/>
      </c>
      <c r="AS55" s="34" t="str">
        <f t="shared" si="77"/>
        <v/>
      </c>
      <c r="AT55" s="34" t="str">
        <f t="shared" si="78"/>
        <v/>
      </c>
      <c r="AU55" s="34" t="str">
        <f t="shared" si="79"/>
        <v/>
      </c>
      <c r="AV55" s="34" t="str">
        <f t="shared" si="80"/>
        <v/>
      </c>
      <c r="AW55" s="34" t="str">
        <f t="shared" si="81"/>
        <v/>
      </c>
      <c r="AX55" s="34" t="str">
        <f t="shared" si="82"/>
        <v/>
      </c>
      <c r="AY55" s="34" t="str">
        <f t="shared" si="83"/>
        <v/>
      </c>
      <c r="AZ55" s="34" t="str">
        <f t="shared" si="84"/>
        <v/>
      </c>
      <c r="BA55" s="34" t="str">
        <f t="shared" si="85"/>
        <v/>
      </c>
      <c r="BB55" s="34" t="str">
        <f t="shared" si="86"/>
        <v/>
      </c>
      <c r="BC55" s="34" t="str">
        <f t="shared" si="109"/>
        <v/>
      </c>
      <c r="BD55" s="34" t="str">
        <f t="shared" si="87"/>
        <v/>
      </c>
      <c r="BE55" s="34" t="str">
        <f t="shared" si="88"/>
        <v/>
      </c>
      <c r="BF55" s="34" t="str">
        <f t="shared" si="89"/>
        <v/>
      </c>
      <c r="BG55" s="34" t="str">
        <f t="shared" si="90"/>
        <v/>
      </c>
      <c r="BH55">
        <v>3125</v>
      </c>
      <c r="BI55" s="34" t="str">
        <f t="shared" si="91"/>
        <v>-</v>
      </c>
      <c r="BJ55" s="34" t="str">
        <f t="shared" si="92"/>
        <v>-</v>
      </c>
      <c r="BK55" s="34" t="str">
        <f t="shared" si="93"/>
        <v>-</v>
      </c>
      <c r="BL55" s="34" t="str">
        <f t="shared" si="94"/>
        <v>-</v>
      </c>
      <c r="BM55" s="34" t="str">
        <f t="shared" si="95"/>
        <v>-</v>
      </c>
      <c r="BN55" s="34" t="str">
        <f t="shared" si="96"/>
        <v>-</v>
      </c>
      <c r="BO55" s="34" t="str">
        <f t="shared" si="97"/>
        <v>-</v>
      </c>
      <c r="BP55" s="34" t="str">
        <f t="shared" si="98"/>
        <v>-</v>
      </c>
      <c r="BQ55" s="34" t="str">
        <f t="shared" si="99"/>
        <v>-</v>
      </c>
      <c r="BR55" s="34" t="str">
        <f t="shared" si="100"/>
        <v>-</v>
      </c>
      <c r="BS55" s="34" t="str">
        <f t="shared" si="101"/>
        <v>-</v>
      </c>
      <c r="BT55" s="34" t="str">
        <f t="shared" si="102"/>
        <v>-</v>
      </c>
      <c r="BU55" s="34" t="str">
        <f t="shared" si="103"/>
        <v>-</v>
      </c>
      <c r="BV55" s="34" t="str">
        <f t="shared" si="104"/>
        <v>-</v>
      </c>
      <c r="BW55" s="34" t="str">
        <f t="shared" si="105"/>
        <v>-</v>
      </c>
      <c r="BX55" s="34" t="str">
        <f t="shared" si="106"/>
        <v>-</v>
      </c>
      <c r="BY55" s="34" t="str">
        <f t="shared" si="107"/>
        <v>-</v>
      </c>
      <c r="BZ55" s="34" t="str">
        <f t="shared" si="108"/>
        <v>-</v>
      </c>
    </row>
    <row r="56" spans="2:78" ht="15" thickBot="1" x14ac:dyDescent="0.35">
      <c r="B56" s="33">
        <v>4</v>
      </c>
      <c r="C56" s="33">
        <v>80</v>
      </c>
      <c r="D56" s="33" t="str">
        <f t="shared" si="38"/>
        <v/>
      </c>
      <c r="E56" s="33" t="str">
        <f t="shared" si="39"/>
        <v/>
      </c>
      <c r="F56" s="33" t="str">
        <f t="shared" si="40"/>
        <v/>
      </c>
      <c r="G56" s="33" t="str">
        <f t="shared" si="41"/>
        <v/>
      </c>
      <c r="H56" s="33" t="str">
        <f t="shared" si="42"/>
        <v/>
      </c>
      <c r="I56" s="33" t="str">
        <f t="shared" si="43"/>
        <v/>
      </c>
      <c r="J56" s="33" t="str">
        <f t="shared" si="44"/>
        <v/>
      </c>
      <c r="K56" s="33" t="str">
        <f t="shared" si="45"/>
        <v/>
      </c>
      <c r="L56" s="33" t="str">
        <f t="shared" si="46"/>
        <v/>
      </c>
      <c r="M56" s="33" t="str">
        <f t="shared" si="47"/>
        <v/>
      </c>
      <c r="N56" s="33" t="str">
        <f t="shared" si="48"/>
        <v/>
      </c>
      <c r="O56" s="33" t="str">
        <f t="shared" si="49"/>
        <v/>
      </c>
      <c r="P56" s="33" t="str">
        <f t="shared" si="50"/>
        <v/>
      </c>
      <c r="Q56" s="33" t="str">
        <f t="shared" si="51"/>
        <v/>
      </c>
      <c r="R56" s="33" t="str">
        <f t="shared" si="52"/>
        <v/>
      </c>
      <c r="S56" s="33" t="str">
        <f t="shared" si="53"/>
        <v/>
      </c>
      <c r="T56" s="33" t="str">
        <f t="shared" si="54"/>
        <v/>
      </c>
      <c r="U56" s="33" t="str">
        <f t="shared" si="55"/>
        <v/>
      </c>
      <c r="V56" s="33">
        <v>100</v>
      </c>
      <c r="W56" s="33" t="str">
        <f t="shared" si="56"/>
        <v/>
      </c>
      <c r="X56" s="33" t="str">
        <f t="shared" si="57"/>
        <v/>
      </c>
      <c r="Y56" s="33" t="str">
        <f t="shared" si="58"/>
        <v/>
      </c>
      <c r="Z56" s="33" t="str">
        <f t="shared" si="59"/>
        <v/>
      </c>
      <c r="AA56" s="33" t="str">
        <f t="shared" si="60"/>
        <v/>
      </c>
      <c r="AB56" s="33" t="str">
        <f t="shared" si="61"/>
        <v/>
      </c>
      <c r="AC56" s="33" t="str">
        <f t="shared" si="62"/>
        <v/>
      </c>
      <c r="AD56" s="33" t="str">
        <f t="shared" si="63"/>
        <v/>
      </c>
      <c r="AE56" s="33" t="str">
        <f t="shared" si="64"/>
        <v/>
      </c>
      <c r="AF56" s="33" t="str">
        <f t="shared" si="65"/>
        <v/>
      </c>
      <c r="AG56" s="33" t="str">
        <f t="shared" si="66"/>
        <v/>
      </c>
      <c r="AH56" s="33" t="str">
        <f t="shared" si="67"/>
        <v/>
      </c>
      <c r="AI56" s="33" t="str">
        <f t="shared" si="68"/>
        <v/>
      </c>
      <c r="AJ56" s="33" t="str">
        <f t="shared" si="69"/>
        <v/>
      </c>
      <c r="AK56" s="33" t="str">
        <f t="shared" si="70"/>
        <v/>
      </c>
      <c r="AL56" s="33" t="str">
        <f t="shared" si="71"/>
        <v/>
      </c>
      <c r="AM56" s="33" t="str">
        <f t="shared" si="72"/>
        <v/>
      </c>
      <c r="AN56" s="33" t="str">
        <f t="shared" si="73"/>
        <v/>
      </c>
      <c r="AO56" s="34">
        <v>452000</v>
      </c>
      <c r="AP56" s="34" t="str">
        <f t="shared" si="74"/>
        <v/>
      </c>
      <c r="AQ56" s="34" t="str">
        <f t="shared" si="75"/>
        <v/>
      </c>
      <c r="AR56" s="34" t="str">
        <f t="shared" si="76"/>
        <v/>
      </c>
      <c r="AS56" s="34" t="str">
        <f t="shared" si="77"/>
        <v/>
      </c>
      <c r="AT56" s="34" t="str">
        <f t="shared" si="78"/>
        <v/>
      </c>
      <c r="AU56" s="34" t="str">
        <f t="shared" si="79"/>
        <v/>
      </c>
      <c r="AV56" s="34" t="str">
        <f t="shared" si="80"/>
        <v/>
      </c>
      <c r="AW56" s="34" t="str">
        <f t="shared" si="81"/>
        <v/>
      </c>
      <c r="AX56" s="34" t="str">
        <f t="shared" si="82"/>
        <v/>
      </c>
      <c r="AY56" s="34" t="str">
        <f t="shared" si="83"/>
        <v/>
      </c>
      <c r="AZ56" s="34" t="str">
        <f t="shared" si="84"/>
        <v/>
      </c>
      <c r="BA56" s="34" t="str">
        <f t="shared" si="85"/>
        <v/>
      </c>
      <c r="BB56" s="34" t="str">
        <f t="shared" si="86"/>
        <v/>
      </c>
      <c r="BC56" s="34" t="str">
        <f t="shared" si="109"/>
        <v/>
      </c>
      <c r="BD56" s="34" t="str">
        <f t="shared" si="87"/>
        <v/>
      </c>
      <c r="BE56" s="34" t="str">
        <f t="shared" si="88"/>
        <v/>
      </c>
      <c r="BF56" s="34" t="str">
        <f t="shared" si="89"/>
        <v/>
      </c>
      <c r="BG56" s="34" t="str">
        <f t="shared" si="90"/>
        <v/>
      </c>
      <c r="BH56">
        <v>8750</v>
      </c>
      <c r="BI56" s="34" t="str">
        <f t="shared" si="91"/>
        <v>-</v>
      </c>
      <c r="BJ56" s="34" t="str">
        <f t="shared" si="92"/>
        <v>-</v>
      </c>
      <c r="BK56" s="34" t="str">
        <f t="shared" si="93"/>
        <v>-</v>
      </c>
      <c r="BL56" s="34" t="str">
        <f t="shared" si="94"/>
        <v>-</v>
      </c>
      <c r="BM56" s="34" t="str">
        <f t="shared" si="95"/>
        <v>-</v>
      </c>
      <c r="BN56" s="34" t="str">
        <f t="shared" si="96"/>
        <v>-</v>
      </c>
      <c r="BO56" s="34" t="str">
        <f t="shared" si="97"/>
        <v>-</v>
      </c>
      <c r="BP56" s="34" t="str">
        <f t="shared" si="98"/>
        <v>-</v>
      </c>
      <c r="BQ56" s="34" t="str">
        <f t="shared" si="99"/>
        <v>-</v>
      </c>
      <c r="BR56" s="34" t="str">
        <f t="shared" si="100"/>
        <v>-</v>
      </c>
      <c r="BS56" s="34" t="str">
        <f t="shared" si="101"/>
        <v>-</v>
      </c>
      <c r="BT56" s="34" t="str">
        <f t="shared" si="102"/>
        <v>-</v>
      </c>
      <c r="BU56" s="34" t="str">
        <f t="shared" si="103"/>
        <v>-</v>
      </c>
      <c r="BV56" s="34" t="str">
        <f t="shared" si="104"/>
        <v>-</v>
      </c>
      <c r="BW56" s="34" t="str">
        <f t="shared" si="105"/>
        <v>-</v>
      </c>
      <c r="BX56" s="34" t="str">
        <f t="shared" si="106"/>
        <v>-</v>
      </c>
      <c r="BY56" s="34" t="str">
        <f t="shared" si="107"/>
        <v>-</v>
      </c>
      <c r="BZ56" s="34" t="str">
        <f t="shared" si="108"/>
        <v>-</v>
      </c>
    </row>
    <row r="57" spans="2:78" ht="15" thickBot="1" x14ac:dyDescent="0.35">
      <c r="B57" s="33">
        <v>5</v>
      </c>
      <c r="C57" s="33">
        <v>100</v>
      </c>
      <c r="D57" s="33" t="str">
        <f t="shared" si="38"/>
        <v/>
      </c>
      <c r="E57" s="33" t="str">
        <f t="shared" si="39"/>
        <v/>
      </c>
      <c r="F57" s="33" t="str">
        <f t="shared" si="40"/>
        <v/>
      </c>
      <c r="G57" s="33" t="str">
        <f t="shared" si="41"/>
        <v/>
      </c>
      <c r="H57" s="33" t="str">
        <f t="shared" si="42"/>
        <v/>
      </c>
      <c r="I57" s="33" t="str">
        <f t="shared" si="43"/>
        <v/>
      </c>
      <c r="J57" s="33" t="str">
        <f t="shared" si="44"/>
        <v/>
      </c>
      <c r="K57" s="33" t="str">
        <f t="shared" si="45"/>
        <v/>
      </c>
      <c r="L57" s="33" t="str">
        <f t="shared" si="46"/>
        <v/>
      </c>
      <c r="M57" s="33" t="str">
        <f t="shared" si="47"/>
        <v/>
      </c>
      <c r="N57" s="33" t="str">
        <f t="shared" si="48"/>
        <v/>
      </c>
      <c r="O57" s="33" t="str">
        <f t="shared" si="49"/>
        <v/>
      </c>
      <c r="P57" s="33" t="str">
        <f t="shared" si="50"/>
        <v/>
      </c>
      <c r="Q57" s="33" t="str">
        <f t="shared" si="51"/>
        <v/>
      </c>
      <c r="R57" s="33" t="str">
        <f t="shared" si="52"/>
        <v/>
      </c>
      <c r="S57" s="33" t="str">
        <f t="shared" si="53"/>
        <v/>
      </c>
      <c r="T57" s="33" t="str">
        <f t="shared" si="54"/>
        <v/>
      </c>
      <c r="U57" s="33" t="str">
        <f t="shared" si="55"/>
        <v/>
      </c>
      <c r="V57" s="33">
        <v>200</v>
      </c>
      <c r="W57" s="33" t="str">
        <f t="shared" si="56"/>
        <v/>
      </c>
      <c r="X57" s="33" t="str">
        <f t="shared" si="57"/>
        <v/>
      </c>
      <c r="Y57" s="33" t="str">
        <f t="shared" si="58"/>
        <v/>
      </c>
      <c r="Z57" s="33" t="str">
        <f t="shared" si="59"/>
        <v/>
      </c>
      <c r="AA57" s="33" t="str">
        <f t="shared" si="60"/>
        <v/>
      </c>
      <c r="AB57" s="33" t="str">
        <f t="shared" si="61"/>
        <v/>
      </c>
      <c r="AC57" s="33" t="str">
        <f t="shared" si="62"/>
        <v/>
      </c>
      <c r="AD57" s="33" t="str">
        <f t="shared" si="63"/>
        <v/>
      </c>
      <c r="AE57" s="33" t="str">
        <f t="shared" si="64"/>
        <v/>
      </c>
      <c r="AF57" s="33" t="str">
        <f t="shared" si="65"/>
        <v/>
      </c>
      <c r="AG57" s="33" t="str">
        <f t="shared" si="66"/>
        <v/>
      </c>
      <c r="AH57" s="33" t="str">
        <f t="shared" si="67"/>
        <v/>
      </c>
      <c r="AI57" s="33" t="str">
        <f t="shared" si="68"/>
        <v/>
      </c>
      <c r="AJ57" s="33" t="str">
        <f t="shared" si="69"/>
        <v/>
      </c>
      <c r="AK57" s="33" t="str">
        <f t="shared" si="70"/>
        <v/>
      </c>
      <c r="AL57" s="33" t="str">
        <f t="shared" si="71"/>
        <v/>
      </c>
      <c r="AM57" s="33" t="str">
        <f t="shared" si="72"/>
        <v/>
      </c>
      <c r="AN57" s="33" t="str">
        <f t="shared" si="73"/>
        <v/>
      </c>
      <c r="AO57" s="34">
        <v>576000</v>
      </c>
      <c r="AP57" s="34" t="str">
        <f t="shared" si="74"/>
        <v/>
      </c>
      <c r="AQ57" s="34" t="str">
        <f t="shared" si="75"/>
        <v/>
      </c>
      <c r="AR57" s="34" t="str">
        <f t="shared" si="76"/>
        <v/>
      </c>
      <c r="AS57" s="34" t="str">
        <f t="shared" si="77"/>
        <v/>
      </c>
      <c r="AT57" s="34" t="str">
        <f t="shared" si="78"/>
        <v/>
      </c>
      <c r="AU57" s="34" t="str">
        <f t="shared" si="79"/>
        <v/>
      </c>
      <c r="AV57" s="34" t="str">
        <f t="shared" si="80"/>
        <v/>
      </c>
      <c r="AW57" s="34" t="str">
        <f t="shared" si="81"/>
        <v/>
      </c>
      <c r="AX57" s="34" t="str">
        <f t="shared" si="82"/>
        <v/>
      </c>
      <c r="AY57" s="34" t="str">
        <f t="shared" si="83"/>
        <v/>
      </c>
      <c r="AZ57" s="34" t="str">
        <f t="shared" si="84"/>
        <v/>
      </c>
      <c r="BA57" s="34" t="str">
        <f t="shared" si="85"/>
        <v/>
      </c>
      <c r="BB57" s="34" t="str">
        <f t="shared" si="86"/>
        <v/>
      </c>
      <c r="BC57" s="34" t="str">
        <f t="shared" si="109"/>
        <v/>
      </c>
      <c r="BD57" s="34" t="str">
        <f t="shared" si="87"/>
        <v/>
      </c>
      <c r="BE57" s="34" t="str">
        <f t="shared" si="88"/>
        <v/>
      </c>
      <c r="BF57" s="34" t="str">
        <f t="shared" si="89"/>
        <v/>
      </c>
      <c r="BG57" s="34" t="str">
        <f t="shared" si="90"/>
        <v/>
      </c>
      <c r="BH57">
        <v>11250</v>
      </c>
      <c r="BI57" s="34" t="str">
        <f t="shared" si="91"/>
        <v>-</v>
      </c>
      <c r="BJ57" s="34" t="str">
        <f t="shared" si="92"/>
        <v>-</v>
      </c>
      <c r="BK57" s="34" t="str">
        <f t="shared" si="93"/>
        <v>-</v>
      </c>
      <c r="BL57" s="34" t="str">
        <f t="shared" si="94"/>
        <v>-</v>
      </c>
      <c r="BM57" s="34" t="str">
        <f t="shared" si="95"/>
        <v>-</v>
      </c>
      <c r="BN57" s="34" t="str">
        <f t="shared" si="96"/>
        <v>-</v>
      </c>
      <c r="BO57" s="34" t="str">
        <f t="shared" si="97"/>
        <v>-</v>
      </c>
      <c r="BP57" s="34" t="str">
        <f t="shared" si="98"/>
        <v>-</v>
      </c>
      <c r="BQ57" s="34" t="str">
        <f t="shared" si="99"/>
        <v>-</v>
      </c>
      <c r="BR57" s="34" t="str">
        <f t="shared" si="100"/>
        <v>-</v>
      </c>
      <c r="BS57" s="34" t="str">
        <f t="shared" si="101"/>
        <v>-</v>
      </c>
      <c r="BT57" s="34" t="str">
        <f t="shared" si="102"/>
        <v>-</v>
      </c>
      <c r="BU57" s="34" t="str">
        <f t="shared" si="103"/>
        <v>-</v>
      </c>
      <c r="BV57" s="34" t="str">
        <f t="shared" si="104"/>
        <v>-</v>
      </c>
      <c r="BW57" s="34" t="str">
        <f t="shared" si="105"/>
        <v>-</v>
      </c>
      <c r="BX57" s="34" t="str">
        <f t="shared" si="106"/>
        <v>-</v>
      </c>
      <c r="BY57" s="34" t="str">
        <f t="shared" si="107"/>
        <v>-</v>
      </c>
      <c r="BZ57" s="34" t="str">
        <f t="shared" si="108"/>
        <v>-</v>
      </c>
    </row>
    <row r="58" spans="2:78" ht="15" thickBot="1" x14ac:dyDescent="0.35">
      <c r="B58" s="33">
        <v>6</v>
      </c>
      <c r="C58" s="33">
        <v>120</v>
      </c>
      <c r="D58" s="33" t="str">
        <f t="shared" si="38"/>
        <v/>
      </c>
      <c r="E58" s="33" t="str">
        <f t="shared" si="39"/>
        <v/>
      </c>
      <c r="F58" s="33" t="str">
        <f t="shared" si="40"/>
        <v/>
      </c>
      <c r="G58" s="33" t="str">
        <f t="shared" si="41"/>
        <v/>
      </c>
      <c r="H58" s="33" t="str">
        <f t="shared" si="42"/>
        <v/>
      </c>
      <c r="I58" s="33" t="str">
        <f t="shared" si="43"/>
        <v/>
      </c>
      <c r="J58" s="33" t="str">
        <f t="shared" si="44"/>
        <v/>
      </c>
      <c r="K58" s="33" t="str">
        <f t="shared" si="45"/>
        <v/>
      </c>
      <c r="L58" s="33" t="str">
        <f t="shared" si="46"/>
        <v/>
      </c>
      <c r="M58" s="33" t="str">
        <f t="shared" si="47"/>
        <v/>
      </c>
      <c r="N58" s="33" t="str">
        <f t="shared" si="48"/>
        <v/>
      </c>
      <c r="O58" s="33" t="str">
        <f t="shared" si="49"/>
        <v/>
      </c>
      <c r="P58" s="33" t="str">
        <f t="shared" si="50"/>
        <v/>
      </c>
      <c r="Q58" s="33" t="str">
        <f t="shared" si="51"/>
        <v/>
      </c>
      <c r="R58" s="33" t="str">
        <f t="shared" si="52"/>
        <v/>
      </c>
      <c r="S58" s="33" t="str">
        <f t="shared" si="53"/>
        <v/>
      </c>
      <c r="T58" s="33" t="str">
        <f t="shared" si="54"/>
        <v/>
      </c>
      <c r="U58" s="33" t="str">
        <f t="shared" si="55"/>
        <v/>
      </c>
      <c r="V58" s="33">
        <v>300</v>
      </c>
      <c r="W58" s="33" t="str">
        <f t="shared" si="56"/>
        <v/>
      </c>
      <c r="X58" s="33" t="str">
        <f t="shared" si="57"/>
        <v/>
      </c>
      <c r="Y58" s="33" t="str">
        <f t="shared" si="58"/>
        <v/>
      </c>
      <c r="Z58" s="33" t="str">
        <f t="shared" si="59"/>
        <v/>
      </c>
      <c r="AA58" s="33" t="str">
        <f t="shared" si="60"/>
        <v/>
      </c>
      <c r="AB58" s="33" t="str">
        <f t="shared" si="61"/>
        <v/>
      </c>
      <c r="AC58" s="33" t="str">
        <f t="shared" si="62"/>
        <v/>
      </c>
      <c r="AD58" s="33" t="str">
        <f t="shared" si="63"/>
        <v/>
      </c>
      <c r="AE58" s="33" t="str">
        <f t="shared" si="64"/>
        <v/>
      </c>
      <c r="AF58" s="33" t="str">
        <f t="shared" si="65"/>
        <v/>
      </c>
      <c r="AG58" s="33" t="str">
        <f t="shared" si="66"/>
        <v/>
      </c>
      <c r="AH58" s="33" t="str">
        <f t="shared" si="67"/>
        <v/>
      </c>
      <c r="AI58" s="33" t="str">
        <f t="shared" si="68"/>
        <v/>
      </c>
      <c r="AJ58" s="33" t="str">
        <f t="shared" si="69"/>
        <v/>
      </c>
      <c r="AK58" s="33" t="str">
        <f t="shared" si="70"/>
        <v/>
      </c>
      <c r="AL58" s="33" t="str">
        <f t="shared" si="71"/>
        <v/>
      </c>
      <c r="AM58" s="33" t="str">
        <f t="shared" si="72"/>
        <v/>
      </c>
      <c r="AN58" s="33" t="str">
        <f t="shared" si="73"/>
        <v/>
      </c>
      <c r="AO58" s="34">
        <v>700000</v>
      </c>
      <c r="AP58" s="34" t="str">
        <f t="shared" si="74"/>
        <v/>
      </c>
      <c r="AQ58" s="34" t="str">
        <f t="shared" si="75"/>
        <v/>
      </c>
      <c r="AR58" s="34" t="str">
        <f t="shared" si="76"/>
        <v/>
      </c>
      <c r="AS58" s="34" t="str">
        <f t="shared" si="77"/>
        <v/>
      </c>
      <c r="AT58" s="34" t="str">
        <f t="shared" si="78"/>
        <v/>
      </c>
      <c r="AU58" s="34" t="str">
        <f t="shared" si="79"/>
        <v/>
      </c>
      <c r="AV58" s="34" t="str">
        <f t="shared" si="80"/>
        <v/>
      </c>
      <c r="AW58" s="34" t="str">
        <f t="shared" si="81"/>
        <v/>
      </c>
      <c r="AX58" s="34" t="str">
        <f t="shared" si="82"/>
        <v/>
      </c>
      <c r="AY58" s="34" t="str">
        <f t="shared" si="83"/>
        <v/>
      </c>
      <c r="AZ58" s="34" t="str">
        <f t="shared" si="84"/>
        <v/>
      </c>
      <c r="BA58" s="34" t="str">
        <f t="shared" si="85"/>
        <v/>
      </c>
      <c r="BB58" s="34" t="str">
        <f t="shared" si="86"/>
        <v/>
      </c>
      <c r="BC58" s="34" t="str">
        <f t="shared" si="109"/>
        <v/>
      </c>
      <c r="BD58" s="34" t="str">
        <f t="shared" si="87"/>
        <v/>
      </c>
      <c r="BE58" s="34" t="str">
        <f t="shared" si="88"/>
        <v/>
      </c>
      <c r="BF58" s="34" t="str">
        <f t="shared" si="89"/>
        <v/>
      </c>
      <c r="BG58" s="34" t="str">
        <f t="shared" si="90"/>
        <v/>
      </c>
      <c r="BH58">
        <v>12500</v>
      </c>
      <c r="BI58" s="34" t="str">
        <f t="shared" si="91"/>
        <v>-</v>
      </c>
      <c r="BJ58" s="34" t="str">
        <f t="shared" si="92"/>
        <v>-</v>
      </c>
      <c r="BK58" s="34" t="str">
        <f t="shared" si="93"/>
        <v>-</v>
      </c>
      <c r="BL58" s="34" t="str">
        <f t="shared" si="94"/>
        <v>-</v>
      </c>
      <c r="BM58" s="34" t="str">
        <f t="shared" si="95"/>
        <v>-</v>
      </c>
      <c r="BN58" s="34" t="str">
        <f t="shared" si="96"/>
        <v>-</v>
      </c>
      <c r="BO58" s="34" t="str">
        <f t="shared" si="97"/>
        <v>-</v>
      </c>
      <c r="BP58" s="34" t="str">
        <f t="shared" si="98"/>
        <v>-</v>
      </c>
      <c r="BQ58" s="34" t="str">
        <f t="shared" si="99"/>
        <v>-</v>
      </c>
      <c r="BR58" s="34" t="str">
        <f t="shared" si="100"/>
        <v>-</v>
      </c>
      <c r="BS58" s="34" t="str">
        <f t="shared" si="101"/>
        <v>-</v>
      </c>
      <c r="BT58" s="34" t="str">
        <f t="shared" si="102"/>
        <v>-</v>
      </c>
      <c r="BU58" s="34" t="str">
        <f t="shared" si="103"/>
        <v>-</v>
      </c>
      <c r="BV58" s="34" t="str">
        <f t="shared" si="104"/>
        <v>-</v>
      </c>
      <c r="BW58" s="34" t="str">
        <f t="shared" si="105"/>
        <v>-</v>
      </c>
      <c r="BX58" s="34" t="str">
        <f t="shared" si="106"/>
        <v>-</v>
      </c>
      <c r="BY58" s="34" t="str">
        <f t="shared" si="107"/>
        <v>-</v>
      </c>
      <c r="BZ58" s="34" t="str">
        <f t="shared" si="108"/>
        <v>-</v>
      </c>
    </row>
    <row r="59" spans="2:78" ht="15" thickBot="1" x14ac:dyDescent="0.35">
      <c r="B59" s="33">
        <v>7</v>
      </c>
      <c r="C59" s="33">
        <v>140</v>
      </c>
      <c r="D59" s="33" t="str">
        <f t="shared" si="38"/>
        <v/>
      </c>
      <c r="E59" s="33" t="str">
        <f t="shared" si="39"/>
        <v/>
      </c>
      <c r="F59" s="33" t="str">
        <f t="shared" si="40"/>
        <v/>
      </c>
      <c r="G59" s="33" t="str">
        <f t="shared" si="41"/>
        <v/>
      </c>
      <c r="H59" s="33" t="str">
        <f t="shared" si="42"/>
        <v/>
      </c>
      <c r="I59" s="33" t="str">
        <f t="shared" si="43"/>
        <v/>
      </c>
      <c r="J59" s="33" t="str">
        <f t="shared" si="44"/>
        <v/>
      </c>
      <c r="K59" s="33" t="str">
        <f t="shared" si="45"/>
        <v/>
      </c>
      <c r="L59" s="33" t="str">
        <f t="shared" si="46"/>
        <v/>
      </c>
      <c r="M59" s="33" t="str">
        <f t="shared" si="47"/>
        <v/>
      </c>
      <c r="N59" s="33" t="str">
        <f t="shared" si="48"/>
        <v/>
      </c>
      <c r="O59" s="33" t="str">
        <f t="shared" si="49"/>
        <v/>
      </c>
      <c r="P59" s="33" t="str">
        <f t="shared" si="50"/>
        <v/>
      </c>
      <c r="Q59" s="33" t="str">
        <f t="shared" si="51"/>
        <v/>
      </c>
      <c r="R59" s="33" t="str">
        <f t="shared" si="52"/>
        <v/>
      </c>
      <c r="S59" s="33" t="str">
        <f t="shared" si="53"/>
        <v/>
      </c>
      <c r="T59" s="33" t="str">
        <f t="shared" si="54"/>
        <v/>
      </c>
      <c r="U59" s="33" t="str">
        <f t="shared" si="55"/>
        <v/>
      </c>
      <c r="V59" s="33">
        <v>400</v>
      </c>
      <c r="W59" s="33" t="str">
        <f t="shared" si="56"/>
        <v/>
      </c>
      <c r="X59" s="33" t="str">
        <f t="shared" si="57"/>
        <v/>
      </c>
      <c r="Y59" s="33" t="str">
        <f t="shared" si="58"/>
        <v/>
      </c>
      <c r="Z59" s="33" t="str">
        <f t="shared" si="59"/>
        <v/>
      </c>
      <c r="AA59" s="33" t="str">
        <f t="shared" si="60"/>
        <v/>
      </c>
      <c r="AB59" s="33" t="str">
        <f t="shared" si="61"/>
        <v/>
      </c>
      <c r="AC59" s="33" t="str">
        <f t="shared" si="62"/>
        <v/>
      </c>
      <c r="AD59" s="33" t="str">
        <f t="shared" si="63"/>
        <v/>
      </c>
      <c r="AE59" s="33" t="str">
        <f t="shared" si="64"/>
        <v/>
      </c>
      <c r="AF59" s="33" t="str">
        <f t="shared" si="65"/>
        <v/>
      </c>
      <c r="AG59" s="33" t="str">
        <f t="shared" si="66"/>
        <v/>
      </c>
      <c r="AH59" s="33" t="str">
        <f t="shared" si="67"/>
        <v/>
      </c>
      <c r="AI59" s="33" t="str">
        <f t="shared" si="68"/>
        <v/>
      </c>
      <c r="AJ59" s="33" t="str">
        <f t="shared" si="69"/>
        <v/>
      </c>
      <c r="AK59" s="33" t="str">
        <f t="shared" si="70"/>
        <v/>
      </c>
      <c r="AL59" s="33" t="str">
        <f t="shared" si="71"/>
        <v/>
      </c>
      <c r="AM59" s="33" t="str">
        <f t="shared" si="72"/>
        <v/>
      </c>
      <c r="AN59" s="33" t="str">
        <f t="shared" si="73"/>
        <v/>
      </c>
      <c r="AO59" s="34">
        <v>824000</v>
      </c>
      <c r="AP59" s="34" t="str">
        <f t="shared" si="74"/>
        <v/>
      </c>
      <c r="AQ59" s="34" t="str">
        <f t="shared" si="75"/>
        <v/>
      </c>
      <c r="AR59" s="34" t="str">
        <f t="shared" si="76"/>
        <v/>
      </c>
      <c r="AS59" s="34" t="str">
        <f t="shared" si="77"/>
        <v/>
      </c>
      <c r="AT59" s="34" t="str">
        <f t="shared" si="78"/>
        <v/>
      </c>
      <c r="AU59" s="34" t="str">
        <f t="shared" si="79"/>
        <v/>
      </c>
      <c r="AV59" s="34" t="str">
        <f t="shared" si="80"/>
        <v/>
      </c>
      <c r="AW59" s="34" t="str">
        <f t="shared" si="81"/>
        <v/>
      </c>
      <c r="AX59" s="34" t="str">
        <f t="shared" si="82"/>
        <v/>
      </c>
      <c r="AY59" s="34" t="str">
        <f t="shared" si="83"/>
        <v/>
      </c>
      <c r="AZ59" s="34" t="str">
        <f t="shared" si="84"/>
        <v/>
      </c>
      <c r="BA59" s="34" t="str">
        <f t="shared" si="85"/>
        <v/>
      </c>
      <c r="BB59" s="34" t="str">
        <f t="shared" si="86"/>
        <v/>
      </c>
      <c r="BC59" s="34" t="str">
        <f t="shared" si="109"/>
        <v/>
      </c>
      <c r="BD59" s="34" t="str">
        <f t="shared" si="87"/>
        <v/>
      </c>
      <c r="BE59" s="34" t="str">
        <f t="shared" si="88"/>
        <v/>
      </c>
      <c r="BF59" s="34" t="str">
        <f t="shared" si="89"/>
        <v/>
      </c>
      <c r="BG59" s="34" t="str">
        <f t="shared" si="90"/>
        <v/>
      </c>
      <c r="BH59">
        <v>12500</v>
      </c>
      <c r="BI59" s="34" t="str">
        <f t="shared" si="91"/>
        <v>-</v>
      </c>
      <c r="BJ59" s="34" t="str">
        <f t="shared" si="92"/>
        <v>-</v>
      </c>
      <c r="BK59" s="34" t="str">
        <f t="shared" si="93"/>
        <v>-</v>
      </c>
      <c r="BL59" s="34" t="str">
        <f t="shared" si="94"/>
        <v>-</v>
      </c>
      <c r="BM59" s="34" t="str">
        <f t="shared" si="95"/>
        <v>-</v>
      </c>
      <c r="BN59" s="34" t="str">
        <f t="shared" si="96"/>
        <v>-</v>
      </c>
      <c r="BO59" s="34" t="str">
        <f t="shared" si="97"/>
        <v>-</v>
      </c>
      <c r="BP59" s="34" t="str">
        <f t="shared" si="98"/>
        <v>-</v>
      </c>
      <c r="BQ59" s="34" t="str">
        <f t="shared" si="99"/>
        <v>-</v>
      </c>
      <c r="BR59" s="34" t="str">
        <f t="shared" si="100"/>
        <v>-</v>
      </c>
      <c r="BS59" s="34" t="str">
        <f t="shared" si="101"/>
        <v>-</v>
      </c>
      <c r="BT59" s="34" t="str">
        <f t="shared" si="102"/>
        <v>-</v>
      </c>
      <c r="BU59" s="34" t="str">
        <f t="shared" si="103"/>
        <v>-</v>
      </c>
      <c r="BV59" s="34" t="str">
        <f t="shared" si="104"/>
        <v>-</v>
      </c>
      <c r="BW59" s="34" t="str">
        <f t="shared" si="105"/>
        <v>-</v>
      </c>
      <c r="BX59" s="34" t="str">
        <f t="shared" si="106"/>
        <v>-</v>
      </c>
      <c r="BY59" s="34" t="str">
        <f t="shared" si="107"/>
        <v>-</v>
      </c>
      <c r="BZ59" s="34" t="str">
        <f t="shared" si="108"/>
        <v>-</v>
      </c>
    </row>
    <row r="60" spans="2:78" ht="15" thickBot="1" x14ac:dyDescent="0.35">
      <c r="B60" s="33">
        <v>8</v>
      </c>
      <c r="C60" s="33">
        <v>200</v>
      </c>
      <c r="D60" s="33" t="str">
        <f t="shared" si="38"/>
        <v/>
      </c>
      <c r="E60" s="33" t="str">
        <f t="shared" si="39"/>
        <v/>
      </c>
      <c r="F60" s="33" t="str">
        <f t="shared" si="40"/>
        <v/>
      </c>
      <c r="G60" s="33" t="str">
        <f t="shared" si="41"/>
        <v/>
      </c>
      <c r="H60" s="33" t="str">
        <f t="shared" si="42"/>
        <v/>
      </c>
      <c r="I60" s="33" t="str">
        <f t="shared" si="43"/>
        <v/>
      </c>
      <c r="J60" s="33" t="str">
        <f t="shared" si="44"/>
        <v/>
      </c>
      <c r="K60" s="33" t="str">
        <f t="shared" si="45"/>
        <v/>
      </c>
      <c r="L60" s="33" t="str">
        <f t="shared" si="46"/>
        <v/>
      </c>
      <c r="M60" s="33" t="str">
        <f t="shared" si="47"/>
        <v/>
      </c>
      <c r="N60" s="33" t="str">
        <f t="shared" si="48"/>
        <v/>
      </c>
      <c r="O60" s="33" t="str">
        <f t="shared" si="49"/>
        <v/>
      </c>
      <c r="P60" s="33" t="str">
        <f t="shared" si="50"/>
        <v/>
      </c>
      <c r="Q60" s="33" t="str">
        <f t="shared" si="51"/>
        <v/>
      </c>
      <c r="R60" s="33" t="str">
        <f t="shared" si="52"/>
        <v/>
      </c>
      <c r="S60" s="33" t="str">
        <f t="shared" si="53"/>
        <v/>
      </c>
      <c r="T60" s="33" t="str">
        <f t="shared" si="54"/>
        <v/>
      </c>
      <c r="U60" s="33" t="str">
        <f t="shared" si="55"/>
        <v/>
      </c>
      <c r="V60" s="33">
        <v>400</v>
      </c>
      <c r="W60" s="33" t="str">
        <f t="shared" si="56"/>
        <v/>
      </c>
      <c r="X60" s="33" t="str">
        <f t="shared" si="57"/>
        <v/>
      </c>
      <c r="Y60" s="33" t="str">
        <f t="shared" si="58"/>
        <v/>
      </c>
      <c r="Z60" s="33" t="str">
        <f t="shared" si="59"/>
        <v/>
      </c>
      <c r="AA60" s="33" t="str">
        <f t="shared" si="60"/>
        <v/>
      </c>
      <c r="AB60" s="33" t="str">
        <f t="shared" si="61"/>
        <v/>
      </c>
      <c r="AC60" s="33" t="str">
        <f t="shared" si="62"/>
        <v/>
      </c>
      <c r="AD60" s="33" t="str">
        <f t="shared" si="63"/>
        <v/>
      </c>
      <c r="AE60" s="33" t="str">
        <f t="shared" si="64"/>
        <v/>
      </c>
      <c r="AF60" s="33" t="str">
        <f t="shared" si="65"/>
        <v/>
      </c>
      <c r="AG60" s="33" t="str">
        <f t="shared" si="66"/>
        <v/>
      </c>
      <c r="AH60" s="33" t="str">
        <f t="shared" si="67"/>
        <v/>
      </c>
      <c r="AI60" s="33" t="str">
        <f t="shared" si="68"/>
        <v/>
      </c>
      <c r="AJ60" s="33" t="str">
        <f t="shared" si="69"/>
        <v/>
      </c>
      <c r="AK60" s="33" t="str">
        <f t="shared" si="70"/>
        <v/>
      </c>
      <c r="AL60" s="33" t="str">
        <f t="shared" si="71"/>
        <v/>
      </c>
      <c r="AM60" s="33" t="str">
        <f t="shared" si="72"/>
        <v/>
      </c>
      <c r="AN60" s="33" t="str">
        <f t="shared" si="73"/>
        <v/>
      </c>
      <c r="AO60" s="34">
        <v>948000</v>
      </c>
      <c r="AP60" s="34" t="str">
        <f t="shared" si="74"/>
        <v/>
      </c>
      <c r="AQ60" s="34" t="str">
        <f t="shared" si="75"/>
        <v/>
      </c>
      <c r="AR60" s="34" t="str">
        <f t="shared" si="76"/>
        <v/>
      </c>
      <c r="AS60" s="34" t="str">
        <f t="shared" si="77"/>
        <v/>
      </c>
      <c r="AT60" s="34" t="str">
        <f t="shared" si="78"/>
        <v/>
      </c>
      <c r="AU60" s="34" t="str">
        <f t="shared" si="79"/>
        <v/>
      </c>
      <c r="AV60" s="34" t="str">
        <f t="shared" si="80"/>
        <v/>
      </c>
      <c r="AW60" s="34" t="str">
        <f t="shared" si="81"/>
        <v/>
      </c>
      <c r="AX60" s="34" t="str">
        <f t="shared" si="82"/>
        <v/>
      </c>
      <c r="AY60" s="34" t="str">
        <f t="shared" si="83"/>
        <v/>
      </c>
      <c r="AZ60" s="34" t="str">
        <f t="shared" si="84"/>
        <v/>
      </c>
      <c r="BA60" s="34" t="str">
        <f t="shared" si="85"/>
        <v/>
      </c>
      <c r="BB60" s="34" t="str">
        <f t="shared" si="86"/>
        <v/>
      </c>
      <c r="BC60" s="34" t="str">
        <f t="shared" si="109"/>
        <v/>
      </c>
      <c r="BD60" s="34" t="str">
        <f t="shared" si="87"/>
        <v/>
      </c>
      <c r="BE60" s="34" t="str">
        <f t="shared" si="88"/>
        <v/>
      </c>
      <c r="BF60" s="34" t="str">
        <f t="shared" si="89"/>
        <v/>
      </c>
      <c r="BG60" s="34" t="str">
        <f t="shared" si="90"/>
        <v/>
      </c>
      <c r="BH60">
        <v>13000</v>
      </c>
      <c r="BI60" s="34" t="str">
        <f t="shared" si="91"/>
        <v>-</v>
      </c>
      <c r="BJ60" s="34" t="str">
        <f t="shared" si="92"/>
        <v>-</v>
      </c>
      <c r="BK60" s="34" t="str">
        <f t="shared" si="93"/>
        <v>-</v>
      </c>
      <c r="BL60" s="34" t="str">
        <f t="shared" si="94"/>
        <v>-</v>
      </c>
      <c r="BM60" s="34" t="str">
        <f t="shared" si="95"/>
        <v>-</v>
      </c>
      <c r="BN60" s="34" t="str">
        <f t="shared" si="96"/>
        <v>-</v>
      </c>
      <c r="BO60" s="34" t="str">
        <f t="shared" si="97"/>
        <v>-</v>
      </c>
      <c r="BP60" s="34" t="str">
        <f t="shared" si="98"/>
        <v>-</v>
      </c>
      <c r="BQ60" s="34" t="str">
        <f t="shared" si="99"/>
        <v>-</v>
      </c>
      <c r="BR60" s="34" t="str">
        <f t="shared" si="100"/>
        <v>-</v>
      </c>
      <c r="BS60" s="34" t="str">
        <f t="shared" si="101"/>
        <v>-</v>
      </c>
      <c r="BT60" s="34" t="str">
        <f t="shared" si="102"/>
        <v>-</v>
      </c>
      <c r="BU60" s="34" t="str">
        <f t="shared" si="103"/>
        <v>-</v>
      </c>
      <c r="BV60" s="34" t="str">
        <f t="shared" si="104"/>
        <v>-</v>
      </c>
      <c r="BW60" s="34" t="str">
        <f t="shared" si="105"/>
        <v>-</v>
      </c>
      <c r="BX60" s="34" t="str">
        <f t="shared" si="106"/>
        <v>-</v>
      </c>
      <c r="BY60" s="34" t="str">
        <f t="shared" si="107"/>
        <v>-</v>
      </c>
      <c r="BZ60" s="34" t="str">
        <f t="shared" si="108"/>
        <v>-</v>
      </c>
    </row>
    <row r="61" spans="2:78" ht="15" thickBot="1" x14ac:dyDescent="0.35">
      <c r="B61" s="33">
        <v>9</v>
      </c>
      <c r="C61" s="33">
        <v>300</v>
      </c>
      <c r="D61" s="33" t="str">
        <f t="shared" si="38"/>
        <v/>
      </c>
      <c r="E61" s="33" t="str">
        <f t="shared" si="39"/>
        <v/>
      </c>
      <c r="F61" s="33" t="str">
        <f t="shared" si="40"/>
        <v/>
      </c>
      <c r="G61" s="33" t="str">
        <f t="shared" si="41"/>
        <v/>
      </c>
      <c r="H61" s="33" t="str">
        <f t="shared" si="42"/>
        <v/>
      </c>
      <c r="I61" s="33" t="str">
        <f t="shared" si="43"/>
        <v/>
      </c>
      <c r="J61" s="33" t="str">
        <f t="shared" si="44"/>
        <v/>
      </c>
      <c r="K61" s="33" t="str">
        <f t="shared" si="45"/>
        <v/>
      </c>
      <c r="L61" s="33" t="str">
        <f t="shared" si="46"/>
        <v/>
      </c>
      <c r="M61" s="33" t="str">
        <f t="shared" si="47"/>
        <v/>
      </c>
      <c r="N61" s="33" t="str">
        <f t="shared" si="48"/>
        <v/>
      </c>
      <c r="O61" s="33" t="str">
        <f t="shared" si="49"/>
        <v/>
      </c>
      <c r="P61" s="33" t="str">
        <f t="shared" si="50"/>
        <v/>
      </c>
      <c r="Q61" s="33" t="str">
        <f t="shared" si="51"/>
        <v/>
      </c>
      <c r="R61" s="33" t="str">
        <f t="shared" si="52"/>
        <v/>
      </c>
      <c r="S61" s="33" t="str">
        <f t="shared" si="53"/>
        <v/>
      </c>
      <c r="T61" s="33" t="str">
        <f t="shared" si="54"/>
        <v/>
      </c>
      <c r="U61" s="33" t="str">
        <f t="shared" si="55"/>
        <v/>
      </c>
      <c r="V61" s="33">
        <v>400</v>
      </c>
      <c r="W61" s="33" t="str">
        <f t="shared" si="56"/>
        <v/>
      </c>
      <c r="X61" s="33" t="str">
        <f t="shared" si="57"/>
        <v/>
      </c>
      <c r="Y61" s="33" t="str">
        <f t="shared" si="58"/>
        <v/>
      </c>
      <c r="Z61" s="33" t="str">
        <f t="shared" si="59"/>
        <v/>
      </c>
      <c r="AA61" s="33" t="str">
        <f t="shared" si="60"/>
        <v/>
      </c>
      <c r="AB61" s="33" t="str">
        <f t="shared" si="61"/>
        <v/>
      </c>
      <c r="AC61" s="33" t="str">
        <f t="shared" si="62"/>
        <v/>
      </c>
      <c r="AD61" s="33" t="str">
        <f t="shared" si="63"/>
        <v/>
      </c>
      <c r="AE61" s="33" t="str">
        <f t="shared" si="64"/>
        <v/>
      </c>
      <c r="AF61" s="33" t="str">
        <f t="shared" si="65"/>
        <v/>
      </c>
      <c r="AG61" s="33" t="str">
        <f t="shared" si="66"/>
        <v/>
      </c>
      <c r="AH61" s="33" t="str">
        <f t="shared" si="67"/>
        <v/>
      </c>
      <c r="AI61" s="33" t="str">
        <f t="shared" si="68"/>
        <v/>
      </c>
      <c r="AJ61" s="33" t="str">
        <f t="shared" si="69"/>
        <v/>
      </c>
      <c r="AK61" s="33" t="str">
        <f t="shared" si="70"/>
        <v/>
      </c>
      <c r="AL61" s="33" t="str">
        <f t="shared" si="71"/>
        <v/>
      </c>
      <c r="AM61" s="33" t="str">
        <f t="shared" si="72"/>
        <v/>
      </c>
      <c r="AN61" s="33" t="str">
        <f t="shared" si="73"/>
        <v/>
      </c>
      <c r="AO61" s="34">
        <v>1072000</v>
      </c>
      <c r="AP61" s="34" t="str">
        <f t="shared" si="74"/>
        <v/>
      </c>
      <c r="AQ61" s="34" t="str">
        <f t="shared" si="75"/>
        <v/>
      </c>
      <c r="AR61" s="34" t="str">
        <f t="shared" si="76"/>
        <v/>
      </c>
      <c r="AS61" s="34" t="str">
        <f t="shared" si="77"/>
        <v/>
      </c>
      <c r="AT61" s="34" t="str">
        <f t="shared" si="78"/>
        <v/>
      </c>
      <c r="AU61" s="34" t="str">
        <f t="shared" si="79"/>
        <v/>
      </c>
      <c r="AV61" s="34" t="str">
        <f t="shared" si="80"/>
        <v/>
      </c>
      <c r="AW61" s="34" t="str">
        <f t="shared" si="81"/>
        <v/>
      </c>
      <c r="AX61" s="34" t="str">
        <f t="shared" si="82"/>
        <v/>
      </c>
      <c r="AY61" s="34" t="str">
        <f t="shared" si="83"/>
        <v/>
      </c>
      <c r="AZ61" s="34" t="str">
        <f t="shared" si="84"/>
        <v/>
      </c>
      <c r="BA61" s="34" t="str">
        <f t="shared" si="85"/>
        <v/>
      </c>
      <c r="BB61" s="34" t="str">
        <f t="shared" si="86"/>
        <v/>
      </c>
      <c r="BC61" s="34" t="str">
        <f t="shared" si="109"/>
        <v/>
      </c>
      <c r="BD61" s="34" t="str">
        <f t="shared" si="87"/>
        <v/>
      </c>
      <c r="BE61" s="34" t="str">
        <f t="shared" si="88"/>
        <v/>
      </c>
      <c r="BF61" s="34" t="str">
        <f t="shared" si="89"/>
        <v/>
      </c>
      <c r="BG61" s="34" t="str">
        <f t="shared" si="90"/>
        <v/>
      </c>
      <c r="BH61">
        <v>14000</v>
      </c>
      <c r="BI61" s="34" t="str">
        <f t="shared" si="91"/>
        <v>-</v>
      </c>
      <c r="BJ61" s="34" t="str">
        <f t="shared" si="92"/>
        <v>-</v>
      </c>
      <c r="BK61" s="34" t="str">
        <f t="shared" si="93"/>
        <v>-</v>
      </c>
      <c r="BL61" s="34" t="str">
        <f t="shared" si="94"/>
        <v>-</v>
      </c>
      <c r="BM61" s="34" t="str">
        <f t="shared" si="95"/>
        <v>-</v>
      </c>
      <c r="BN61" s="34" t="str">
        <f t="shared" si="96"/>
        <v>-</v>
      </c>
      <c r="BO61" s="34" t="str">
        <f t="shared" si="97"/>
        <v>-</v>
      </c>
      <c r="BP61" s="34" t="str">
        <f t="shared" si="98"/>
        <v>-</v>
      </c>
      <c r="BQ61" s="34" t="str">
        <f t="shared" si="99"/>
        <v>-</v>
      </c>
      <c r="BR61" s="34" t="str">
        <f t="shared" si="100"/>
        <v>-</v>
      </c>
      <c r="BS61" s="34" t="str">
        <f t="shared" si="101"/>
        <v>-</v>
      </c>
      <c r="BT61" s="34" t="str">
        <f t="shared" si="102"/>
        <v>-</v>
      </c>
      <c r="BU61" s="34" t="str">
        <f t="shared" si="103"/>
        <v>-</v>
      </c>
      <c r="BV61" s="34" t="str">
        <f t="shared" si="104"/>
        <v>-</v>
      </c>
      <c r="BW61" s="34" t="str">
        <f t="shared" si="105"/>
        <v>-</v>
      </c>
      <c r="BX61" s="34" t="str">
        <f t="shared" si="106"/>
        <v>-</v>
      </c>
      <c r="BY61" s="34" t="str">
        <f t="shared" si="107"/>
        <v>-</v>
      </c>
      <c r="BZ61" s="34" t="str">
        <f t="shared" si="108"/>
        <v>-</v>
      </c>
    </row>
    <row r="62" spans="2:78" ht="15" thickBot="1" x14ac:dyDescent="0.35">
      <c r="B62" s="33">
        <v>10</v>
      </c>
      <c r="C62" s="33">
        <v>420</v>
      </c>
      <c r="D62" s="33" t="str">
        <f t="shared" si="38"/>
        <v/>
      </c>
      <c r="E62" s="33" t="str">
        <f t="shared" si="39"/>
        <v/>
      </c>
      <c r="F62" s="33" t="str">
        <f t="shared" si="40"/>
        <v/>
      </c>
      <c r="G62" s="33" t="str">
        <f t="shared" si="41"/>
        <v/>
      </c>
      <c r="H62" s="33" t="str">
        <f t="shared" si="42"/>
        <v/>
      </c>
      <c r="I62" s="33" t="str">
        <f t="shared" si="43"/>
        <v/>
      </c>
      <c r="J62" s="33" t="str">
        <f t="shared" si="44"/>
        <v/>
      </c>
      <c r="K62" s="33" t="str">
        <f t="shared" si="45"/>
        <v/>
      </c>
      <c r="L62" s="33" t="str">
        <f t="shared" si="46"/>
        <v/>
      </c>
      <c r="M62" s="33" t="str">
        <f t="shared" si="47"/>
        <v/>
      </c>
      <c r="N62" s="33" t="str">
        <f t="shared" si="48"/>
        <v/>
      </c>
      <c r="O62" s="33" t="str">
        <f t="shared" si="49"/>
        <v/>
      </c>
      <c r="P62" s="33" t="str">
        <f t="shared" si="50"/>
        <v/>
      </c>
      <c r="Q62" s="33" t="str">
        <f t="shared" si="51"/>
        <v/>
      </c>
      <c r="R62" s="33" t="str">
        <f t="shared" si="52"/>
        <v/>
      </c>
      <c r="S62" s="33" t="str">
        <f t="shared" si="53"/>
        <v/>
      </c>
      <c r="T62" s="33" t="str">
        <f t="shared" si="54"/>
        <v/>
      </c>
      <c r="U62" s="33" t="str">
        <f t="shared" si="55"/>
        <v/>
      </c>
      <c r="V62" s="33">
        <v>420</v>
      </c>
      <c r="W62" s="33" t="str">
        <f t="shared" si="56"/>
        <v/>
      </c>
      <c r="X62" s="33" t="str">
        <f t="shared" si="57"/>
        <v/>
      </c>
      <c r="Y62" s="33" t="str">
        <f t="shared" si="58"/>
        <v/>
      </c>
      <c r="Z62" s="33" t="str">
        <f t="shared" si="59"/>
        <v/>
      </c>
      <c r="AA62" s="33" t="str">
        <f t="shared" si="60"/>
        <v/>
      </c>
      <c r="AB62" s="33" t="str">
        <f t="shared" si="61"/>
        <v/>
      </c>
      <c r="AC62" s="33" t="str">
        <f t="shared" si="62"/>
        <v/>
      </c>
      <c r="AD62" s="33" t="str">
        <f t="shared" si="63"/>
        <v/>
      </c>
      <c r="AE62" s="33" t="str">
        <f t="shared" si="64"/>
        <v/>
      </c>
      <c r="AF62" s="33" t="str">
        <f t="shared" si="65"/>
        <v/>
      </c>
      <c r="AG62" s="33" t="str">
        <f t="shared" si="66"/>
        <v/>
      </c>
      <c r="AH62" s="33" t="str">
        <f t="shared" si="67"/>
        <v/>
      </c>
      <c r="AI62" s="33" t="str">
        <f t="shared" si="68"/>
        <v/>
      </c>
      <c r="AJ62" s="33" t="str">
        <f t="shared" si="69"/>
        <v/>
      </c>
      <c r="AK62" s="33" t="str">
        <f t="shared" si="70"/>
        <v/>
      </c>
      <c r="AL62" s="33" t="str">
        <f t="shared" si="71"/>
        <v/>
      </c>
      <c r="AM62" s="33" t="str">
        <f t="shared" si="72"/>
        <v/>
      </c>
      <c r="AN62" s="33" t="str">
        <f t="shared" si="73"/>
        <v/>
      </c>
      <c r="AO62" s="34">
        <v>1196000</v>
      </c>
      <c r="AP62" s="34" t="str">
        <f t="shared" si="74"/>
        <v/>
      </c>
      <c r="AQ62" s="34" t="str">
        <f t="shared" si="75"/>
        <v/>
      </c>
      <c r="AR62" s="34" t="str">
        <f t="shared" si="76"/>
        <v/>
      </c>
      <c r="AS62" s="34" t="str">
        <f t="shared" si="77"/>
        <v/>
      </c>
      <c r="AT62" s="34" t="str">
        <f t="shared" si="78"/>
        <v/>
      </c>
      <c r="AU62" s="34" t="str">
        <f t="shared" si="79"/>
        <v/>
      </c>
      <c r="AV62" s="34" t="str">
        <f t="shared" si="80"/>
        <v/>
      </c>
      <c r="AW62" s="34" t="str">
        <f t="shared" si="81"/>
        <v/>
      </c>
      <c r="AX62" s="34" t="str">
        <f t="shared" si="82"/>
        <v/>
      </c>
      <c r="AY62" s="34" t="str">
        <f t="shared" si="83"/>
        <v/>
      </c>
      <c r="AZ62" s="34" t="str">
        <f t="shared" si="84"/>
        <v/>
      </c>
      <c r="BA62" s="34" t="str">
        <f t="shared" si="85"/>
        <v/>
      </c>
      <c r="BB62" s="34" t="str">
        <f t="shared" si="86"/>
        <v/>
      </c>
      <c r="BC62" s="34" t="str">
        <f t="shared" si="109"/>
        <v/>
      </c>
      <c r="BD62" s="34" t="str">
        <f t="shared" si="87"/>
        <v/>
      </c>
      <c r="BE62" s="34" t="str">
        <f t="shared" si="88"/>
        <v/>
      </c>
      <c r="BF62" s="34" t="str">
        <f t="shared" si="89"/>
        <v/>
      </c>
      <c r="BG62" s="34" t="str">
        <f t="shared" si="90"/>
        <v/>
      </c>
      <c r="BH62">
        <v>15000</v>
      </c>
      <c r="BI62" s="34" t="str">
        <f t="shared" si="91"/>
        <v>-</v>
      </c>
      <c r="BJ62" s="34" t="str">
        <f t="shared" si="92"/>
        <v>-</v>
      </c>
      <c r="BK62" s="34" t="str">
        <f t="shared" si="93"/>
        <v>-</v>
      </c>
      <c r="BL62" s="34" t="str">
        <f t="shared" si="94"/>
        <v>-</v>
      </c>
      <c r="BM62" s="34" t="str">
        <f t="shared" si="95"/>
        <v>-</v>
      </c>
      <c r="BN62" s="34" t="str">
        <f t="shared" si="96"/>
        <v>-</v>
      </c>
      <c r="BO62" s="34" t="str">
        <f t="shared" si="97"/>
        <v>-</v>
      </c>
      <c r="BP62" s="34" t="str">
        <f t="shared" si="98"/>
        <v>-</v>
      </c>
      <c r="BQ62" s="34" t="str">
        <f t="shared" si="99"/>
        <v>-</v>
      </c>
      <c r="BR62" s="34" t="str">
        <f t="shared" si="100"/>
        <v>-</v>
      </c>
      <c r="BS62" s="34" t="str">
        <f t="shared" si="101"/>
        <v>-</v>
      </c>
      <c r="BT62" s="34" t="str">
        <f t="shared" si="102"/>
        <v>-</v>
      </c>
      <c r="BU62" s="34" t="str">
        <f t="shared" si="103"/>
        <v>-</v>
      </c>
      <c r="BV62" s="34" t="str">
        <f t="shared" si="104"/>
        <v>-</v>
      </c>
      <c r="BW62" s="34" t="str">
        <f t="shared" si="105"/>
        <v>-</v>
      </c>
      <c r="BX62" s="34" t="str">
        <f t="shared" si="106"/>
        <v>-</v>
      </c>
      <c r="BY62" s="34" t="str">
        <f t="shared" si="107"/>
        <v>-</v>
      </c>
      <c r="BZ62" s="34" t="str">
        <f t="shared" si="108"/>
        <v>-</v>
      </c>
    </row>
    <row r="63" spans="2:78" ht="15" thickBot="1" x14ac:dyDescent="0.35">
      <c r="B63" s="33">
        <v>11</v>
      </c>
      <c r="C63" s="33">
        <v>560</v>
      </c>
      <c r="D63" s="33" t="str">
        <f t="shared" si="38"/>
        <v/>
      </c>
      <c r="E63" s="33" t="str">
        <f t="shared" si="39"/>
        <v/>
      </c>
      <c r="F63" s="33" t="str">
        <f t="shared" si="40"/>
        <v/>
      </c>
      <c r="G63" s="33" t="str">
        <f t="shared" si="41"/>
        <v/>
      </c>
      <c r="H63" s="33" t="str">
        <f t="shared" si="42"/>
        <v/>
      </c>
      <c r="I63" s="33" t="str">
        <f t="shared" si="43"/>
        <v/>
      </c>
      <c r="J63" s="33" t="str">
        <f t="shared" si="44"/>
        <v/>
      </c>
      <c r="K63" s="33" t="str">
        <f t="shared" si="45"/>
        <v/>
      </c>
      <c r="L63" s="33" t="str">
        <f t="shared" si="46"/>
        <v/>
      </c>
      <c r="M63" s="33" t="str">
        <f t="shared" si="47"/>
        <v/>
      </c>
      <c r="N63" s="33" t="str">
        <f t="shared" si="48"/>
        <v/>
      </c>
      <c r="O63" s="33" t="str">
        <f t="shared" si="49"/>
        <v/>
      </c>
      <c r="P63" s="33" t="str">
        <f t="shared" si="50"/>
        <v/>
      </c>
      <c r="Q63" s="33" t="str">
        <f t="shared" si="51"/>
        <v/>
      </c>
      <c r="R63" s="33" t="str">
        <f t="shared" si="52"/>
        <v/>
      </c>
      <c r="S63" s="33" t="str">
        <f t="shared" si="53"/>
        <v/>
      </c>
      <c r="T63" s="33" t="str">
        <f t="shared" si="54"/>
        <v/>
      </c>
      <c r="U63" s="33" t="str">
        <f t="shared" si="55"/>
        <v/>
      </c>
      <c r="V63" s="33">
        <v>420</v>
      </c>
      <c r="W63" s="33" t="str">
        <f t="shared" si="56"/>
        <v/>
      </c>
      <c r="X63" s="33" t="str">
        <f t="shared" si="57"/>
        <v/>
      </c>
      <c r="Y63" s="33" t="str">
        <f t="shared" si="58"/>
        <v/>
      </c>
      <c r="Z63" s="33" t="str">
        <f t="shared" si="59"/>
        <v/>
      </c>
      <c r="AA63" s="33" t="str">
        <f t="shared" si="60"/>
        <v/>
      </c>
      <c r="AB63" s="33" t="str">
        <f t="shared" si="61"/>
        <v/>
      </c>
      <c r="AC63" s="33" t="str">
        <f t="shared" si="62"/>
        <v/>
      </c>
      <c r="AD63" s="33" t="str">
        <f t="shared" si="63"/>
        <v/>
      </c>
      <c r="AE63" s="33" t="str">
        <f t="shared" si="64"/>
        <v/>
      </c>
      <c r="AF63" s="33" t="str">
        <f t="shared" si="65"/>
        <v/>
      </c>
      <c r="AG63" s="33" t="str">
        <f t="shared" si="66"/>
        <v/>
      </c>
      <c r="AH63" s="33" t="str">
        <f t="shared" si="67"/>
        <v/>
      </c>
      <c r="AI63" s="33" t="str">
        <f t="shared" si="68"/>
        <v/>
      </c>
      <c r="AJ63" s="33" t="str">
        <f t="shared" si="69"/>
        <v/>
      </c>
      <c r="AK63" s="33" t="str">
        <f t="shared" si="70"/>
        <v/>
      </c>
      <c r="AL63" s="33" t="str">
        <f t="shared" si="71"/>
        <v/>
      </c>
      <c r="AM63" s="33" t="str">
        <f t="shared" si="72"/>
        <v/>
      </c>
      <c r="AN63" s="33" t="str">
        <f t="shared" si="73"/>
        <v/>
      </c>
      <c r="AO63" s="34">
        <v>1320000</v>
      </c>
      <c r="AP63" s="34" t="str">
        <f t="shared" si="74"/>
        <v/>
      </c>
      <c r="AQ63" s="34" t="str">
        <f t="shared" si="75"/>
        <v/>
      </c>
      <c r="AR63" s="34" t="str">
        <f t="shared" si="76"/>
        <v/>
      </c>
      <c r="AS63" s="34" t="str">
        <f t="shared" si="77"/>
        <v/>
      </c>
      <c r="AT63" s="34" t="str">
        <f t="shared" si="78"/>
        <v/>
      </c>
      <c r="AU63" s="34" t="str">
        <f t="shared" si="79"/>
        <v/>
      </c>
      <c r="AV63" s="34" t="str">
        <f t="shared" si="80"/>
        <v/>
      </c>
      <c r="AW63" s="34" t="str">
        <f t="shared" si="81"/>
        <v/>
      </c>
      <c r="AX63" s="34" t="str">
        <f t="shared" si="82"/>
        <v/>
      </c>
      <c r="AY63" s="34" t="str">
        <f t="shared" si="83"/>
        <v/>
      </c>
      <c r="AZ63" s="34" t="str">
        <f t="shared" si="84"/>
        <v/>
      </c>
      <c r="BA63" s="34" t="str">
        <f t="shared" si="85"/>
        <v/>
      </c>
      <c r="BB63" s="34" t="str">
        <f t="shared" si="86"/>
        <v/>
      </c>
      <c r="BC63" s="34" t="str">
        <f t="shared" si="109"/>
        <v/>
      </c>
      <c r="BD63" s="34" t="str">
        <f t="shared" si="87"/>
        <v/>
      </c>
      <c r="BE63" s="34" t="str">
        <f t="shared" si="88"/>
        <v/>
      </c>
      <c r="BF63" s="34" t="str">
        <f t="shared" si="89"/>
        <v/>
      </c>
      <c r="BG63" s="34" t="str">
        <f t="shared" si="90"/>
        <v/>
      </c>
      <c r="BH63">
        <v>16000</v>
      </c>
      <c r="BI63" s="34" t="str">
        <f t="shared" si="91"/>
        <v>-</v>
      </c>
      <c r="BJ63" s="34" t="str">
        <f t="shared" si="92"/>
        <v>-</v>
      </c>
      <c r="BK63" s="34" t="str">
        <f t="shared" si="93"/>
        <v>-</v>
      </c>
      <c r="BL63" s="34" t="str">
        <f t="shared" si="94"/>
        <v>-</v>
      </c>
      <c r="BM63" s="34" t="str">
        <f t="shared" si="95"/>
        <v>-</v>
      </c>
      <c r="BN63" s="34" t="str">
        <f t="shared" si="96"/>
        <v>-</v>
      </c>
      <c r="BO63" s="34" t="str">
        <f t="shared" si="97"/>
        <v>-</v>
      </c>
      <c r="BP63" s="34" t="str">
        <f t="shared" si="98"/>
        <v>-</v>
      </c>
      <c r="BQ63" s="34" t="str">
        <f t="shared" si="99"/>
        <v>-</v>
      </c>
      <c r="BR63" s="34" t="str">
        <f t="shared" si="100"/>
        <v>-</v>
      </c>
      <c r="BS63" s="34" t="str">
        <f t="shared" si="101"/>
        <v>-</v>
      </c>
      <c r="BT63" s="34" t="str">
        <f t="shared" si="102"/>
        <v>-</v>
      </c>
      <c r="BU63" s="34" t="str">
        <f t="shared" si="103"/>
        <v>-</v>
      </c>
      <c r="BV63" s="34" t="str">
        <f t="shared" si="104"/>
        <v>-</v>
      </c>
      <c r="BW63" s="34" t="str">
        <f t="shared" si="105"/>
        <v>-</v>
      </c>
      <c r="BX63" s="34" t="str">
        <f t="shared" si="106"/>
        <v>-</v>
      </c>
      <c r="BY63" s="34" t="str">
        <f t="shared" si="107"/>
        <v>-</v>
      </c>
      <c r="BZ63" s="34" t="str">
        <f t="shared" si="108"/>
        <v>-</v>
      </c>
    </row>
    <row r="65" spans="2:78" x14ac:dyDescent="0.3">
      <c r="C65">
        <f>SUM(C53:C63)</f>
        <v>2025</v>
      </c>
      <c r="D65">
        <f t="shared" ref="D65:AO65" si="110">SUM(D53:D63)</f>
        <v>0</v>
      </c>
      <c r="E65">
        <f t="shared" si="110"/>
        <v>0</v>
      </c>
      <c r="F65">
        <f t="shared" si="110"/>
        <v>0</v>
      </c>
      <c r="G65">
        <f t="shared" si="110"/>
        <v>0</v>
      </c>
      <c r="H65">
        <f t="shared" si="110"/>
        <v>0</v>
      </c>
      <c r="I65">
        <f t="shared" si="110"/>
        <v>0</v>
      </c>
      <c r="J65">
        <f t="shared" si="110"/>
        <v>0</v>
      </c>
      <c r="K65">
        <f t="shared" si="110"/>
        <v>0</v>
      </c>
      <c r="L65">
        <f t="shared" si="110"/>
        <v>0</v>
      </c>
      <c r="M65">
        <f t="shared" si="110"/>
        <v>0</v>
      </c>
      <c r="N65">
        <f t="shared" si="110"/>
        <v>0</v>
      </c>
      <c r="O65">
        <f t="shared" si="110"/>
        <v>0</v>
      </c>
      <c r="P65">
        <f t="shared" si="110"/>
        <v>0</v>
      </c>
      <c r="Q65">
        <f t="shared" si="110"/>
        <v>0</v>
      </c>
      <c r="R65">
        <f t="shared" si="110"/>
        <v>0</v>
      </c>
      <c r="S65">
        <f t="shared" si="110"/>
        <v>0</v>
      </c>
      <c r="T65">
        <f t="shared" si="110"/>
        <v>0</v>
      </c>
      <c r="U65">
        <f t="shared" si="110"/>
        <v>0</v>
      </c>
      <c r="V65">
        <f t="shared" si="110"/>
        <v>2700</v>
      </c>
      <c r="W65">
        <f t="shared" si="110"/>
        <v>0</v>
      </c>
      <c r="X65">
        <f t="shared" si="110"/>
        <v>0</v>
      </c>
      <c r="Y65">
        <f t="shared" si="110"/>
        <v>0</v>
      </c>
      <c r="Z65">
        <f t="shared" si="110"/>
        <v>0</v>
      </c>
      <c r="AA65">
        <f t="shared" si="110"/>
        <v>0</v>
      </c>
      <c r="AB65">
        <f t="shared" si="110"/>
        <v>0</v>
      </c>
      <c r="AC65">
        <f t="shared" si="110"/>
        <v>0</v>
      </c>
      <c r="AD65">
        <f t="shared" si="110"/>
        <v>0</v>
      </c>
      <c r="AE65">
        <f t="shared" si="110"/>
        <v>0</v>
      </c>
      <c r="AF65">
        <f t="shared" si="110"/>
        <v>0</v>
      </c>
      <c r="AG65">
        <f t="shared" si="110"/>
        <v>0</v>
      </c>
      <c r="AH65">
        <f t="shared" si="110"/>
        <v>0</v>
      </c>
      <c r="AI65">
        <f t="shared" si="110"/>
        <v>0</v>
      </c>
      <c r="AJ65">
        <f t="shared" si="110"/>
        <v>0</v>
      </c>
      <c r="AK65">
        <f t="shared" si="110"/>
        <v>0</v>
      </c>
      <c r="AL65">
        <f t="shared" si="110"/>
        <v>0</v>
      </c>
      <c r="AM65">
        <f t="shared" si="110"/>
        <v>0</v>
      </c>
      <c r="AN65">
        <f t="shared" si="110"/>
        <v>0</v>
      </c>
      <c r="AO65">
        <f t="shared" si="110"/>
        <v>7951700</v>
      </c>
      <c r="BI65" s="38">
        <f>SUM(BI53:BI63)</f>
        <v>0</v>
      </c>
      <c r="BJ65" s="38">
        <f t="shared" ref="BJ65:BZ65" si="111">SUM(BJ53:BJ63)</f>
        <v>0</v>
      </c>
      <c r="BK65" s="38">
        <f t="shared" si="111"/>
        <v>0</v>
      </c>
      <c r="BL65" s="38">
        <f t="shared" si="111"/>
        <v>0</v>
      </c>
      <c r="BM65" s="38">
        <f t="shared" si="111"/>
        <v>0</v>
      </c>
      <c r="BN65" s="38">
        <f t="shared" si="111"/>
        <v>0</v>
      </c>
      <c r="BO65" s="38">
        <f t="shared" si="111"/>
        <v>0</v>
      </c>
      <c r="BP65" s="38">
        <f t="shared" si="111"/>
        <v>0</v>
      </c>
      <c r="BQ65" s="38">
        <f t="shared" si="111"/>
        <v>0</v>
      </c>
      <c r="BR65" s="38">
        <f t="shared" si="111"/>
        <v>0</v>
      </c>
      <c r="BS65" s="38">
        <f t="shared" si="111"/>
        <v>0</v>
      </c>
      <c r="BT65" s="38">
        <f t="shared" si="111"/>
        <v>0</v>
      </c>
      <c r="BU65" s="38">
        <f t="shared" si="111"/>
        <v>0</v>
      </c>
      <c r="BV65" s="38">
        <f t="shared" si="111"/>
        <v>0</v>
      </c>
      <c r="BW65" s="38">
        <f t="shared" si="111"/>
        <v>0</v>
      </c>
      <c r="BX65" s="38">
        <f t="shared" si="111"/>
        <v>0</v>
      </c>
      <c r="BY65" s="38">
        <f t="shared" si="111"/>
        <v>0</v>
      </c>
      <c r="BZ65" s="38">
        <f t="shared" si="111"/>
        <v>0</v>
      </c>
    </row>
    <row r="66" spans="2:78" x14ac:dyDescent="0.3">
      <c r="L66" s="9" t="s">
        <v>130</v>
      </c>
      <c r="M66">
        <f>SUM(D65:U65)</f>
        <v>0</v>
      </c>
      <c r="AE66" s="9" t="s">
        <v>131</v>
      </c>
      <c r="AF66">
        <f>SUM(W65:AN65)</f>
        <v>0</v>
      </c>
    </row>
    <row r="69" spans="2:78" x14ac:dyDescent="0.3">
      <c r="B69" s="13" t="s">
        <v>278</v>
      </c>
      <c r="C69" s="13" t="s">
        <v>279</v>
      </c>
      <c r="D69" s="13" t="s">
        <v>280</v>
      </c>
      <c r="E69" s="13" t="s">
        <v>281</v>
      </c>
      <c r="G69" t="s">
        <v>282</v>
      </c>
      <c r="H69" s="9" t="s">
        <v>374</v>
      </c>
      <c r="I69" s="9" t="s">
        <v>283</v>
      </c>
      <c r="J69" s="9">
        <v>0.1</v>
      </c>
      <c r="K69" s="9">
        <v>0.2</v>
      </c>
      <c r="L69" s="9">
        <v>0.3</v>
      </c>
      <c r="M69" s="9">
        <v>0.4</v>
      </c>
      <c r="N69" s="9">
        <v>0.5</v>
      </c>
      <c r="O69" s="9">
        <v>1</v>
      </c>
      <c r="P69" s="9">
        <v>1.1000000000000001</v>
      </c>
      <c r="Q69" s="9">
        <v>1.2</v>
      </c>
      <c r="R69" s="9">
        <v>1.3</v>
      </c>
      <c r="S69" s="9">
        <v>1.4</v>
      </c>
      <c r="T69" s="9">
        <v>1.5</v>
      </c>
      <c r="U69" s="9">
        <v>2</v>
      </c>
      <c r="V69" s="9">
        <v>2.1</v>
      </c>
      <c r="W69" s="9">
        <v>2.2000000000000002</v>
      </c>
      <c r="X69" s="9">
        <v>2.2999999999999998</v>
      </c>
      <c r="Y69" s="9">
        <v>2.4</v>
      </c>
      <c r="Z69" s="9">
        <v>2.5</v>
      </c>
      <c r="AA69" s="9">
        <v>3</v>
      </c>
      <c r="AB69" s="9">
        <v>3.1</v>
      </c>
      <c r="AC69" s="9">
        <v>3.2</v>
      </c>
      <c r="AD69" s="9">
        <v>3.3</v>
      </c>
      <c r="AE69" s="9">
        <v>3.4</v>
      </c>
      <c r="AF69" s="9">
        <v>3.5</v>
      </c>
      <c r="AG69" s="9">
        <v>4</v>
      </c>
      <c r="AH69" s="9">
        <v>4.0999999999999996</v>
      </c>
      <c r="AI69" s="9">
        <v>4.2</v>
      </c>
      <c r="AJ69" s="9">
        <v>4.3</v>
      </c>
      <c r="AK69" s="9">
        <v>4.4000000000000004</v>
      </c>
      <c r="AL69" s="9">
        <v>4.5</v>
      </c>
      <c r="AM69" s="9">
        <v>5</v>
      </c>
    </row>
    <row r="70" spans="2:78" x14ac:dyDescent="0.3">
      <c r="B70" s="9" t="s">
        <v>374</v>
      </c>
      <c r="C70" s="1">
        <v>0</v>
      </c>
      <c r="G70" s="9" t="s">
        <v>374</v>
      </c>
      <c r="I70">
        <f t="shared" ref="I70:AM79" si="112">H70+VLOOKUP(I$69,$B$70:$D$101,3,FALSE)</f>
        <v>10</v>
      </c>
      <c r="J70">
        <f t="shared" si="112"/>
        <v>11</v>
      </c>
      <c r="K70">
        <f t="shared" si="112"/>
        <v>12</v>
      </c>
      <c r="L70">
        <f t="shared" si="112"/>
        <v>14</v>
      </c>
      <c r="M70">
        <f t="shared" si="112"/>
        <v>16</v>
      </c>
      <c r="N70">
        <f t="shared" si="112"/>
        <v>18</v>
      </c>
      <c r="O70">
        <f t="shared" si="112"/>
        <v>20</v>
      </c>
      <c r="P70">
        <f t="shared" si="112"/>
        <v>25</v>
      </c>
      <c r="Q70">
        <f t="shared" si="112"/>
        <v>30</v>
      </c>
      <c r="R70">
        <f t="shared" si="112"/>
        <v>35</v>
      </c>
      <c r="S70">
        <f t="shared" si="112"/>
        <v>40</v>
      </c>
      <c r="T70">
        <f t="shared" si="112"/>
        <v>45</v>
      </c>
      <c r="U70">
        <f t="shared" si="112"/>
        <v>60</v>
      </c>
      <c r="V70">
        <f t="shared" si="112"/>
        <v>75</v>
      </c>
      <c r="W70">
        <f t="shared" si="112"/>
        <v>90</v>
      </c>
      <c r="X70">
        <f t="shared" si="112"/>
        <v>105</v>
      </c>
      <c r="Y70">
        <f t="shared" si="112"/>
        <v>120</v>
      </c>
      <c r="Z70">
        <f t="shared" si="112"/>
        <v>135</v>
      </c>
      <c r="AA70">
        <f t="shared" si="112"/>
        <v>175</v>
      </c>
      <c r="AB70">
        <f t="shared" si="112"/>
        <v>215</v>
      </c>
      <c r="AC70">
        <f t="shared" si="112"/>
        <v>255</v>
      </c>
      <c r="AD70">
        <f t="shared" si="112"/>
        <v>295</v>
      </c>
      <c r="AE70">
        <f t="shared" si="112"/>
        <v>335</v>
      </c>
      <c r="AF70">
        <f t="shared" si="112"/>
        <v>375</v>
      </c>
      <c r="AG70">
        <f t="shared" si="112"/>
        <v>475</v>
      </c>
      <c r="AH70">
        <f t="shared" si="112"/>
        <v>575</v>
      </c>
      <c r="AI70">
        <f t="shared" si="112"/>
        <v>675</v>
      </c>
      <c r="AJ70">
        <f t="shared" si="112"/>
        <v>775</v>
      </c>
      <c r="AK70">
        <f t="shared" si="112"/>
        <v>875</v>
      </c>
      <c r="AL70">
        <f t="shared" si="112"/>
        <v>975</v>
      </c>
      <c r="AM70">
        <f t="shared" si="112"/>
        <v>1075</v>
      </c>
    </row>
    <row r="71" spans="2:78" x14ac:dyDescent="0.3">
      <c r="B71" s="9" t="s">
        <v>283</v>
      </c>
      <c r="C71" s="1">
        <v>1</v>
      </c>
      <c r="D71">
        <v>10</v>
      </c>
      <c r="E71" t="e">
        <f t="shared" ref="E71:E101" si="113">IF(VLOOKUP(ShardCurrent,$B$70:$C$101,2,FALSE)&gt;($C71-1),"",IF(VLOOKUP(ShardDesired,$B$70:$C$101,2,FALSE)&gt;($C71-1),$D71,""))</f>
        <v>#NAME?</v>
      </c>
      <c r="G71" s="9" t="s">
        <v>283</v>
      </c>
      <c r="J71">
        <v>1</v>
      </c>
      <c r="K71">
        <f t="shared" si="112"/>
        <v>2</v>
      </c>
      <c r="L71">
        <f t="shared" si="112"/>
        <v>4</v>
      </c>
      <c r="M71">
        <f t="shared" si="112"/>
        <v>6</v>
      </c>
      <c r="N71">
        <f t="shared" si="112"/>
        <v>8</v>
      </c>
      <c r="O71">
        <f t="shared" si="112"/>
        <v>10</v>
      </c>
      <c r="P71">
        <f t="shared" si="112"/>
        <v>15</v>
      </c>
      <c r="Q71">
        <f t="shared" si="112"/>
        <v>20</v>
      </c>
      <c r="R71">
        <f t="shared" si="112"/>
        <v>25</v>
      </c>
      <c r="S71">
        <f t="shared" si="112"/>
        <v>30</v>
      </c>
      <c r="T71">
        <f t="shared" si="112"/>
        <v>35</v>
      </c>
      <c r="U71">
        <f t="shared" si="112"/>
        <v>50</v>
      </c>
      <c r="V71">
        <f t="shared" si="112"/>
        <v>65</v>
      </c>
      <c r="W71">
        <f t="shared" si="112"/>
        <v>80</v>
      </c>
      <c r="X71">
        <f t="shared" si="112"/>
        <v>95</v>
      </c>
      <c r="Y71">
        <f t="shared" si="112"/>
        <v>110</v>
      </c>
      <c r="Z71">
        <f t="shared" si="112"/>
        <v>125</v>
      </c>
      <c r="AA71">
        <f t="shared" si="112"/>
        <v>165</v>
      </c>
      <c r="AB71">
        <f t="shared" si="112"/>
        <v>205</v>
      </c>
      <c r="AC71">
        <f t="shared" si="112"/>
        <v>245</v>
      </c>
      <c r="AD71">
        <f t="shared" si="112"/>
        <v>285</v>
      </c>
      <c r="AE71">
        <f t="shared" si="112"/>
        <v>325</v>
      </c>
      <c r="AF71">
        <f t="shared" si="112"/>
        <v>365</v>
      </c>
      <c r="AG71">
        <f t="shared" si="112"/>
        <v>465</v>
      </c>
      <c r="AH71">
        <f t="shared" si="112"/>
        <v>565</v>
      </c>
      <c r="AI71">
        <f t="shared" si="112"/>
        <v>665</v>
      </c>
      <c r="AJ71">
        <f t="shared" si="112"/>
        <v>765</v>
      </c>
      <c r="AK71">
        <f t="shared" si="112"/>
        <v>865</v>
      </c>
      <c r="AL71">
        <f t="shared" si="112"/>
        <v>965</v>
      </c>
      <c r="AM71">
        <f t="shared" si="112"/>
        <v>1065</v>
      </c>
    </row>
    <row r="72" spans="2:78" x14ac:dyDescent="0.3">
      <c r="B72" s="9">
        <v>0.1</v>
      </c>
      <c r="C72" s="1">
        <v>2</v>
      </c>
      <c r="D72">
        <v>1</v>
      </c>
      <c r="E72" t="e">
        <f t="shared" si="113"/>
        <v>#NAME?</v>
      </c>
      <c r="G72" s="9">
        <v>0.1</v>
      </c>
      <c r="K72">
        <v>1</v>
      </c>
      <c r="L72">
        <f t="shared" si="112"/>
        <v>3</v>
      </c>
      <c r="M72">
        <f t="shared" si="112"/>
        <v>5</v>
      </c>
      <c r="N72">
        <f t="shared" si="112"/>
        <v>7</v>
      </c>
      <c r="O72">
        <f t="shared" si="112"/>
        <v>9</v>
      </c>
      <c r="P72">
        <f t="shared" si="112"/>
        <v>14</v>
      </c>
      <c r="Q72">
        <f t="shared" si="112"/>
        <v>19</v>
      </c>
      <c r="R72">
        <f t="shared" si="112"/>
        <v>24</v>
      </c>
      <c r="S72">
        <f t="shared" si="112"/>
        <v>29</v>
      </c>
      <c r="T72">
        <f t="shared" si="112"/>
        <v>34</v>
      </c>
      <c r="U72">
        <f t="shared" si="112"/>
        <v>49</v>
      </c>
      <c r="V72">
        <f t="shared" si="112"/>
        <v>64</v>
      </c>
      <c r="W72">
        <f t="shared" si="112"/>
        <v>79</v>
      </c>
      <c r="X72">
        <f t="shared" si="112"/>
        <v>94</v>
      </c>
      <c r="Y72">
        <f t="shared" si="112"/>
        <v>109</v>
      </c>
      <c r="Z72">
        <f t="shared" si="112"/>
        <v>124</v>
      </c>
      <c r="AA72">
        <f t="shared" si="112"/>
        <v>164</v>
      </c>
      <c r="AB72">
        <f t="shared" si="112"/>
        <v>204</v>
      </c>
      <c r="AC72">
        <f t="shared" si="112"/>
        <v>244</v>
      </c>
      <c r="AD72">
        <f t="shared" si="112"/>
        <v>284</v>
      </c>
      <c r="AE72">
        <f t="shared" si="112"/>
        <v>324</v>
      </c>
      <c r="AF72">
        <f t="shared" si="112"/>
        <v>364</v>
      </c>
      <c r="AG72">
        <f t="shared" si="112"/>
        <v>464</v>
      </c>
      <c r="AH72">
        <f t="shared" si="112"/>
        <v>564</v>
      </c>
      <c r="AI72">
        <f t="shared" si="112"/>
        <v>664</v>
      </c>
      <c r="AJ72">
        <f t="shared" si="112"/>
        <v>764</v>
      </c>
      <c r="AK72">
        <f t="shared" si="112"/>
        <v>864</v>
      </c>
      <c r="AL72">
        <f t="shared" si="112"/>
        <v>964</v>
      </c>
      <c r="AM72">
        <f t="shared" si="112"/>
        <v>1064</v>
      </c>
    </row>
    <row r="73" spans="2:78" x14ac:dyDescent="0.3">
      <c r="B73" s="9">
        <v>0.2</v>
      </c>
      <c r="C73" s="1">
        <v>3</v>
      </c>
      <c r="D73">
        <v>1</v>
      </c>
      <c r="E73" t="e">
        <f t="shared" si="113"/>
        <v>#NAME?</v>
      </c>
      <c r="G73" s="9">
        <v>0.2</v>
      </c>
      <c r="L73">
        <v>2</v>
      </c>
      <c r="M73">
        <f t="shared" si="112"/>
        <v>4</v>
      </c>
      <c r="N73">
        <f t="shared" si="112"/>
        <v>6</v>
      </c>
      <c r="O73">
        <f t="shared" si="112"/>
        <v>8</v>
      </c>
      <c r="P73">
        <f t="shared" si="112"/>
        <v>13</v>
      </c>
      <c r="Q73">
        <f t="shared" si="112"/>
        <v>18</v>
      </c>
      <c r="R73">
        <f t="shared" si="112"/>
        <v>23</v>
      </c>
      <c r="S73">
        <f t="shared" si="112"/>
        <v>28</v>
      </c>
      <c r="T73">
        <f t="shared" si="112"/>
        <v>33</v>
      </c>
      <c r="U73">
        <f t="shared" si="112"/>
        <v>48</v>
      </c>
      <c r="V73">
        <f t="shared" si="112"/>
        <v>63</v>
      </c>
      <c r="W73">
        <f t="shared" si="112"/>
        <v>78</v>
      </c>
      <c r="X73">
        <f t="shared" si="112"/>
        <v>93</v>
      </c>
      <c r="Y73">
        <f t="shared" si="112"/>
        <v>108</v>
      </c>
      <c r="Z73">
        <f t="shared" si="112"/>
        <v>123</v>
      </c>
      <c r="AA73">
        <f t="shared" si="112"/>
        <v>163</v>
      </c>
      <c r="AB73">
        <f t="shared" si="112"/>
        <v>203</v>
      </c>
      <c r="AC73">
        <f t="shared" si="112"/>
        <v>243</v>
      </c>
      <c r="AD73">
        <f t="shared" si="112"/>
        <v>283</v>
      </c>
      <c r="AE73">
        <f t="shared" si="112"/>
        <v>323</v>
      </c>
      <c r="AF73">
        <f t="shared" si="112"/>
        <v>363</v>
      </c>
      <c r="AG73">
        <f t="shared" si="112"/>
        <v>463</v>
      </c>
      <c r="AH73">
        <f t="shared" si="112"/>
        <v>563</v>
      </c>
      <c r="AI73">
        <f t="shared" si="112"/>
        <v>663</v>
      </c>
      <c r="AJ73">
        <f t="shared" si="112"/>
        <v>763</v>
      </c>
      <c r="AK73">
        <f t="shared" si="112"/>
        <v>863</v>
      </c>
      <c r="AL73">
        <f t="shared" si="112"/>
        <v>963</v>
      </c>
      <c r="AM73">
        <f t="shared" si="112"/>
        <v>1063</v>
      </c>
    </row>
    <row r="74" spans="2:78" x14ac:dyDescent="0.3">
      <c r="B74" s="9">
        <v>0.3</v>
      </c>
      <c r="C74" s="1">
        <v>4</v>
      </c>
      <c r="D74">
        <v>2</v>
      </c>
      <c r="E74" t="e">
        <f t="shared" si="113"/>
        <v>#NAME?</v>
      </c>
      <c r="G74" s="9">
        <v>0.3</v>
      </c>
      <c r="M74">
        <v>2</v>
      </c>
      <c r="N74">
        <f t="shared" si="112"/>
        <v>4</v>
      </c>
      <c r="O74">
        <f t="shared" si="112"/>
        <v>6</v>
      </c>
      <c r="P74">
        <f t="shared" si="112"/>
        <v>11</v>
      </c>
      <c r="Q74">
        <f t="shared" si="112"/>
        <v>16</v>
      </c>
      <c r="R74">
        <f t="shared" si="112"/>
        <v>21</v>
      </c>
      <c r="S74">
        <f t="shared" si="112"/>
        <v>26</v>
      </c>
      <c r="T74">
        <f t="shared" si="112"/>
        <v>31</v>
      </c>
      <c r="U74">
        <f t="shared" si="112"/>
        <v>46</v>
      </c>
      <c r="V74">
        <f t="shared" si="112"/>
        <v>61</v>
      </c>
      <c r="W74">
        <f t="shared" si="112"/>
        <v>76</v>
      </c>
      <c r="X74">
        <f t="shared" si="112"/>
        <v>91</v>
      </c>
      <c r="Y74">
        <f t="shared" si="112"/>
        <v>106</v>
      </c>
      <c r="Z74">
        <f t="shared" si="112"/>
        <v>121</v>
      </c>
      <c r="AA74">
        <f t="shared" si="112"/>
        <v>161</v>
      </c>
      <c r="AB74">
        <f t="shared" si="112"/>
        <v>201</v>
      </c>
      <c r="AC74">
        <f t="shared" si="112"/>
        <v>241</v>
      </c>
      <c r="AD74">
        <f t="shared" si="112"/>
        <v>281</v>
      </c>
      <c r="AE74">
        <f t="shared" si="112"/>
        <v>321</v>
      </c>
      <c r="AF74">
        <f t="shared" si="112"/>
        <v>361</v>
      </c>
      <c r="AG74">
        <f t="shared" si="112"/>
        <v>461</v>
      </c>
      <c r="AH74">
        <f t="shared" si="112"/>
        <v>561</v>
      </c>
      <c r="AI74">
        <f t="shared" si="112"/>
        <v>661</v>
      </c>
      <c r="AJ74">
        <f t="shared" si="112"/>
        <v>761</v>
      </c>
      <c r="AK74">
        <f t="shared" si="112"/>
        <v>861</v>
      </c>
      <c r="AL74">
        <f t="shared" si="112"/>
        <v>961</v>
      </c>
      <c r="AM74">
        <f t="shared" si="112"/>
        <v>1061</v>
      </c>
    </row>
    <row r="75" spans="2:78" x14ac:dyDescent="0.3">
      <c r="B75" s="9">
        <v>0.4</v>
      </c>
      <c r="C75" s="1">
        <v>5</v>
      </c>
      <c r="D75">
        <v>2</v>
      </c>
      <c r="E75" t="e">
        <f t="shared" si="113"/>
        <v>#NAME?</v>
      </c>
      <c r="G75" s="9">
        <v>0.4</v>
      </c>
      <c r="N75">
        <v>2</v>
      </c>
      <c r="O75">
        <f t="shared" si="112"/>
        <v>4</v>
      </c>
      <c r="P75">
        <f t="shared" si="112"/>
        <v>9</v>
      </c>
      <c r="Q75">
        <f t="shared" si="112"/>
        <v>14</v>
      </c>
      <c r="R75">
        <f t="shared" si="112"/>
        <v>19</v>
      </c>
      <c r="S75">
        <f t="shared" si="112"/>
        <v>24</v>
      </c>
      <c r="T75">
        <f t="shared" si="112"/>
        <v>29</v>
      </c>
      <c r="U75">
        <f t="shared" si="112"/>
        <v>44</v>
      </c>
      <c r="V75">
        <f t="shared" si="112"/>
        <v>59</v>
      </c>
      <c r="W75">
        <f t="shared" si="112"/>
        <v>74</v>
      </c>
      <c r="X75">
        <f t="shared" si="112"/>
        <v>89</v>
      </c>
      <c r="Y75">
        <f t="shared" si="112"/>
        <v>104</v>
      </c>
      <c r="Z75">
        <f t="shared" si="112"/>
        <v>119</v>
      </c>
      <c r="AA75">
        <f t="shared" si="112"/>
        <v>159</v>
      </c>
      <c r="AB75">
        <f t="shared" si="112"/>
        <v>199</v>
      </c>
      <c r="AC75">
        <f t="shared" si="112"/>
        <v>239</v>
      </c>
      <c r="AD75">
        <f t="shared" si="112"/>
        <v>279</v>
      </c>
      <c r="AE75">
        <f t="shared" si="112"/>
        <v>319</v>
      </c>
      <c r="AF75">
        <f t="shared" si="112"/>
        <v>359</v>
      </c>
      <c r="AG75">
        <f t="shared" si="112"/>
        <v>459</v>
      </c>
      <c r="AH75">
        <f t="shared" si="112"/>
        <v>559</v>
      </c>
      <c r="AI75">
        <f t="shared" si="112"/>
        <v>659</v>
      </c>
      <c r="AJ75">
        <f t="shared" si="112"/>
        <v>759</v>
      </c>
      <c r="AK75">
        <f t="shared" si="112"/>
        <v>859</v>
      </c>
      <c r="AL75">
        <f t="shared" si="112"/>
        <v>959</v>
      </c>
      <c r="AM75">
        <f t="shared" si="112"/>
        <v>1059</v>
      </c>
    </row>
    <row r="76" spans="2:78" x14ac:dyDescent="0.3">
      <c r="B76" s="9">
        <v>0.5</v>
      </c>
      <c r="C76" s="1">
        <v>6</v>
      </c>
      <c r="D76">
        <v>2</v>
      </c>
      <c r="E76" t="e">
        <f t="shared" si="113"/>
        <v>#NAME?</v>
      </c>
      <c r="G76" s="9">
        <v>0.5</v>
      </c>
      <c r="O76">
        <v>2</v>
      </c>
      <c r="P76">
        <f t="shared" si="112"/>
        <v>7</v>
      </c>
      <c r="Q76">
        <f t="shared" si="112"/>
        <v>12</v>
      </c>
      <c r="R76">
        <f t="shared" si="112"/>
        <v>17</v>
      </c>
      <c r="S76">
        <f t="shared" si="112"/>
        <v>22</v>
      </c>
      <c r="T76">
        <f t="shared" si="112"/>
        <v>27</v>
      </c>
      <c r="U76">
        <f t="shared" si="112"/>
        <v>42</v>
      </c>
      <c r="V76">
        <f t="shared" si="112"/>
        <v>57</v>
      </c>
      <c r="W76">
        <f t="shared" si="112"/>
        <v>72</v>
      </c>
      <c r="X76">
        <f t="shared" si="112"/>
        <v>87</v>
      </c>
      <c r="Y76">
        <f t="shared" si="112"/>
        <v>102</v>
      </c>
      <c r="Z76">
        <f t="shared" si="112"/>
        <v>117</v>
      </c>
      <c r="AA76">
        <f t="shared" si="112"/>
        <v>157</v>
      </c>
      <c r="AB76">
        <f t="shared" si="112"/>
        <v>197</v>
      </c>
      <c r="AC76">
        <f t="shared" si="112"/>
        <v>237</v>
      </c>
      <c r="AD76">
        <f t="shared" si="112"/>
        <v>277</v>
      </c>
      <c r="AE76">
        <f t="shared" si="112"/>
        <v>317</v>
      </c>
      <c r="AF76">
        <f t="shared" si="112"/>
        <v>357</v>
      </c>
      <c r="AG76">
        <f t="shared" si="112"/>
        <v>457</v>
      </c>
      <c r="AH76">
        <f t="shared" si="112"/>
        <v>557</v>
      </c>
      <c r="AI76">
        <f t="shared" si="112"/>
        <v>657</v>
      </c>
      <c r="AJ76">
        <f t="shared" si="112"/>
        <v>757</v>
      </c>
      <c r="AK76">
        <f t="shared" si="112"/>
        <v>857</v>
      </c>
      <c r="AL76">
        <f t="shared" si="112"/>
        <v>957</v>
      </c>
      <c r="AM76">
        <f t="shared" si="112"/>
        <v>1057</v>
      </c>
    </row>
    <row r="77" spans="2:78" x14ac:dyDescent="0.3">
      <c r="B77" s="9">
        <v>1</v>
      </c>
      <c r="C77" s="1">
        <v>7</v>
      </c>
      <c r="D77">
        <v>2</v>
      </c>
      <c r="E77" t="e">
        <f t="shared" si="113"/>
        <v>#NAME?</v>
      </c>
      <c r="G77" s="9">
        <v>1</v>
      </c>
      <c r="P77">
        <v>5</v>
      </c>
      <c r="Q77">
        <f t="shared" si="112"/>
        <v>10</v>
      </c>
      <c r="R77">
        <f t="shared" si="112"/>
        <v>15</v>
      </c>
      <c r="S77">
        <f t="shared" si="112"/>
        <v>20</v>
      </c>
      <c r="T77">
        <f t="shared" si="112"/>
        <v>25</v>
      </c>
      <c r="U77">
        <f t="shared" si="112"/>
        <v>40</v>
      </c>
      <c r="V77">
        <f t="shared" si="112"/>
        <v>55</v>
      </c>
      <c r="W77">
        <f t="shared" si="112"/>
        <v>70</v>
      </c>
      <c r="X77">
        <f t="shared" si="112"/>
        <v>85</v>
      </c>
      <c r="Y77">
        <f t="shared" si="112"/>
        <v>100</v>
      </c>
      <c r="Z77">
        <f t="shared" si="112"/>
        <v>115</v>
      </c>
      <c r="AA77">
        <f t="shared" si="112"/>
        <v>155</v>
      </c>
      <c r="AB77">
        <f t="shared" si="112"/>
        <v>195</v>
      </c>
      <c r="AC77">
        <f t="shared" si="112"/>
        <v>235</v>
      </c>
      <c r="AD77">
        <f t="shared" si="112"/>
        <v>275</v>
      </c>
      <c r="AE77">
        <f t="shared" si="112"/>
        <v>315</v>
      </c>
      <c r="AF77">
        <f t="shared" si="112"/>
        <v>355</v>
      </c>
      <c r="AG77">
        <f t="shared" si="112"/>
        <v>455</v>
      </c>
      <c r="AH77">
        <f t="shared" si="112"/>
        <v>555</v>
      </c>
      <c r="AI77">
        <f t="shared" si="112"/>
        <v>655</v>
      </c>
      <c r="AJ77">
        <f t="shared" si="112"/>
        <v>755</v>
      </c>
      <c r="AK77">
        <f t="shared" si="112"/>
        <v>855</v>
      </c>
      <c r="AL77">
        <f t="shared" si="112"/>
        <v>955</v>
      </c>
      <c r="AM77">
        <f t="shared" si="112"/>
        <v>1055</v>
      </c>
    </row>
    <row r="78" spans="2:78" x14ac:dyDescent="0.3">
      <c r="B78" s="9">
        <v>1.1000000000000001</v>
      </c>
      <c r="C78" s="1">
        <v>8</v>
      </c>
      <c r="D78">
        <v>5</v>
      </c>
      <c r="E78" t="e">
        <f t="shared" si="113"/>
        <v>#NAME?</v>
      </c>
      <c r="G78" s="9">
        <v>1.1000000000000001</v>
      </c>
      <c r="Q78">
        <v>5</v>
      </c>
      <c r="R78">
        <f t="shared" si="112"/>
        <v>10</v>
      </c>
      <c r="S78">
        <f t="shared" si="112"/>
        <v>15</v>
      </c>
      <c r="T78">
        <f t="shared" si="112"/>
        <v>20</v>
      </c>
      <c r="U78">
        <f t="shared" si="112"/>
        <v>35</v>
      </c>
      <c r="V78">
        <f t="shared" si="112"/>
        <v>50</v>
      </c>
      <c r="W78">
        <f t="shared" si="112"/>
        <v>65</v>
      </c>
      <c r="X78">
        <f t="shared" si="112"/>
        <v>80</v>
      </c>
      <c r="Y78">
        <f t="shared" si="112"/>
        <v>95</v>
      </c>
      <c r="Z78">
        <f t="shared" si="112"/>
        <v>110</v>
      </c>
      <c r="AA78">
        <f t="shared" si="112"/>
        <v>150</v>
      </c>
      <c r="AB78">
        <f t="shared" si="112"/>
        <v>190</v>
      </c>
      <c r="AC78">
        <f t="shared" si="112"/>
        <v>230</v>
      </c>
      <c r="AD78">
        <f t="shared" si="112"/>
        <v>270</v>
      </c>
      <c r="AE78">
        <f t="shared" si="112"/>
        <v>310</v>
      </c>
      <c r="AF78">
        <f t="shared" si="112"/>
        <v>350</v>
      </c>
      <c r="AG78">
        <f t="shared" si="112"/>
        <v>450</v>
      </c>
      <c r="AH78">
        <f t="shared" si="112"/>
        <v>550</v>
      </c>
      <c r="AI78">
        <f t="shared" si="112"/>
        <v>650</v>
      </c>
      <c r="AJ78">
        <f t="shared" si="112"/>
        <v>750</v>
      </c>
      <c r="AK78">
        <f t="shared" si="112"/>
        <v>850</v>
      </c>
      <c r="AL78">
        <f t="shared" si="112"/>
        <v>950</v>
      </c>
      <c r="AM78">
        <f t="shared" si="112"/>
        <v>1050</v>
      </c>
    </row>
    <row r="79" spans="2:78" x14ac:dyDescent="0.3">
      <c r="B79" s="9">
        <v>1.2</v>
      </c>
      <c r="C79" s="1">
        <v>9</v>
      </c>
      <c r="D79">
        <v>5</v>
      </c>
      <c r="E79" t="e">
        <f t="shared" si="113"/>
        <v>#NAME?</v>
      </c>
      <c r="G79" s="9">
        <v>1.2</v>
      </c>
      <c r="R79">
        <v>5</v>
      </c>
      <c r="S79">
        <f t="shared" si="112"/>
        <v>10</v>
      </c>
      <c r="T79">
        <f t="shared" si="112"/>
        <v>15</v>
      </c>
      <c r="U79">
        <f t="shared" si="112"/>
        <v>30</v>
      </c>
      <c r="V79">
        <f t="shared" si="112"/>
        <v>45</v>
      </c>
      <c r="W79">
        <f t="shared" si="112"/>
        <v>60</v>
      </c>
      <c r="X79">
        <f t="shared" si="112"/>
        <v>75</v>
      </c>
      <c r="Y79">
        <f t="shared" si="112"/>
        <v>90</v>
      </c>
      <c r="Z79">
        <f t="shared" si="112"/>
        <v>105</v>
      </c>
      <c r="AA79">
        <f t="shared" si="112"/>
        <v>145</v>
      </c>
      <c r="AB79">
        <f t="shared" si="112"/>
        <v>185</v>
      </c>
      <c r="AC79">
        <f t="shared" si="112"/>
        <v>225</v>
      </c>
      <c r="AD79">
        <f t="shared" si="112"/>
        <v>265</v>
      </c>
      <c r="AE79">
        <f t="shared" si="112"/>
        <v>305</v>
      </c>
      <c r="AF79">
        <f t="shared" si="112"/>
        <v>345</v>
      </c>
      <c r="AG79">
        <f t="shared" si="112"/>
        <v>445</v>
      </c>
      <c r="AH79">
        <f t="shared" si="112"/>
        <v>545</v>
      </c>
      <c r="AI79">
        <f t="shared" si="112"/>
        <v>645</v>
      </c>
      <c r="AJ79">
        <f t="shared" si="112"/>
        <v>745</v>
      </c>
      <c r="AK79">
        <f t="shared" si="112"/>
        <v>845</v>
      </c>
      <c r="AL79">
        <f t="shared" si="112"/>
        <v>945</v>
      </c>
      <c r="AM79">
        <f t="shared" ref="AM79" si="114">AL79+VLOOKUP(AM$69,$B$70:$D$101,3,FALSE)</f>
        <v>1045</v>
      </c>
    </row>
    <row r="80" spans="2:78" x14ac:dyDescent="0.3">
      <c r="B80" s="9">
        <v>1.3</v>
      </c>
      <c r="C80" s="1">
        <v>10</v>
      </c>
      <c r="D80">
        <v>5</v>
      </c>
      <c r="E80" t="e">
        <f t="shared" si="113"/>
        <v>#NAME?</v>
      </c>
      <c r="G80" s="9">
        <v>1.3</v>
      </c>
      <c r="S80">
        <v>5</v>
      </c>
      <c r="T80">
        <f t="shared" ref="T80:AM94" si="115">S80+VLOOKUP(T$69,$B$70:$D$101,3,FALSE)</f>
        <v>10</v>
      </c>
      <c r="U80">
        <f t="shared" si="115"/>
        <v>25</v>
      </c>
      <c r="V80">
        <f t="shared" si="115"/>
        <v>40</v>
      </c>
      <c r="W80">
        <f t="shared" si="115"/>
        <v>55</v>
      </c>
      <c r="X80">
        <f t="shared" si="115"/>
        <v>70</v>
      </c>
      <c r="Y80">
        <f t="shared" si="115"/>
        <v>85</v>
      </c>
      <c r="Z80">
        <f t="shared" si="115"/>
        <v>100</v>
      </c>
      <c r="AA80">
        <f t="shared" si="115"/>
        <v>140</v>
      </c>
      <c r="AB80">
        <f t="shared" si="115"/>
        <v>180</v>
      </c>
      <c r="AC80">
        <f t="shared" si="115"/>
        <v>220</v>
      </c>
      <c r="AD80">
        <f t="shared" si="115"/>
        <v>260</v>
      </c>
      <c r="AE80">
        <f t="shared" si="115"/>
        <v>300</v>
      </c>
      <c r="AF80">
        <f t="shared" si="115"/>
        <v>340</v>
      </c>
      <c r="AG80">
        <f t="shared" si="115"/>
        <v>440</v>
      </c>
      <c r="AH80">
        <f t="shared" si="115"/>
        <v>540</v>
      </c>
      <c r="AI80">
        <f t="shared" si="115"/>
        <v>640</v>
      </c>
      <c r="AJ80">
        <f t="shared" si="115"/>
        <v>740</v>
      </c>
      <c r="AK80">
        <f t="shared" si="115"/>
        <v>840</v>
      </c>
      <c r="AL80">
        <f t="shared" si="115"/>
        <v>940</v>
      </c>
      <c r="AM80">
        <f t="shared" si="115"/>
        <v>1040</v>
      </c>
    </row>
    <row r="81" spans="2:39" x14ac:dyDescent="0.3">
      <c r="B81" s="9">
        <v>1.4</v>
      </c>
      <c r="C81" s="1">
        <v>11</v>
      </c>
      <c r="D81">
        <v>5</v>
      </c>
      <c r="E81" t="e">
        <f t="shared" si="113"/>
        <v>#NAME?</v>
      </c>
      <c r="G81" s="9">
        <v>1.4</v>
      </c>
      <c r="T81">
        <v>5</v>
      </c>
      <c r="U81">
        <f t="shared" si="115"/>
        <v>20</v>
      </c>
      <c r="V81">
        <f t="shared" si="115"/>
        <v>35</v>
      </c>
      <c r="W81">
        <f t="shared" si="115"/>
        <v>50</v>
      </c>
      <c r="X81">
        <f t="shared" si="115"/>
        <v>65</v>
      </c>
      <c r="Y81">
        <f t="shared" si="115"/>
        <v>80</v>
      </c>
      <c r="Z81">
        <f t="shared" si="115"/>
        <v>95</v>
      </c>
      <c r="AA81">
        <f t="shared" si="115"/>
        <v>135</v>
      </c>
      <c r="AB81">
        <f t="shared" si="115"/>
        <v>175</v>
      </c>
      <c r="AC81">
        <f t="shared" si="115"/>
        <v>215</v>
      </c>
      <c r="AD81">
        <f t="shared" si="115"/>
        <v>255</v>
      </c>
      <c r="AE81">
        <f t="shared" si="115"/>
        <v>295</v>
      </c>
      <c r="AF81">
        <f t="shared" si="115"/>
        <v>335</v>
      </c>
      <c r="AG81">
        <f t="shared" si="115"/>
        <v>435</v>
      </c>
      <c r="AH81">
        <f t="shared" si="115"/>
        <v>535</v>
      </c>
      <c r="AI81">
        <f t="shared" si="115"/>
        <v>635</v>
      </c>
      <c r="AJ81">
        <f t="shared" si="115"/>
        <v>735</v>
      </c>
      <c r="AK81">
        <f t="shared" si="115"/>
        <v>835</v>
      </c>
      <c r="AL81">
        <f t="shared" si="115"/>
        <v>935</v>
      </c>
      <c r="AM81">
        <f t="shared" si="115"/>
        <v>1035</v>
      </c>
    </row>
    <row r="82" spans="2:39" x14ac:dyDescent="0.3">
      <c r="B82" s="9">
        <v>1.5</v>
      </c>
      <c r="C82" s="1">
        <v>12</v>
      </c>
      <c r="D82">
        <v>5</v>
      </c>
      <c r="E82" t="e">
        <f t="shared" si="113"/>
        <v>#NAME?</v>
      </c>
      <c r="G82" s="9">
        <v>1.5</v>
      </c>
      <c r="U82">
        <v>15</v>
      </c>
      <c r="V82">
        <f t="shared" si="115"/>
        <v>30</v>
      </c>
      <c r="W82">
        <f t="shared" si="115"/>
        <v>45</v>
      </c>
      <c r="X82">
        <f t="shared" si="115"/>
        <v>60</v>
      </c>
      <c r="Y82">
        <f t="shared" si="115"/>
        <v>75</v>
      </c>
      <c r="Z82">
        <f t="shared" si="115"/>
        <v>90</v>
      </c>
      <c r="AA82">
        <f t="shared" si="115"/>
        <v>130</v>
      </c>
      <c r="AB82">
        <f t="shared" si="115"/>
        <v>170</v>
      </c>
      <c r="AC82">
        <f t="shared" si="115"/>
        <v>210</v>
      </c>
      <c r="AD82">
        <f t="shared" si="115"/>
        <v>250</v>
      </c>
      <c r="AE82">
        <f t="shared" si="115"/>
        <v>290</v>
      </c>
      <c r="AF82">
        <f t="shared" si="115"/>
        <v>330</v>
      </c>
      <c r="AG82">
        <f t="shared" si="115"/>
        <v>430</v>
      </c>
      <c r="AH82">
        <f t="shared" si="115"/>
        <v>530</v>
      </c>
      <c r="AI82">
        <f t="shared" si="115"/>
        <v>630</v>
      </c>
      <c r="AJ82">
        <f t="shared" si="115"/>
        <v>730</v>
      </c>
      <c r="AK82">
        <f t="shared" si="115"/>
        <v>830</v>
      </c>
      <c r="AL82">
        <f t="shared" si="115"/>
        <v>930</v>
      </c>
      <c r="AM82">
        <f t="shared" si="115"/>
        <v>1030</v>
      </c>
    </row>
    <row r="83" spans="2:39" x14ac:dyDescent="0.3">
      <c r="B83" s="9">
        <v>2</v>
      </c>
      <c r="C83" s="1">
        <v>13</v>
      </c>
      <c r="D83">
        <v>15</v>
      </c>
      <c r="E83" t="e">
        <f t="shared" si="113"/>
        <v>#NAME?</v>
      </c>
      <c r="G83" s="9">
        <v>2</v>
      </c>
      <c r="V83">
        <v>15</v>
      </c>
      <c r="W83">
        <f t="shared" si="115"/>
        <v>30</v>
      </c>
      <c r="X83">
        <f t="shared" si="115"/>
        <v>45</v>
      </c>
      <c r="Y83">
        <f t="shared" si="115"/>
        <v>60</v>
      </c>
      <c r="Z83">
        <f t="shared" si="115"/>
        <v>75</v>
      </c>
      <c r="AA83">
        <f t="shared" si="115"/>
        <v>115</v>
      </c>
      <c r="AB83">
        <f t="shared" si="115"/>
        <v>155</v>
      </c>
      <c r="AC83">
        <f t="shared" si="115"/>
        <v>195</v>
      </c>
      <c r="AD83">
        <f t="shared" si="115"/>
        <v>235</v>
      </c>
      <c r="AE83">
        <f t="shared" si="115"/>
        <v>275</v>
      </c>
      <c r="AF83">
        <f t="shared" si="115"/>
        <v>315</v>
      </c>
      <c r="AG83">
        <f t="shared" si="115"/>
        <v>415</v>
      </c>
      <c r="AH83">
        <f t="shared" si="115"/>
        <v>515</v>
      </c>
      <c r="AI83">
        <f t="shared" si="115"/>
        <v>615</v>
      </c>
      <c r="AJ83">
        <f t="shared" si="115"/>
        <v>715</v>
      </c>
      <c r="AK83">
        <f t="shared" si="115"/>
        <v>815</v>
      </c>
      <c r="AL83">
        <f t="shared" si="115"/>
        <v>915</v>
      </c>
      <c r="AM83">
        <f t="shared" si="115"/>
        <v>1015</v>
      </c>
    </row>
    <row r="84" spans="2:39" x14ac:dyDescent="0.3">
      <c r="B84" s="9">
        <v>2.1</v>
      </c>
      <c r="C84" s="1">
        <v>14</v>
      </c>
      <c r="D84">
        <v>15</v>
      </c>
      <c r="E84" t="e">
        <f t="shared" si="113"/>
        <v>#NAME?</v>
      </c>
      <c r="G84" s="9">
        <v>2.1</v>
      </c>
      <c r="W84">
        <v>15</v>
      </c>
      <c r="X84">
        <f t="shared" si="115"/>
        <v>30</v>
      </c>
      <c r="Y84">
        <f t="shared" si="115"/>
        <v>45</v>
      </c>
      <c r="Z84">
        <f t="shared" si="115"/>
        <v>60</v>
      </c>
      <c r="AA84">
        <f t="shared" si="115"/>
        <v>100</v>
      </c>
      <c r="AB84">
        <f t="shared" si="115"/>
        <v>140</v>
      </c>
      <c r="AC84">
        <f t="shared" si="115"/>
        <v>180</v>
      </c>
      <c r="AD84">
        <f t="shared" si="115"/>
        <v>220</v>
      </c>
      <c r="AE84">
        <f t="shared" si="115"/>
        <v>260</v>
      </c>
      <c r="AF84">
        <f t="shared" si="115"/>
        <v>300</v>
      </c>
      <c r="AG84">
        <f t="shared" si="115"/>
        <v>400</v>
      </c>
      <c r="AH84">
        <f t="shared" si="115"/>
        <v>500</v>
      </c>
      <c r="AI84">
        <f t="shared" si="115"/>
        <v>600</v>
      </c>
      <c r="AJ84">
        <f t="shared" si="115"/>
        <v>700</v>
      </c>
      <c r="AK84">
        <f t="shared" si="115"/>
        <v>800</v>
      </c>
      <c r="AL84">
        <f t="shared" si="115"/>
        <v>900</v>
      </c>
      <c r="AM84">
        <f t="shared" si="115"/>
        <v>1000</v>
      </c>
    </row>
    <row r="85" spans="2:39" x14ac:dyDescent="0.3">
      <c r="B85" s="9">
        <v>2.2000000000000002</v>
      </c>
      <c r="C85" s="1">
        <v>15</v>
      </c>
      <c r="D85">
        <v>15</v>
      </c>
      <c r="E85" t="e">
        <f t="shared" si="113"/>
        <v>#NAME?</v>
      </c>
      <c r="G85" s="9">
        <v>2.2000000000000002</v>
      </c>
      <c r="X85">
        <v>15</v>
      </c>
      <c r="Y85">
        <f t="shared" si="115"/>
        <v>30</v>
      </c>
      <c r="Z85">
        <f t="shared" si="115"/>
        <v>45</v>
      </c>
      <c r="AA85">
        <f t="shared" si="115"/>
        <v>85</v>
      </c>
      <c r="AB85">
        <f t="shared" si="115"/>
        <v>125</v>
      </c>
      <c r="AC85">
        <f t="shared" si="115"/>
        <v>165</v>
      </c>
      <c r="AD85">
        <f t="shared" si="115"/>
        <v>205</v>
      </c>
      <c r="AE85">
        <f t="shared" si="115"/>
        <v>245</v>
      </c>
      <c r="AF85">
        <f t="shared" si="115"/>
        <v>285</v>
      </c>
      <c r="AG85">
        <f t="shared" si="115"/>
        <v>385</v>
      </c>
      <c r="AH85">
        <f t="shared" si="115"/>
        <v>485</v>
      </c>
      <c r="AI85">
        <f t="shared" si="115"/>
        <v>585</v>
      </c>
      <c r="AJ85">
        <f t="shared" si="115"/>
        <v>685</v>
      </c>
      <c r="AK85">
        <f t="shared" si="115"/>
        <v>785</v>
      </c>
      <c r="AL85">
        <f t="shared" si="115"/>
        <v>885</v>
      </c>
      <c r="AM85">
        <f t="shared" si="115"/>
        <v>985</v>
      </c>
    </row>
    <row r="86" spans="2:39" x14ac:dyDescent="0.3">
      <c r="B86" s="9">
        <v>2.2999999999999998</v>
      </c>
      <c r="C86" s="1">
        <v>16</v>
      </c>
      <c r="D86">
        <v>15</v>
      </c>
      <c r="E86" t="e">
        <f t="shared" si="113"/>
        <v>#NAME?</v>
      </c>
      <c r="G86" s="9">
        <v>2.2999999999999998</v>
      </c>
      <c r="Y86">
        <v>15</v>
      </c>
      <c r="Z86">
        <f t="shared" si="115"/>
        <v>30</v>
      </c>
      <c r="AA86">
        <f t="shared" si="115"/>
        <v>70</v>
      </c>
      <c r="AB86">
        <f t="shared" si="115"/>
        <v>110</v>
      </c>
      <c r="AC86">
        <f t="shared" si="115"/>
        <v>150</v>
      </c>
      <c r="AD86">
        <f t="shared" si="115"/>
        <v>190</v>
      </c>
      <c r="AE86">
        <f t="shared" si="115"/>
        <v>230</v>
      </c>
      <c r="AF86">
        <f t="shared" si="115"/>
        <v>270</v>
      </c>
      <c r="AG86">
        <f t="shared" si="115"/>
        <v>370</v>
      </c>
      <c r="AH86">
        <f t="shared" si="115"/>
        <v>470</v>
      </c>
      <c r="AI86">
        <f t="shared" si="115"/>
        <v>570</v>
      </c>
      <c r="AJ86">
        <f t="shared" si="115"/>
        <v>670</v>
      </c>
      <c r="AK86">
        <f t="shared" si="115"/>
        <v>770</v>
      </c>
      <c r="AL86">
        <f t="shared" si="115"/>
        <v>870</v>
      </c>
      <c r="AM86">
        <f t="shared" si="115"/>
        <v>970</v>
      </c>
    </row>
    <row r="87" spans="2:39" x14ac:dyDescent="0.3">
      <c r="B87" s="9">
        <v>2.4</v>
      </c>
      <c r="C87" s="1">
        <v>17</v>
      </c>
      <c r="D87">
        <v>15</v>
      </c>
      <c r="E87" t="e">
        <f t="shared" si="113"/>
        <v>#NAME?</v>
      </c>
      <c r="G87" s="9">
        <v>2.4</v>
      </c>
      <c r="Z87">
        <v>15</v>
      </c>
      <c r="AA87">
        <f t="shared" si="115"/>
        <v>55</v>
      </c>
      <c r="AB87">
        <f t="shared" si="115"/>
        <v>95</v>
      </c>
      <c r="AC87">
        <f t="shared" si="115"/>
        <v>135</v>
      </c>
      <c r="AD87">
        <f t="shared" si="115"/>
        <v>175</v>
      </c>
      <c r="AE87">
        <f t="shared" si="115"/>
        <v>215</v>
      </c>
      <c r="AF87">
        <f t="shared" si="115"/>
        <v>255</v>
      </c>
      <c r="AG87">
        <f t="shared" si="115"/>
        <v>355</v>
      </c>
      <c r="AH87">
        <f t="shared" si="115"/>
        <v>455</v>
      </c>
      <c r="AI87">
        <f t="shared" si="115"/>
        <v>555</v>
      </c>
      <c r="AJ87">
        <f t="shared" si="115"/>
        <v>655</v>
      </c>
      <c r="AK87">
        <f t="shared" si="115"/>
        <v>755</v>
      </c>
      <c r="AL87">
        <f t="shared" si="115"/>
        <v>855</v>
      </c>
      <c r="AM87">
        <f t="shared" si="115"/>
        <v>955</v>
      </c>
    </row>
    <row r="88" spans="2:39" x14ac:dyDescent="0.3">
      <c r="B88" s="9">
        <v>2.5</v>
      </c>
      <c r="C88" s="1">
        <v>18</v>
      </c>
      <c r="D88">
        <v>15</v>
      </c>
      <c r="E88" t="e">
        <f t="shared" si="113"/>
        <v>#NAME?</v>
      </c>
      <c r="G88" s="9">
        <v>2.5</v>
      </c>
      <c r="AA88">
        <v>40</v>
      </c>
      <c r="AB88">
        <f t="shared" si="115"/>
        <v>80</v>
      </c>
      <c r="AC88">
        <f t="shared" si="115"/>
        <v>120</v>
      </c>
      <c r="AD88">
        <f t="shared" si="115"/>
        <v>160</v>
      </c>
      <c r="AE88">
        <f t="shared" si="115"/>
        <v>200</v>
      </c>
      <c r="AF88">
        <f t="shared" si="115"/>
        <v>240</v>
      </c>
      <c r="AG88">
        <f t="shared" si="115"/>
        <v>340</v>
      </c>
      <c r="AH88">
        <f t="shared" si="115"/>
        <v>440</v>
      </c>
      <c r="AI88">
        <f t="shared" si="115"/>
        <v>540</v>
      </c>
      <c r="AJ88">
        <f t="shared" si="115"/>
        <v>640</v>
      </c>
      <c r="AK88">
        <f t="shared" si="115"/>
        <v>740</v>
      </c>
      <c r="AL88">
        <f t="shared" si="115"/>
        <v>840</v>
      </c>
      <c r="AM88">
        <f t="shared" si="115"/>
        <v>940</v>
      </c>
    </row>
    <row r="89" spans="2:39" x14ac:dyDescent="0.3">
      <c r="B89" s="9">
        <v>3</v>
      </c>
      <c r="C89" s="1">
        <v>19</v>
      </c>
      <c r="D89">
        <v>40</v>
      </c>
      <c r="E89" t="e">
        <f t="shared" si="113"/>
        <v>#NAME?</v>
      </c>
      <c r="G89" s="9">
        <v>3</v>
      </c>
      <c r="AB89">
        <v>40</v>
      </c>
      <c r="AC89">
        <f t="shared" si="115"/>
        <v>80</v>
      </c>
      <c r="AD89">
        <f t="shared" si="115"/>
        <v>120</v>
      </c>
      <c r="AE89">
        <f t="shared" si="115"/>
        <v>160</v>
      </c>
      <c r="AF89">
        <f t="shared" si="115"/>
        <v>200</v>
      </c>
      <c r="AG89">
        <f t="shared" si="115"/>
        <v>300</v>
      </c>
      <c r="AH89">
        <f t="shared" si="115"/>
        <v>400</v>
      </c>
      <c r="AI89">
        <f t="shared" si="115"/>
        <v>500</v>
      </c>
      <c r="AJ89">
        <f t="shared" si="115"/>
        <v>600</v>
      </c>
      <c r="AK89">
        <f t="shared" si="115"/>
        <v>700</v>
      </c>
      <c r="AL89">
        <f t="shared" si="115"/>
        <v>800</v>
      </c>
      <c r="AM89">
        <f t="shared" si="115"/>
        <v>900</v>
      </c>
    </row>
    <row r="90" spans="2:39" x14ac:dyDescent="0.3">
      <c r="B90" s="9">
        <v>3.1</v>
      </c>
      <c r="C90" s="1">
        <v>20</v>
      </c>
      <c r="D90">
        <v>40</v>
      </c>
      <c r="E90" t="e">
        <f t="shared" si="113"/>
        <v>#NAME?</v>
      </c>
      <c r="G90" s="9">
        <v>3.1</v>
      </c>
      <c r="AC90">
        <v>40</v>
      </c>
      <c r="AD90">
        <f t="shared" si="115"/>
        <v>80</v>
      </c>
      <c r="AE90">
        <f t="shared" si="115"/>
        <v>120</v>
      </c>
      <c r="AF90">
        <f t="shared" si="115"/>
        <v>160</v>
      </c>
      <c r="AG90">
        <f t="shared" si="115"/>
        <v>260</v>
      </c>
      <c r="AH90">
        <f t="shared" si="115"/>
        <v>360</v>
      </c>
      <c r="AI90">
        <f t="shared" si="115"/>
        <v>460</v>
      </c>
      <c r="AJ90">
        <f t="shared" si="115"/>
        <v>560</v>
      </c>
      <c r="AK90">
        <f t="shared" si="115"/>
        <v>660</v>
      </c>
      <c r="AL90">
        <f t="shared" si="115"/>
        <v>760</v>
      </c>
      <c r="AM90">
        <f t="shared" si="115"/>
        <v>860</v>
      </c>
    </row>
    <row r="91" spans="2:39" x14ac:dyDescent="0.3">
      <c r="B91" s="9">
        <v>3.2</v>
      </c>
      <c r="C91" s="1">
        <v>21</v>
      </c>
      <c r="D91">
        <v>40</v>
      </c>
      <c r="E91" t="e">
        <f t="shared" si="113"/>
        <v>#NAME?</v>
      </c>
      <c r="G91" s="9">
        <v>3.2</v>
      </c>
      <c r="AD91">
        <v>40</v>
      </c>
      <c r="AE91">
        <f t="shared" si="115"/>
        <v>80</v>
      </c>
      <c r="AF91">
        <f t="shared" si="115"/>
        <v>120</v>
      </c>
      <c r="AG91">
        <f t="shared" si="115"/>
        <v>220</v>
      </c>
      <c r="AH91">
        <f t="shared" si="115"/>
        <v>320</v>
      </c>
      <c r="AI91">
        <f t="shared" si="115"/>
        <v>420</v>
      </c>
      <c r="AJ91">
        <f t="shared" si="115"/>
        <v>520</v>
      </c>
      <c r="AK91">
        <f t="shared" si="115"/>
        <v>620</v>
      </c>
      <c r="AL91">
        <f t="shared" si="115"/>
        <v>720</v>
      </c>
      <c r="AM91">
        <f t="shared" si="115"/>
        <v>820</v>
      </c>
    </row>
    <row r="92" spans="2:39" x14ac:dyDescent="0.3">
      <c r="B92" s="9">
        <v>3.3</v>
      </c>
      <c r="C92" s="1">
        <v>22</v>
      </c>
      <c r="D92">
        <v>40</v>
      </c>
      <c r="E92" t="e">
        <f t="shared" si="113"/>
        <v>#NAME?</v>
      </c>
      <c r="G92" s="9">
        <v>3.3</v>
      </c>
      <c r="AE92">
        <v>40</v>
      </c>
      <c r="AF92">
        <f t="shared" si="115"/>
        <v>80</v>
      </c>
      <c r="AG92">
        <f t="shared" si="115"/>
        <v>180</v>
      </c>
      <c r="AH92">
        <f t="shared" si="115"/>
        <v>280</v>
      </c>
      <c r="AI92">
        <f t="shared" si="115"/>
        <v>380</v>
      </c>
      <c r="AJ92">
        <f t="shared" si="115"/>
        <v>480</v>
      </c>
      <c r="AK92">
        <f t="shared" si="115"/>
        <v>580</v>
      </c>
      <c r="AL92">
        <f t="shared" si="115"/>
        <v>680</v>
      </c>
      <c r="AM92">
        <f t="shared" si="115"/>
        <v>780</v>
      </c>
    </row>
    <row r="93" spans="2:39" x14ac:dyDescent="0.3">
      <c r="B93" s="9">
        <v>3.4</v>
      </c>
      <c r="C93" s="1">
        <v>23</v>
      </c>
      <c r="D93">
        <v>40</v>
      </c>
      <c r="E93" t="e">
        <f t="shared" si="113"/>
        <v>#NAME?</v>
      </c>
      <c r="G93" s="9">
        <v>3.4</v>
      </c>
      <c r="AF93">
        <v>40</v>
      </c>
      <c r="AG93">
        <f t="shared" si="115"/>
        <v>140</v>
      </c>
      <c r="AH93">
        <f t="shared" si="115"/>
        <v>240</v>
      </c>
      <c r="AI93">
        <f t="shared" si="115"/>
        <v>340</v>
      </c>
      <c r="AJ93">
        <f t="shared" si="115"/>
        <v>440</v>
      </c>
      <c r="AK93">
        <f t="shared" si="115"/>
        <v>540</v>
      </c>
      <c r="AL93">
        <f t="shared" si="115"/>
        <v>640</v>
      </c>
      <c r="AM93">
        <f t="shared" si="115"/>
        <v>740</v>
      </c>
    </row>
    <row r="94" spans="2:39" x14ac:dyDescent="0.3">
      <c r="B94" s="9">
        <v>3.5</v>
      </c>
      <c r="C94" s="1">
        <v>24</v>
      </c>
      <c r="D94">
        <v>40</v>
      </c>
      <c r="E94" t="e">
        <f t="shared" si="113"/>
        <v>#NAME?</v>
      </c>
      <c r="G94" s="9">
        <v>3.5</v>
      </c>
      <c r="AG94">
        <v>100</v>
      </c>
      <c r="AH94">
        <f t="shared" si="115"/>
        <v>200</v>
      </c>
      <c r="AI94">
        <f t="shared" si="115"/>
        <v>300</v>
      </c>
      <c r="AJ94">
        <f t="shared" si="115"/>
        <v>400</v>
      </c>
      <c r="AK94">
        <f t="shared" si="115"/>
        <v>500</v>
      </c>
      <c r="AL94">
        <f t="shared" si="115"/>
        <v>600</v>
      </c>
      <c r="AM94">
        <f t="shared" si="115"/>
        <v>700</v>
      </c>
    </row>
    <row r="95" spans="2:39" x14ac:dyDescent="0.3">
      <c r="B95" s="9">
        <v>4</v>
      </c>
      <c r="C95" s="1">
        <v>25</v>
      </c>
      <c r="D95">
        <v>100</v>
      </c>
      <c r="E95" t="e">
        <f t="shared" si="113"/>
        <v>#NAME?</v>
      </c>
      <c r="G95" s="9">
        <v>4</v>
      </c>
      <c r="AH95">
        <v>100</v>
      </c>
      <c r="AI95">
        <f>AH95+VLOOKUP(AI$69,$B$70:$D$101,3,FALSE)</f>
        <v>200</v>
      </c>
      <c r="AJ95">
        <f>AI95+VLOOKUP(AJ$69,$B$70:$D$101,3,FALSE)</f>
        <v>300</v>
      </c>
      <c r="AK95">
        <f>AJ95+VLOOKUP(AK$69,$B$70:$D$101,3,FALSE)</f>
        <v>400</v>
      </c>
      <c r="AL95">
        <f>AK95+VLOOKUP(AL$69,$B$70:$D$101,3,FALSE)</f>
        <v>500</v>
      </c>
      <c r="AM95">
        <f>AL95+VLOOKUP(AM$69,$B$70:$D$101,3,FALSE)</f>
        <v>600</v>
      </c>
    </row>
    <row r="96" spans="2:39" x14ac:dyDescent="0.3">
      <c r="B96" s="9">
        <v>4.0999999999999996</v>
      </c>
      <c r="C96" s="1">
        <v>26</v>
      </c>
      <c r="D96">
        <v>100</v>
      </c>
      <c r="E96" t="e">
        <f t="shared" si="113"/>
        <v>#NAME?</v>
      </c>
      <c r="G96" s="9">
        <v>4.0999999999999996</v>
      </c>
      <c r="AI96">
        <v>100</v>
      </c>
      <c r="AJ96">
        <f>AI96+VLOOKUP(AJ$69,$B$70:$D$101,3,FALSE)</f>
        <v>200</v>
      </c>
      <c r="AK96">
        <f>AJ96+VLOOKUP(AK$69,$B$70:$D$101,3,FALSE)</f>
        <v>300</v>
      </c>
      <c r="AL96">
        <f>AK96+VLOOKUP(AL$69,$B$70:$D$101,3,FALSE)</f>
        <v>400</v>
      </c>
      <c r="AM96">
        <f>AL96+VLOOKUP(AM$69,$B$70:$D$101,3,FALSE)</f>
        <v>500</v>
      </c>
    </row>
    <row r="97" spans="2:39" x14ac:dyDescent="0.3">
      <c r="B97" s="9">
        <v>4.2</v>
      </c>
      <c r="C97" s="1">
        <v>27</v>
      </c>
      <c r="D97">
        <v>100</v>
      </c>
      <c r="E97" t="e">
        <f t="shared" si="113"/>
        <v>#NAME?</v>
      </c>
      <c r="G97" s="9">
        <v>4.2</v>
      </c>
      <c r="AJ97">
        <v>100</v>
      </c>
      <c r="AK97">
        <f>AJ97+VLOOKUP(AK$69,$B$70:$D$101,3,FALSE)</f>
        <v>200</v>
      </c>
      <c r="AL97">
        <f>AK97+VLOOKUP(AL$69,$B$70:$D$101,3,FALSE)</f>
        <v>300</v>
      </c>
      <c r="AM97">
        <f>AL97+VLOOKUP(AM$69,$B$70:$D$101,3,FALSE)</f>
        <v>400</v>
      </c>
    </row>
    <row r="98" spans="2:39" x14ac:dyDescent="0.3">
      <c r="B98" s="9">
        <v>4.3</v>
      </c>
      <c r="C98" s="1">
        <v>28</v>
      </c>
      <c r="D98">
        <v>100</v>
      </c>
      <c r="E98" t="e">
        <f t="shared" si="113"/>
        <v>#NAME?</v>
      </c>
      <c r="G98" s="9">
        <v>4.3</v>
      </c>
      <c r="AK98">
        <v>100</v>
      </c>
      <c r="AL98">
        <f>AK98+VLOOKUP(AL$69,$B$70:$D$101,3,FALSE)</f>
        <v>200</v>
      </c>
      <c r="AM98">
        <f>AL98+VLOOKUP(AM$69,$B$70:$D$101,3,FALSE)</f>
        <v>300</v>
      </c>
    </row>
    <row r="99" spans="2:39" x14ac:dyDescent="0.3">
      <c r="B99" s="9">
        <v>4.4000000000000004</v>
      </c>
      <c r="C99" s="1">
        <v>29</v>
      </c>
      <c r="D99">
        <v>100</v>
      </c>
      <c r="E99" t="e">
        <f t="shared" si="113"/>
        <v>#NAME?</v>
      </c>
      <c r="G99" s="9">
        <v>4.4000000000000004</v>
      </c>
      <c r="AL99">
        <v>100</v>
      </c>
      <c r="AM99">
        <f>AL99+VLOOKUP(AM$69,$B$70:$D$101,3,FALSE)</f>
        <v>200</v>
      </c>
    </row>
    <row r="100" spans="2:39" x14ac:dyDescent="0.3">
      <c r="B100" s="9">
        <v>4.5</v>
      </c>
      <c r="C100" s="1">
        <v>30</v>
      </c>
      <c r="D100">
        <v>100</v>
      </c>
      <c r="E100" t="e">
        <f t="shared" si="113"/>
        <v>#NAME?</v>
      </c>
      <c r="G100" s="9">
        <v>4.5</v>
      </c>
      <c r="AM100">
        <v>100</v>
      </c>
    </row>
    <row r="101" spans="2:39" x14ac:dyDescent="0.3">
      <c r="B101" s="9">
        <v>5</v>
      </c>
      <c r="C101" s="1">
        <v>31</v>
      </c>
      <c r="D101">
        <v>100</v>
      </c>
      <c r="E101" t="e">
        <f t="shared" si="113"/>
        <v>#NAME?</v>
      </c>
      <c r="G101" s="9">
        <v>5</v>
      </c>
      <c r="AM101" t="s">
        <v>27</v>
      </c>
    </row>
    <row r="102" spans="2:39" x14ac:dyDescent="0.3">
      <c r="D102">
        <f>SUM(D71:D101)</f>
        <v>1075</v>
      </c>
      <c r="E102" t="e">
        <f>SUM(E71:E101)</f>
        <v>#NAME?</v>
      </c>
    </row>
    <row r="104" spans="2:39" x14ac:dyDescent="0.3">
      <c r="B104" s="51" t="s">
        <v>392</v>
      </c>
      <c r="E104" s="376" t="s">
        <v>284</v>
      </c>
      <c r="F104" s="376"/>
      <c r="G104" s="376"/>
      <c r="H104" s="376"/>
      <c r="I104" s="376"/>
      <c r="J104" s="376"/>
      <c r="K104" s="376"/>
      <c r="L104" s="376"/>
      <c r="M104" s="376"/>
      <c r="N104" s="376"/>
      <c r="O104" s="376"/>
      <c r="P104" s="376"/>
      <c r="R104" s="389" t="s">
        <v>285</v>
      </c>
      <c r="S104" s="450"/>
      <c r="T104" s="450"/>
      <c r="U104" s="450"/>
      <c r="V104" s="450"/>
      <c r="W104" s="450"/>
      <c r="X104" s="450"/>
      <c r="Y104" s="450"/>
      <c r="Z104" s="450"/>
      <c r="AA104" s="450"/>
      <c r="AB104" s="450"/>
      <c r="AC104" s="390"/>
    </row>
    <row r="105" spans="2:39" x14ac:dyDescent="0.3">
      <c r="C105" s="1" t="s">
        <v>284</v>
      </c>
      <c r="D105" s="1" t="s">
        <v>285</v>
      </c>
      <c r="E105" t="s">
        <v>286</v>
      </c>
      <c r="F105" t="s">
        <v>287</v>
      </c>
      <c r="G105" t="s">
        <v>288</v>
      </c>
      <c r="H105" t="s">
        <v>289</v>
      </c>
      <c r="I105" t="s">
        <v>290</v>
      </c>
      <c r="J105" t="s">
        <v>291</v>
      </c>
      <c r="K105" t="s">
        <v>292</v>
      </c>
      <c r="L105" t="s">
        <v>293</v>
      </c>
      <c r="M105" t="s">
        <v>294</v>
      </c>
      <c r="N105" t="s">
        <v>295</v>
      </c>
      <c r="O105" t="s">
        <v>296</v>
      </c>
      <c r="P105" t="s">
        <v>297</v>
      </c>
      <c r="R105" t="s">
        <v>286</v>
      </c>
      <c r="S105" t="s">
        <v>287</v>
      </c>
      <c r="T105" t="s">
        <v>288</v>
      </c>
      <c r="U105" t="s">
        <v>289</v>
      </c>
      <c r="V105" t="s">
        <v>290</v>
      </c>
      <c r="W105" t="s">
        <v>291</v>
      </c>
      <c r="X105" t="s">
        <v>292</v>
      </c>
      <c r="Y105" t="s">
        <v>293</v>
      </c>
      <c r="Z105" t="s">
        <v>294</v>
      </c>
      <c r="AA105" t="s">
        <v>295</v>
      </c>
      <c r="AB105" t="s">
        <v>296</v>
      </c>
      <c r="AC105" t="s">
        <v>297</v>
      </c>
    </row>
    <row r="106" spans="2:39" x14ac:dyDescent="0.3">
      <c r="B106">
        <v>1</v>
      </c>
      <c r="C106">
        <v>10</v>
      </c>
      <c r="E106" t="e">
        <f>IF(VLOOKUP(E$105,#REF!,2,FALSE)&gt;($B106-1),"",IF(VLOOKUP(E$105,#REF!,3,FALSE)&gt;($B106-1),'Chief &amp; Hero Data'!$C106,""))</f>
        <v>#REF!</v>
      </c>
      <c r="F106" t="e">
        <f>IF(VLOOKUP(F$105,#REF!,2,FALSE)&gt;($B106-1),"",IF(VLOOKUP(F$105,#REF!,3,FALSE)&gt;($B106-1),'Chief &amp; Hero Data'!$C106,""))</f>
        <v>#REF!</v>
      </c>
      <c r="G106" t="e">
        <f>IF(VLOOKUP(G$105,#REF!,2,FALSE)&gt;($B106-1),"",IF(VLOOKUP(G$105,#REF!,3,FALSE)&gt;($B106-1),'Chief &amp; Hero Data'!$C106,""))</f>
        <v>#REF!</v>
      </c>
      <c r="H106" t="e">
        <f>IF(VLOOKUP(H$105,#REF!,2,FALSE)&gt;($B106-1),"",IF(VLOOKUP(H$105,#REF!,3,FALSE)&gt;($B106-1),'Chief &amp; Hero Data'!$C106,""))</f>
        <v>#REF!</v>
      </c>
      <c r="I106" t="e">
        <f>IF(VLOOKUP(I$105,#REF!,2,FALSE)&gt;($B106-1),"",IF(VLOOKUP(I$105,#REF!,3,FALSE)&gt;($B106-1),'Chief &amp; Hero Data'!$C106,""))</f>
        <v>#REF!</v>
      </c>
      <c r="J106" t="e">
        <f>IF(VLOOKUP(J$105,#REF!,2,FALSE)&gt;($B106-1),"",IF(VLOOKUP(J$105,#REF!,3,FALSE)&gt;($B106-1),'Chief &amp; Hero Data'!$C106,""))</f>
        <v>#REF!</v>
      </c>
      <c r="K106" t="e">
        <f>IF(VLOOKUP(K$105,#REF!,2,FALSE)&gt;($B106-1),"",IF(VLOOKUP(K$105,#REF!,3,FALSE)&gt;($B106-1),'Chief &amp; Hero Data'!$C106,""))</f>
        <v>#REF!</v>
      </c>
      <c r="L106" t="e">
        <f>IF(VLOOKUP(L$105,#REF!,2,FALSE)&gt;($B106-1),"",IF(VLOOKUP(L$105,#REF!,3,FALSE)&gt;($B106-1),'Chief &amp; Hero Data'!$C106,""))</f>
        <v>#REF!</v>
      </c>
      <c r="M106" t="e">
        <f>IF(VLOOKUP(M$105,#REF!,2,FALSE)&gt;($B106-1),"",IF(VLOOKUP(M$105,#REF!,3,FALSE)&gt;($B106-1),'Chief &amp; Hero Data'!$C106,""))</f>
        <v>#REF!</v>
      </c>
      <c r="N106" t="e">
        <f>IF(VLOOKUP(N$105,#REF!,2,FALSE)&gt;($B106-1),"",IF(VLOOKUP(N$105,#REF!,3,FALSE)&gt;($B106-1),'Chief &amp; Hero Data'!$C106,""))</f>
        <v>#REF!</v>
      </c>
      <c r="O106" t="e">
        <f>IF(VLOOKUP(O$105,#REF!,2,FALSE)&gt;($B106-1),"",IF(VLOOKUP(O$105,#REF!,3,FALSE)&gt;($B106-1),'Chief &amp; Hero Data'!$C106,""))</f>
        <v>#REF!</v>
      </c>
      <c r="P106" t="e">
        <f>IF(VLOOKUP(P$105,#REF!,2,FALSE)&gt;($B106-1),"",IF(VLOOKUP(P$105,#REF!,3,FALSE)&gt;($B106-1),'Chief &amp; Hero Data'!$C106,""))</f>
        <v>#REF!</v>
      </c>
    </row>
    <row r="107" spans="2:39" x14ac:dyDescent="0.3">
      <c r="B107">
        <v>2</v>
      </c>
      <c r="C107">
        <v>20</v>
      </c>
      <c r="E107" t="e">
        <f>IF(VLOOKUP(E$105,#REF!,2,FALSE)&gt;($B107-1),"",IF(VLOOKUP(E$105,#REF!,3,FALSE)&gt;($B107-1),'Chief &amp; Hero Data'!$C107,""))</f>
        <v>#REF!</v>
      </c>
      <c r="F107" t="e">
        <f>IF(VLOOKUP(F$105,#REF!,2,FALSE)&gt;($B107-1),"",IF(VLOOKUP(F$105,#REF!,3,FALSE)&gt;($B107-1),'Chief &amp; Hero Data'!$C107,""))</f>
        <v>#REF!</v>
      </c>
      <c r="G107" t="e">
        <f>IF(VLOOKUP(G$105,#REF!,2,FALSE)&gt;($B107-1),"",IF(VLOOKUP(G$105,#REF!,3,FALSE)&gt;($B107-1),'Chief &amp; Hero Data'!$C107,""))</f>
        <v>#REF!</v>
      </c>
      <c r="H107" t="e">
        <f>IF(VLOOKUP(H$105,#REF!,2,FALSE)&gt;($B107-1),"",IF(VLOOKUP(H$105,#REF!,3,FALSE)&gt;($B107-1),'Chief &amp; Hero Data'!$C107,""))</f>
        <v>#REF!</v>
      </c>
      <c r="I107" t="e">
        <f>IF(VLOOKUP(I$105,#REF!,2,FALSE)&gt;($B107-1),"",IF(VLOOKUP(I$105,#REF!,3,FALSE)&gt;($B107-1),'Chief &amp; Hero Data'!$C107,""))</f>
        <v>#REF!</v>
      </c>
      <c r="J107" t="e">
        <f>IF(VLOOKUP(J$105,#REF!,2,FALSE)&gt;($B107-1),"",IF(VLOOKUP(J$105,#REF!,3,FALSE)&gt;($B107-1),'Chief &amp; Hero Data'!$C107,""))</f>
        <v>#REF!</v>
      </c>
      <c r="K107" t="e">
        <f>IF(VLOOKUP(K$105,#REF!,2,FALSE)&gt;($B107-1),"",IF(VLOOKUP(K$105,#REF!,3,FALSE)&gt;($B107-1),'Chief &amp; Hero Data'!$C107,""))</f>
        <v>#REF!</v>
      </c>
      <c r="L107" t="e">
        <f>IF(VLOOKUP(L$105,#REF!,2,FALSE)&gt;($B107-1),"",IF(VLOOKUP(L$105,#REF!,3,FALSE)&gt;($B107-1),'Chief &amp; Hero Data'!$C107,""))</f>
        <v>#REF!</v>
      </c>
      <c r="M107" t="e">
        <f>IF(VLOOKUP(M$105,#REF!,2,FALSE)&gt;($B107-1),"",IF(VLOOKUP(M$105,#REF!,3,FALSE)&gt;($B107-1),'Chief &amp; Hero Data'!$C107,""))</f>
        <v>#REF!</v>
      </c>
      <c r="N107" t="e">
        <f>IF(VLOOKUP(N$105,#REF!,2,FALSE)&gt;($B107-1),"",IF(VLOOKUP(N$105,#REF!,3,FALSE)&gt;($B107-1),'Chief &amp; Hero Data'!$C107,""))</f>
        <v>#REF!</v>
      </c>
      <c r="O107" t="e">
        <f>IF(VLOOKUP(O$105,#REF!,2,FALSE)&gt;($B107-1),"",IF(VLOOKUP(O$105,#REF!,3,FALSE)&gt;($B107-1),'Chief &amp; Hero Data'!$C107,""))</f>
        <v>#REF!</v>
      </c>
      <c r="P107" t="e">
        <f>IF(VLOOKUP(P$105,#REF!,2,FALSE)&gt;($B107-1),"",IF(VLOOKUP(P$105,#REF!,3,FALSE)&gt;($B107-1),'Chief &amp; Hero Data'!$C107,""))</f>
        <v>#REF!</v>
      </c>
    </row>
    <row r="108" spans="2:39" x14ac:dyDescent="0.3">
      <c r="B108">
        <v>3</v>
      </c>
      <c r="C108">
        <v>30</v>
      </c>
      <c r="E108" t="e">
        <f>IF(VLOOKUP(E$105,#REF!,2,FALSE)&gt;($B108-1),"",IF(VLOOKUP(E$105,#REF!,3,FALSE)&gt;($B108-1),'Chief &amp; Hero Data'!$C108,""))</f>
        <v>#REF!</v>
      </c>
      <c r="F108" t="e">
        <f>IF(VLOOKUP(F$105,#REF!,2,FALSE)&gt;($B108-1),"",IF(VLOOKUP(F$105,#REF!,3,FALSE)&gt;($B108-1),'Chief &amp; Hero Data'!$C108,""))</f>
        <v>#REF!</v>
      </c>
      <c r="G108" t="e">
        <f>IF(VLOOKUP(G$105,#REF!,2,FALSE)&gt;($B108-1),"",IF(VLOOKUP(G$105,#REF!,3,FALSE)&gt;($B108-1),'Chief &amp; Hero Data'!$C108,""))</f>
        <v>#REF!</v>
      </c>
      <c r="H108" t="e">
        <f>IF(VLOOKUP(H$105,#REF!,2,FALSE)&gt;($B108-1),"",IF(VLOOKUP(H$105,#REF!,3,FALSE)&gt;($B108-1),'Chief &amp; Hero Data'!$C108,""))</f>
        <v>#REF!</v>
      </c>
      <c r="I108" t="e">
        <f>IF(VLOOKUP(I$105,#REF!,2,FALSE)&gt;($B108-1),"",IF(VLOOKUP(I$105,#REF!,3,FALSE)&gt;($B108-1),'Chief &amp; Hero Data'!$C108,""))</f>
        <v>#REF!</v>
      </c>
      <c r="J108" t="e">
        <f>IF(VLOOKUP(J$105,#REF!,2,FALSE)&gt;($B108-1),"",IF(VLOOKUP(J$105,#REF!,3,FALSE)&gt;($B108-1),'Chief &amp; Hero Data'!$C108,""))</f>
        <v>#REF!</v>
      </c>
      <c r="K108" t="e">
        <f>IF(VLOOKUP(K$105,#REF!,2,FALSE)&gt;($B108-1),"",IF(VLOOKUP(K$105,#REF!,3,FALSE)&gt;($B108-1),'Chief &amp; Hero Data'!$C108,""))</f>
        <v>#REF!</v>
      </c>
      <c r="L108" t="e">
        <f>IF(VLOOKUP(L$105,#REF!,2,FALSE)&gt;($B108-1),"",IF(VLOOKUP(L$105,#REF!,3,FALSE)&gt;($B108-1),'Chief &amp; Hero Data'!$C108,""))</f>
        <v>#REF!</v>
      </c>
      <c r="M108" t="e">
        <f>IF(VLOOKUP(M$105,#REF!,2,FALSE)&gt;($B108-1),"",IF(VLOOKUP(M$105,#REF!,3,FALSE)&gt;($B108-1),'Chief &amp; Hero Data'!$C108,""))</f>
        <v>#REF!</v>
      </c>
      <c r="N108" t="e">
        <f>IF(VLOOKUP(N$105,#REF!,2,FALSE)&gt;($B108-1),"",IF(VLOOKUP(N$105,#REF!,3,FALSE)&gt;($B108-1),'Chief &amp; Hero Data'!$C108,""))</f>
        <v>#REF!</v>
      </c>
      <c r="O108" t="e">
        <f>IF(VLOOKUP(O$105,#REF!,2,FALSE)&gt;($B108-1),"",IF(VLOOKUP(O$105,#REF!,3,FALSE)&gt;($B108-1),'Chief &amp; Hero Data'!$C108,""))</f>
        <v>#REF!</v>
      </c>
      <c r="P108" t="e">
        <f>IF(VLOOKUP(P$105,#REF!,2,FALSE)&gt;($B108-1),"",IF(VLOOKUP(P$105,#REF!,3,FALSE)&gt;($B108-1),'Chief &amp; Hero Data'!$C108,""))</f>
        <v>#REF!</v>
      </c>
    </row>
    <row r="109" spans="2:39" x14ac:dyDescent="0.3">
      <c r="B109">
        <v>4</v>
      </c>
      <c r="C109">
        <v>40</v>
      </c>
      <c r="E109" t="e">
        <f>IF(VLOOKUP(E$105,#REF!,2,FALSE)&gt;($B109-1),"",IF(VLOOKUP(E$105,#REF!,3,FALSE)&gt;($B109-1),'Chief &amp; Hero Data'!$C109,""))</f>
        <v>#REF!</v>
      </c>
      <c r="F109" t="e">
        <f>IF(VLOOKUP(F$105,#REF!,2,FALSE)&gt;($B109-1),"",IF(VLOOKUP(F$105,#REF!,3,FALSE)&gt;($B109-1),'Chief &amp; Hero Data'!$C109,""))</f>
        <v>#REF!</v>
      </c>
      <c r="G109" t="e">
        <f>IF(VLOOKUP(G$105,#REF!,2,FALSE)&gt;($B109-1),"",IF(VLOOKUP(G$105,#REF!,3,FALSE)&gt;($B109-1),'Chief &amp; Hero Data'!$C109,""))</f>
        <v>#REF!</v>
      </c>
      <c r="H109" t="e">
        <f>IF(VLOOKUP(H$105,#REF!,2,FALSE)&gt;($B109-1),"",IF(VLOOKUP(H$105,#REF!,3,FALSE)&gt;($B109-1),'Chief &amp; Hero Data'!$C109,""))</f>
        <v>#REF!</v>
      </c>
      <c r="I109" t="e">
        <f>IF(VLOOKUP(I$105,#REF!,2,FALSE)&gt;($B109-1),"",IF(VLOOKUP(I$105,#REF!,3,FALSE)&gt;($B109-1),'Chief &amp; Hero Data'!$C109,""))</f>
        <v>#REF!</v>
      </c>
      <c r="J109" t="e">
        <f>IF(VLOOKUP(J$105,#REF!,2,FALSE)&gt;($B109-1),"",IF(VLOOKUP(J$105,#REF!,3,FALSE)&gt;($B109-1),'Chief &amp; Hero Data'!$C109,""))</f>
        <v>#REF!</v>
      </c>
      <c r="K109" t="e">
        <f>IF(VLOOKUP(K$105,#REF!,2,FALSE)&gt;($B109-1),"",IF(VLOOKUP(K$105,#REF!,3,FALSE)&gt;($B109-1),'Chief &amp; Hero Data'!$C109,""))</f>
        <v>#REF!</v>
      </c>
      <c r="L109" t="e">
        <f>IF(VLOOKUP(L$105,#REF!,2,FALSE)&gt;($B109-1),"",IF(VLOOKUP(L$105,#REF!,3,FALSE)&gt;($B109-1),'Chief &amp; Hero Data'!$C109,""))</f>
        <v>#REF!</v>
      </c>
      <c r="M109" t="e">
        <f>IF(VLOOKUP(M$105,#REF!,2,FALSE)&gt;($B109-1),"",IF(VLOOKUP(M$105,#REF!,3,FALSE)&gt;($B109-1),'Chief &amp; Hero Data'!$C109,""))</f>
        <v>#REF!</v>
      </c>
      <c r="N109" t="e">
        <f>IF(VLOOKUP(N$105,#REF!,2,FALSE)&gt;($B109-1),"",IF(VLOOKUP(N$105,#REF!,3,FALSE)&gt;($B109-1),'Chief &amp; Hero Data'!$C109,""))</f>
        <v>#REF!</v>
      </c>
      <c r="O109" t="e">
        <f>IF(VLOOKUP(O$105,#REF!,2,FALSE)&gt;($B109-1),"",IF(VLOOKUP(O$105,#REF!,3,FALSE)&gt;($B109-1),'Chief &amp; Hero Data'!$C109,""))</f>
        <v>#REF!</v>
      </c>
      <c r="P109" t="e">
        <f>IF(VLOOKUP(P$105,#REF!,2,FALSE)&gt;($B109-1),"",IF(VLOOKUP(P$105,#REF!,3,FALSE)&gt;($B109-1),'Chief &amp; Hero Data'!$C109,""))</f>
        <v>#REF!</v>
      </c>
    </row>
    <row r="110" spans="2:39" x14ac:dyDescent="0.3">
      <c r="B110">
        <v>5</v>
      </c>
      <c r="C110">
        <v>50</v>
      </c>
      <c r="E110" t="e">
        <f>IF(VLOOKUP(E$105,#REF!,2,FALSE)&gt;($B110-1),"",IF(VLOOKUP(E$105,#REF!,3,FALSE)&gt;($B110-1),'Chief &amp; Hero Data'!$C110,""))</f>
        <v>#REF!</v>
      </c>
      <c r="F110" t="e">
        <f>IF(VLOOKUP(F$105,#REF!,2,FALSE)&gt;($B110-1),"",IF(VLOOKUP(F$105,#REF!,3,FALSE)&gt;($B110-1),'Chief &amp; Hero Data'!$C110,""))</f>
        <v>#REF!</v>
      </c>
      <c r="G110" t="e">
        <f>IF(VLOOKUP(G$105,#REF!,2,FALSE)&gt;($B110-1),"",IF(VLOOKUP(G$105,#REF!,3,FALSE)&gt;($B110-1),'Chief &amp; Hero Data'!$C110,""))</f>
        <v>#REF!</v>
      </c>
      <c r="H110" t="e">
        <f>IF(VLOOKUP(H$105,#REF!,2,FALSE)&gt;($B110-1),"",IF(VLOOKUP(H$105,#REF!,3,FALSE)&gt;($B110-1),'Chief &amp; Hero Data'!$C110,""))</f>
        <v>#REF!</v>
      </c>
      <c r="I110" t="e">
        <f>IF(VLOOKUP(I$105,#REF!,2,FALSE)&gt;($B110-1),"",IF(VLOOKUP(I$105,#REF!,3,FALSE)&gt;($B110-1),'Chief &amp; Hero Data'!$C110,""))</f>
        <v>#REF!</v>
      </c>
      <c r="J110" t="e">
        <f>IF(VLOOKUP(J$105,#REF!,2,FALSE)&gt;($B110-1),"",IF(VLOOKUP(J$105,#REF!,3,FALSE)&gt;($B110-1),'Chief &amp; Hero Data'!$C110,""))</f>
        <v>#REF!</v>
      </c>
      <c r="K110" t="e">
        <f>IF(VLOOKUP(K$105,#REF!,2,FALSE)&gt;($B110-1),"",IF(VLOOKUP(K$105,#REF!,3,FALSE)&gt;($B110-1),'Chief &amp; Hero Data'!$C110,""))</f>
        <v>#REF!</v>
      </c>
      <c r="L110" t="e">
        <f>IF(VLOOKUP(L$105,#REF!,2,FALSE)&gt;($B110-1),"",IF(VLOOKUP(L$105,#REF!,3,FALSE)&gt;($B110-1),'Chief &amp; Hero Data'!$C110,""))</f>
        <v>#REF!</v>
      </c>
      <c r="M110" t="e">
        <f>IF(VLOOKUP(M$105,#REF!,2,FALSE)&gt;($B110-1),"",IF(VLOOKUP(M$105,#REF!,3,FALSE)&gt;($B110-1),'Chief &amp; Hero Data'!$C110,""))</f>
        <v>#REF!</v>
      </c>
      <c r="N110" t="e">
        <f>IF(VLOOKUP(N$105,#REF!,2,FALSE)&gt;($B110-1),"",IF(VLOOKUP(N$105,#REF!,3,FALSE)&gt;($B110-1),'Chief &amp; Hero Data'!$C110,""))</f>
        <v>#REF!</v>
      </c>
      <c r="O110" t="e">
        <f>IF(VLOOKUP(O$105,#REF!,2,FALSE)&gt;($B110-1),"",IF(VLOOKUP(O$105,#REF!,3,FALSE)&gt;($B110-1),'Chief &amp; Hero Data'!$C110,""))</f>
        <v>#REF!</v>
      </c>
      <c r="P110" t="e">
        <f>IF(VLOOKUP(P$105,#REF!,2,FALSE)&gt;($B110-1),"",IF(VLOOKUP(P$105,#REF!,3,FALSE)&gt;($B110-1),'Chief &amp; Hero Data'!$C110,""))</f>
        <v>#REF!</v>
      </c>
    </row>
    <row r="111" spans="2:39" x14ac:dyDescent="0.3">
      <c r="B111">
        <v>6</v>
      </c>
      <c r="C111">
        <v>60</v>
      </c>
      <c r="E111" t="e">
        <f>IF(VLOOKUP(E$105,#REF!,2,FALSE)&gt;($B111-1),"",IF(VLOOKUP(E$105,#REF!,3,FALSE)&gt;($B111-1),'Chief &amp; Hero Data'!$C111,""))</f>
        <v>#REF!</v>
      </c>
      <c r="F111" t="e">
        <f>IF(VLOOKUP(F$105,#REF!,2,FALSE)&gt;($B111-1),"",IF(VLOOKUP(F$105,#REF!,3,FALSE)&gt;($B111-1),'Chief &amp; Hero Data'!$C111,""))</f>
        <v>#REF!</v>
      </c>
      <c r="G111" t="e">
        <f>IF(VLOOKUP(G$105,#REF!,2,FALSE)&gt;($B111-1),"",IF(VLOOKUP(G$105,#REF!,3,FALSE)&gt;($B111-1),'Chief &amp; Hero Data'!$C111,""))</f>
        <v>#REF!</v>
      </c>
      <c r="H111" t="e">
        <f>IF(VLOOKUP(H$105,#REF!,2,FALSE)&gt;($B111-1),"",IF(VLOOKUP(H$105,#REF!,3,FALSE)&gt;($B111-1),'Chief &amp; Hero Data'!$C111,""))</f>
        <v>#REF!</v>
      </c>
      <c r="I111" t="e">
        <f>IF(VLOOKUP(I$105,#REF!,2,FALSE)&gt;($B111-1),"",IF(VLOOKUP(I$105,#REF!,3,FALSE)&gt;($B111-1),'Chief &amp; Hero Data'!$C111,""))</f>
        <v>#REF!</v>
      </c>
      <c r="J111" t="e">
        <f>IF(VLOOKUP(J$105,#REF!,2,FALSE)&gt;($B111-1),"",IF(VLOOKUP(J$105,#REF!,3,FALSE)&gt;($B111-1),'Chief &amp; Hero Data'!$C111,""))</f>
        <v>#REF!</v>
      </c>
      <c r="K111" t="e">
        <f>IF(VLOOKUP(K$105,#REF!,2,FALSE)&gt;($B111-1),"",IF(VLOOKUP(K$105,#REF!,3,FALSE)&gt;($B111-1),'Chief &amp; Hero Data'!$C111,""))</f>
        <v>#REF!</v>
      </c>
      <c r="L111" t="e">
        <f>IF(VLOOKUP(L$105,#REF!,2,FALSE)&gt;($B111-1),"",IF(VLOOKUP(L$105,#REF!,3,FALSE)&gt;($B111-1),'Chief &amp; Hero Data'!$C111,""))</f>
        <v>#REF!</v>
      </c>
      <c r="M111" t="e">
        <f>IF(VLOOKUP(M$105,#REF!,2,FALSE)&gt;($B111-1),"",IF(VLOOKUP(M$105,#REF!,3,FALSE)&gt;($B111-1),'Chief &amp; Hero Data'!$C111,""))</f>
        <v>#REF!</v>
      </c>
      <c r="N111" t="e">
        <f>IF(VLOOKUP(N$105,#REF!,2,FALSE)&gt;($B111-1),"",IF(VLOOKUP(N$105,#REF!,3,FALSE)&gt;($B111-1),'Chief &amp; Hero Data'!$C111,""))</f>
        <v>#REF!</v>
      </c>
      <c r="O111" t="e">
        <f>IF(VLOOKUP(O$105,#REF!,2,FALSE)&gt;($B111-1),"",IF(VLOOKUP(O$105,#REF!,3,FALSE)&gt;($B111-1),'Chief &amp; Hero Data'!$C111,""))</f>
        <v>#REF!</v>
      </c>
      <c r="P111" t="e">
        <f>IF(VLOOKUP(P$105,#REF!,2,FALSE)&gt;($B111-1),"",IF(VLOOKUP(P$105,#REF!,3,FALSE)&gt;($B111-1),'Chief &amp; Hero Data'!$C111,""))</f>
        <v>#REF!</v>
      </c>
    </row>
    <row r="112" spans="2:39" x14ac:dyDescent="0.3">
      <c r="B112">
        <v>7</v>
      </c>
      <c r="C112">
        <v>70</v>
      </c>
      <c r="E112" t="e">
        <f>IF(VLOOKUP(E$105,#REF!,2,FALSE)&gt;($B112-1),"",IF(VLOOKUP(E$105,#REF!,3,FALSE)&gt;($B112-1),'Chief &amp; Hero Data'!$C112,""))</f>
        <v>#REF!</v>
      </c>
      <c r="F112" t="e">
        <f>IF(VLOOKUP(F$105,#REF!,2,FALSE)&gt;($B112-1),"",IF(VLOOKUP(F$105,#REF!,3,FALSE)&gt;($B112-1),'Chief &amp; Hero Data'!$C112,""))</f>
        <v>#REF!</v>
      </c>
      <c r="G112" t="e">
        <f>IF(VLOOKUP(G$105,#REF!,2,FALSE)&gt;($B112-1),"",IF(VLOOKUP(G$105,#REF!,3,FALSE)&gt;($B112-1),'Chief &amp; Hero Data'!$C112,""))</f>
        <v>#REF!</v>
      </c>
      <c r="H112" t="e">
        <f>IF(VLOOKUP(H$105,#REF!,2,FALSE)&gt;($B112-1),"",IF(VLOOKUP(H$105,#REF!,3,FALSE)&gt;($B112-1),'Chief &amp; Hero Data'!$C112,""))</f>
        <v>#REF!</v>
      </c>
      <c r="I112" t="e">
        <f>IF(VLOOKUP(I$105,#REF!,2,FALSE)&gt;($B112-1),"",IF(VLOOKUP(I$105,#REF!,3,FALSE)&gt;($B112-1),'Chief &amp; Hero Data'!$C112,""))</f>
        <v>#REF!</v>
      </c>
      <c r="J112" t="e">
        <f>IF(VLOOKUP(J$105,#REF!,2,FALSE)&gt;($B112-1),"",IF(VLOOKUP(J$105,#REF!,3,FALSE)&gt;($B112-1),'Chief &amp; Hero Data'!$C112,""))</f>
        <v>#REF!</v>
      </c>
      <c r="K112" t="e">
        <f>IF(VLOOKUP(K$105,#REF!,2,FALSE)&gt;($B112-1),"",IF(VLOOKUP(K$105,#REF!,3,FALSE)&gt;($B112-1),'Chief &amp; Hero Data'!$C112,""))</f>
        <v>#REF!</v>
      </c>
      <c r="L112" t="e">
        <f>IF(VLOOKUP(L$105,#REF!,2,FALSE)&gt;($B112-1),"",IF(VLOOKUP(L$105,#REF!,3,FALSE)&gt;($B112-1),'Chief &amp; Hero Data'!$C112,""))</f>
        <v>#REF!</v>
      </c>
      <c r="M112" t="e">
        <f>IF(VLOOKUP(M$105,#REF!,2,FALSE)&gt;($B112-1),"",IF(VLOOKUP(M$105,#REF!,3,FALSE)&gt;($B112-1),'Chief &amp; Hero Data'!$C112,""))</f>
        <v>#REF!</v>
      </c>
      <c r="N112" t="e">
        <f>IF(VLOOKUP(N$105,#REF!,2,FALSE)&gt;($B112-1),"",IF(VLOOKUP(N$105,#REF!,3,FALSE)&gt;($B112-1),'Chief &amp; Hero Data'!$C112,""))</f>
        <v>#REF!</v>
      </c>
      <c r="O112" t="e">
        <f>IF(VLOOKUP(O$105,#REF!,2,FALSE)&gt;($B112-1),"",IF(VLOOKUP(O$105,#REF!,3,FALSE)&gt;($B112-1),'Chief &amp; Hero Data'!$C112,""))</f>
        <v>#REF!</v>
      </c>
      <c r="P112" t="e">
        <f>IF(VLOOKUP(P$105,#REF!,2,FALSE)&gt;($B112-1),"",IF(VLOOKUP(P$105,#REF!,3,FALSE)&gt;($B112-1),'Chief &amp; Hero Data'!$C112,""))</f>
        <v>#REF!</v>
      </c>
    </row>
    <row r="113" spans="2:29" x14ac:dyDescent="0.3">
      <c r="B113">
        <v>8</v>
      </c>
      <c r="C113">
        <v>80</v>
      </c>
      <c r="E113" t="e">
        <f>IF(VLOOKUP(E$105,#REF!,2,FALSE)&gt;($B113-1),"",IF(VLOOKUP(E$105,#REF!,3,FALSE)&gt;($B113-1),'Chief &amp; Hero Data'!$C113,""))</f>
        <v>#REF!</v>
      </c>
      <c r="F113" t="e">
        <f>IF(VLOOKUP(F$105,#REF!,2,FALSE)&gt;($B113-1),"",IF(VLOOKUP(F$105,#REF!,3,FALSE)&gt;($B113-1),'Chief &amp; Hero Data'!$C113,""))</f>
        <v>#REF!</v>
      </c>
      <c r="G113" t="e">
        <f>IF(VLOOKUP(G$105,#REF!,2,FALSE)&gt;($B113-1),"",IF(VLOOKUP(G$105,#REF!,3,FALSE)&gt;($B113-1),'Chief &amp; Hero Data'!$C113,""))</f>
        <v>#REF!</v>
      </c>
      <c r="H113" t="e">
        <f>IF(VLOOKUP(H$105,#REF!,2,FALSE)&gt;($B113-1),"",IF(VLOOKUP(H$105,#REF!,3,FALSE)&gt;($B113-1),'Chief &amp; Hero Data'!$C113,""))</f>
        <v>#REF!</v>
      </c>
      <c r="I113" t="e">
        <f>IF(VLOOKUP(I$105,#REF!,2,FALSE)&gt;($B113-1),"",IF(VLOOKUP(I$105,#REF!,3,FALSE)&gt;($B113-1),'Chief &amp; Hero Data'!$C113,""))</f>
        <v>#REF!</v>
      </c>
      <c r="J113" t="e">
        <f>IF(VLOOKUP(J$105,#REF!,2,FALSE)&gt;($B113-1),"",IF(VLOOKUP(J$105,#REF!,3,FALSE)&gt;($B113-1),'Chief &amp; Hero Data'!$C113,""))</f>
        <v>#REF!</v>
      </c>
      <c r="K113" t="e">
        <f>IF(VLOOKUP(K$105,#REF!,2,FALSE)&gt;($B113-1),"",IF(VLOOKUP(K$105,#REF!,3,FALSE)&gt;($B113-1),'Chief &amp; Hero Data'!$C113,""))</f>
        <v>#REF!</v>
      </c>
      <c r="L113" t="e">
        <f>IF(VLOOKUP(L$105,#REF!,2,FALSE)&gt;($B113-1),"",IF(VLOOKUP(L$105,#REF!,3,FALSE)&gt;($B113-1),'Chief &amp; Hero Data'!$C113,""))</f>
        <v>#REF!</v>
      </c>
      <c r="M113" t="e">
        <f>IF(VLOOKUP(M$105,#REF!,2,FALSE)&gt;($B113-1),"",IF(VLOOKUP(M$105,#REF!,3,FALSE)&gt;($B113-1),'Chief &amp; Hero Data'!$C113,""))</f>
        <v>#REF!</v>
      </c>
      <c r="N113" t="e">
        <f>IF(VLOOKUP(N$105,#REF!,2,FALSE)&gt;($B113-1),"",IF(VLOOKUP(N$105,#REF!,3,FALSE)&gt;($B113-1),'Chief &amp; Hero Data'!$C113,""))</f>
        <v>#REF!</v>
      </c>
      <c r="O113" t="e">
        <f>IF(VLOOKUP(O$105,#REF!,2,FALSE)&gt;($B113-1),"",IF(VLOOKUP(O$105,#REF!,3,FALSE)&gt;($B113-1),'Chief &amp; Hero Data'!$C113,""))</f>
        <v>#REF!</v>
      </c>
      <c r="P113" t="e">
        <f>IF(VLOOKUP(P$105,#REF!,2,FALSE)&gt;($B113-1),"",IF(VLOOKUP(P$105,#REF!,3,FALSE)&gt;($B113-1),'Chief &amp; Hero Data'!$C113,""))</f>
        <v>#REF!</v>
      </c>
    </row>
    <row r="114" spans="2:29" x14ac:dyDescent="0.3">
      <c r="B114">
        <v>9</v>
      </c>
      <c r="C114">
        <v>90</v>
      </c>
      <c r="E114" t="e">
        <f>IF(VLOOKUP(E$105,#REF!,2,FALSE)&gt;($B114-1),"",IF(VLOOKUP(E$105,#REF!,3,FALSE)&gt;($B114-1),'Chief &amp; Hero Data'!$C114,""))</f>
        <v>#REF!</v>
      </c>
      <c r="F114" t="e">
        <f>IF(VLOOKUP(F$105,#REF!,2,FALSE)&gt;($B114-1),"",IF(VLOOKUP(F$105,#REF!,3,FALSE)&gt;($B114-1),'Chief &amp; Hero Data'!$C114,""))</f>
        <v>#REF!</v>
      </c>
      <c r="G114" t="e">
        <f>IF(VLOOKUP(G$105,#REF!,2,FALSE)&gt;($B114-1),"",IF(VLOOKUP(G$105,#REF!,3,FALSE)&gt;($B114-1),'Chief &amp; Hero Data'!$C114,""))</f>
        <v>#REF!</v>
      </c>
      <c r="H114" t="e">
        <f>IF(VLOOKUP(H$105,#REF!,2,FALSE)&gt;($B114-1),"",IF(VLOOKUP(H$105,#REF!,3,FALSE)&gt;($B114-1),'Chief &amp; Hero Data'!$C114,""))</f>
        <v>#REF!</v>
      </c>
      <c r="I114" t="e">
        <f>IF(VLOOKUP(I$105,#REF!,2,FALSE)&gt;($B114-1),"",IF(VLOOKUP(I$105,#REF!,3,FALSE)&gt;($B114-1),'Chief &amp; Hero Data'!$C114,""))</f>
        <v>#REF!</v>
      </c>
      <c r="J114" t="e">
        <f>IF(VLOOKUP(J$105,#REF!,2,FALSE)&gt;($B114-1),"",IF(VLOOKUP(J$105,#REF!,3,FALSE)&gt;($B114-1),'Chief &amp; Hero Data'!$C114,""))</f>
        <v>#REF!</v>
      </c>
      <c r="K114" t="e">
        <f>IF(VLOOKUP(K$105,#REF!,2,FALSE)&gt;($B114-1),"",IF(VLOOKUP(K$105,#REF!,3,FALSE)&gt;($B114-1),'Chief &amp; Hero Data'!$C114,""))</f>
        <v>#REF!</v>
      </c>
      <c r="L114" t="e">
        <f>IF(VLOOKUP(L$105,#REF!,2,FALSE)&gt;($B114-1),"",IF(VLOOKUP(L$105,#REF!,3,FALSE)&gt;($B114-1),'Chief &amp; Hero Data'!$C114,""))</f>
        <v>#REF!</v>
      </c>
      <c r="M114" t="e">
        <f>IF(VLOOKUP(M$105,#REF!,2,FALSE)&gt;($B114-1),"",IF(VLOOKUP(M$105,#REF!,3,FALSE)&gt;($B114-1),'Chief &amp; Hero Data'!$C114,""))</f>
        <v>#REF!</v>
      </c>
      <c r="N114" t="e">
        <f>IF(VLOOKUP(N$105,#REF!,2,FALSE)&gt;($B114-1),"",IF(VLOOKUP(N$105,#REF!,3,FALSE)&gt;($B114-1),'Chief &amp; Hero Data'!$C114,""))</f>
        <v>#REF!</v>
      </c>
      <c r="O114" t="e">
        <f>IF(VLOOKUP(O$105,#REF!,2,FALSE)&gt;($B114-1),"",IF(VLOOKUP(O$105,#REF!,3,FALSE)&gt;($B114-1),'Chief &amp; Hero Data'!$C114,""))</f>
        <v>#REF!</v>
      </c>
      <c r="P114" t="e">
        <f>IF(VLOOKUP(P$105,#REF!,2,FALSE)&gt;($B114-1),"",IF(VLOOKUP(P$105,#REF!,3,FALSE)&gt;($B114-1),'Chief &amp; Hero Data'!$C114,""))</f>
        <v>#REF!</v>
      </c>
    </row>
    <row r="115" spans="2:29" x14ac:dyDescent="0.3">
      <c r="B115">
        <v>10</v>
      </c>
      <c r="C115">
        <v>100</v>
      </c>
      <c r="E115" t="e">
        <f>IF(VLOOKUP(E$105,#REF!,2,FALSE)&gt;($B115-1),"",IF(VLOOKUP(E$105,#REF!,3,FALSE)&gt;($B115-1),'Chief &amp; Hero Data'!$C115,""))</f>
        <v>#REF!</v>
      </c>
      <c r="F115" t="e">
        <f>IF(VLOOKUP(F$105,#REF!,2,FALSE)&gt;($B115-1),"",IF(VLOOKUP(F$105,#REF!,3,FALSE)&gt;($B115-1),'Chief &amp; Hero Data'!$C115,""))</f>
        <v>#REF!</v>
      </c>
      <c r="G115" t="e">
        <f>IF(VLOOKUP(G$105,#REF!,2,FALSE)&gt;($B115-1),"",IF(VLOOKUP(G$105,#REF!,3,FALSE)&gt;($B115-1),'Chief &amp; Hero Data'!$C115,""))</f>
        <v>#REF!</v>
      </c>
      <c r="H115" t="e">
        <f>IF(VLOOKUP(H$105,#REF!,2,FALSE)&gt;($B115-1),"",IF(VLOOKUP(H$105,#REF!,3,FALSE)&gt;($B115-1),'Chief &amp; Hero Data'!$C115,""))</f>
        <v>#REF!</v>
      </c>
      <c r="I115" t="e">
        <f>IF(VLOOKUP(I$105,#REF!,2,FALSE)&gt;($B115-1),"",IF(VLOOKUP(I$105,#REF!,3,FALSE)&gt;($B115-1),'Chief &amp; Hero Data'!$C115,""))</f>
        <v>#REF!</v>
      </c>
      <c r="J115" t="e">
        <f>IF(VLOOKUP(J$105,#REF!,2,FALSE)&gt;($B115-1),"",IF(VLOOKUP(J$105,#REF!,3,FALSE)&gt;($B115-1),'Chief &amp; Hero Data'!$C115,""))</f>
        <v>#REF!</v>
      </c>
      <c r="K115" t="e">
        <f>IF(VLOOKUP(K$105,#REF!,2,FALSE)&gt;($B115-1),"",IF(VLOOKUP(K$105,#REF!,3,FALSE)&gt;($B115-1),'Chief &amp; Hero Data'!$C115,""))</f>
        <v>#REF!</v>
      </c>
      <c r="L115" t="e">
        <f>IF(VLOOKUP(L$105,#REF!,2,FALSE)&gt;($B115-1),"",IF(VLOOKUP(L$105,#REF!,3,FALSE)&gt;($B115-1),'Chief &amp; Hero Data'!$C115,""))</f>
        <v>#REF!</v>
      </c>
      <c r="M115" t="e">
        <f>IF(VLOOKUP(M$105,#REF!,2,FALSE)&gt;($B115-1),"",IF(VLOOKUP(M$105,#REF!,3,FALSE)&gt;($B115-1),'Chief &amp; Hero Data'!$C115,""))</f>
        <v>#REF!</v>
      </c>
      <c r="N115" t="e">
        <f>IF(VLOOKUP(N$105,#REF!,2,FALSE)&gt;($B115-1),"",IF(VLOOKUP(N$105,#REF!,3,FALSE)&gt;($B115-1),'Chief &amp; Hero Data'!$C115,""))</f>
        <v>#REF!</v>
      </c>
      <c r="O115" t="e">
        <f>IF(VLOOKUP(O$105,#REF!,2,FALSE)&gt;($B115-1),"",IF(VLOOKUP(O$105,#REF!,3,FALSE)&gt;($B115-1),'Chief &amp; Hero Data'!$C115,""))</f>
        <v>#REF!</v>
      </c>
      <c r="P115" t="e">
        <f>IF(VLOOKUP(P$105,#REF!,2,FALSE)&gt;($B115-1),"",IF(VLOOKUP(P$105,#REF!,3,FALSE)&gt;($B115-1),'Chief &amp; Hero Data'!$C115,""))</f>
        <v>#REF!</v>
      </c>
    </row>
    <row r="116" spans="2:29" x14ac:dyDescent="0.3">
      <c r="B116">
        <v>11</v>
      </c>
      <c r="C116">
        <v>110</v>
      </c>
      <c r="D116">
        <v>1</v>
      </c>
      <c r="E116" t="e">
        <f>IF(VLOOKUP(E$105,#REF!,2,FALSE)&gt;($B116-1),"",IF(VLOOKUP(E$105,#REF!,3,FALSE)&gt;($B116-1),'Chief &amp; Hero Data'!$C116,""))</f>
        <v>#REF!</v>
      </c>
      <c r="F116" t="e">
        <f>IF(VLOOKUP(F$105,#REF!,2,FALSE)&gt;($B116-1),"",IF(VLOOKUP(F$105,#REF!,3,FALSE)&gt;($B116-1),'Chief &amp; Hero Data'!$C116,""))</f>
        <v>#REF!</v>
      </c>
      <c r="G116" t="e">
        <f>IF(VLOOKUP(G$105,#REF!,2,FALSE)&gt;($B116-1),"",IF(VLOOKUP(G$105,#REF!,3,FALSE)&gt;($B116-1),'Chief &amp; Hero Data'!$C116,""))</f>
        <v>#REF!</v>
      </c>
      <c r="H116" t="e">
        <f>IF(VLOOKUP(H$105,#REF!,2,FALSE)&gt;($B116-1),"",IF(VLOOKUP(H$105,#REF!,3,FALSE)&gt;($B116-1),'Chief &amp; Hero Data'!$C116,""))</f>
        <v>#REF!</v>
      </c>
      <c r="I116" t="e">
        <f>IF(VLOOKUP(I$105,#REF!,2,FALSE)&gt;($B116-1),"",IF(VLOOKUP(I$105,#REF!,3,FALSE)&gt;($B116-1),'Chief &amp; Hero Data'!$C116,""))</f>
        <v>#REF!</v>
      </c>
      <c r="J116" t="e">
        <f>IF(VLOOKUP(J$105,#REF!,2,FALSE)&gt;($B116-1),"",IF(VLOOKUP(J$105,#REF!,3,FALSE)&gt;($B116-1),'Chief &amp; Hero Data'!$C116,""))</f>
        <v>#REF!</v>
      </c>
      <c r="K116" t="e">
        <f>IF(VLOOKUP(K$105,#REF!,2,FALSE)&gt;($B116-1),"",IF(VLOOKUP(K$105,#REF!,3,FALSE)&gt;($B116-1),'Chief &amp; Hero Data'!$C116,""))</f>
        <v>#REF!</v>
      </c>
      <c r="L116" t="e">
        <f>IF(VLOOKUP(L$105,#REF!,2,FALSE)&gt;($B116-1),"",IF(VLOOKUP(L$105,#REF!,3,FALSE)&gt;($B116-1),'Chief &amp; Hero Data'!$C116,""))</f>
        <v>#REF!</v>
      </c>
      <c r="M116" t="e">
        <f>IF(VLOOKUP(M$105,#REF!,2,FALSE)&gt;($B116-1),"",IF(VLOOKUP(M$105,#REF!,3,FALSE)&gt;($B116-1),'Chief &amp; Hero Data'!$C116,""))</f>
        <v>#REF!</v>
      </c>
      <c r="N116" t="e">
        <f>IF(VLOOKUP(N$105,#REF!,2,FALSE)&gt;($B116-1),"",IF(VLOOKUP(N$105,#REF!,3,FALSE)&gt;($B116-1),'Chief &amp; Hero Data'!$C116,""))</f>
        <v>#REF!</v>
      </c>
      <c r="O116" t="e">
        <f>IF(VLOOKUP(O$105,#REF!,2,FALSE)&gt;($B116-1),"",IF(VLOOKUP(O$105,#REF!,3,FALSE)&gt;($B116-1),'Chief &amp; Hero Data'!$C116,""))</f>
        <v>#REF!</v>
      </c>
      <c r="P116" t="e">
        <f>IF(VLOOKUP(P$105,#REF!,2,FALSE)&gt;($B116-1),"",IF(VLOOKUP(P$105,#REF!,3,FALSE)&gt;($B116-1),'Chief &amp; Hero Data'!$C116,""))</f>
        <v>#REF!</v>
      </c>
      <c r="R116" t="e">
        <f>IF(VLOOKUP(R$105,#REF!,2,FALSE)&gt;($B116-1),"",IF(VLOOKUP(R$105,#REF!,3,FALSE)&gt;($B116-1),'Chief &amp; Hero Data'!$D116,""))</f>
        <v>#REF!</v>
      </c>
      <c r="S116" t="e">
        <f>IF(VLOOKUP(S$105,#REF!,2,FALSE)&gt;($B116-1),"",IF(VLOOKUP(S$105,#REF!,3,FALSE)&gt;($B116-1),'Chief &amp; Hero Data'!$D116,""))</f>
        <v>#REF!</v>
      </c>
      <c r="T116" t="e">
        <f>IF(VLOOKUP(T$105,#REF!,2,FALSE)&gt;($B116-1),"",IF(VLOOKUP(T$105,#REF!,3,FALSE)&gt;($B116-1),'Chief &amp; Hero Data'!$D116,""))</f>
        <v>#REF!</v>
      </c>
      <c r="U116" t="e">
        <f>IF(VLOOKUP(U$105,#REF!,2,FALSE)&gt;($B116-1),"",IF(VLOOKUP(U$105,#REF!,3,FALSE)&gt;($B116-1),'Chief &amp; Hero Data'!$D116,""))</f>
        <v>#REF!</v>
      </c>
      <c r="V116" t="e">
        <f>IF(VLOOKUP(V$105,#REF!,2,FALSE)&gt;($B116-1),"",IF(VLOOKUP(V$105,#REF!,3,FALSE)&gt;($B116-1),'Chief &amp; Hero Data'!$D116,""))</f>
        <v>#REF!</v>
      </c>
      <c r="W116" t="e">
        <f>IF(VLOOKUP(W$105,#REF!,2,FALSE)&gt;($B116-1),"",IF(VLOOKUP(W$105,#REF!,3,FALSE)&gt;($B116-1),'Chief &amp; Hero Data'!$D116,""))</f>
        <v>#REF!</v>
      </c>
      <c r="X116" t="e">
        <f>IF(VLOOKUP(X$105,#REF!,2,FALSE)&gt;($B116-1),"",IF(VLOOKUP(X$105,#REF!,3,FALSE)&gt;($B116-1),'Chief &amp; Hero Data'!$D116,""))</f>
        <v>#REF!</v>
      </c>
      <c r="Y116" t="e">
        <f>IF(VLOOKUP(Y$105,#REF!,2,FALSE)&gt;($B116-1),"",IF(VLOOKUP(Y$105,#REF!,3,FALSE)&gt;($B116-1),'Chief &amp; Hero Data'!$D116,""))</f>
        <v>#REF!</v>
      </c>
      <c r="Z116" t="e">
        <f>IF(VLOOKUP(Z$105,#REF!,2,FALSE)&gt;($B116-1),"",IF(VLOOKUP(Z$105,#REF!,3,FALSE)&gt;($B116-1),'Chief &amp; Hero Data'!$D116,""))</f>
        <v>#REF!</v>
      </c>
      <c r="AA116" t="e">
        <f>IF(VLOOKUP(AA$105,#REF!,2,FALSE)&gt;($B116-1),"",IF(VLOOKUP(AA$105,#REF!,3,FALSE)&gt;($B116-1),'Chief &amp; Hero Data'!$D116,""))</f>
        <v>#REF!</v>
      </c>
      <c r="AB116" t="e">
        <f>IF(VLOOKUP(AB$105,#REF!,2,FALSE)&gt;($B116-1),"",IF(VLOOKUP(AB$105,#REF!,3,FALSE)&gt;($B116-1),'Chief &amp; Hero Data'!$D116,""))</f>
        <v>#REF!</v>
      </c>
      <c r="AC116" t="e">
        <f>IF(VLOOKUP(AC$105,#REF!,2,FALSE)&gt;($B116-1),"",IF(VLOOKUP(AC$105,#REF!,3,FALSE)&gt;($B116-1),'Chief &amp; Hero Data'!$D116,""))</f>
        <v>#REF!</v>
      </c>
    </row>
    <row r="117" spans="2:29" x14ac:dyDescent="0.3">
      <c r="B117">
        <v>12</v>
      </c>
      <c r="C117">
        <v>120</v>
      </c>
      <c r="D117">
        <v>2</v>
      </c>
      <c r="E117" t="e">
        <f>IF(VLOOKUP(E$105,#REF!,2,FALSE)&gt;($B117-1),"",IF(VLOOKUP(E$105,#REF!,3,FALSE)&gt;($B117-1),'Chief &amp; Hero Data'!$C117,""))</f>
        <v>#REF!</v>
      </c>
      <c r="F117" t="e">
        <f>IF(VLOOKUP(F$105,#REF!,2,FALSE)&gt;($B117-1),"",IF(VLOOKUP(F$105,#REF!,3,FALSE)&gt;($B117-1),'Chief &amp; Hero Data'!$C117,""))</f>
        <v>#REF!</v>
      </c>
      <c r="G117" t="e">
        <f>IF(VLOOKUP(G$105,#REF!,2,FALSE)&gt;($B117-1),"",IF(VLOOKUP(G$105,#REF!,3,FALSE)&gt;($B117-1),'Chief &amp; Hero Data'!$C117,""))</f>
        <v>#REF!</v>
      </c>
      <c r="H117" t="e">
        <f>IF(VLOOKUP(H$105,#REF!,2,FALSE)&gt;($B117-1),"",IF(VLOOKUP(H$105,#REF!,3,FALSE)&gt;($B117-1),'Chief &amp; Hero Data'!$C117,""))</f>
        <v>#REF!</v>
      </c>
      <c r="I117" t="e">
        <f>IF(VLOOKUP(I$105,#REF!,2,FALSE)&gt;($B117-1),"",IF(VLOOKUP(I$105,#REF!,3,FALSE)&gt;($B117-1),'Chief &amp; Hero Data'!$C117,""))</f>
        <v>#REF!</v>
      </c>
      <c r="J117" t="e">
        <f>IF(VLOOKUP(J$105,#REF!,2,FALSE)&gt;($B117-1),"",IF(VLOOKUP(J$105,#REF!,3,FALSE)&gt;($B117-1),'Chief &amp; Hero Data'!$C117,""))</f>
        <v>#REF!</v>
      </c>
      <c r="K117" t="e">
        <f>IF(VLOOKUP(K$105,#REF!,2,FALSE)&gt;($B117-1),"",IF(VLOOKUP(K$105,#REF!,3,FALSE)&gt;($B117-1),'Chief &amp; Hero Data'!$C117,""))</f>
        <v>#REF!</v>
      </c>
      <c r="L117" t="e">
        <f>IF(VLOOKUP(L$105,#REF!,2,FALSE)&gt;($B117-1),"",IF(VLOOKUP(L$105,#REF!,3,FALSE)&gt;($B117-1),'Chief &amp; Hero Data'!$C117,""))</f>
        <v>#REF!</v>
      </c>
      <c r="M117" t="e">
        <f>IF(VLOOKUP(M$105,#REF!,2,FALSE)&gt;($B117-1),"",IF(VLOOKUP(M$105,#REF!,3,FALSE)&gt;($B117-1),'Chief &amp; Hero Data'!$C117,""))</f>
        <v>#REF!</v>
      </c>
      <c r="N117" t="e">
        <f>IF(VLOOKUP(N$105,#REF!,2,FALSE)&gt;($B117-1),"",IF(VLOOKUP(N$105,#REF!,3,FALSE)&gt;($B117-1),'Chief &amp; Hero Data'!$C117,""))</f>
        <v>#REF!</v>
      </c>
      <c r="O117" t="e">
        <f>IF(VLOOKUP(O$105,#REF!,2,FALSE)&gt;($B117-1),"",IF(VLOOKUP(O$105,#REF!,3,FALSE)&gt;($B117-1),'Chief &amp; Hero Data'!$C117,""))</f>
        <v>#REF!</v>
      </c>
      <c r="P117" t="e">
        <f>IF(VLOOKUP(P$105,#REF!,2,FALSE)&gt;($B117-1),"",IF(VLOOKUP(P$105,#REF!,3,FALSE)&gt;($B117-1),'Chief &amp; Hero Data'!$C117,""))</f>
        <v>#REF!</v>
      </c>
      <c r="R117" t="e">
        <f>IF(VLOOKUP(R$105,#REF!,2,FALSE)&gt;($B117-1),"",IF(VLOOKUP(R$105,#REF!,3,FALSE)&gt;($B117-1),'Chief &amp; Hero Data'!$D117,""))</f>
        <v>#REF!</v>
      </c>
      <c r="S117" t="e">
        <f>IF(VLOOKUP(S$105,#REF!,2,FALSE)&gt;($B117-1),"",IF(VLOOKUP(S$105,#REF!,3,FALSE)&gt;($B117-1),'Chief &amp; Hero Data'!$D117,""))</f>
        <v>#REF!</v>
      </c>
      <c r="T117" t="e">
        <f>IF(VLOOKUP(T$105,#REF!,2,FALSE)&gt;($B117-1),"",IF(VLOOKUP(T$105,#REF!,3,FALSE)&gt;($B117-1),'Chief &amp; Hero Data'!$D117,""))</f>
        <v>#REF!</v>
      </c>
      <c r="U117" t="e">
        <f>IF(VLOOKUP(U$105,#REF!,2,FALSE)&gt;($B117-1),"",IF(VLOOKUP(U$105,#REF!,3,FALSE)&gt;($B117-1),'Chief &amp; Hero Data'!$D117,""))</f>
        <v>#REF!</v>
      </c>
      <c r="V117" t="e">
        <f>IF(VLOOKUP(V$105,#REF!,2,FALSE)&gt;($B117-1),"",IF(VLOOKUP(V$105,#REF!,3,FALSE)&gt;($B117-1),'Chief &amp; Hero Data'!$D117,""))</f>
        <v>#REF!</v>
      </c>
      <c r="W117" t="e">
        <f>IF(VLOOKUP(W$105,#REF!,2,FALSE)&gt;($B117-1),"",IF(VLOOKUP(W$105,#REF!,3,FALSE)&gt;($B117-1),'Chief &amp; Hero Data'!$D117,""))</f>
        <v>#REF!</v>
      </c>
      <c r="X117" t="e">
        <f>IF(VLOOKUP(X$105,#REF!,2,FALSE)&gt;($B117-1),"",IF(VLOOKUP(X$105,#REF!,3,FALSE)&gt;($B117-1),'Chief &amp; Hero Data'!$D117,""))</f>
        <v>#REF!</v>
      </c>
      <c r="Y117" t="e">
        <f>IF(VLOOKUP(Y$105,#REF!,2,FALSE)&gt;($B117-1),"",IF(VLOOKUP(Y$105,#REF!,3,FALSE)&gt;($B117-1),'Chief &amp; Hero Data'!$D117,""))</f>
        <v>#REF!</v>
      </c>
      <c r="Z117" t="e">
        <f>IF(VLOOKUP(Z$105,#REF!,2,FALSE)&gt;($B117-1),"",IF(VLOOKUP(Z$105,#REF!,3,FALSE)&gt;($B117-1),'Chief &amp; Hero Data'!$D117,""))</f>
        <v>#REF!</v>
      </c>
      <c r="AA117" t="e">
        <f>IF(VLOOKUP(AA$105,#REF!,2,FALSE)&gt;($B117-1),"",IF(VLOOKUP(AA$105,#REF!,3,FALSE)&gt;($B117-1),'Chief &amp; Hero Data'!$D117,""))</f>
        <v>#REF!</v>
      </c>
      <c r="AB117" t="e">
        <f>IF(VLOOKUP(AB$105,#REF!,2,FALSE)&gt;($B117-1),"",IF(VLOOKUP(AB$105,#REF!,3,FALSE)&gt;($B117-1),'Chief &amp; Hero Data'!$D117,""))</f>
        <v>#REF!</v>
      </c>
      <c r="AC117" t="e">
        <f>IF(VLOOKUP(AC$105,#REF!,2,FALSE)&gt;($B117-1),"",IF(VLOOKUP(AC$105,#REF!,3,FALSE)&gt;($B117-1),'Chief &amp; Hero Data'!$D117,""))</f>
        <v>#REF!</v>
      </c>
    </row>
    <row r="118" spans="2:29" x14ac:dyDescent="0.3">
      <c r="B118">
        <v>13</v>
      </c>
      <c r="C118">
        <v>130</v>
      </c>
      <c r="D118">
        <v>3</v>
      </c>
      <c r="E118" t="e">
        <f>IF(VLOOKUP(E$105,#REF!,2,FALSE)&gt;($B118-1),"",IF(VLOOKUP(E$105,#REF!,3,FALSE)&gt;($B118-1),'Chief &amp; Hero Data'!$C118,""))</f>
        <v>#REF!</v>
      </c>
      <c r="F118" t="e">
        <f>IF(VLOOKUP(F$105,#REF!,2,FALSE)&gt;($B118-1),"",IF(VLOOKUP(F$105,#REF!,3,FALSE)&gt;($B118-1),'Chief &amp; Hero Data'!$C118,""))</f>
        <v>#REF!</v>
      </c>
      <c r="G118" t="e">
        <f>IF(VLOOKUP(G$105,#REF!,2,FALSE)&gt;($B118-1),"",IF(VLOOKUP(G$105,#REF!,3,FALSE)&gt;($B118-1),'Chief &amp; Hero Data'!$C118,""))</f>
        <v>#REF!</v>
      </c>
      <c r="H118" t="e">
        <f>IF(VLOOKUP(H$105,#REF!,2,FALSE)&gt;($B118-1),"",IF(VLOOKUP(H$105,#REF!,3,FALSE)&gt;($B118-1),'Chief &amp; Hero Data'!$C118,""))</f>
        <v>#REF!</v>
      </c>
      <c r="I118" t="e">
        <f>IF(VLOOKUP(I$105,#REF!,2,FALSE)&gt;($B118-1),"",IF(VLOOKUP(I$105,#REF!,3,FALSE)&gt;($B118-1),'Chief &amp; Hero Data'!$C118,""))</f>
        <v>#REF!</v>
      </c>
      <c r="J118" t="e">
        <f>IF(VLOOKUP(J$105,#REF!,2,FALSE)&gt;($B118-1),"",IF(VLOOKUP(J$105,#REF!,3,FALSE)&gt;($B118-1),'Chief &amp; Hero Data'!$C118,""))</f>
        <v>#REF!</v>
      </c>
      <c r="K118" t="e">
        <f>IF(VLOOKUP(K$105,#REF!,2,FALSE)&gt;($B118-1),"",IF(VLOOKUP(K$105,#REF!,3,FALSE)&gt;($B118-1),'Chief &amp; Hero Data'!$C118,""))</f>
        <v>#REF!</v>
      </c>
      <c r="L118" t="e">
        <f>IF(VLOOKUP(L$105,#REF!,2,FALSE)&gt;($B118-1),"",IF(VLOOKUP(L$105,#REF!,3,FALSE)&gt;($B118-1),'Chief &amp; Hero Data'!$C118,""))</f>
        <v>#REF!</v>
      </c>
      <c r="M118" t="e">
        <f>IF(VLOOKUP(M$105,#REF!,2,FALSE)&gt;($B118-1),"",IF(VLOOKUP(M$105,#REF!,3,FALSE)&gt;($B118-1),'Chief &amp; Hero Data'!$C118,""))</f>
        <v>#REF!</v>
      </c>
      <c r="N118" t="e">
        <f>IF(VLOOKUP(N$105,#REF!,2,FALSE)&gt;($B118-1),"",IF(VLOOKUP(N$105,#REF!,3,FALSE)&gt;($B118-1),'Chief &amp; Hero Data'!$C118,""))</f>
        <v>#REF!</v>
      </c>
      <c r="O118" t="e">
        <f>IF(VLOOKUP(O$105,#REF!,2,FALSE)&gt;($B118-1),"",IF(VLOOKUP(O$105,#REF!,3,FALSE)&gt;($B118-1),'Chief &amp; Hero Data'!$C118,""))</f>
        <v>#REF!</v>
      </c>
      <c r="P118" t="e">
        <f>IF(VLOOKUP(P$105,#REF!,2,FALSE)&gt;($B118-1),"",IF(VLOOKUP(P$105,#REF!,3,FALSE)&gt;($B118-1),'Chief &amp; Hero Data'!$C118,""))</f>
        <v>#REF!</v>
      </c>
      <c r="R118" t="e">
        <f>IF(VLOOKUP(R$105,#REF!,2,FALSE)&gt;($B118-1),"",IF(VLOOKUP(R$105,#REF!,3,FALSE)&gt;($B118-1),'Chief &amp; Hero Data'!$D118,""))</f>
        <v>#REF!</v>
      </c>
      <c r="S118" t="e">
        <f>IF(VLOOKUP(S$105,#REF!,2,FALSE)&gt;($B118-1),"",IF(VLOOKUP(S$105,#REF!,3,FALSE)&gt;($B118-1),'Chief &amp; Hero Data'!$D118,""))</f>
        <v>#REF!</v>
      </c>
      <c r="T118" t="e">
        <f>IF(VLOOKUP(T$105,#REF!,2,FALSE)&gt;($B118-1),"",IF(VLOOKUP(T$105,#REF!,3,FALSE)&gt;($B118-1),'Chief &amp; Hero Data'!$D118,""))</f>
        <v>#REF!</v>
      </c>
      <c r="U118" t="e">
        <f>IF(VLOOKUP(U$105,#REF!,2,FALSE)&gt;($B118-1),"",IF(VLOOKUP(U$105,#REF!,3,FALSE)&gt;($B118-1),'Chief &amp; Hero Data'!$D118,""))</f>
        <v>#REF!</v>
      </c>
      <c r="V118" t="e">
        <f>IF(VLOOKUP(V$105,#REF!,2,FALSE)&gt;($B118-1),"",IF(VLOOKUP(V$105,#REF!,3,FALSE)&gt;($B118-1),'Chief &amp; Hero Data'!$D118,""))</f>
        <v>#REF!</v>
      </c>
      <c r="W118" t="e">
        <f>IF(VLOOKUP(W$105,#REF!,2,FALSE)&gt;($B118-1),"",IF(VLOOKUP(W$105,#REF!,3,FALSE)&gt;($B118-1),'Chief &amp; Hero Data'!$D118,""))</f>
        <v>#REF!</v>
      </c>
      <c r="X118" t="e">
        <f>IF(VLOOKUP(X$105,#REF!,2,FALSE)&gt;($B118-1),"",IF(VLOOKUP(X$105,#REF!,3,FALSE)&gt;($B118-1),'Chief &amp; Hero Data'!$D118,""))</f>
        <v>#REF!</v>
      </c>
      <c r="Y118" t="e">
        <f>IF(VLOOKUP(Y$105,#REF!,2,FALSE)&gt;($B118-1),"",IF(VLOOKUP(Y$105,#REF!,3,FALSE)&gt;($B118-1),'Chief &amp; Hero Data'!$D118,""))</f>
        <v>#REF!</v>
      </c>
      <c r="Z118" t="e">
        <f>IF(VLOOKUP(Z$105,#REF!,2,FALSE)&gt;($B118-1),"",IF(VLOOKUP(Z$105,#REF!,3,FALSE)&gt;($B118-1),'Chief &amp; Hero Data'!$D118,""))</f>
        <v>#REF!</v>
      </c>
      <c r="AA118" t="e">
        <f>IF(VLOOKUP(AA$105,#REF!,2,FALSE)&gt;($B118-1),"",IF(VLOOKUP(AA$105,#REF!,3,FALSE)&gt;($B118-1),'Chief &amp; Hero Data'!$D118,""))</f>
        <v>#REF!</v>
      </c>
      <c r="AB118" t="e">
        <f>IF(VLOOKUP(AB$105,#REF!,2,FALSE)&gt;($B118-1),"",IF(VLOOKUP(AB$105,#REF!,3,FALSE)&gt;($B118-1),'Chief &amp; Hero Data'!$D118,""))</f>
        <v>#REF!</v>
      </c>
      <c r="AC118" t="e">
        <f>IF(VLOOKUP(AC$105,#REF!,2,FALSE)&gt;($B118-1),"",IF(VLOOKUP(AC$105,#REF!,3,FALSE)&gt;($B118-1),'Chief &amp; Hero Data'!$D118,""))</f>
        <v>#REF!</v>
      </c>
    </row>
    <row r="119" spans="2:29" x14ac:dyDescent="0.3">
      <c r="B119">
        <v>14</v>
      </c>
      <c r="C119">
        <v>140</v>
      </c>
      <c r="D119">
        <v>4</v>
      </c>
      <c r="E119" t="e">
        <f>IF(VLOOKUP(E$105,#REF!,2,FALSE)&gt;($B119-1),"",IF(VLOOKUP(E$105,#REF!,3,FALSE)&gt;($B119-1),'Chief &amp; Hero Data'!$C119,""))</f>
        <v>#REF!</v>
      </c>
      <c r="F119" t="e">
        <f>IF(VLOOKUP(F$105,#REF!,2,FALSE)&gt;($B119-1),"",IF(VLOOKUP(F$105,#REF!,3,FALSE)&gt;($B119-1),'Chief &amp; Hero Data'!$C119,""))</f>
        <v>#REF!</v>
      </c>
      <c r="G119" t="e">
        <f>IF(VLOOKUP(G$105,#REF!,2,FALSE)&gt;($B119-1),"",IF(VLOOKUP(G$105,#REF!,3,FALSE)&gt;($B119-1),'Chief &amp; Hero Data'!$C119,""))</f>
        <v>#REF!</v>
      </c>
      <c r="H119" t="e">
        <f>IF(VLOOKUP(H$105,#REF!,2,FALSE)&gt;($B119-1),"",IF(VLOOKUP(H$105,#REF!,3,FALSE)&gt;($B119-1),'Chief &amp; Hero Data'!$C119,""))</f>
        <v>#REF!</v>
      </c>
      <c r="I119" t="e">
        <f>IF(VLOOKUP(I$105,#REF!,2,FALSE)&gt;($B119-1),"",IF(VLOOKUP(I$105,#REF!,3,FALSE)&gt;($B119-1),'Chief &amp; Hero Data'!$C119,""))</f>
        <v>#REF!</v>
      </c>
      <c r="J119" t="e">
        <f>IF(VLOOKUP(J$105,#REF!,2,FALSE)&gt;($B119-1),"",IF(VLOOKUP(J$105,#REF!,3,FALSE)&gt;($B119-1),'Chief &amp; Hero Data'!$C119,""))</f>
        <v>#REF!</v>
      </c>
      <c r="K119" t="e">
        <f>IF(VLOOKUP(K$105,#REF!,2,FALSE)&gt;($B119-1),"",IF(VLOOKUP(K$105,#REF!,3,FALSE)&gt;($B119-1),'Chief &amp; Hero Data'!$C119,""))</f>
        <v>#REF!</v>
      </c>
      <c r="L119" t="e">
        <f>IF(VLOOKUP(L$105,#REF!,2,FALSE)&gt;($B119-1),"",IF(VLOOKUP(L$105,#REF!,3,FALSE)&gt;($B119-1),'Chief &amp; Hero Data'!$C119,""))</f>
        <v>#REF!</v>
      </c>
      <c r="M119" t="e">
        <f>IF(VLOOKUP(M$105,#REF!,2,FALSE)&gt;($B119-1),"",IF(VLOOKUP(M$105,#REF!,3,FALSE)&gt;($B119-1),'Chief &amp; Hero Data'!$C119,""))</f>
        <v>#REF!</v>
      </c>
      <c r="N119" t="e">
        <f>IF(VLOOKUP(N$105,#REF!,2,FALSE)&gt;($B119-1),"",IF(VLOOKUP(N$105,#REF!,3,FALSE)&gt;($B119-1),'Chief &amp; Hero Data'!$C119,""))</f>
        <v>#REF!</v>
      </c>
      <c r="O119" t="e">
        <f>IF(VLOOKUP(O$105,#REF!,2,FALSE)&gt;($B119-1),"",IF(VLOOKUP(O$105,#REF!,3,FALSE)&gt;($B119-1),'Chief &amp; Hero Data'!$C119,""))</f>
        <v>#REF!</v>
      </c>
      <c r="P119" t="e">
        <f>IF(VLOOKUP(P$105,#REF!,2,FALSE)&gt;($B119-1),"",IF(VLOOKUP(P$105,#REF!,3,FALSE)&gt;($B119-1),'Chief &amp; Hero Data'!$C119,""))</f>
        <v>#REF!</v>
      </c>
      <c r="R119" t="e">
        <f>IF(VLOOKUP(R$105,#REF!,2,FALSE)&gt;($B119-1),"",IF(VLOOKUP(R$105,#REF!,3,FALSE)&gt;($B119-1),'Chief &amp; Hero Data'!$D119,""))</f>
        <v>#REF!</v>
      </c>
      <c r="S119" t="e">
        <f>IF(VLOOKUP(S$105,#REF!,2,FALSE)&gt;($B119-1),"",IF(VLOOKUP(S$105,#REF!,3,FALSE)&gt;($B119-1),'Chief &amp; Hero Data'!$D119,""))</f>
        <v>#REF!</v>
      </c>
      <c r="T119" t="e">
        <f>IF(VLOOKUP(T$105,#REF!,2,FALSE)&gt;($B119-1),"",IF(VLOOKUP(T$105,#REF!,3,FALSE)&gt;($B119-1),'Chief &amp; Hero Data'!$D119,""))</f>
        <v>#REF!</v>
      </c>
      <c r="U119" t="e">
        <f>IF(VLOOKUP(U$105,#REF!,2,FALSE)&gt;($B119-1),"",IF(VLOOKUP(U$105,#REF!,3,FALSE)&gt;($B119-1),'Chief &amp; Hero Data'!$D119,""))</f>
        <v>#REF!</v>
      </c>
      <c r="V119" t="e">
        <f>IF(VLOOKUP(V$105,#REF!,2,FALSE)&gt;($B119-1),"",IF(VLOOKUP(V$105,#REF!,3,FALSE)&gt;($B119-1),'Chief &amp; Hero Data'!$D119,""))</f>
        <v>#REF!</v>
      </c>
      <c r="W119" t="e">
        <f>IF(VLOOKUP(W$105,#REF!,2,FALSE)&gt;($B119-1),"",IF(VLOOKUP(W$105,#REF!,3,FALSE)&gt;($B119-1),'Chief &amp; Hero Data'!$D119,""))</f>
        <v>#REF!</v>
      </c>
      <c r="X119" t="e">
        <f>IF(VLOOKUP(X$105,#REF!,2,FALSE)&gt;($B119-1),"",IF(VLOOKUP(X$105,#REF!,3,FALSE)&gt;($B119-1),'Chief &amp; Hero Data'!$D119,""))</f>
        <v>#REF!</v>
      </c>
      <c r="Y119" t="e">
        <f>IF(VLOOKUP(Y$105,#REF!,2,FALSE)&gt;($B119-1),"",IF(VLOOKUP(Y$105,#REF!,3,FALSE)&gt;($B119-1),'Chief &amp; Hero Data'!$D119,""))</f>
        <v>#REF!</v>
      </c>
      <c r="Z119" t="e">
        <f>IF(VLOOKUP(Z$105,#REF!,2,FALSE)&gt;($B119-1),"",IF(VLOOKUP(Z$105,#REF!,3,FALSE)&gt;($B119-1),'Chief &amp; Hero Data'!$D119,""))</f>
        <v>#REF!</v>
      </c>
      <c r="AA119" t="e">
        <f>IF(VLOOKUP(AA$105,#REF!,2,FALSE)&gt;($B119-1),"",IF(VLOOKUP(AA$105,#REF!,3,FALSE)&gt;($B119-1),'Chief &amp; Hero Data'!$D119,""))</f>
        <v>#REF!</v>
      </c>
      <c r="AB119" t="e">
        <f>IF(VLOOKUP(AB$105,#REF!,2,FALSE)&gt;($B119-1),"",IF(VLOOKUP(AB$105,#REF!,3,FALSE)&gt;($B119-1),'Chief &amp; Hero Data'!$D119,""))</f>
        <v>#REF!</v>
      </c>
      <c r="AC119" t="e">
        <f>IF(VLOOKUP(AC$105,#REF!,2,FALSE)&gt;($B119-1),"",IF(VLOOKUP(AC$105,#REF!,3,FALSE)&gt;($B119-1),'Chief &amp; Hero Data'!$D119,""))</f>
        <v>#REF!</v>
      </c>
    </row>
    <row r="120" spans="2:29" x14ac:dyDescent="0.3">
      <c r="B120">
        <v>15</v>
      </c>
      <c r="C120">
        <v>150</v>
      </c>
      <c r="D120">
        <v>5</v>
      </c>
      <c r="E120" t="e">
        <f>IF(VLOOKUP(E$105,#REF!,2,FALSE)&gt;($B120-1),"",IF(VLOOKUP(E$105,#REF!,3,FALSE)&gt;($B120-1),'Chief &amp; Hero Data'!$C120,""))</f>
        <v>#REF!</v>
      </c>
      <c r="F120" t="e">
        <f>IF(VLOOKUP(F$105,#REF!,2,FALSE)&gt;($B120-1),"",IF(VLOOKUP(F$105,#REF!,3,FALSE)&gt;($B120-1),'Chief &amp; Hero Data'!$C120,""))</f>
        <v>#REF!</v>
      </c>
      <c r="G120" t="e">
        <f>IF(VLOOKUP(G$105,#REF!,2,FALSE)&gt;($B120-1),"",IF(VLOOKUP(G$105,#REF!,3,FALSE)&gt;($B120-1),'Chief &amp; Hero Data'!$C120,""))</f>
        <v>#REF!</v>
      </c>
      <c r="H120" t="e">
        <f>IF(VLOOKUP(H$105,#REF!,2,FALSE)&gt;($B120-1),"",IF(VLOOKUP(H$105,#REF!,3,FALSE)&gt;($B120-1),'Chief &amp; Hero Data'!$C120,""))</f>
        <v>#REF!</v>
      </c>
      <c r="I120" t="e">
        <f>IF(VLOOKUP(I$105,#REF!,2,FALSE)&gt;($B120-1),"",IF(VLOOKUP(I$105,#REF!,3,FALSE)&gt;($B120-1),'Chief &amp; Hero Data'!$C120,""))</f>
        <v>#REF!</v>
      </c>
      <c r="J120" t="e">
        <f>IF(VLOOKUP(J$105,#REF!,2,FALSE)&gt;($B120-1),"",IF(VLOOKUP(J$105,#REF!,3,FALSE)&gt;($B120-1),'Chief &amp; Hero Data'!$C120,""))</f>
        <v>#REF!</v>
      </c>
      <c r="K120" t="e">
        <f>IF(VLOOKUP(K$105,#REF!,2,FALSE)&gt;($B120-1),"",IF(VLOOKUP(K$105,#REF!,3,FALSE)&gt;($B120-1),'Chief &amp; Hero Data'!$C120,""))</f>
        <v>#REF!</v>
      </c>
      <c r="L120" t="e">
        <f>IF(VLOOKUP(L$105,#REF!,2,FALSE)&gt;($B120-1),"",IF(VLOOKUP(L$105,#REF!,3,FALSE)&gt;($B120-1),'Chief &amp; Hero Data'!$C120,""))</f>
        <v>#REF!</v>
      </c>
      <c r="M120" t="e">
        <f>IF(VLOOKUP(M$105,#REF!,2,FALSE)&gt;($B120-1),"",IF(VLOOKUP(M$105,#REF!,3,FALSE)&gt;($B120-1),'Chief &amp; Hero Data'!$C120,""))</f>
        <v>#REF!</v>
      </c>
      <c r="N120" t="e">
        <f>IF(VLOOKUP(N$105,#REF!,2,FALSE)&gt;($B120-1),"",IF(VLOOKUP(N$105,#REF!,3,FALSE)&gt;($B120-1),'Chief &amp; Hero Data'!$C120,""))</f>
        <v>#REF!</v>
      </c>
      <c r="O120" t="e">
        <f>IF(VLOOKUP(O$105,#REF!,2,FALSE)&gt;($B120-1),"",IF(VLOOKUP(O$105,#REF!,3,FALSE)&gt;($B120-1),'Chief &amp; Hero Data'!$C120,""))</f>
        <v>#REF!</v>
      </c>
      <c r="P120" t="e">
        <f>IF(VLOOKUP(P$105,#REF!,2,FALSE)&gt;($B120-1),"",IF(VLOOKUP(P$105,#REF!,3,FALSE)&gt;($B120-1),'Chief &amp; Hero Data'!$C120,""))</f>
        <v>#REF!</v>
      </c>
      <c r="R120" t="e">
        <f>IF(VLOOKUP(R$105,#REF!,2,FALSE)&gt;($B120-1),"",IF(VLOOKUP(R$105,#REF!,3,FALSE)&gt;($B120-1),'Chief &amp; Hero Data'!$D120,""))</f>
        <v>#REF!</v>
      </c>
      <c r="S120" t="e">
        <f>IF(VLOOKUP(S$105,#REF!,2,FALSE)&gt;($B120-1),"",IF(VLOOKUP(S$105,#REF!,3,FALSE)&gt;($B120-1),'Chief &amp; Hero Data'!$D120,""))</f>
        <v>#REF!</v>
      </c>
      <c r="T120" t="e">
        <f>IF(VLOOKUP(T$105,#REF!,2,FALSE)&gt;($B120-1),"",IF(VLOOKUP(T$105,#REF!,3,FALSE)&gt;($B120-1),'Chief &amp; Hero Data'!$D120,""))</f>
        <v>#REF!</v>
      </c>
      <c r="U120" t="e">
        <f>IF(VLOOKUP(U$105,#REF!,2,FALSE)&gt;($B120-1),"",IF(VLOOKUP(U$105,#REF!,3,FALSE)&gt;($B120-1),'Chief &amp; Hero Data'!$D120,""))</f>
        <v>#REF!</v>
      </c>
      <c r="V120" t="e">
        <f>IF(VLOOKUP(V$105,#REF!,2,FALSE)&gt;($B120-1),"",IF(VLOOKUP(V$105,#REF!,3,FALSE)&gt;($B120-1),'Chief &amp; Hero Data'!$D120,""))</f>
        <v>#REF!</v>
      </c>
      <c r="W120" t="e">
        <f>IF(VLOOKUP(W$105,#REF!,2,FALSE)&gt;($B120-1),"",IF(VLOOKUP(W$105,#REF!,3,FALSE)&gt;($B120-1),'Chief &amp; Hero Data'!$D120,""))</f>
        <v>#REF!</v>
      </c>
      <c r="X120" t="e">
        <f>IF(VLOOKUP(X$105,#REF!,2,FALSE)&gt;($B120-1),"",IF(VLOOKUP(X$105,#REF!,3,FALSE)&gt;($B120-1),'Chief &amp; Hero Data'!$D120,""))</f>
        <v>#REF!</v>
      </c>
      <c r="Y120" t="e">
        <f>IF(VLOOKUP(Y$105,#REF!,2,FALSE)&gt;($B120-1),"",IF(VLOOKUP(Y$105,#REF!,3,FALSE)&gt;($B120-1),'Chief &amp; Hero Data'!$D120,""))</f>
        <v>#REF!</v>
      </c>
      <c r="Z120" t="e">
        <f>IF(VLOOKUP(Z$105,#REF!,2,FALSE)&gt;($B120-1),"",IF(VLOOKUP(Z$105,#REF!,3,FALSE)&gt;($B120-1),'Chief &amp; Hero Data'!$D120,""))</f>
        <v>#REF!</v>
      </c>
      <c r="AA120" t="e">
        <f>IF(VLOOKUP(AA$105,#REF!,2,FALSE)&gt;($B120-1),"",IF(VLOOKUP(AA$105,#REF!,3,FALSE)&gt;($B120-1),'Chief &amp; Hero Data'!$D120,""))</f>
        <v>#REF!</v>
      </c>
      <c r="AB120" t="e">
        <f>IF(VLOOKUP(AB$105,#REF!,2,FALSE)&gt;($B120-1),"",IF(VLOOKUP(AB$105,#REF!,3,FALSE)&gt;($B120-1),'Chief &amp; Hero Data'!$D120,""))</f>
        <v>#REF!</v>
      </c>
      <c r="AC120" t="e">
        <f>IF(VLOOKUP(AC$105,#REF!,2,FALSE)&gt;($B120-1),"",IF(VLOOKUP(AC$105,#REF!,3,FALSE)&gt;($B120-1),'Chief &amp; Hero Data'!$D120,""))</f>
        <v>#REF!</v>
      </c>
    </row>
    <row r="121" spans="2:29" x14ac:dyDescent="0.3">
      <c r="B121">
        <v>16</v>
      </c>
      <c r="C121">
        <v>160</v>
      </c>
      <c r="D121">
        <v>6</v>
      </c>
      <c r="E121" t="e">
        <f>IF(VLOOKUP(E$105,#REF!,2,FALSE)&gt;($B121-1),"",IF(VLOOKUP(E$105,#REF!,3,FALSE)&gt;($B121-1),'Chief &amp; Hero Data'!$C121,""))</f>
        <v>#REF!</v>
      </c>
      <c r="F121" t="e">
        <f>IF(VLOOKUP(F$105,#REF!,2,FALSE)&gt;($B121-1),"",IF(VLOOKUP(F$105,#REF!,3,FALSE)&gt;($B121-1),'Chief &amp; Hero Data'!$C121,""))</f>
        <v>#REF!</v>
      </c>
      <c r="G121" t="e">
        <f>IF(VLOOKUP(G$105,#REF!,2,FALSE)&gt;($B121-1),"",IF(VLOOKUP(G$105,#REF!,3,FALSE)&gt;($B121-1),'Chief &amp; Hero Data'!$C121,""))</f>
        <v>#REF!</v>
      </c>
      <c r="H121" t="e">
        <f>IF(VLOOKUP(H$105,#REF!,2,FALSE)&gt;($B121-1),"",IF(VLOOKUP(H$105,#REF!,3,FALSE)&gt;($B121-1),'Chief &amp; Hero Data'!$C121,""))</f>
        <v>#REF!</v>
      </c>
      <c r="I121" t="e">
        <f>IF(VLOOKUP(I$105,#REF!,2,FALSE)&gt;($B121-1),"",IF(VLOOKUP(I$105,#REF!,3,FALSE)&gt;($B121-1),'Chief &amp; Hero Data'!$C121,""))</f>
        <v>#REF!</v>
      </c>
      <c r="J121" t="e">
        <f>IF(VLOOKUP(J$105,#REF!,2,FALSE)&gt;($B121-1),"",IF(VLOOKUP(J$105,#REF!,3,FALSE)&gt;($B121-1),'Chief &amp; Hero Data'!$C121,""))</f>
        <v>#REF!</v>
      </c>
      <c r="K121" t="e">
        <f>IF(VLOOKUP(K$105,#REF!,2,FALSE)&gt;($B121-1),"",IF(VLOOKUP(K$105,#REF!,3,FALSE)&gt;($B121-1),'Chief &amp; Hero Data'!$C121,""))</f>
        <v>#REF!</v>
      </c>
      <c r="L121" t="e">
        <f>IF(VLOOKUP(L$105,#REF!,2,FALSE)&gt;($B121-1),"",IF(VLOOKUP(L$105,#REF!,3,FALSE)&gt;($B121-1),'Chief &amp; Hero Data'!$C121,""))</f>
        <v>#REF!</v>
      </c>
      <c r="M121" t="e">
        <f>IF(VLOOKUP(M$105,#REF!,2,FALSE)&gt;($B121-1),"",IF(VLOOKUP(M$105,#REF!,3,FALSE)&gt;($B121-1),'Chief &amp; Hero Data'!$C121,""))</f>
        <v>#REF!</v>
      </c>
      <c r="N121" t="e">
        <f>IF(VLOOKUP(N$105,#REF!,2,FALSE)&gt;($B121-1),"",IF(VLOOKUP(N$105,#REF!,3,FALSE)&gt;($B121-1),'Chief &amp; Hero Data'!$C121,""))</f>
        <v>#REF!</v>
      </c>
      <c r="O121" t="e">
        <f>IF(VLOOKUP(O$105,#REF!,2,FALSE)&gt;($B121-1),"",IF(VLOOKUP(O$105,#REF!,3,FALSE)&gt;($B121-1),'Chief &amp; Hero Data'!$C121,""))</f>
        <v>#REF!</v>
      </c>
      <c r="P121" t="e">
        <f>IF(VLOOKUP(P$105,#REF!,2,FALSE)&gt;($B121-1),"",IF(VLOOKUP(P$105,#REF!,3,FALSE)&gt;($B121-1),'Chief &amp; Hero Data'!$C121,""))</f>
        <v>#REF!</v>
      </c>
      <c r="R121" t="e">
        <f>IF(VLOOKUP(R$105,#REF!,2,FALSE)&gt;($B121-1),"",IF(VLOOKUP(R$105,#REF!,3,FALSE)&gt;($B121-1),'Chief &amp; Hero Data'!$D121,""))</f>
        <v>#REF!</v>
      </c>
      <c r="S121" t="e">
        <f>IF(VLOOKUP(S$105,#REF!,2,FALSE)&gt;($B121-1),"",IF(VLOOKUP(S$105,#REF!,3,FALSE)&gt;($B121-1),'Chief &amp; Hero Data'!$D121,""))</f>
        <v>#REF!</v>
      </c>
      <c r="T121" t="e">
        <f>IF(VLOOKUP(T$105,#REF!,2,FALSE)&gt;($B121-1),"",IF(VLOOKUP(T$105,#REF!,3,FALSE)&gt;($B121-1),'Chief &amp; Hero Data'!$D121,""))</f>
        <v>#REF!</v>
      </c>
      <c r="U121" t="e">
        <f>IF(VLOOKUP(U$105,#REF!,2,FALSE)&gt;($B121-1),"",IF(VLOOKUP(U$105,#REF!,3,FALSE)&gt;($B121-1),'Chief &amp; Hero Data'!$D121,""))</f>
        <v>#REF!</v>
      </c>
      <c r="V121" t="e">
        <f>IF(VLOOKUP(V$105,#REF!,2,FALSE)&gt;($B121-1),"",IF(VLOOKUP(V$105,#REF!,3,FALSE)&gt;($B121-1),'Chief &amp; Hero Data'!$D121,""))</f>
        <v>#REF!</v>
      </c>
      <c r="W121" t="e">
        <f>IF(VLOOKUP(W$105,#REF!,2,FALSE)&gt;($B121-1),"",IF(VLOOKUP(W$105,#REF!,3,FALSE)&gt;($B121-1),'Chief &amp; Hero Data'!$D121,""))</f>
        <v>#REF!</v>
      </c>
      <c r="X121" t="e">
        <f>IF(VLOOKUP(X$105,#REF!,2,FALSE)&gt;($B121-1),"",IF(VLOOKUP(X$105,#REF!,3,FALSE)&gt;($B121-1),'Chief &amp; Hero Data'!$D121,""))</f>
        <v>#REF!</v>
      </c>
      <c r="Y121" t="e">
        <f>IF(VLOOKUP(Y$105,#REF!,2,FALSE)&gt;($B121-1),"",IF(VLOOKUP(Y$105,#REF!,3,FALSE)&gt;($B121-1),'Chief &amp; Hero Data'!$D121,""))</f>
        <v>#REF!</v>
      </c>
      <c r="Z121" t="e">
        <f>IF(VLOOKUP(Z$105,#REF!,2,FALSE)&gt;($B121-1),"",IF(VLOOKUP(Z$105,#REF!,3,FALSE)&gt;($B121-1),'Chief &amp; Hero Data'!$D121,""))</f>
        <v>#REF!</v>
      </c>
      <c r="AA121" t="e">
        <f>IF(VLOOKUP(AA$105,#REF!,2,FALSE)&gt;($B121-1),"",IF(VLOOKUP(AA$105,#REF!,3,FALSE)&gt;($B121-1),'Chief &amp; Hero Data'!$D121,""))</f>
        <v>#REF!</v>
      </c>
      <c r="AB121" t="e">
        <f>IF(VLOOKUP(AB$105,#REF!,2,FALSE)&gt;($B121-1),"",IF(VLOOKUP(AB$105,#REF!,3,FALSE)&gt;($B121-1),'Chief &amp; Hero Data'!$D121,""))</f>
        <v>#REF!</v>
      </c>
      <c r="AC121" t="e">
        <f>IF(VLOOKUP(AC$105,#REF!,2,FALSE)&gt;($B121-1),"",IF(VLOOKUP(AC$105,#REF!,3,FALSE)&gt;($B121-1),'Chief &amp; Hero Data'!$D121,""))</f>
        <v>#REF!</v>
      </c>
    </row>
    <row r="122" spans="2:29" x14ac:dyDescent="0.3">
      <c r="B122">
        <v>17</v>
      </c>
      <c r="C122">
        <v>170</v>
      </c>
      <c r="D122">
        <v>7</v>
      </c>
      <c r="E122" t="e">
        <f>IF(VLOOKUP(E$105,#REF!,2,FALSE)&gt;($B122-1),"",IF(VLOOKUP(E$105,#REF!,3,FALSE)&gt;($B122-1),'Chief &amp; Hero Data'!$C122,""))</f>
        <v>#REF!</v>
      </c>
      <c r="F122" t="e">
        <f>IF(VLOOKUP(F$105,#REF!,2,FALSE)&gt;($B122-1),"",IF(VLOOKUP(F$105,#REF!,3,FALSE)&gt;($B122-1),'Chief &amp; Hero Data'!$C122,""))</f>
        <v>#REF!</v>
      </c>
      <c r="G122" t="e">
        <f>IF(VLOOKUP(G$105,#REF!,2,FALSE)&gt;($B122-1),"",IF(VLOOKUP(G$105,#REF!,3,FALSE)&gt;($B122-1),'Chief &amp; Hero Data'!$C122,""))</f>
        <v>#REF!</v>
      </c>
      <c r="H122" t="e">
        <f>IF(VLOOKUP(H$105,#REF!,2,FALSE)&gt;($B122-1),"",IF(VLOOKUP(H$105,#REF!,3,FALSE)&gt;($B122-1),'Chief &amp; Hero Data'!$C122,""))</f>
        <v>#REF!</v>
      </c>
      <c r="I122" t="e">
        <f>IF(VLOOKUP(I$105,#REF!,2,FALSE)&gt;($B122-1),"",IF(VLOOKUP(I$105,#REF!,3,FALSE)&gt;($B122-1),'Chief &amp; Hero Data'!$C122,""))</f>
        <v>#REF!</v>
      </c>
      <c r="J122" t="e">
        <f>IF(VLOOKUP(J$105,#REF!,2,FALSE)&gt;($B122-1),"",IF(VLOOKUP(J$105,#REF!,3,FALSE)&gt;($B122-1),'Chief &amp; Hero Data'!$C122,""))</f>
        <v>#REF!</v>
      </c>
      <c r="K122" t="e">
        <f>IF(VLOOKUP(K$105,#REF!,2,FALSE)&gt;($B122-1),"",IF(VLOOKUP(K$105,#REF!,3,FALSE)&gt;($B122-1),'Chief &amp; Hero Data'!$C122,""))</f>
        <v>#REF!</v>
      </c>
      <c r="L122" t="e">
        <f>IF(VLOOKUP(L$105,#REF!,2,FALSE)&gt;($B122-1),"",IF(VLOOKUP(L$105,#REF!,3,FALSE)&gt;($B122-1),'Chief &amp; Hero Data'!$C122,""))</f>
        <v>#REF!</v>
      </c>
      <c r="M122" t="e">
        <f>IF(VLOOKUP(M$105,#REF!,2,FALSE)&gt;($B122-1),"",IF(VLOOKUP(M$105,#REF!,3,FALSE)&gt;($B122-1),'Chief &amp; Hero Data'!$C122,""))</f>
        <v>#REF!</v>
      </c>
      <c r="N122" t="e">
        <f>IF(VLOOKUP(N$105,#REF!,2,FALSE)&gt;($B122-1),"",IF(VLOOKUP(N$105,#REF!,3,FALSE)&gt;($B122-1),'Chief &amp; Hero Data'!$C122,""))</f>
        <v>#REF!</v>
      </c>
      <c r="O122" t="e">
        <f>IF(VLOOKUP(O$105,#REF!,2,FALSE)&gt;($B122-1),"",IF(VLOOKUP(O$105,#REF!,3,FALSE)&gt;($B122-1),'Chief &amp; Hero Data'!$C122,""))</f>
        <v>#REF!</v>
      </c>
      <c r="P122" t="e">
        <f>IF(VLOOKUP(P$105,#REF!,2,FALSE)&gt;($B122-1),"",IF(VLOOKUP(P$105,#REF!,3,FALSE)&gt;($B122-1),'Chief &amp; Hero Data'!$C122,""))</f>
        <v>#REF!</v>
      </c>
      <c r="R122" t="e">
        <f>IF(VLOOKUP(R$105,#REF!,2,FALSE)&gt;($B122-1),"",IF(VLOOKUP(R$105,#REF!,3,FALSE)&gt;($B122-1),'Chief &amp; Hero Data'!$D122,""))</f>
        <v>#REF!</v>
      </c>
      <c r="S122" t="e">
        <f>IF(VLOOKUP(S$105,#REF!,2,FALSE)&gt;($B122-1),"",IF(VLOOKUP(S$105,#REF!,3,FALSE)&gt;($B122-1),'Chief &amp; Hero Data'!$D122,""))</f>
        <v>#REF!</v>
      </c>
      <c r="T122" t="e">
        <f>IF(VLOOKUP(T$105,#REF!,2,FALSE)&gt;($B122-1),"",IF(VLOOKUP(T$105,#REF!,3,FALSE)&gt;($B122-1),'Chief &amp; Hero Data'!$D122,""))</f>
        <v>#REF!</v>
      </c>
      <c r="U122" t="e">
        <f>IF(VLOOKUP(U$105,#REF!,2,FALSE)&gt;($B122-1),"",IF(VLOOKUP(U$105,#REF!,3,FALSE)&gt;($B122-1),'Chief &amp; Hero Data'!$D122,""))</f>
        <v>#REF!</v>
      </c>
      <c r="V122" t="e">
        <f>IF(VLOOKUP(V$105,#REF!,2,FALSE)&gt;($B122-1),"",IF(VLOOKUP(V$105,#REF!,3,FALSE)&gt;($B122-1),'Chief &amp; Hero Data'!$D122,""))</f>
        <v>#REF!</v>
      </c>
      <c r="W122" t="e">
        <f>IF(VLOOKUP(W$105,#REF!,2,FALSE)&gt;($B122-1),"",IF(VLOOKUP(W$105,#REF!,3,FALSE)&gt;($B122-1),'Chief &amp; Hero Data'!$D122,""))</f>
        <v>#REF!</v>
      </c>
      <c r="X122" t="e">
        <f>IF(VLOOKUP(X$105,#REF!,2,FALSE)&gt;($B122-1),"",IF(VLOOKUP(X$105,#REF!,3,FALSE)&gt;($B122-1),'Chief &amp; Hero Data'!$D122,""))</f>
        <v>#REF!</v>
      </c>
      <c r="Y122" t="e">
        <f>IF(VLOOKUP(Y$105,#REF!,2,FALSE)&gt;($B122-1),"",IF(VLOOKUP(Y$105,#REF!,3,FALSE)&gt;($B122-1),'Chief &amp; Hero Data'!$D122,""))</f>
        <v>#REF!</v>
      </c>
      <c r="Z122" t="e">
        <f>IF(VLOOKUP(Z$105,#REF!,2,FALSE)&gt;($B122-1),"",IF(VLOOKUP(Z$105,#REF!,3,FALSE)&gt;($B122-1),'Chief &amp; Hero Data'!$D122,""))</f>
        <v>#REF!</v>
      </c>
      <c r="AA122" t="e">
        <f>IF(VLOOKUP(AA$105,#REF!,2,FALSE)&gt;($B122-1),"",IF(VLOOKUP(AA$105,#REF!,3,FALSE)&gt;($B122-1),'Chief &amp; Hero Data'!$D122,""))</f>
        <v>#REF!</v>
      </c>
      <c r="AB122" t="e">
        <f>IF(VLOOKUP(AB$105,#REF!,2,FALSE)&gt;($B122-1),"",IF(VLOOKUP(AB$105,#REF!,3,FALSE)&gt;($B122-1),'Chief &amp; Hero Data'!$D122,""))</f>
        <v>#REF!</v>
      </c>
      <c r="AC122" t="e">
        <f>IF(VLOOKUP(AC$105,#REF!,2,FALSE)&gt;($B122-1),"",IF(VLOOKUP(AC$105,#REF!,3,FALSE)&gt;($B122-1),'Chief &amp; Hero Data'!$D122,""))</f>
        <v>#REF!</v>
      </c>
    </row>
    <row r="123" spans="2:29" x14ac:dyDescent="0.3">
      <c r="B123">
        <v>18</v>
      </c>
      <c r="C123">
        <v>180</v>
      </c>
      <c r="D123">
        <v>8</v>
      </c>
      <c r="E123" t="e">
        <f>IF(VLOOKUP(E$105,#REF!,2,FALSE)&gt;($B123-1),"",IF(VLOOKUP(E$105,#REF!,3,FALSE)&gt;($B123-1),'Chief &amp; Hero Data'!$C123,""))</f>
        <v>#REF!</v>
      </c>
      <c r="F123" t="e">
        <f>IF(VLOOKUP(F$105,#REF!,2,FALSE)&gt;($B123-1),"",IF(VLOOKUP(F$105,#REF!,3,FALSE)&gt;($B123-1),'Chief &amp; Hero Data'!$C123,""))</f>
        <v>#REF!</v>
      </c>
      <c r="G123" t="e">
        <f>IF(VLOOKUP(G$105,#REF!,2,FALSE)&gt;($B123-1),"",IF(VLOOKUP(G$105,#REF!,3,FALSE)&gt;($B123-1),'Chief &amp; Hero Data'!$C123,""))</f>
        <v>#REF!</v>
      </c>
      <c r="H123" t="e">
        <f>IF(VLOOKUP(H$105,#REF!,2,FALSE)&gt;($B123-1),"",IF(VLOOKUP(H$105,#REF!,3,FALSE)&gt;($B123-1),'Chief &amp; Hero Data'!$C123,""))</f>
        <v>#REF!</v>
      </c>
      <c r="I123" t="e">
        <f>IF(VLOOKUP(I$105,#REF!,2,FALSE)&gt;($B123-1),"",IF(VLOOKUP(I$105,#REF!,3,FALSE)&gt;($B123-1),'Chief &amp; Hero Data'!$C123,""))</f>
        <v>#REF!</v>
      </c>
      <c r="J123" t="e">
        <f>IF(VLOOKUP(J$105,#REF!,2,FALSE)&gt;($B123-1),"",IF(VLOOKUP(J$105,#REF!,3,FALSE)&gt;($B123-1),'Chief &amp; Hero Data'!$C123,""))</f>
        <v>#REF!</v>
      </c>
      <c r="K123" t="e">
        <f>IF(VLOOKUP(K$105,#REF!,2,FALSE)&gt;($B123-1),"",IF(VLOOKUP(K$105,#REF!,3,FALSE)&gt;($B123-1),'Chief &amp; Hero Data'!$C123,""))</f>
        <v>#REF!</v>
      </c>
      <c r="L123" t="e">
        <f>IF(VLOOKUP(L$105,#REF!,2,FALSE)&gt;($B123-1),"",IF(VLOOKUP(L$105,#REF!,3,FALSE)&gt;($B123-1),'Chief &amp; Hero Data'!$C123,""))</f>
        <v>#REF!</v>
      </c>
      <c r="M123" t="e">
        <f>IF(VLOOKUP(M$105,#REF!,2,FALSE)&gt;($B123-1),"",IF(VLOOKUP(M$105,#REF!,3,FALSE)&gt;($B123-1),'Chief &amp; Hero Data'!$C123,""))</f>
        <v>#REF!</v>
      </c>
      <c r="N123" t="e">
        <f>IF(VLOOKUP(N$105,#REF!,2,FALSE)&gt;($B123-1),"",IF(VLOOKUP(N$105,#REF!,3,FALSE)&gt;($B123-1),'Chief &amp; Hero Data'!$C123,""))</f>
        <v>#REF!</v>
      </c>
      <c r="O123" t="e">
        <f>IF(VLOOKUP(O$105,#REF!,2,FALSE)&gt;($B123-1),"",IF(VLOOKUP(O$105,#REF!,3,FALSE)&gt;($B123-1),'Chief &amp; Hero Data'!$C123,""))</f>
        <v>#REF!</v>
      </c>
      <c r="P123" t="e">
        <f>IF(VLOOKUP(P$105,#REF!,2,FALSE)&gt;($B123-1),"",IF(VLOOKUP(P$105,#REF!,3,FALSE)&gt;($B123-1),'Chief &amp; Hero Data'!$C123,""))</f>
        <v>#REF!</v>
      </c>
      <c r="R123" t="e">
        <f>IF(VLOOKUP(R$105,#REF!,2,FALSE)&gt;($B123-1),"",IF(VLOOKUP(R$105,#REF!,3,FALSE)&gt;($B123-1),'Chief &amp; Hero Data'!$D123,""))</f>
        <v>#REF!</v>
      </c>
      <c r="S123" t="e">
        <f>IF(VLOOKUP(S$105,#REF!,2,FALSE)&gt;($B123-1),"",IF(VLOOKUP(S$105,#REF!,3,FALSE)&gt;($B123-1),'Chief &amp; Hero Data'!$D123,""))</f>
        <v>#REF!</v>
      </c>
      <c r="T123" t="e">
        <f>IF(VLOOKUP(T$105,#REF!,2,FALSE)&gt;($B123-1),"",IF(VLOOKUP(T$105,#REF!,3,FALSE)&gt;($B123-1),'Chief &amp; Hero Data'!$D123,""))</f>
        <v>#REF!</v>
      </c>
      <c r="U123" t="e">
        <f>IF(VLOOKUP(U$105,#REF!,2,FALSE)&gt;($B123-1),"",IF(VLOOKUP(U$105,#REF!,3,FALSE)&gt;($B123-1),'Chief &amp; Hero Data'!$D123,""))</f>
        <v>#REF!</v>
      </c>
      <c r="V123" t="e">
        <f>IF(VLOOKUP(V$105,#REF!,2,FALSE)&gt;($B123-1),"",IF(VLOOKUP(V$105,#REF!,3,FALSE)&gt;($B123-1),'Chief &amp; Hero Data'!$D123,""))</f>
        <v>#REF!</v>
      </c>
      <c r="W123" t="e">
        <f>IF(VLOOKUP(W$105,#REF!,2,FALSE)&gt;($B123-1),"",IF(VLOOKUP(W$105,#REF!,3,FALSE)&gt;($B123-1),'Chief &amp; Hero Data'!$D123,""))</f>
        <v>#REF!</v>
      </c>
      <c r="X123" t="e">
        <f>IF(VLOOKUP(X$105,#REF!,2,FALSE)&gt;($B123-1),"",IF(VLOOKUP(X$105,#REF!,3,FALSE)&gt;($B123-1),'Chief &amp; Hero Data'!$D123,""))</f>
        <v>#REF!</v>
      </c>
      <c r="Y123" t="e">
        <f>IF(VLOOKUP(Y$105,#REF!,2,FALSE)&gt;($B123-1),"",IF(VLOOKUP(Y$105,#REF!,3,FALSE)&gt;($B123-1),'Chief &amp; Hero Data'!$D123,""))</f>
        <v>#REF!</v>
      </c>
      <c r="Z123" t="e">
        <f>IF(VLOOKUP(Z$105,#REF!,2,FALSE)&gt;($B123-1),"",IF(VLOOKUP(Z$105,#REF!,3,FALSE)&gt;($B123-1),'Chief &amp; Hero Data'!$D123,""))</f>
        <v>#REF!</v>
      </c>
      <c r="AA123" t="e">
        <f>IF(VLOOKUP(AA$105,#REF!,2,FALSE)&gt;($B123-1),"",IF(VLOOKUP(AA$105,#REF!,3,FALSE)&gt;($B123-1),'Chief &amp; Hero Data'!$D123,""))</f>
        <v>#REF!</v>
      </c>
      <c r="AB123" t="e">
        <f>IF(VLOOKUP(AB$105,#REF!,2,FALSE)&gt;($B123-1),"",IF(VLOOKUP(AB$105,#REF!,3,FALSE)&gt;($B123-1),'Chief &amp; Hero Data'!$D123,""))</f>
        <v>#REF!</v>
      </c>
      <c r="AC123" t="e">
        <f>IF(VLOOKUP(AC$105,#REF!,2,FALSE)&gt;($B123-1),"",IF(VLOOKUP(AC$105,#REF!,3,FALSE)&gt;($B123-1),'Chief &amp; Hero Data'!$D123,""))</f>
        <v>#REF!</v>
      </c>
    </row>
    <row r="124" spans="2:29" x14ac:dyDescent="0.3">
      <c r="B124">
        <v>19</v>
      </c>
      <c r="C124">
        <v>190</v>
      </c>
      <c r="D124">
        <v>9</v>
      </c>
      <c r="E124" t="e">
        <f>IF(VLOOKUP(E$105,#REF!,2,FALSE)&gt;($B124-1),"",IF(VLOOKUP(E$105,#REF!,3,FALSE)&gt;($B124-1),'Chief &amp; Hero Data'!$C124,""))</f>
        <v>#REF!</v>
      </c>
      <c r="F124" t="e">
        <f>IF(VLOOKUP(F$105,#REF!,2,FALSE)&gt;($B124-1),"",IF(VLOOKUP(F$105,#REF!,3,FALSE)&gt;($B124-1),'Chief &amp; Hero Data'!$C124,""))</f>
        <v>#REF!</v>
      </c>
      <c r="G124" t="e">
        <f>IF(VLOOKUP(G$105,#REF!,2,FALSE)&gt;($B124-1),"",IF(VLOOKUP(G$105,#REF!,3,FALSE)&gt;($B124-1),'Chief &amp; Hero Data'!$C124,""))</f>
        <v>#REF!</v>
      </c>
      <c r="H124" t="e">
        <f>IF(VLOOKUP(H$105,#REF!,2,FALSE)&gt;($B124-1),"",IF(VLOOKUP(H$105,#REF!,3,FALSE)&gt;($B124-1),'Chief &amp; Hero Data'!$C124,""))</f>
        <v>#REF!</v>
      </c>
      <c r="I124" t="e">
        <f>IF(VLOOKUP(I$105,#REF!,2,FALSE)&gt;($B124-1),"",IF(VLOOKUP(I$105,#REF!,3,FALSE)&gt;($B124-1),'Chief &amp; Hero Data'!$C124,""))</f>
        <v>#REF!</v>
      </c>
      <c r="J124" t="e">
        <f>IF(VLOOKUP(J$105,#REF!,2,FALSE)&gt;($B124-1),"",IF(VLOOKUP(J$105,#REF!,3,FALSE)&gt;($B124-1),'Chief &amp; Hero Data'!$C124,""))</f>
        <v>#REF!</v>
      </c>
      <c r="K124" t="e">
        <f>IF(VLOOKUP(K$105,#REF!,2,FALSE)&gt;($B124-1),"",IF(VLOOKUP(K$105,#REF!,3,FALSE)&gt;($B124-1),'Chief &amp; Hero Data'!$C124,""))</f>
        <v>#REF!</v>
      </c>
      <c r="L124" t="e">
        <f>IF(VLOOKUP(L$105,#REF!,2,FALSE)&gt;($B124-1),"",IF(VLOOKUP(L$105,#REF!,3,FALSE)&gt;($B124-1),'Chief &amp; Hero Data'!$C124,""))</f>
        <v>#REF!</v>
      </c>
      <c r="M124" t="e">
        <f>IF(VLOOKUP(M$105,#REF!,2,FALSE)&gt;($B124-1),"",IF(VLOOKUP(M$105,#REF!,3,FALSE)&gt;($B124-1),'Chief &amp; Hero Data'!$C124,""))</f>
        <v>#REF!</v>
      </c>
      <c r="N124" t="e">
        <f>IF(VLOOKUP(N$105,#REF!,2,FALSE)&gt;($B124-1),"",IF(VLOOKUP(N$105,#REF!,3,FALSE)&gt;($B124-1),'Chief &amp; Hero Data'!$C124,""))</f>
        <v>#REF!</v>
      </c>
      <c r="O124" t="e">
        <f>IF(VLOOKUP(O$105,#REF!,2,FALSE)&gt;($B124-1),"",IF(VLOOKUP(O$105,#REF!,3,FALSE)&gt;($B124-1),'Chief &amp; Hero Data'!$C124,""))</f>
        <v>#REF!</v>
      </c>
      <c r="P124" t="e">
        <f>IF(VLOOKUP(P$105,#REF!,2,FALSE)&gt;($B124-1),"",IF(VLOOKUP(P$105,#REF!,3,FALSE)&gt;($B124-1),'Chief &amp; Hero Data'!$C124,""))</f>
        <v>#REF!</v>
      </c>
      <c r="R124" t="e">
        <f>IF(VLOOKUP(R$105,#REF!,2,FALSE)&gt;($B124-1),"",IF(VLOOKUP(R$105,#REF!,3,FALSE)&gt;($B124-1),'Chief &amp; Hero Data'!$D124,""))</f>
        <v>#REF!</v>
      </c>
      <c r="S124" t="e">
        <f>IF(VLOOKUP(S$105,#REF!,2,FALSE)&gt;($B124-1),"",IF(VLOOKUP(S$105,#REF!,3,FALSE)&gt;($B124-1),'Chief &amp; Hero Data'!$D124,""))</f>
        <v>#REF!</v>
      </c>
      <c r="T124" t="e">
        <f>IF(VLOOKUP(T$105,#REF!,2,FALSE)&gt;($B124-1),"",IF(VLOOKUP(T$105,#REF!,3,FALSE)&gt;($B124-1),'Chief &amp; Hero Data'!$D124,""))</f>
        <v>#REF!</v>
      </c>
      <c r="U124" t="e">
        <f>IF(VLOOKUP(U$105,#REF!,2,FALSE)&gt;($B124-1),"",IF(VLOOKUP(U$105,#REF!,3,FALSE)&gt;($B124-1),'Chief &amp; Hero Data'!$D124,""))</f>
        <v>#REF!</v>
      </c>
      <c r="V124" t="e">
        <f>IF(VLOOKUP(V$105,#REF!,2,FALSE)&gt;($B124-1),"",IF(VLOOKUP(V$105,#REF!,3,FALSE)&gt;($B124-1),'Chief &amp; Hero Data'!$D124,""))</f>
        <v>#REF!</v>
      </c>
      <c r="W124" t="e">
        <f>IF(VLOOKUP(W$105,#REF!,2,FALSE)&gt;($B124-1),"",IF(VLOOKUP(W$105,#REF!,3,FALSE)&gt;($B124-1),'Chief &amp; Hero Data'!$D124,""))</f>
        <v>#REF!</v>
      </c>
      <c r="X124" t="e">
        <f>IF(VLOOKUP(X$105,#REF!,2,FALSE)&gt;($B124-1),"",IF(VLOOKUP(X$105,#REF!,3,FALSE)&gt;($B124-1),'Chief &amp; Hero Data'!$D124,""))</f>
        <v>#REF!</v>
      </c>
      <c r="Y124" t="e">
        <f>IF(VLOOKUP(Y$105,#REF!,2,FALSE)&gt;($B124-1),"",IF(VLOOKUP(Y$105,#REF!,3,FALSE)&gt;($B124-1),'Chief &amp; Hero Data'!$D124,""))</f>
        <v>#REF!</v>
      </c>
      <c r="Z124" t="e">
        <f>IF(VLOOKUP(Z$105,#REF!,2,FALSE)&gt;($B124-1),"",IF(VLOOKUP(Z$105,#REF!,3,FALSE)&gt;($B124-1),'Chief &amp; Hero Data'!$D124,""))</f>
        <v>#REF!</v>
      </c>
      <c r="AA124" t="e">
        <f>IF(VLOOKUP(AA$105,#REF!,2,FALSE)&gt;($B124-1),"",IF(VLOOKUP(AA$105,#REF!,3,FALSE)&gt;($B124-1),'Chief &amp; Hero Data'!$D124,""))</f>
        <v>#REF!</v>
      </c>
      <c r="AB124" t="e">
        <f>IF(VLOOKUP(AB$105,#REF!,2,FALSE)&gt;($B124-1),"",IF(VLOOKUP(AB$105,#REF!,3,FALSE)&gt;($B124-1),'Chief &amp; Hero Data'!$D124,""))</f>
        <v>#REF!</v>
      </c>
      <c r="AC124" t="e">
        <f>IF(VLOOKUP(AC$105,#REF!,2,FALSE)&gt;($B124-1),"",IF(VLOOKUP(AC$105,#REF!,3,FALSE)&gt;($B124-1),'Chief &amp; Hero Data'!$D124,""))</f>
        <v>#REF!</v>
      </c>
    </row>
    <row r="125" spans="2:29" x14ac:dyDescent="0.3">
      <c r="B125">
        <v>20</v>
      </c>
      <c r="C125">
        <v>200</v>
      </c>
      <c r="D125">
        <v>10</v>
      </c>
      <c r="E125" t="e">
        <f>IF(VLOOKUP(E$105,#REF!,2,FALSE)&gt;($B125-1),"",IF(VLOOKUP(E$105,#REF!,3,FALSE)&gt;($B125-1),'Chief &amp; Hero Data'!$C125,""))</f>
        <v>#REF!</v>
      </c>
      <c r="F125" t="e">
        <f>IF(VLOOKUP(F$105,#REF!,2,FALSE)&gt;($B125-1),"",IF(VLOOKUP(F$105,#REF!,3,FALSE)&gt;($B125-1),'Chief &amp; Hero Data'!$C125,""))</f>
        <v>#REF!</v>
      </c>
      <c r="G125" t="e">
        <f>IF(VLOOKUP(G$105,#REF!,2,FALSE)&gt;($B125-1),"",IF(VLOOKUP(G$105,#REF!,3,FALSE)&gt;($B125-1),'Chief &amp; Hero Data'!$C125,""))</f>
        <v>#REF!</v>
      </c>
      <c r="H125" t="e">
        <f>IF(VLOOKUP(H$105,#REF!,2,FALSE)&gt;($B125-1),"",IF(VLOOKUP(H$105,#REF!,3,FALSE)&gt;($B125-1),'Chief &amp; Hero Data'!$C125,""))</f>
        <v>#REF!</v>
      </c>
      <c r="I125" t="e">
        <f>IF(VLOOKUP(I$105,#REF!,2,FALSE)&gt;($B125-1),"",IF(VLOOKUP(I$105,#REF!,3,FALSE)&gt;($B125-1),'Chief &amp; Hero Data'!$C125,""))</f>
        <v>#REF!</v>
      </c>
      <c r="J125" t="e">
        <f>IF(VLOOKUP(J$105,#REF!,2,FALSE)&gt;($B125-1),"",IF(VLOOKUP(J$105,#REF!,3,FALSE)&gt;($B125-1),'Chief &amp; Hero Data'!$C125,""))</f>
        <v>#REF!</v>
      </c>
      <c r="K125" t="e">
        <f>IF(VLOOKUP(K$105,#REF!,2,FALSE)&gt;($B125-1),"",IF(VLOOKUP(K$105,#REF!,3,FALSE)&gt;($B125-1),'Chief &amp; Hero Data'!$C125,""))</f>
        <v>#REF!</v>
      </c>
      <c r="L125" t="e">
        <f>IF(VLOOKUP(L$105,#REF!,2,FALSE)&gt;($B125-1),"",IF(VLOOKUP(L$105,#REF!,3,FALSE)&gt;($B125-1),'Chief &amp; Hero Data'!$C125,""))</f>
        <v>#REF!</v>
      </c>
      <c r="M125" t="e">
        <f>IF(VLOOKUP(M$105,#REF!,2,FALSE)&gt;($B125-1),"",IF(VLOOKUP(M$105,#REF!,3,FALSE)&gt;($B125-1),'Chief &amp; Hero Data'!$C125,""))</f>
        <v>#REF!</v>
      </c>
      <c r="N125" t="e">
        <f>IF(VLOOKUP(N$105,#REF!,2,FALSE)&gt;($B125-1),"",IF(VLOOKUP(N$105,#REF!,3,FALSE)&gt;($B125-1),'Chief &amp; Hero Data'!$C125,""))</f>
        <v>#REF!</v>
      </c>
      <c r="O125" t="e">
        <f>IF(VLOOKUP(O$105,#REF!,2,FALSE)&gt;($B125-1),"",IF(VLOOKUP(O$105,#REF!,3,FALSE)&gt;($B125-1),'Chief &amp; Hero Data'!$C125,""))</f>
        <v>#REF!</v>
      </c>
      <c r="P125" t="e">
        <f>IF(VLOOKUP(P$105,#REF!,2,FALSE)&gt;($B125-1),"",IF(VLOOKUP(P$105,#REF!,3,FALSE)&gt;($B125-1),'Chief &amp; Hero Data'!$C125,""))</f>
        <v>#REF!</v>
      </c>
      <c r="R125" t="e">
        <f>IF(VLOOKUP(R$105,#REF!,2,FALSE)&gt;($B125-1),"",IF(VLOOKUP(R$105,#REF!,3,FALSE)&gt;($B125-1),'Chief &amp; Hero Data'!$D125,""))</f>
        <v>#REF!</v>
      </c>
      <c r="S125" t="e">
        <f>IF(VLOOKUP(S$105,#REF!,2,FALSE)&gt;($B125-1),"",IF(VLOOKUP(S$105,#REF!,3,FALSE)&gt;($B125-1),'Chief &amp; Hero Data'!$D125,""))</f>
        <v>#REF!</v>
      </c>
      <c r="T125" t="e">
        <f>IF(VLOOKUP(T$105,#REF!,2,FALSE)&gt;($B125-1),"",IF(VLOOKUP(T$105,#REF!,3,FALSE)&gt;($B125-1),'Chief &amp; Hero Data'!$D125,""))</f>
        <v>#REF!</v>
      </c>
      <c r="U125" t="e">
        <f>IF(VLOOKUP(U$105,#REF!,2,FALSE)&gt;($B125-1),"",IF(VLOOKUP(U$105,#REF!,3,FALSE)&gt;($B125-1),'Chief &amp; Hero Data'!$D125,""))</f>
        <v>#REF!</v>
      </c>
      <c r="V125" t="e">
        <f>IF(VLOOKUP(V$105,#REF!,2,FALSE)&gt;($B125-1),"",IF(VLOOKUP(V$105,#REF!,3,FALSE)&gt;($B125-1),'Chief &amp; Hero Data'!$D125,""))</f>
        <v>#REF!</v>
      </c>
      <c r="W125" t="e">
        <f>IF(VLOOKUP(W$105,#REF!,2,FALSE)&gt;($B125-1),"",IF(VLOOKUP(W$105,#REF!,3,FALSE)&gt;($B125-1),'Chief &amp; Hero Data'!$D125,""))</f>
        <v>#REF!</v>
      </c>
      <c r="X125" t="e">
        <f>IF(VLOOKUP(X$105,#REF!,2,FALSE)&gt;($B125-1),"",IF(VLOOKUP(X$105,#REF!,3,FALSE)&gt;($B125-1),'Chief &amp; Hero Data'!$D125,""))</f>
        <v>#REF!</v>
      </c>
      <c r="Y125" t="e">
        <f>IF(VLOOKUP(Y$105,#REF!,2,FALSE)&gt;($B125-1),"",IF(VLOOKUP(Y$105,#REF!,3,FALSE)&gt;($B125-1),'Chief &amp; Hero Data'!$D125,""))</f>
        <v>#REF!</v>
      </c>
      <c r="Z125" t="e">
        <f>IF(VLOOKUP(Z$105,#REF!,2,FALSE)&gt;($B125-1),"",IF(VLOOKUP(Z$105,#REF!,3,FALSE)&gt;($B125-1),'Chief &amp; Hero Data'!$D125,""))</f>
        <v>#REF!</v>
      </c>
      <c r="AA125" t="e">
        <f>IF(VLOOKUP(AA$105,#REF!,2,FALSE)&gt;($B125-1),"",IF(VLOOKUP(AA$105,#REF!,3,FALSE)&gt;($B125-1),'Chief &amp; Hero Data'!$D125,""))</f>
        <v>#REF!</v>
      </c>
      <c r="AB125" t="e">
        <f>IF(VLOOKUP(AB$105,#REF!,2,FALSE)&gt;($B125-1),"",IF(VLOOKUP(AB$105,#REF!,3,FALSE)&gt;($B125-1),'Chief &amp; Hero Data'!$D125,""))</f>
        <v>#REF!</v>
      </c>
      <c r="AC125" t="e">
        <f>IF(VLOOKUP(AC$105,#REF!,2,FALSE)&gt;($B125-1),"",IF(VLOOKUP(AC$105,#REF!,3,FALSE)&gt;($B125-1),'Chief &amp; Hero Data'!$D125,""))</f>
        <v>#REF!</v>
      </c>
    </row>
    <row r="126" spans="2:29" x14ac:dyDescent="0.3">
      <c r="B126" t="s">
        <v>298</v>
      </c>
      <c r="C126">
        <f>SUM(C106:C125)</f>
        <v>2100</v>
      </c>
      <c r="D126">
        <f>SUM(D106:D125)</f>
        <v>55</v>
      </c>
    </row>
    <row r="127" spans="2:29" x14ac:dyDescent="0.3">
      <c r="B127" t="s">
        <v>32</v>
      </c>
      <c r="C127" t="e">
        <f>E127+F127+G127+H127+I127+J127+K127+L127+M127+N127+O127+P127</f>
        <v>#REF!</v>
      </c>
      <c r="E127" t="e">
        <f t="shared" ref="E127:P127" si="116">SUM(E106:E125)</f>
        <v>#REF!</v>
      </c>
      <c r="F127" t="e">
        <f t="shared" si="116"/>
        <v>#REF!</v>
      </c>
      <c r="G127" t="e">
        <f t="shared" si="116"/>
        <v>#REF!</v>
      </c>
      <c r="H127" t="e">
        <f t="shared" si="116"/>
        <v>#REF!</v>
      </c>
      <c r="I127" t="e">
        <f t="shared" si="116"/>
        <v>#REF!</v>
      </c>
      <c r="J127" t="e">
        <f t="shared" si="116"/>
        <v>#REF!</v>
      </c>
      <c r="K127" t="e">
        <f t="shared" si="116"/>
        <v>#REF!</v>
      </c>
      <c r="L127" t="e">
        <f t="shared" si="116"/>
        <v>#REF!</v>
      </c>
      <c r="M127" t="e">
        <f t="shared" si="116"/>
        <v>#REF!</v>
      </c>
      <c r="N127" t="e">
        <f t="shared" si="116"/>
        <v>#REF!</v>
      </c>
      <c r="O127" t="e">
        <f t="shared" si="116"/>
        <v>#REF!</v>
      </c>
      <c r="P127" t="e">
        <f t="shared" si="116"/>
        <v>#REF!</v>
      </c>
      <c r="R127" t="e">
        <f>SUM(R106:R126)</f>
        <v>#REF!</v>
      </c>
      <c r="S127" t="e">
        <f t="shared" ref="S127:AC127" si="117">SUM(S106:S126)</f>
        <v>#REF!</v>
      </c>
      <c r="T127" t="e">
        <f t="shared" si="117"/>
        <v>#REF!</v>
      </c>
      <c r="U127" t="e">
        <f t="shared" si="117"/>
        <v>#REF!</v>
      </c>
      <c r="V127" t="e">
        <f t="shared" si="117"/>
        <v>#REF!</v>
      </c>
      <c r="W127" t="e">
        <f t="shared" si="117"/>
        <v>#REF!</v>
      </c>
      <c r="X127" t="e">
        <f t="shared" si="117"/>
        <v>#REF!</v>
      </c>
      <c r="Y127" t="e">
        <f t="shared" si="117"/>
        <v>#REF!</v>
      </c>
      <c r="Z127" t="e">
        <f t="shared" si="117"/>
        <v>#REF!</v>
      </c>
      <c r="AA127" t="e">
        <f t="shared" si="117"/>
        <v>#REF!</v>
      </c>
      <c r="AB127" t="e">
        <f t="shared" si="117"/>
        <v>#REF!</v>
      </c>
      <c r="AC127" t="e">
        <f t="shared" si="117"/>
        <v>#REF!</v>
      </c>
    </row>
    <row r="129" spans="2:29" x14ac:dyDescent="0.3">
      <c r="B129" s="51" t="s">
        <v>393</v>
      </c>
      <c r="E129" s="376" t="s">
        <v>284</v>
      </c>
      <c r="F129" s="376"/>
      <c r="G129" s="376"/>
      <c r="H129" s="376"/>
      <c r="I129" s="376"/>
      <c r="J129" s="376"/>
      <c r="K129" s="376"/>
      <c r="L129" s="376"/>
      <c r="M129" s="376"/>
      <c r="N129" s="376"/>
      <c r="O129" s="376"/>
      <c r="P129" s="376"/>
      <c r="R129" s="389" t="s">
        <v>285</v>
      </c>
      <c r="S129" s="450"/>
      <c r="T129" s="450"/>
      <c r="U129" s="450"/>
      <c r="V129" s="450"/>
      <c r="W129" s="450"/>
      <c r="X129" s="450"/>
      <c r="Y129" s="450"/>
      <c r="Z129" s="450"/>
      <c r="AA129" s="450"/>
      <c r="AB129" s="450"/>
      <c r="AC129" s="390"/>
    </row>
    <row r="130" spans="2:29" x14ac:dyDescent="0.3">
      <c r="C130" s="1" t="s">
        <v>284</v>
      </c>
      <c r="D130" s="1" t="s">
        <v>285</v>
      </c>
      <c r="E130" t="s">
        <v>380</v>
      </c>
      <c r="F130" t="s">
        <v>381</v>
      </c>
      <c r="G130" t="s">
        <v>382</v>
      </c>
      <c r="H130" t="s">
        <v>383</v>
      </c>
      <c r="I130" t="s">
        <v>384</v>
      </c>
      <c r="J130" t="s">
        <v>385</v>
      </c>
      <c r="K130" t="s">
        <v>386</v>
      </c>
      <c r="L130" t="s">
        <v>387</v>
      </c>
      <c r="M130" t="s">
        <v>388</v>
      </c>
      <c r="N130" t="s">
        <v>389</v>
      </c>
      <c r="O130" t="s">
        <v>390</v>
      </c>
      <c r="P130" t="s">
        <v>391</v>
      </c>
      <c r="R130" t="s">
        <v>380</v>
      </c>
      <c r="S130" t="s">
        <v>381</v>
      </c>
      <c r="T130" t="s">
        <v>382</v>
      </c>
      <c r="U130" t="s">
        <v>383</v>
      </c>
      <c r="V130" t="s">
        <v>384</v>
      </c>
      <c r="W130" t="s">
        <v>385</v>
      </c>
      <c r="X130" t="s">
        <v>386</v>
      </c>
      <c r="Y130" t="s">
        <v>387</v>
      </c>
      <c r="Z130" t="s">
        <v>388</v>
      </c>
      <c r="AA130" t="s">
        <v>389</v>
      </c>
      <c r="AB130" t="s">
        <v>390</v>
      </c>
      <c r="AC130" t="s">
        <v>391</v>
      </c>
    </row>
    <row r="131" spans="2:29" x14ac:dyDescent="0.3">
      <c r="B131">
        <v>1</v>
      </c>
      <c r="C131">
        <v>10</v>
      </c>
      <c r="E131" t="e">
        <f>IF(VLOOKUP(E$130,#REF!,2,FALSE)&gt;($B131-1),"",IF(VLOOKUP(E$130,#REF!,3,FALSE)&gt;($B131-1),'Chief &amp; Hero Data'!$C131,""))</f>
        <v>#REF!</v>
      </c>
      <c r="F131" t="e">
        <f>IF(VLOOKUP(F$130,#REF!,2,FALSE)&gt;($B131-1),"",IF(VLOOKUP(F$130,#REF!,3,FALSE)&gt;($B131-1),'Chief &amp; Hero Data'!$C131,""))</f>
        <v>#REF!</v>
      </c>
      <c r="G131" t="e">
        <f>IF(VLOOKUP(G$130,#REF!,2,FALSE)&gt;($B131-1),"",IF(VLOOKUP(G$130,#REF!,3,FALSE)&gt;($B131-1),'Chief &amp; Hero Data'!$C131,""))</f>
        <v>#REF!</v>
      </c>
      <c r="H131" t="e">
        <f>IF(VLOOKUP(H$130,#REF!,2,FALSE)&gt;($B131-1),"",IF(VLOOKUP(H$130,#REF!,3,FALSE)&gt;($B131-1),'Chief &amp; Hero Data'!$C131,""))</f>
        <v>#REF!</v>
      </c>
      <c r="I131" t="e">
        <f>IF(VLOOKUP(I$130,#REF!,2,FALSE)&gt;($B131-1),"",IF(VLOOKUP(I$130,#REF!,3,FALSE)&gt;($B131-1),'Chief &amp; Hero Data'!$C131,""))</f>
        <v>#REF!</v>
      </c>
      <c r="J131" t="e">
        <f>IF(VLOOKUP(J$130,#REF!,2,FALSE)&gt;($B131-1),"",IF(VLOOKUP(J$130,#REF!,3,FALSE)&gt;($B131-1),'Chief &amp; Hero Data'!$C131,""))</f>
        <v>#REF!</v>
      </c>
      <c r="K131" t="e">
        <f>IF(VLOOKUP(K$130,#REF!,2,FALSE)&gt;($B131-1),"",IF(VLOOKUP(K$130,#REF!,3,FALSE)&gt;($B131-1),'Chief &amp; Hero Data'!$C131,""))</f>
        <v>#REF!</v>
      </c>
      <c r="L131" t="e">
        <f>IF(VLOOKUP(L$130,#REF!,2,FALSE)&gt;($B131-1),"",IF(VLOOKUP(L$130,#REF!,3,FALSE)&gt;($B131-1),'Chief &amp; Hero Data'!$C131,""))</f>
        <v>#REF!</v>
      </c>
      <c r="M131" t="e">
        <f>IF(VLOOKUP(M$130,#REF!,2,FALSE)&gt;($B131-1),"",IF(VLOOKUP(M$130,#REF!,3,FALSE)&gt;($B131-1),'Chief &amp; Hero Data'!$C131,""))</f>
        <v>#REF!</v>
      </c>
      <c r="N131" t="e">
        <f>IF(VLOOKUP(N$130,#REF!,2,FALSE)&gt;($B131-1),"",IF(VLOOKUP(N$130,#REF!,3,FALSE)&gt;($B131-1),'Chief &amp; Hero Data'!$C131,""))</f>
        <v>#REF!</v>
      </c>
      <c r="O131" t="e">
        <f>IF(VLOOKUP(O$130,#REF!,2,FALSE)&gt;($B131-1),"",IF(VLOOKUP(O$130,#REF!,3,FALSE)&gt;($B131-1),'Chief &amp; Hero Data'!$C131,""))</f>
        <v>#REF!</v>
      </c>
      <c r="P131" t="e">
        <f>IF(VLOOKUP(P$130,#REF!,2,FALSE)&gt;($B131-1),"",IF(VLOOKUP(P$130,#REF!,3,FALSE)&gt;($B131-1),'Chief &amp; Hero Data'!$C131,""))</f>
        <v>#REF!</v>
      </c>
    </row>
    <row r="132" spans="2:29" x14ac:dyDescent="0.3">
      <c r="B132">
        <v>2</v>
      </c>
      <c r="C132">
        <v>20</v>
      </c>
      <c r="E132" t="e">
        <f>IF(VLOOKUP(E$130,#REF!,2,FALSE)&gt;($B132-1),"",IF(VLOOKUP(E$130,#REF!,3,FALSE)&gt;($B132-1),'Chief &amp; Hero Data'!$C132,""))</f>
        <v>#REF!</v>
      </c>
      <c r="F132" t="e">
        <f>IF(VLOOKUP(F$130,#REF!,2,FALSE)&gt;($B132-1),"",IF(VLOOKUP(F$130,#REF!,3,FALSE)&gt;($B132-1),'Chief &amp; Hero Data'!$C132,""))</f>
        <v>#REF!</v>
      </c>
      <c r="G132" t="e">
        <f>IF(VLOOKUP(G$130,#REF!,2,FALSE)&gt;($B132-1),"",IF(VLOOKUP(G$130,#REF!,3,FALSE)&gt;($B132-1),'Chief &amp; Hero Data'!$C132,""))</f>
        <v>#REF!</v>
      </c>
      <c r="H132" t="e">
        <f>IF(VLOOKUP(H$130,#REF!,2,FALSE)&gt;($B132-1),"",IF(VLOOKUP(H$130,#REF!,3,FALSE)&gt;($B132-1),'Chief &amp; Hero Data'!$C132,""))</f>
        <v>#REF!</v>
      </c>
      <c r="I132" t="e">
        <f>IF(VLOOKUP(I$130,#REF!,2,FALSE)&gt;($B132-1),"",IF(VLOOKUP(I$130,#REF!,3,FALSE)&gt;($B132-1),'Chief &amp; Hero Data'!$C132,""))</f>
        <v>#REF!</v>
      </c>
      <c r="J132" t="e">
        <f>IF(VLOOKUP(J$130,#REF!,2,FALSE)&gt;($B132-1),"",IF(VLOOKUP(J$130,#REF!,3,FALSE)&gt;($B132-1),'Chief &amp; Hero Data'!$C132,""))</f>
        <v>#REF!</v>
      </c>
      <c r="K132" t="e">
        <f>IF(VLOOKUP(K$130,#REF!,2,FALSE)&gt;($B132-1),"",IF(VLOOKUP(K$130,#REF!,3,FALSE)&gt;($B132-1),'Chief &amp; Hero Data'!$C132,""))</f>
        <v>#REF!</v>
      </c>
      <c r="L132" t="e">
        <f>IF(VLOOKUP(L$130,#REF!,2,FALSE)&gt;($B132-1),"",IF(VLOOKUP(L$130,#REF!,3,FALSE)&gt;($B132-1),'Chief &amp; Hero Data'!$C132,""))</f>
        <v>#REF!</v>
      </c>
      <c r="M132" t="e">
        <f>IF(VLOOKUP(M$130,#REF!,2,FALSE)&gt;($B132-1),"",IF(VLOOKUP(M$130,#REF!,3,FALSE)&gt;($B132-1),'Chief &amp; Hero Data'!$C132,""))</f>
        <v>#REF!</v>
      </c>
      <c r="N132" t="e">
        <f>IF(VLOOKUP(N$130,#REF!,2,FALSE)&gt;($B132-1),"",IF(VLOOKUP(N$130,#REF!,3,FALSE)&gt;($B132-1),'Chief &amp; Hero Data'!$C132,""))</f>
        <v>#REF!</v>
      </c>
      <c r="O132" t="e">
        <f>IF(VLOOKUP(O$130,#REF!,2,FALSE)&gt;($B132-1),"",IF(VLOOKUP(O$130,#REF!,3,FALSE)&gt;($B132-1),'Chief &amp; Hero Data'!$C132,""))</f>
        <v>#REF!</v>
      </c>
      <c r="P132" t="e">
        <f>IF(VLOOKUP(P$130,#REF!,2,FALSE)&gt;($B132-1),"",IF(VLOOKUP(P$130,#REF!,3,FALSE)&gt;($B132-1),'Chief &amp; Hero Data'!$C132,""))</f>
        <v>#REF!</v>
      </c>
    </row>
    <row r="133" spans="2:29" x14ac:dyDescent="0.3">
      <c r="B133">
        <v>3</v>
      </c>
      <c r="C133">
        <v>30</v>
      </c>
      <c r="E133" t="e">
        <f>IF(VLOOKUP(E$130,#REF!,2,FALSE)&gt;($B133-1),"",IF(VLOOKUP(E$130,#REF!,3,FALSE)&gt;($B133-1),'Chief &amp; Hero Data'!$C133,""))</f>
        <v>#REF!</v>
      </c>
      <c r="F133" t="e">
        <f>IF(VLOOKUP(F$130,#REF!,2,FALSE)&gt;($B133-1),"",IF(VLOOKUP(F$130,#REF!,3,FALSE)&gt;($B133-1),'Chief &amp; Hero Data'!$C133,""))</f>
        <v>#REF!</v>
      </c>
      <c r="G133" t="e">
        <f>IF(VLOOKUP(G$130,#REF!,2,FALSE)&gt;($B133-1),"",IF(VLOOKUP(G$130,#REF!,3,FALSE)&gt;($B133-1),'Chief &amp; Hero Data'!$C133,""))</f>
        <v>#REF!</v>
      </c>
      <c r="H133" t="e">
        <f>IF(VLOOKUP(H$130,#REF!,2,FALSE)&gt;($B133-1),"",IF(VLOOKUP(H$130,#REF!,3,FALSE)&gt;($B133-1),'Chief &amp; Hero Data'!$C133,""))</f>
        <v>#REF!</v>
      </c>
      <c r="I133" t="e">
        <f>IF(VLOOKUP(I$130,#REF!,2,FALSE)&gt;($B133-1),"",IF(VLOOKUP(I$130,#REF!,3,FALSE)&gt;($B133-1),'Chief &amp; Hero Data'!$C133,""))</f>
        <v>#REF!</v>
      </c>
      <c r="J133" t="e">
        <f>IF(VLOOKUP(J$130,#REF!,2,FALSE)&gt;($B133-1),"",IF(VLOOKUP(J$130,#REF!,3,FALSE)&gt;($B133-1),'Chief &amp; Hero Data'!$C133,""))</f>
        <v>#REF!</v>
      </c>
      <c r="K133" t="e">
        <f>IF(VLOOKUP(K$130,#REF!,2,FALSE)&gt;($B133-1),"",IF(VLOOKUP(K$130,#REF!,3,FALSE)&gt;($B133-1),'Chief &amp; Hero Data'!$C133,""))</f>
        <v>#REF!</v>
      </c>
      <c r="L133" t="e">
        <f>IF(VLOOKUP(L$130,#REF!,2,FALSE)&gt;($B133-1),"",IF(VLOOKUP(L$130,#REF!,3,FALSE)&gt;($B133-1),'Chief &amp; Hero Data'!$C133,""))</f>
        <v>#REF!</v>
      </c>
      <c r="M133" t="e">
        <f>IF(VLOOKUP(M$130,#REF!,2,FALSE)&gt;($B133-1),"",IF(VLOOKUP(M$130,#REF!,3,FALSE)&gt;($B133-1),'Chief &amp; Hero Data'!$C133,""))</f>
        <v>#REF!</v>
      </c>
      <c r="N133" t="e">
        <f>IF(VLOOKUP(N$130,#REF!,2,FALSE)&gt;($B133-1),"",IF(VLOOKUP(N$130,#REF!,3,FALSE)&gt;($B133-1),'Chief &amp; Hero Data'!$C133,""))</f>
        <v>#REF!</v>
      </c>
      <c r="O133" t="e">
        <f>IF(VLOOKUP(O$130,#REF!,2,FALSE)&gt;($B133-1),"",IF(VLOOKUP(O$130,#REF!,3,FALSE)&gt;($B133-1),'Chief &amp; Hero Data'!$C133,""))</f>
        <v>#REF!</v>
      </c>
      <c r="P133" t="e">
        <f>IF(VLOOKUP(P$130,#REF!,2,FALSE)&gt;($B133-1),"",IF(VLOOKUP(P$130,#REF!,3,FALSE)&gt;($B133-1),'Chief &amp; Hero Data'!$C133,""))</f>
        <v>#REF!</v>
      </c>
    </row>
    <row r="134" spans="2:29" x14ac:dyDescent="0.3">
      <c r="B134">
        <v>4</v>
      </c>
      <c r="C134">
        <v>40</v>
      </c>
      <c r="E134" t="e">
        <f>IF(VLOOKUP(E$130,#REF!,2,FALSE)&gt;($B134-1),"",IF(VLOOKUP(E$130,#REF!,3,FALSE)&gt;($B134-1),'Chief &amp; Hero Data'!$C134,""))</f>
        <v>#REF!</v>
      </c>
      <c r="F134" t="e">
        <f>IF(VLOOKUP(F$130,#REF!,2,FALSE)&gt;($B134-1),"",IF(VLOOKUP(F$130,#REF!,3,FALSE)&gt;($B134-1),'Chief &amp; Hero Data'!$C134,""))</f>
        <v>#REF!</v>
      </c>
      <c r="G134" t="e">
        <f>IF(VLOOKUP(G$130,#REF!,2,FALSE)&gt;($B134-1),"",IF(VLOOKUP(G$130,#REF!,3,FALSE)&gt;($B134-1),'Chief &amp; Hero Data'!$C134,""))</f>
        <v>#REF!</v>
      </c>
      <c r="H134" t="e">
        <f>IF(VLOOKUP(H$130,#REF!,2,FALSE)&gt;($B134-1),"",IF(VLOOKUP(H$130,#REF!,3,FALSE)&gt;($B134-1),'Chief &amp; Hero Data'!$C134,""))</f>
        <v>#REF!</v>
      </c>
      <c r="I134" t="e">
        <f>IF(VLOOKUP(I$130,#REF!,2,FALSE)&gt;($B134-1),"",IF(VLOOKUP(I$130,#REF!,3,FALSE)&gt;($B134-1),'Chief &amp; Hero Data'!$C134,""))</f>
        <v>#REF!</v>
      </c>
      <c r="J134" t="e">
        <f>IF(VLOOKUP(J$130,#REF!,2,FALSE)&gt;($B134-1),"",IF(VLOOKUP(J$130,#REF!,3,FALSE)&gt;($B134-1),'Chief &amp; Hero Data'!$C134,""))</f>
        <v>#REF!</v>
      </c>
      <c r="K134" t="e">
        <f>IF(VLOOKUP(K$130,#REF!,2,FALSE)&gt;($B134-1),"",IF(VLOOKUP(K$130,#REF!,3,FALSE)&gt;($B134-1),'Chief &amp; Hero Data'!$C134,""))</f>
        <v>#REF!</v>
      </c>
      <c r="L134" t="e">
        <f>IF(VLOOKUP(L$130,#REF!,2,FALSE)&gt;($B134-1),"",IF(VLOOKUP(L$130,#REF!,3,FALSE)&gt;($B134-1),'Chief &amp; Hero Data'!$C134,""))</f>
        <v>#REF!</v>
      </c>
      <c r="M134" t="e">
        <f>IF(VLOOKUP(M$130,#REF!,2,FALSE)&gt;($B134-1),"",IF(VLOOKUP(M$130,#REF!,3,FALSE)&gt;($B134-1),'Chief &amp; Hero Data'!$C134,""))</f>
        <v>#REF!</v>
      </c>
      <c r="N134" t="e">
        <f>IF(VLOOKUP(N$130,#REF!,2,FALSE)&gt;($B134-1),"",IF(VLOOKUP(N$130,#REF!,3,FALSE)&gt;($B134-1),'Chief &amp; Hero Data'!$C134,""))</f>
        <v>#REF!</v>
      </c>
      <c r="O134" t="e">
        <f>IF(VLOOKUP(O$130,#REF!,2,FALSE)&gt;($B134-1),"",IF(VLOOKUP(O$130,#REF!,3,FALSE)&gt;($B134-1),'Chief &amp; Hero Data'!$C134,""))</f>
        <v>#REF!</v>
      </c>
      <c r="P134" t="e">
        <f>IF(VLOOKUP(P$130,#REF!,2,FALSE)&gt;($B134-1),"",IF(VLOOKUP(P$130,#REF!,3,FALSE)&gt;($B134-1),'Chief &amp; Hero Data'!$C134,""))</f>
        <v>#REF!</v>
      </c>
    </row>
    <row r="135" spans="2:29" x14ac:dyDescent="0.3">
      <c r="B135">
        <v>5</v>
      </c>
      <c r="C135">
        <v>50</v>
      </c>
      <c r="E135" t="e">
        <f>IF(VLOOKUP(E$130,#REF!,2,FALSE)&gt;($B135-1),"",IF(VLOOKUP(E$130,#REF!,3,FALSE)&gt;($B135-1),'Chief &amp; Hero Data'!$C135,""))</f>
        <v>#REF!</v>
      </c>
      <c r="F135" t="e">
        <f>IF(VLOOKUP(F$130,#REF!,2,FALSE)&gt;($B135-1),"",IF(VLOOKUP(F$130,#REF!,3,FALSE)&gt;($B135-1),'Chief &amp; Hero Data'!$C135,""))</f>
        <v>#REF!</v>
      </c>
      <c r="G135" t="e">
        <f>IF(VLOOKUP(G$130,#REF!,2,FALSE)&gt;($B135-1),"",IF(VLOOKUP(G$130,#REF!,3,FALSE)&gt;($B135-1),'Chief &amp; Hero Data'!$C135,""))</f>
        <v>#REF!</v>
      </c>
      <c r="H135" t="e">
        <f>IF(VLOOKUP(H$130,#REF!,2,FALSE)&gt;($B135-1),"",IF(VLOOKUP(H$130,#REF!,3,FALSE)&gt;($B135-1),'Chief &amp; Hero Data'!$C135,""))</f>
        <v>#REF!</v>
      </c>
      <c r="I135" t="e">
        <f>IF(VLOOKUP(I$130,#REF!,2,FALSE)&gt;($B135-1),"",IF(VLOOKUP(I$130,#REF!,3,FALSE)&gt;($B135-1),'Chief &amp; Hero Data'!$C135,""))</f>
        <v>#REF!</v>
      </c>
      <c r="J135" t="e">
        <f>IF(VLOOKUP(J$130,#REF!,2,FALSE)&gt;($B135-1),"",IF(VLOOKUP(J$130,#REF!,3,FALSE)&gt;($B135-1),'Chief &amp; Hero Data'!$C135,""))</f>
        <v>#REF!</v>
      </c>
      <c r="K135" t="e">
        <f>IF(VLOOKUP(K$130,#REF!,2,FALSE)&gt;($B135-1),"",IF(VLOOKUP(K$130,#REF!,3,FALSE)&gt;($B135-1),'Chief &amp; Hero Data'!$C135,""))</f>
        <v>#REF!</v>
      </c>
      <c r="L135" t="e">
        <f>IF(VLOOKUP(L$130,#REF!,2,FALSE)&gt;($B135-1),"",IF(VLOOKUP(L$130,#REF!,3,FALSE)&gt;($B135-1),'Chief &amp; Hero Data'!$C135,""))</f>
        <v>#REF!</v>
      </c>
      <c r="M135" t="e">
        <f>IF(VLOOKUP(M$130,#REF!,2,FALSE)&gt;($B135-1),"",IF(VLOOKUP(M$130,#REF!,3,FALSE)&gt;($B135-1),'Chief &amp; Hero Data'!$C135,""))</f>
        <v>#REF!</v>
      </c>
      <c r="N135" t="e">
        <f>IF(VLOOKUP(N$130,#REF!,2,FALSE)&gt;($B135-1),"",IF(VLOOKUP(N$130,#REF!,3,FALSE)&gt;($B135-1),'Chief &amp; Hero Data'!$C135,""))</f>
        <v>#REF!</v>
      </c>
      <c r="O135" t="e">
        <f>IF(VLOOKUP(O$130,#REF!,2,FALSE)&gt;($B135-1),"",IF(VLOOKUP(O$130,#REF!,3,FALSE)&gt;($B135-1),'Chief &amp; Hero Data'!$C135,""))</f>
        <v>#REF!</v>
      </c>
      <c r="P135" t="e">
        <f>IF(VLOOKUP(P$130,#REF!,2,FALSE)&gt;($B135-1),"",IF(VLOOKUP(P$130,#REF!,3,FALSE)&gt;($B135-1),'Chief &amp; Hero Data'!$C135,""))</f>
        <v>#REF!</v>
      </c>
    </row>
    <row r="136" spans="2:29" x14ac:dyDescent="0.3">
      <c r="B136">
        <v>6</v>
      </c>
      <c r="C136">
        <v>60</v>
      </c>
      <c r="E136" t="e">
        <f>IF(VLOOKUP(E$130,#REF!,2,FALSE)&gt;($B136-1),"",IF(VLOOKUP(E$130,#REF!,3,FALSE)&gt;($B136-1),'Chief &amp; Hero Data'!$C136,""))</f>
        <v>#REF!</v>
      </c>
      <c r="F136" t="e">
        <f>IF(VLOOKUP(F$130,#REF!,2,FALSE)&gt;($B136-1),"",IF(VLOOKUP(F$130,#REF!,3,FALSE)&gt;($B136-1),'Chief &amp; Hero Data'!$C136,""))</f>
        <v>#REF!</v>
      </c>
      <c r="G136" t="e">
        <f>IF(VLOOKUP(G$130,#REF!,2,FALSE)&gt;($B136-1),"",IF(VLOOKUP(G$130,#REF!,3,FALSE)&gt;($B136-1),'Chief &amp; Hero Data'!$C136,""))</f>
        <v>#REF!</v>
      </c>
      <c r="H136" t="e">
        <f>IF(VLOOKUP(H$130,#REF!,2,FALSE)&gt;($B136-1),"",IF(VLOOKUP(H$130,#REF!,3,FALSE)&gt;($B136-1),'Chief &amp; Hero Data'!$C136,""))</f>
        <v>#REF!</v>
      </c>
      <c r="I136" t="e">
        <f>IF(VLOOKUP(I$130,#REF!,2,FALSE)&gt;($B136-1),"",IF(VLOOKUP(I$130,#REF!,3,FALSE)&gt;($B136-1),'Chief &amp; Hero Data'!$C136,""))</f>
        <v>#REF!</v>
      </c>
      <c r="J136" t="e">
        <f>IF(VLOOKUP(J$130,#REF!,2,FALSE)&gt;($B136-1),"",IF(VLOOKUP(J$130,#REF!,3,FALSE)&gt;($B136-1),'Chief &amp; Hero Data'!$C136,""))</f>
        <v>#REF!</v>
      </c>
      <c r="K136" t="e">
        <f>IF(VLOOKUP(K$130,#REF!,2,FALSE)&gt;($B136-1),"",IF(VLOOKUP(K$130,#REF!,3,FALSE)&gt;($B136-1),'Chief &amp; Hero Data'!$C136,""))</f>
        <v>#REF!</v>
      </c>
      <c r="L136" t="e">
        <f>IF(VLOOKUP(L$130,#REF!,2,FALSE)&gt;($B136-1),"",IF(VLOOKUP(L$130,#REF!,3,FALSE)&gt;($B136-1),'Chief &amp; Hero Data'!$C136,""))</f>
        <v>#REF!</v>
      </c>
      <c r="M136" t="e">
        <f>IF(VLOOKUP(M$130,#REF!,2,FALSE)&gt;($B136-1),"",IF(VLOOKUP(M$130,#REF!,3,FALSE)&gt;($B136-1),'Chief &amp; Hero Data'!$C136,""))</f>
        <v>#REF!</v>
      </c>
      <c r="N136" t="e">
        <f>IF(VLOOKUP(N$130,#REF!,2,FALSE)&gt;($B136-1),"",IF(VLOOKUP(N$130,#REF!,3,FALSE)&gt;($B136-1),'Chief &amp; Hero Data'!$C136,""))</f>
        <v>#REF!</v>
      </c>
      <c r="O136" t="e">
        <f>IF(VLOOKUP(O$130,#REF!,2,FALSE)&gt;($B136-1),"",IF(VLOOKUP(O$130,#REF!,3,FALSE)&gt;($B136-1),'Chief &amp; Hero Data'!$C136,""))</f>
        <v>#REF!</v>
      </c>
      <c r="P136" t="e">
        <f>IF(VLOOKUP(P$130,#REF!,2,FALSE)&gt;($B136-1),"",IF(VLOOKUP(P$130,#REF!,3,FALSE)&gt;($B136-1),'Chief &amp; Hero Data'!$C136,""))</f>
        <v>#REF!</v>
      </c>
    </row>
    <row r="137" spans="2:29" x14ac:dyDescent="0.3">
      <c r="B137">
        <v>7</v>
      </c>
      <c r="C137">
        <v>70</v>
      </c>
      <c r="E137" t="e">
        <f>IF(VLOOKUP(E$130,#REF!,2,FALSE)&gt;($B137-1),"",IF(VLOOKUP(E$130,#REF!,3,FALSE)&gt;($B137-1),'Chief &amp; Hero Data'!$C137,""))</f>
        <v>#REF!</v>
      </c>
      <c r="F137" t="e">
        <f>IF(VLOOKUP(F$130,#REF!,2,FALSE)&gt;($B137-1),"",IF(VLOOKUP(F$130,#REF!,3,FALSE)&gt;($B137-1),'Chief &amp; Hero Data'!$C137,""))</f>
        <v>#REF!</v>
      </c>
      <c r="G137" t="e">
        <f>IF(VLOOKUP(G$130,#REF!,2,FALSE)&gt;($B137-1),"",IF(VLOOKUP(G$130,#REF!,3,FALSE)&gt;($B137-1),'Chief &amp; Hero Data'!$C137,""))</f>
        <v>#REF!</v>
      </c>
      <c r="H137" t="e">
        <f>IF(VLOOKUP(H$130,#REF!,2,FALSE)&gt;($B137-1),"",IF(VLOOKUP(H$130,#REF!,3,FALSE)&gt;($B137-1),'Chief &amp; Hero Data'!$C137,""))</f>
        <v>#REF!</v>
      </c>
      <c r="I137" t="e">
        <f>IF(VLOOKUP(I$130,#REF!,2,FALSE)&gt;($B137-1),"",IF(VLOOKUP(I$130,#REF!,3,FALSE)&gt;($B137-1),'Chief &amp; Hero Data'!$C137,""))</f>
        <v>#REF!</v>
      </c>
      <c r="J137" t="e">
        <f>IF(VLOOKUP(J$130,#REF!,2,FALSE)&gt;($B137-1),"",IF(VLOOKUP(J$130,#REF!,3,FALSE)&gt;($B137-1),'Chief &amp; Hero Data'!$C137,""))</f>
        <v>#REF!</v>
      </c>
      <c r="K137" t="e">
        <f>IF(VLOOKUP(K$130,#REF!,2,FALSE)&gt;($B137-1),"",IF(VLOOKUP(K$130,#REF!,3,FALSE)&gt;($B137-1),'Chief &amp; Hero Data'!$C137,""))</f>
        <v>#REF!</v>
      </c>
      <c r="L137" t="e">
        <f>IF(VLOOKUP(L$130,#REF!,2,FALSE)&gt;($B137-1),"",IF(VLOOKUP(L$130,#REF!,3,FALSE)&gt;($B137-1),'Chief &amp; Hero Data'!$C137,""))</f>
        <v>#REF!</v>
      </c>
      <c r="M137" t="e">
        <f>IF(VLOOKUP(M$130,#REF!,2,FALSE)&gt;($B137-1),"",IF(VLOOKUP(M$130,#REF!,3,FALSE)&gt;($B137-1),'Chief &amp; Hero Data'!$C137,""))</f>
        <v>#REF!</v>
      </c>
      <c r="N137" t="e">
        <f>IF(VLOOKUP(N$130,#REF!,2,FALSE)&gt;($B137-1),"",IF(VLOOKUP(N$130,#REF!,3,FALSE)&gt;($B137-1),'Chief &amp; Hero Data'!$C137,""))</f>
        <v>#REF!</v>
      </c>
      <c r="O137" t="e">
        <f>IF(VLOOKUP(O$130,#REF!,2,FALSE)&gt;($B137-1),"",IF(VLOOKUP(O$130,#REF!,3,FALSE)&gt;($B137-1),'Chief &amp; Hero Data'!$C137,""))</f>
        <v>#REF!</v>
      </c>
      <c r="P137" t="e">
        <f>IF(VLOOKUP(P$130,#REF!,2,FALSE)&gt;($B137-1),"",IF(VLOOKUP(P$130,#REF!,3,FALSE)&gt;($B137-1),'Chief &amp; Hero Data'!$C137,""))</f>
        <v>#REF!</v>
      </c>
    </row>
    <row r="138" spans="2:29" x14ac:dyDescent="0.3">
      <c r="B138">
        <v>8</v>
      </c>
      <c r="C138">
        <v>80</v>
      </c>
      <c r="E138" t="e">
        <f>IF(VLOOKUP(E$130,#REF!,2,FALSE)&gt;($B138-1),"",IF(VLOOKUP(E$130,#REF!,3,FALSE)&gt;($B138-1),'Chief &amp; Hero Data'!$C138,""))</f>
        <v>#REF!</v>
      </c>
      <c r="F138" t="e">
        <f>IF(VLOOKUP(F$130,#REF!,2,FALSE)&gt;($B138-1),"",IF(VLOOKUP(F$130,#REF!,3,FALSE)&gt;($B138-1),'Chief &amp; Hero Data'!$C138,""))</f>
        <v>#REF!</v>
      </c>
      <c r="G138" t="e">
        <f>IF(VLOOKUP(G$130,#REF!,2,FALSE)&gt;($B138-1),"",IF(VLOOKUP(G$130,#REF!,3,FALSE)&gt;($B138-1),'Chief &amp; Hero Data'!$C138,""))</f>
        <v>#REF!</v>
      </c>
      <c r="H138" t="e">
        <f>IF(VLOOKUP(H$130,#REF!,2,FALSE)&gt;($B138-1),"",IF(VLOOKUP(H$130,#REF!,3,FALSE)&gt;($B138-1),'Chief &amp; Hero Data'!$C138,""))</f>
        <v>#REF!</v>
      </c>
      <c r="I138" t="e">
        <f>IF(VLOOKUP(I$130,#REF!,2,FALSE)&gt;($B138-1),"",IF(VLOOKUP(I$130,#REF!,3,FALSE)&gt;($B138-1),'Chief &amp; Hero Data'!$C138,""))</f>
        <v>#REF!</v>
      </c>
      <c r="J138" t="e">
        <f>IF(VLOOKUP(J$130,#REF!,2,FALSE)&gt;($B138-1),"",IF(VLOOKUP(J$130,#REF!,3,FALSE)&gt;($B138-1),'Chief &amp; Hero Data'!$C138,""))</f>
        <v>#REF!</v>
      </c>
      <c r="K138" t="e">
        <f>IF(VLOOKUP(K$130,#REF!,2,FALSE)&gt;($B138-1),"",IF(VLOOKUP(K$130,#REF!,3,FALSE)&gt;($B138-1),'Chief &amp; Hero Data'!$C138,""))</f>
        <v>#REF!</v>
      </c>
      <c r="L138" t="e">
        <f>IF(VLOOKUP(L$130,#REF!,2,FALSE)&gt;($B138-1),"",IF(VLOOKUP(L$130,#REF!,3,FALSE)&gt;($B138-1),'Chief &amp; Hero Data'!$C138,""))</f>
        <v>#REF!</v>
      </c>
      <c r="M138" t="e">
        <f>IF(VLOOKUP(M$130,#REF!,2,FALSE)&gt;($B138-1),"",IF(VLOOKUP(M$130,#REF!,3,FALSE)&gt;($B138-1),'Chief &amp; Hero Data'!$C138,""))</f>
        <v>#REF!</v>
      </c>
      <c r="N138" t="e">
        <f>IF(VLOOKUP(N$130,#REF!,2,FALSE)&gt;($B138-1),"",IF(VLOOKUP(N$130,#REF!,3,FALSE)&gt;($B138-1),'Chief &amp; Hero Data'!$C138,""))</f>
        <v>#REF!</v>
      </c>
      <c r="O138" t="e">
        <f>IF(VLOOKUP(O$130,#REF!,2,FALSE)&gt;($B138-1),"",IF(VLOOKUP(O$130,#REF!,3,FALSE)&gt;($B138-1),'Chief &amp; Hero Data'!$C138,""))</f>
        <v>#REF!</v>
      </c>
      <c r="P138" t="e">
        <f>IF(VLOOKUP(P$130,#REF!,2,FALSE)&gt;($B138-1),"",IF(VLOOKUP(P$130,#REF!,3,FALSE)&gt;($B138-1),'Chief &amp; Hero Data'!$C138,""))</f>
        <v>#REF!</v>
      </c>
    </row>
    <row r="139" spans="2:29" x14ac:dyDescent="0.3">
      <c r="B139">
        <v>9</v>
      </c>
      <c r="C139">
        <v>90</v>
      </c>
      <c r="E139" t="e">
        <f>IF(VLOOKUP(E$130,#REF!,2,FALSE)&gt;($B139-1),"",IF(VLOOKUP(E$130,#REF!,3,FALSE)&gt;($B139-1),'Chief &amp; Hero Data'!$C139,""))</f>
        <v>#REF!</v>
      </c>
      <c r="F139" t="e">
        <f>IF(VLOOKUP(F$130,#REF!,2,FALSE)&gt;($B139-1),"",IF(VLOOKUP(F$130,#REF!,3,FALSE)&gt;($B139-1),'Chief &amp; Hero Data'!$C139,""))</f>
        <v>#REF!</v>
      </c>
      <c r="G139" t="e">
        <f>IF(VLOOKUP(G$130,#REF!,2,FALSE)&gt;($B139-1),"",IF(VLOOKUP(G$130,#REF!,3,FALSE)&gt;($B139-1),'Chief &amp; Hero Data'!$C139,""))</f>
        <v>#REF!</v>
      </c>
      <c r="H139" t="e">
        <f>IF(VLOOKUP(H$130,#REF!,2,FALSE)&gt;($B139-1),"",IF(VLOOKUP(H$130,#REF!,3,FALSE)&gt;($B139-1),'Chief &amp; Hero Data'!$C139,""))</f>
        <v>#REF!</v>
      </c>
      <c r="I139" t="e">
        <f>IF(VLOOKUP(I$130,#REF!,2,FALSE)&gt;($B139-1),"",IF(VLOOKUP(I$130,#REF!,3,FALSE)&gt;($B139-1),'Chief &amp; Hero Data'!$C139,""))</f>
        <v>#REF!</v>
      </c>
      <c r="J139" t="e">
        <f>IF(VLOOKUP(J$130,#REF!,2,FALSE)&gt;($B139-1),"",IF(VLOOKUP(J$130,#REF!,3,FALSE)&gt;($B139-1),'Chief &amp; Hero Data'!$C139,""))</f>
        <v>#REF!</v>
      </c>
      <c r="K139" t="e">
        <f>IF(VLOOKUP(K$130,#REF!,2,FALSE)&gt;($B139-1),"",IF(VLOOKUP(K$130,#REF!,3,FALSE)&gt;($B139-1),'Chief &amp; Hero Data'!$C139,""))</f>
        <v>#REF!</v>
      </c>
      <c r="L139" t="e">
        <f>IF(VLOOKUP(L$130,#REF!,2,FALSE)&gt;($B139-1),"",IF(VLOOKUP(L$130,#REF!,3,FALSE)&gt;($B139-1),'Chief &amp; Hero Data'!$C139,""))</f>
        <v>#REF!</v>
      </c>
      <c r="M139" t="e">
        <f>IF(VLOOKUP(M$130,#REF!,2,FALSE)&gt;($B139-1),"",IF(VLOOKUP(M$130,#REF!,3,FALSE)&gt;($B139-1),'Chief &amp; Hero Data'!$C139,""))</f>
        <v>#REF!</v>
      </c>
      <c r="N139" t="e">
        <f>IF(VLOOKUP(N$130,#REF!,2,FALSE)&gt;($B139-1),"",IF(VLOOKUP(N$130,#REF!,3,FALSE)&gt;($B139-1),'Chief &amp; Hero Data'!$C139,""))</f>
        <v>#REF!</v>
      </c>
      <c r="O139" t="e">
        <f>IF(VLOOKUP(O$130,#REF!,2,FALSE)&gt;($B139-1),"",IF(VLOOKUP(O$130,#REF!,3,FALSE)&gt;($B139-1),'Chief &amp; Hero Data'!$C139,""))</f>
        <v>#REF!</v>
      </c>
      <c r="P139" t="e">
        <f>IF(VLOOKUP(P$130,#REF!,2,FALSE)&gt;($B139-1),"",IF(VLOOKUP(P$130,#REF!,3,FALSE)&gt;($B139-1),'Chief &amp; Hero Data'!$C139,""))</f>
        <v>#REF!</v>
      </c>
    </row>
    <row r="140" spans="2:29" x14ac:dyDescent="0.3">
      <c r="B140">
        <v>10</v>
      </c>
      <c r="C140">
        <v>100</v>
      </c>
      <c r="E140" t="e">
        <f>IF(VLOOKUP(E$130,#REF!,2,FALSE)&gt;($B140-1),"",IF(VLOOKUP(E$130,#REF!,3,FALSE)&gt;($B140-1),'Chief &amp; Hero Data'!$C140,""))</f>
        <v>#REF!</v>
      </c>
      <c r="F140" t="e">
        <f>IF(VLOOKUP(F$130,#REF!,2,FALSE)&gt;($B140-1),"",IF(VLOOKUP(F$130,#REF!,3,FALSE)&gt;($B140-1),'Chief &amp; Hero Data'!$C140,""))</f>
        <v>#REF!</v>
      </c>
      <c r="G140" t="e">
        <f>IF(VLOOKUP(G$130,#REF!,2,FALSE)&gt;($B140-1),"",IF(VLOOKUP(G$130,#REF!,3,FALSE)&gt;($B140-1),'Chief &amp; Hero Data'!$C140,""))</f>
        <v>#REF!</v>
      </c>
      <c r="H140" t="e">
        <f>IF(VLOOKUP(H$130,#REF!,2,FALSE)&gt;($B140-1),"",IF(VLOOKUP(H$130,#REF!,3,FALSE)&gt;($B140-1),'Chief &amp; Hero Data'!$C140,""))</f>
        <v>#REF!</v>
      </c>
      <c r="I140" t="e">
        <f>IF(VLOOKUP(I$130,#REF!,2,FALSE)&gt;($B140-1),"",IF(VLOOKUP(I$130,#REF!,3,FALSE)&gt;($B140-1),'Chief &amp; Hero Data'!$C140,""))</f>
        <v>#REF!</v>
      </c>
      <c r="J140" t="e">
        <f>IF(VLOOKUP(J$130,#REF!,2,FALSE)&gt;($B140-1),"",IF(VLOOKUP(J$130,#REF!,3,FALSE)&gt;($B140-1),'Chief &amp; Hero Data'!$C140,""))</f>
        <v>#REF!</v>
      </c>
      <c r="K140" t="e">
        <f>IF(VLOOKUP(K$130,#REF!,2,FALSE)&gt;($B140-1),"",IF(VLOOKUP(K$130,#REF!,3,FALSE)&gt;($B140-1),'Chief &amp; Hero Data'!$C140,""))</f>
        <v>#REF!</v>
      </c>
      <c r="L140" t="e">
        <f>IF(VLOOKUP(L$130,#REF!,2,FALSE)&gt;($B140-1),"",IF(VLOOKUP(L$130,#REF!,3,FALSE)&gt;($B140-1),'Chief &amp; Hero Data'!$C140,""))</f>
        <v>#REF!</v>
      </c>
      <c r="M140" t="e">
        <f>IF(VLOOKUP(M$130,#REF!,2,FALSE)&gt;($B140-1),"",IF(VLOOKUP(M$130,#REF!,3,FALSE)&gt;($B140-1),'Chief &amp; Hero Data'!$C140,""))</f>
        <v>#REF!</v>
      </c>
      <c r="N140" t="e">
        <f>IF(VLOOKUP(N$130,#REF!,2,FALSE)&gt;($B140-1),"",IF(VLOOKUP(N$130,#REF!,3,FALSE)&gt;($B140-1),'Chief &amp; Hero Data'!$C140,""))</f>
        <v>#REF!</v>
      </c>
      <c r="O140" t="e">
        <f>IF(VLOOKUP(O$130,#REF!,2,FALSE)&gt;($B140-1),"",IF(VLOOKUP(O$130,#REF!,3,FALSE)&gt;($B140-1),'Chief &amp; Hero Data'!$C140,""))</f>
        <v>#REF!</v>
      </c>
      <c r="P140" t="e">
        <f>IF(VLOOKUP(P$130,#REF!,2,FALSE)&gt;($B140-1),"",IF(VLOOKUP(P$130,#REF!,3,FALSE)&gt;($B140-1),'Chief &amp; Hero Data'!$C140,""))</f>
        <v>#REF!</v>
      </c>
    </row>
    <row r="141" spans="2:29" x14ac:dyDescent="0.3">
      <c r="B141">
        <v>11</v>
      </c>
      <c r="C141">
        <v>110</v>
      </c>
      <c r="D141">
        <v>1</v>
      </c>
      <c r="E141" t="e">
        <f>IF(VLOOKUP(E$130,#REF!,2,FALSE)&gt;($B141-1),"",IF(VLOOKUP(E$130,#REF!,3,FALSE)&gt;($B141-1),'Chief &amp; Hero Data'!$C141,""))</f>
        <v>#REF!</v>
      </c>
      <c r="F141" t="e">
        <f>IF(VLOOKUP(F$130,#REF!,2,FALSE)&gt;($B141-1),"",IF(VLOOKUP(F$130,#REF!,3,FALSE)&gt;($B141-1),'Chief &amp; Hero Data'!$C141,""))</f>
        <v>#REF!</v>
      </c>
      <c r="G141" t="e">
        <f>IF(VLOOKUP(G$130,#REF!,2,FALSE)&gt;($B141-1),"",IF(VLOOKUP(G$130,#REF!,3,FALSE)&gt;($B141-1),'Chief &amp; Hero Data'!$C141,""))</f>
        <v>#REF!</v>
      </c>
      <c r="H141" t="e">
        <f>IF(VLOOKUP(H$130,#REF!,2,FALSE)&gt;($B141-1),"",IF(VLOOKUP(H$130,#REF!,3,FALSE)&gt;($B141-1),'Chief &amp; Hero Data'!$C141,""))</f>
        <v>#REF!</v>
      </c>
      <c r="I141" t="e">
        <f>IF(VLOOKUP(I$130,#REF!,2,FALSE)&gt;($B141-1),"",IF(VLOOKUP(I$130,#REF!,3,FALSE)&gt;($B141-1),'Chief &amp; Hero Data'!$C141,""))</f>
        <v>#REF!</v>
      </c>
      <c r="J141" t="e">
        <f>IF(VLOOKUP(J$130,#REF!,2,FALSE)&gt;($B141-1),"",IF(VLOOKUP(J$130,#REF!,3,FALSE)&gt;($B141-1),'Chief &amp; Hero Data'!$C141,""))</f>
        <v>#REF!</v>
      </c>
      <c r="K141" t="e">
        <f>IF(VLOOKUP(K$130,#REF!,2,FALSE)&gt;($B141-1),"",IF(VLOOKUP(K$130,#REF!,3,FALSE)&gt;($B141-1),'Chief &amp; Hero Data'!$C141,""))</f>
        <v>#REF!</v>
      </c>
      <c r="L141" t="e">
        <f>IF(VLOOKUP(L$130,#REF!,2,FALSE)&gt;($B141-1),"",IF(VLOOKUP(L$130,#REF!,3,FALSE)&gt;($B141-1),'Chief &amp; Hero Data'!$C141,""))</f>
        <v>#REF!</v>
      </c>
      <c r="M141" t="e">
        <f>IF(VLOOKUP(M$130,#REF!,2,FALSE)&gt;($B141-1),"",IF(VLOOKUP(M$130,#REF!,3,FALSE)&gt;($B141-1),'Chief &amp; Hero Data'!$C141,""))</f>
        <v>#REF!</v>
      </c>
      <c r="N141" t="e">
        <f>IF(VLOOKUP(N$130,#REF!,2,FALSE)&gt;($B141-1),"",IF(VLOOKUP(N$130,#REF!,3,FALSE)&gt;($B141-1),'Chief &amp; Hero Data'!$C141,""))</f>
        <v>#REF!</v>
      </c>
      <c r="O141" t="e">
        <f>IF(VLOOKUP(O$130,#REF!,2,FALSE)&gt;($B141-1),"",IF(VLOOKUP(O$130,#REF!,3,FALSE)&gt;($B141-1),'Chief &amp; Hero Data'!$C141,""))</f>
        <v>#REF!</v>
      </c>
      <c r="P141" t="e">
        <f>IF(VLOOKUP(P$130,#REF!,2,FALSE)&gt;($B141-1),"",IF(VLOOKUP(P$130,#REF!,3,FALSE)&gt;($B141-1),'Chief &amp; Hero Data'!$C141,""))</f>
        <v>#REF!</v>
      </c>
      <c r="R141" t="e">
        <f>IF(VLOOKUP(R$130,#REF!,2,FALSE)&gt;($B141-1),"",IF(VLOOKUP(R$130,#REF!,3,FALSE)&gt;($B141-1),'Chief &amp; Hero Data'!$D141,""))</f>
        <v>#REF!</v>
      </c>
      <c r="S141" t="e">
        <f>IF(VLOOKUP(S$130,#REF!,2,FALSE)&gt;($B141-1),"",IF(VLOOKUP(S$130,#REF!,3,FALSE)&gt;($B141-1),'Chief &amp; Hero Data'!$D141,""))</f>
        <v>#REF!</v>
      </c>
      <c r="T141" t="e">
        <f>IF(VLOOKUP(T$130,#REF!,2,FALSE)&gt;($B141-1),"",IF(VLOOKUP(T$130,#REF!,3,FALSE)&gt;($B141-1),'Chief &amp; Hero Data'!$D141,""))</f>
        <v>#REF!</v>
      </c>
      <c r="U141" t="e">
        <f>IF(VLOOKUP(U$130,#REF!,2,FALSE)&gt;($B141-1),"",IF(VLOOKUP(U$130,#REF!,3,FALSE)&gt;($B141-1),'Chief &amp; Hero Data'!$D141,""))</f>
        <v>#REF!</v>
      </c>
      <c r="V141" t="e">
        <f>IF(VLOOKUP(V$130,#REF!,2,FALSE)&gt;($B141-1),"",IF(VLOOKUP(V$130,#REF!,3,FALSE)&gt;($B141-1),'Chief &amp; Hero Data'!$D141,""))</f>
        <v>#REF!</v>
      </c>
      <c r="W141" t="e">
        <f>IF(VLOOKUP(W$130,#REF!,2,FALSE)&gt;($B141-1),"",IF(VLOOKUP(W$130,#REF!,3,FALSE)&gt;($B141-1),'Chief &amp; Hero Data'!$D141,""))</f>
        <v>#REF!</v>
      </c>
      <c r="X141" t="e">
        <f>IF(VLOOKUP(X$130,#REF!,2,FALSE)&gt;($B141-1),"",IF(VLOOKUP(X$130,#REF!,3,FALSE)&gt;($B141-1),'Chief &amp; Hero Data'!$D141,""))</f>
        <v>#REF!</v>
      </c>
      <c r="Y141" t="e">
        <f>IF(VLOOKUP(Y$130,#REF!,2,FALSE)&gt;($B141-1),"",IF(VLOOKUP(Y$130,#REF!,3,FALSE)&gt;($B141-1),'Chief &amp; Hero Data'!$D141,""))</f>
        <v>#REF!</v>
      </c>
      <c r="Z141" t="e">
        <f>IF(VLOOKUP(Z$130,#REF!,2,FALSE)&gt;($B141-1),"",IF(VLOOKUP(Z$130,#REF!,3,FALSE)&gt;($B141-1),'Chief &amp; Hero Data'!$D141,""))</f>
        <v>#REF!</v>
      </c>
      <c r="AA141" t="e">
        <f>IF(VLOOKUP(AA$130,#REF!,2,FALSE)&gt;($B141-1),"",IF(VLOOKUP(AA$130,#REF!,3,FALSE)&gt;($B141-1),'Chief &amp; Hero Data'!$D141,""))</f>
        <v>#REF!</v>
      </c>
      <c r="AB141" t="e">
        <f>IF(VLOOKUP(AB$130,#REF!,2,FALSE)&gt;($B141-1),"",IF(VLOOKUP(AB$130,#REF!,3,FALSE)&gt;($B141-1),'Chief &amp; Hero Data'!$D141,""))</f>
        <v>#REF!</v>
      </c>
      <c r="AC141" t="e">
        <f>IF(VLOOKUP(AC$130,#REF!,2,FALSE)&gt;($B141-1),"",IF(VLOOKUP(AC$130,#REF!,3,FALSE)&gt;($B141-1),'Chief &amp; Hero Data'!$D141,""))</f>
        <v>#REF!</v>
      </c>
    </row>
    <row r="142" spans="2:29" x14ac:dyDescent="0.3">
      <c r="B142">
        <v>12</v>
      </c>
      <c r="C142">
        <v>120</v>
      </c>
      <c r="D142">
        <v>2</v>
      </c>
      <c r="E142" t="e">
        <f>IF(VLOOKUP(E$130,#REF!,2,FALSE)&gt;($B142-1),"",IF(VLOOKUP(E$130,#REF!,3,FALSE)&gt;($B142-1),'Chief &amp; Hero Data'!$C142,""))</f>
        <v>#REF!</v>
      </c>
      <c r="F142" t="e">
        <f>IF(VLOOKUP(F$130,#REF!,2,FALSE)&gt;($B142-1),"",IF(VLOOKUP(F$130,#REF!,3,FALSE)&gt;($B142-1),'Chief &amp; Hero Data'!$C142,""))</f>
        <v>#REF!</v>
      </c>
      <c r="G142" t="e">
        <f>IF(VLOOKUP(G$130,#REF!,2,FALSE)&gt;($B142-1),"",IF(VLOOKUP(G$130,#REF!,3,FALSE)&gt;($B142-1),'Chief &amp; Hero Data'!$C142,""))</f>
        <v>#REF!</v>
      </c>
      <c r="H142" t="e">
        <f>IF(VLOOKUP(H$130,#REF!,2,FALSE)&gt;($B142-1),"",IF(VLOOKUP(H$130,#REF!,3,FALSE)&gt;($B142-1),'Chief &amp; Hero Data'!$C142,""))</f>
        <v>#REF!</v>
      </c>
      <c r="I142" t="e">
        <f>IF(VLOOKUP(I$130,#REF!,2,FALSE)&gt;($B142-1),"",IF(VLOOKUP(I$130,#REF!,3,FALSE)&gt;($B142-1),'Chief &amp; Hero Data'!$C142,""))</f>
        <v>#REF!</v>
      </c>
      <c r="J142" t="e">
        <f>IF(VLOOKUP(J$130,#REF!,2,FALSE)&gt;($B142-1),"",IF(VLOOKUP(J$130,#REF!,3,FALSE)&gt;($B142-1),'Chief &amp; Hero Data'!$C142,""))</f>
        <v>#REF!</v>
      </c>
      <c r="K142" t="e">
        <f>IF(VLOOKUP(K$130,#REF!,2,FALSE)&gt;($B142-1),"",IF(VLOOKUP(K$130,#REF!,3,FALSE)&gt;($B142-1),'Chief &amp; Hero Data'!$C142,""))</f>
        <v>#REF!</v>
      </c>
      <c r="L142" t="e">
        <f>IF(VLOOKUP(L$130,#REF!,2,FALSE)&gt;($B142-1),"",IF(VLOOKUP(L$130,#REF!,3,FALSE)&gt;($B142-1),'Chief &amp; Hero Data'!$C142,""))</f>
        <v>#REF!</v>
      </c>
      <c r="M142" t="e">
        <f>IF(VLOOKUP(M$130,#REF!,2,FALSE)&gt;($B142-1),"",IF(VLOOKUP(M$130,#REF!,3,FALSE)&gt;($B142-1),'Chief &amp; Hero Data'!$C142,""))</f>
        <v>#REF!</v>
      </c>
      <c r="N142" t="e">
        <f>IF(VLOOKUP(N$130,#REF!,2,FALSE)&gt;($B142-1),"",IF(VLOOKUP(N$130,#REF!,3,FALSE)&gt;($B142-1),'Chief &amp; Hero Data'!$C142,""))</f>
        <v>#REF!</v>
      </c>
      <c r="O142" t="e">
        <f>IF(VLOOKUP(O$130,#REF!,2,FALSE)&gt;($B142-1),"",IF(VLOOKUP(O$130,#REF!,3,FALSE)&gt;($B142-1),'Chief &amp; Hero Data'!$C142,""))</f>
        <v>#REF!</v>
      </c>
      <c r="P142" t="e">
        <f>IF(VLOOKUP(P$130,#REF!,2,FALSE)&gt;($B142-1),"",IF(VLOOKUP(P$130,#REF!,3,FALSE)&gt;($B142-1),'Chief &amp; Hero Data'!$C142,""))</f>
        <v>#REF!</v>
      </c>
      <c r="R142" t="e">
        <f>IF(VLOOKUP(R$130,#REF!,2,FALSE)&gt;($B142-1),"",IF(VLOOKUP(R$130,#REF!,3,FALSE)&gt;($B142-1),'Chief &amp; Hero Data'!$D142,""))</f>
        <v>#REF!</v>
      </c>
      <c r="S142" t="e">
        <f>IF(VLOOKUP(S$130,#REF!,2,FALSE)&gt;($B142-1),"",IF(VLOOKUP(S$130,#REF!,3,FALSE)&gt;($B142-1),'Chief &amp; Hero Data'!$D142,""))</f>
        <v>#REF!</v>
      </c>
      <c r="T142" t="e">
        <f>IF(VLOOKUP(T$130,#REF!,2,FALSE)&gt;($B142-1),"",IF(VLOOKUP(T$130,#REF!,3,FALSE)&gt;($B142-1),'Chief &amp; Hero Data'!$D142,""))</f>
        <v>#REF!</v>
      </c>
      <c r="U142" t="e">
        <f>IF(VLOOKUP(U$130,#REF!,2,FALSE)&gt;($B142-1),"",IF(VLOOKUP(U$130,#REF!,3,FALSE)&gt;($B142-1),'Chief &amp; Hero Data'!$D142,""))</f>
        <v>#REF!</v>
      </c>
      <c r="V142" t="e">
        <f>IF(VLOOKUP(V$130,#REF!,2,FALSE)&gt;($B142-1),"",IF(VLOOKUP(V$130,#REF!,3,FALSE)&gt;($B142-1),'Chief &amp; Hero Data'!$D142,""))</f>
        <v>#REF!</v>
      </c>
      <c r="W142" t="e">
        <f>IF(VLOOKUP(W$130,#REF!,2,FALSE)&gt;($B142-1),"",IF(VLOOKUP(W$130,#REF!,3,FALSE)&gt;($B142-1),'Chief &amp; Hero Data'!$D142,""))</f>
        <v>#REF!</v>
      </c>
      <c r="X142" t="e">
        <f>IF(VLOOKUP(X$130,#REF!,2,FALSE)&gt;($B142-1),"",IF(VLOOKUP(X$130,#REF!,3,FALSE)&gt;($B142-1),'Chief &amp; Hero Data'!$D142,""))</f>
        <v>#REF!</v>
      </c>
      <c r="Y142" t="e">
        <f>IF(VLOOKUP(Y$130,#REF!,2,FALSE)&gt;($B142-1),"",IF(VLOOKUP(Y$130,#REF!,3,FALSE)&gt;($B142-1),'Chief &amp; Hero Data'!$D142,""))</f>
        <v>#REF!</v>
      </c>
      <c r="Z142" t="e">
        <f>IF(VLOOKUP(Z$130,#REF!,2,FALSE)&gt;($B142-1),"",IF(VLOOKUP(Z$130,#REF!,3,FALSE)&gt;($B142-1),'Chief &amp; Hero Data'!$D142,""))</f>
        <v>#REF!</v>
      </c>
      <c r="AA142" t="e">
        <f>IF(VLOOKUP(AA$130,#REF!,2,FALSE)&gt;($B142-1),"",IF(VLOOKUP(AA$130,#REF!,3,FALSE)&gt;($B142-1),'Chief &amp; Hero Data'!$D142,""))</f>
        <v>#REF!</v>
      </c>
      <c r="AB142" t="e">
        <f>IF(VLOOKUP(AB$130,#REF!,2,FALSE)&gt;($B142-1),"",IF(VLOOKUP(AB$130,#REF!,3,FALSE)&gt;($B142-1),'Chief &amp; Hero Data'!$D142,""))</f>
        <v>#REF!</v>
      </c>
      <c r="AC142" t="e">
        <f>IF(VLOOKUP(AC$130,#REF!,2,FALSE)&gt;($B142-1),"",IF(VLOOKUP(AC$130,#REF!,3,FALSE)&gt;($B142-1),'Chief &amp; Hero Data'!$D142,""))</f>
        <v>#REF!</v>
      </c>
    </row>
    <row r="143" spans="2:29" x14ac:dyDescent="0.3">
      <c r="B143">
        <v>13</v>
      </c>
      <c r="C143">
        <v>130</v>
      </c>
      <c r="D143">
        <v>3</v>
      </c>
      <c r="E143" t="e">
        <f>IF(VLOOKUP(E$130,#REF!,2,FALSE)&gt;($B143-1),"",IF(VLOOKUP(E$130,#REF!,3,FALSE)&gt;($B143-1),'Chief &amp; Hero Data'!$C143,""))</f>
        <v>#REF!</v>
      </c>
      <c r="F143" t="e">
        <f>IF(VLOOKUP(F$130,#REF!,2,FALSE)&gt;($B143-1),"",IF(VLOOKUP(F$130,#REF!,3,FALSE)&gt;($B143-1),'Chief &amp; Hero Data'!$C143,""))</f>
        <v>#REF!</v>
      </c>
      <c r="G143" t="e">
        <f>IF(VLOOKUP(G$130,#REF!,2,FALSE)&gt;($B143-1),"",IF(VLOOKUP(G$130,#REF!,3,FALSE)&gt;($B143-1),'Chief &amp; Hero Data'!$C143,""))</f>
        <v>#REF!</v>
      </c>
      <c r="H143" t="e">
        <f>IF(VLOOKUP(H$130,#REF!,2,FALSE)&gt;($B143-1),"",IF(VLOOKUP(H$130,#REF!,3,FALSE)&gt;($B143-1),'Chief &amp; Hero Data'!$C143,""))</f>
        <v>#REF!</v>
      </c>
      <c r="I143" t="e">
        <f>IF(VLOOKUP(I$130,#REF!,2,FALSE)&gt;($B143-1),"",IF(VLOOKUP(I$130,#REF!,3,FALSE)&gt;($B143-1),'Chief &amp; Hero Data'!$C143,""))</f>
        <v>#REF!</v>
      </c>
      <c r="J143" t="e">
        <f>IF(VLOOKUP(J$130,#REF!,2,FALSE)&gt;($B143-1),"",IF(VLOOKUP(J$130,#REF!,3,FALSE)&gt;($B143-1),'Chief &amp; Hero Data'!$C143,""))</f>
        <v>#REF!</v>
      </c>
      <c r="K143" t="e">
        <f>IF(VLOOKUP(K$130,#REF!,2,FALSE)&gt;($B143-1),"",IF(VLOOKUP(K$130,#REF!,3,FALSE)&gt;($B143-1),'Chief &amp; Hero Data'!$C143,""))</f>
        <v>#REF!</v>
      </c>
      <c r="L143" t="e">
        <f>IF(VLOOKUP(L$130,#REF!,2,FALSE)&gt;($B143-1),"",IF(VLOOKUP(L$130,#REF!,3,FALSE)&gt;($B143-1),'Chief &amp; Hero Data'!$C143,""))</f>
        <v>#REF!</v>
      </c>
      <c r="M143" t="e">
        <f>IF(VLOOKUP(M$130,#REF!,2,FALSE)&gt;($B143-1),"",IF(VLOOKUP(M$130,#REF!,3,FALSE)&gt;($B143-1),'Chief &amp; Hero Data'!$C143,""))</f>
        <v>#REF!</v>
      </c>
      <c r="N143" t="e">
        <f>IF(VLOOKUP(N$130,#REF!,2,FALSE)&gt;($B143-1),"",IF(VLOOKUP(N$130,#REF!,3,FALSE)&gt;($B143-1),'Chief &amp; Hero Data'!$C143,""))</f>
        <v>#REF!</v>
      </c>
      <c r="O143" t="e">
        <f>IF(VLOOKUP(O$130,#REF!,2,FALSE)&gt;($B143-1),"",IF(VLOOKUP(O$130,#REF!,3,FALSE)&gt;($B143-1),'Chief &amp; Hero Data'!$C143,""))</f>
        <v>#REF!</v>
      </c>
      <c r="P143" t="e">
        <f>IF(VLOOKUP(P$130,#REF!,2,FALSE)&gt;($B143-1),"",IF(VLOOKUP(P$130,#REF!,3,FALSE)&gt;($B143-1),'Chief &amp; Hero Data'!$C143,""))</f>
        <v>#REF!</v>
      </c>
      <c r="R143" t="e">
        <f>IF(VLOOKUP(R$130,#REF!,2,FALSE)&gt;($B143-1),"",IF(VLOOKUP(R$130,#REF!,3,FALSE)&gt;($B143-1),'Chief &amp; Hero Data'!$D143,""))</f>
        <v>#REF!</v>
      </c>
      <c r="S143" t="e">
        <f>IF(VLOOKUP(S$130,#REF!,2,FALSE)&gt;($B143-1),"",IF(VLOOKUP(S$130,#REF!,3,FALSE)&gt;($B143-1),'Chief &amp; Hero Data'!$D143,""))</f>
        <v>#REF!</v>
      </c>
      <c r="T143" t="e">
        <f>IF(VLOOKUP(T$130,#REF!,2,FALSE)&gt;($B143-1),"",IF(VLOOKUP(T$130,#REF!,3,FALSE)&gt;($B143-1),'Chief &amp; Hero Data'!$D143,""))</f>
        <v>#REF!</v>
      </c>
      <c r="U143" t="e">
        <f>IF(VLOOKUP(U$130,#REF!,2,FALSE)&gt;($B143-1),"",IF(VLOOKUP(U$130,#REF!,3,FALSE)&gt;($B143-1),'Chief &amp; Hero Data'!$D143,""))</f>
        <v>#REF!</v>
      </c>
      <c r="V143" t="e">
        <f>IF(VLOOKUP(V$130,#REF!,2,FALSE)&gt;($B143-1),"",IF(VLOOKUP(V$130,#REF!,3,FALSE)&gt;($B143-1),'Chief &amp; Hero Data'!$D143,""))</f>
        <v>#REF!</v>
      </c>
      <c r="W143" t="e">
        <f>IF(VLOOKUP(W$130,#REF!,2,FALSE)&gt;($B143-1),"",IF(VLOOKUP(W$130,#REF!,3,FALSE)&gt;($B143-1),'Chief &amp; Hero Data'!$D143,""))</f>
        <v>#REF!</v>
      </c>
      <c r="X143" t="e">
        <f>IF(VLOOKUP(X$130,#REF!,2,FALSE)&gt;($B143-1),"",IF(VLOOKUP(X$130,#REF!,3,FALSE)&gt;($B143-1),'Chief &amp; Hero Data'!$D143,""))</f>
        <v>#REF!</v>
      </c>
      <c r="Y143" t="e">
        <f>IF(VLOOKUP(Y$130,#REF!,2,FALSE)&gt;($B143-1),"",IF(VLOOKUP(Y$130,#REF!,3,FALSE)&gt;($B143-1),'Chief &amp; Hero Data'!$D143,""))</f>
        <v>#REF!</v>
      </c>
      <c r="Z143" t="e">
        <f>IF(VLOOKUP(Z$130,#REF!,2,FALSE)&gt;($B143-1),"",IF(VLOOKUP(Z$130,#REF!,3,FALSE)&gt;($B143-1),'Chief &amp; Hero Data'!$D143,""))</f>
        <v>#REF!</v>
      </c>
      <c r="AA143" t="e">
        <f>IF(VLOOKUP(AA$130,#REF!,2,FALSE)&gt;($B143-1),"",IF(VLOOKUP(AA$130,#REF!,3,FALSE)&gt;($B143-1),'Chief &amp; Hero Data'!$D143,""))</f>
        <v>#REF!</v>
      </c>
      <c r="AB143" t="e">
        <f>IF(VLOOKUP(AB$130,#REF!,2,FALSE)&gt;($B143-1),"",IF(VLOOKUP(AB$130,#REF!,3,FALSE)&gt;($B143-1),'Chief &amp; Hero Data'!$D143,""))</f>
        <v>#REF!</v>
      </c>
      <c r="AC143" t="e">
        <f>IF(VLOOKUP(AC$130,#REF!,2,FALSE)&gt;($B143-1),"",IF(VLOOKUP(AC$130,#REF!,3,FALSE)&gt;($B143-1),'Chief &amp; Hero Data'!$D143,""))</f>
        <v>#REF!</v>
      </c>
    </row>
    <row r="144" spans="2:29" x14ac:dyDescent="0.3">
      <c r="B144">
        <v>14</v>
      </c>
      <c r="C144">
        <v>140</v>
      </c>
      <c r="D144">
        <v>4</v>
      </c>
      <c r="E144" t="e">
        <f>IF(VLOOKUP(E$130,#REF!,2,FALSE)&gt;($B144-1),"",IF(VLOOKUP(E$130,#REF!,3,FALSE)&gt;($B144-1),'Chief &amp; Hero Data'!$C144,""))</f>
        <v>#REF!</v>
      </c>
      <c r="F144" t="e">
        <f>IF(VLOOKUP(F$130,#REF!,2,FALSE)&gt;($B144-1),"",IF(VLOOKUP(F$130,#REF!,3,FALSE)&gt;($B144-1),'Chief &amp; Hero Data'!$C144,""))</f>
        <v>#REF!</v>
      </c>
      <c r="G144" t="e">
        <f>IF(VLOOKUP(G$130,#REF!,2,FALSE)&gt;($B144-1),"",IF(VLOOKUP(G$130,#REF!,3,FALSE)&gt;($B144-1),'Chief &amp; Hero Data'!$C144,""))</f>
        <v>#REF!</v>
      </c>
      <c r="H144" t="e">
        <f>IF(VLOOKUP(H$130,#REF!,2,FALSE)&gt;($B144-1),"",IF(VLOOKUP(H$130,#REF!,3,FALSE)&gt;($B144-1),'Chief &amp; Hero Data'!$C144,""))</f>
        <v>#REF!</v>
      </c>
      <c r="I144" t="e">
        <f>IF(VLOOKUP(I$130,#REF!,2,FALSE)&gt;($B144-1),"",IF(VLOOKUP(I$130,#REF!,3,FALSE)&gt;($B144-1),'Chief &amp; Hero Data'!$C144,""))</f>
        <v>#REF!</v>
      </c>
      <c r="J144" t="e">
        <f>IF(VLOOKUP(J$130,#REF!,2,FALSE)&gt;($B144-1),"",IF(VLOOKUP(J$130,#REF!,3,FALSE)&gt;($B144-1),'Chief &amp; Hero Data'!$C144,""))</f>
        <v>#REF!</v>
      </c>
      <c r="K144" t="e">
        <f>IF(VLOOKUP(K$130,#REF!,2,FALSE)&gt;($B144-1),"",IF(VLOOKUP(K$130,#REF!,3,FALSE)&gt;($B144-1),'Chief &amp; Hero Data'!$C144,""))</f>
        <v>#REF!</v>
      </c>
      <c r="L144" t="e">
        <f>IF(VLOOKUP(L$130,#REF!,2,FALSE)&gt;($B144-1),"",IF(VLOOKUP(L$130,#REF!,3,FALSE)&gt;($B144-1),'Chief &amp; Hero Data'!$C144,""))</f>
        <v>#REF!</v>
      </c>
      <c r="M144" t="e">
        <f>IF(VLOOKUP(M$130,#REF!,2,FALSE)&gt;($B144-1),"",IF(VLOOKUP(M$130,#REF!,3,FALSE)&gt;($B144-1),'Chief &amp; Hero Data'!$C144,""))</f>
        <v>#REF!</v>
      </c>
      <c r="N144" t="e">
        <f>IF(VLOOKUP(N$130,#REF!,2,FALSE)&gt;($B144-1),"",IF(VLOOKUP(N$130,#REF!,3,FALSE)&gt;($B144-1),'Chief &amp; Hero Data'!$C144,""))</f>
        <v>#REF!</v>
      </c>
      <c r="O144" t="e">
        <f>IF(VLOOKUP(O$130,#REF!,2,FALSE)&gt;($B144-1),"",IF(VLOOKUP(O$130,#REF!,3,FALSE)&gt;($B144-1),'Chief &amp; Hero Data'!$C144,""))</f>
        <v>#REF!</v>
      </c>
      <c r="P144" t="e">
        <f>IF(VLOOKUP(P$130,#REF!,2,FALSE)&gt;($B144-1),"",IF(VLOOKUP(P$130,#REF!,3,FALSE)&gt;($B144-1),'Chief &amp; Hero Data'!$C144,""))</f>
        <v>#REF!</v>
      </c>
      <c r="R144" t="e">
        <f>IF(VLOOKUP(R$130,#REF!,2,FALSE)&gt;($B144-1),"",IF(VLOOKUP(R$130,#REF!,3,FALSE)&gt;($B144-1),'Chief &amp; Hero Data'!$D144,""))</f>
        <v>#REF!</v>
      </c>
      <c r="S144" t="e">
        <f>IF(VLOOKUP(S$130,#REF!,2,FALSE)&gt;($B144-1),"",IF(VLOOKUP(S$130,#REF!,3,FALSE)&gt;($B144-1),'Chief &amp; Hero Data'!$D144,""))</f>
        <v>#REF!</v>
      </c>
      <c r="T144" t="e">
        <f>IF(VLOOKUP(T$130,#REF!,2,FALSE)&gt;($B144-1),"",IF(VLOOKUP(T$130,#REF!,3,FALSE)&gt;($B144-1),'Chief &amp; Hero Data'!$D144,""))</f>
        <v>#REF!</v>
      </c>
      <c r="U144" t="e">
        <f>IF(VLOOKUP(U$130,#REF!,2,FALSE)&gt;($B144-1),"",IF(VLOOKUP(U$130,#REF!,3,FALSE)&gt;($B144-1),'Chief &amp; Hero Data'!$D144,""))</f>
        <v>#REF!</v>
      </c>
      <c r="V144" t="e">
        <f>IF(VLOOKUP(V$130,#REF!,2,FALSE)&gt;($B144-1),"",IF(VLOOKUP(V$130,#REF!,3,FALSE)&gt;($B144-1),'Chief &amp; Hero Data'!$D144,""))</f>
        <v>#REF!</v>
      </c>
      <c r="W144" t="e">
        <f>IF(VLOOKUP(W$130,#REF!,2,FALSE)&gt;($B144-1),"",IF(VLOOKUP(W$130,#REF!,3,FALSE)&gt;($B144-1),'Chief &amp; Hero Data'!$D144,""))</f>
        <v>#REF!</v>
      </c>
      <c r="X144" t="e">
        <f>IF(VLOOKUP(X$130,#REF!,2,FALSE)&gt;($B144-1),"",IF(VLOOKUP(X$130,#REF!,3,FALSE)&gt;($B144-1),'Chief &amp; Hero Data'!$D144,""))</f>
        <v>#REF!</v>
      </c>
      <c r="Y144" t="e">
        <f>IF(VLOOKUP(Y$130,#REF!,2,FALSE)&gt;($B144-1),"",IF(VLOOKUP(Y$130,#REF!,3,FALSE)&gt;($B144-1),'Chief &amp; Hero Data'!$D144,""))</f>
        <v>#REF!</v>
      </c>
      <c r="Z144" t="e">
        <f>IF(VLOOKUP(Z$130,#REF!,2,FALSE)&gt;($B144-1),"",IF(VLOOKUP(Z$130,#REF!,3,FALSE)&gt;($B144-1),'Chief &amp; Hero Data'!$D144,""))</f>
        <v>#REF!</v>
      </c>
      <c r="AA144" t="e">
        <f>IF(VLOOKUP(AA$130,#REF!,2,FALSE)&gt;($B144-1),"",IF(VLOOKUP(AA$130,#REF!,3,FALSE)&gt;($B144-1),'Chief &amp; Hero Data'!$D144,""))</f>
        <v>#REF!</v>
      </c>
      <c r="AB144" t="e">
        <f>IF(VLOOKUP(AB$130,#REF!,2,FALSE)&gt;($B144-1),"",IF(VLOOKUP(AB$130,#REF!,3,FALSE)&gt;($B144-1),'Chief &amp; Hero Data'!$D144,""))</f>
        <v>#REF!</v>
      </c>
      <c r="AC144" t="e">
        <f>IF(VLOOKUP(AC$130,#REF!,2,FALSE)&gt;($B144-1),"",IF(VLOOKUP(AC$130,#REF!,3,FALSE)&gt;($B144-1),'Chief &amp; Hero Data'!$D144,""))</f>
        <v>#REF!</v>
      </c>
    </row>
    <row r="145" spans="2:29" x14ac:dyDescent="0.3">
      <c r="B145">
        <v>15</v>
      </c>
      <c r="C145">
        <v>150</v>
      </c>
      <c r="D145">
        <v>5</v>
      </c>
      <c r="E145" t="e">
        <f>IF(VLOOKUP(E$130,#REF!,2,FALSE)&gt;($B145-1),"",IF(VLOOKUP(E$130,#REF!,3,FALSE)&gt;($B145-1),'Chief &amp; Hero Data'!$C145,""))</f>
        <v>#REF!</v>
      </c>
      <c r="F145" t="e">
        <f>IF(VLOOKUP(F$130,#REF!,2,FALSE)&gt;($B145-1),"",IF(VLOOKUP(F$130,#REF!,3,FALSE)&gt;($B145-1),'Chief &amp; Hero Data'!$C145,""))</f>
        <v>#REF!</v>
      </c>
      <c r="G145" t="e">
        <f>IF(VLOOKUP(G$130,#REF!,2,FALSE)&gt;($B145-1),"",IF(VLOOKUP(G$130,#REF!,3,FALSE)&gt;($B145-1),'Chief &amp; Hero Data'!$C145,""))</f>
        <v>#REF!</v>
      </c>
      <c r="H145" t="e">
        <f>IF(VLOOKUP(H$130,#REF!,2,FALSE)&gt;($B145-1),"",IF(VLOOKUP(H$130,#REF!,3,FALSE)&gt;($B145-1),'Chief &amp; Hero Data'!$C145,""))</f>
        <v>#REF!</v>
      </c>
      <c r="I145" t="e">
        <f>IF(VLOOKUP(I$130,#REF!,2,FALSE)&gt;($B145-1),"",IF(VLOOKUP(I$130,#REF!,3,FALSE)&gt;($B145-1),'Chief &amp; Hero Data'!$C145,""))</f>
        <v>#REF!</v>
      </c>
      <c r="J145" t="e">
        <f>IF(VLOOKUP(J$130,#REF!,2,FALSE)&gt;($B145-1),"",IF(VLOOKUP(J$130,#REF!,3,FALSE)&gt;($B145-1),'Chief &amp; Hero Data'!$C145,""))</f>
        <v>#REF!</v>
      </c>
      <c r="K145" t="e">
        <f>IF(VLOOKUP(K$130,#REF!,2,FALSE)&gt;($B145-1),"",IF(VLOOKUP(K$130,#REF!,3,FALSE)&gt;($B145-1),'Chief &amp; Hero Data'!$C145,""))</f>
        <v>#REF!</v>
      </c>
      <c r="L145" t="e">
        <f>IF(VLOOKUP(L$130,#REF!,2,FALSE)&gt;($B145-1),"",IF(VLOOKUP(L$130,#REF!,3,FALSE)&gt;($B145-1),'Chief &amp; Hero Data'!$C145,""))</f>
        <v>#REF!</v>
      </c>
      <c r="M145" t="e">
        <f>IF(VLOOKUP(M$130,#REF!,2,FALSE)&gt;($B145-1),"",IF(VLOOKUP(M$130,#REF!,3,FALSE)&gt;($B145-1),'Chief &amp; Hero Data'!$C145,""))</f>
        <v>#REF!</v>
      </c>
      <c r="N145" t="e">
        <f>IF(VLOOKUP(N$130,#REF!,2,FALSE)&gt;($B145-1),"",IF(VLOOKUP(N$130,#REF!,3,FALSE)&gt;($B145-1),'Chief &amp; Hero Data'!$C145,""))</f>
        <v>#REF!</v>
      </c>
      <c r="O145" t="e">
        <f>IF(VLOOKUP(O$130,#REF!,2,FALSE)&gt;($B145-1),"",IF(VLOOKUP(O$130,#REF!,3,FALSE)&gt;($B145-1),'Chief &amp; Hero Data'!$C145,""))</f>
        <v>#REF!</v>
      </c>
      <c r="P145" t="e">
        <f>IF(VLOOKUP(P$130,#REF!,2,FALSE)&gt;($B145-1),"",IF(VLOOKUP(P$130,#REF!,3,FALSE)&gt;($B145-1),'Chief &amp; Hero Data'!$C145,""))</f>
        <v>#REF!</v>
      </c>
      <c r="R145" t="e">
        <f>IF(VLOOKUP(R$130,#REF!,2,FALSE)&gt;($B145-1),"",IF(VLOOKUP(R$130,#REF!,3,FALSE)&gt;($B145-1),'Chief &amp; Hero Data'!$D145,""))</f>
        <v>#REF!</v>
      </c>
      <c r="S145" t="e">
        <f>IF(VLOOKUP(S$130,#REF!,2,FALSE)&gt;($B145-1),"",IF(VLOOKUP(S$130,#REF!,3,FALSE)&gt;($B145-1),'Chief &amp; Hero Data'!$D145,""))</f>
        <v>#REF!</v>
      </c>
      <c r="T145" t="e">
        <f>IF(VLOOKUP(T$130,#REF!,2,FALSE)&gt;($B145-1),"",IF(VLOOKUP(T$130,#REF!,3,FALSE)&gt;($B145-1),'Chief &amp; Hero Data'!$D145,""))</f>
        <v>#REF!</v>
      </c>
      <c r="U145" t="e">
        <f>IF(VLOOKUP(U$130,#REF!,2,FALSE)&gt;($B145-1),"",IF(VLOOKUP(U$130,#REF!,3,FALSE)&gt;($B145-1),'Chief &amp; Hero Data'!$D145,""))</f>
        <v>#REF!</v>
      </c>
      <c r="V145" t="e">
        <f>IF(VLOOKUP(V$130,#REF!,2,FALSE)&gt;($B145-1),"",IF(VLOOKUP(V$130,#REF!,3,FALSE)&gt;($B145-1),'Chief &amp; Hero Data'!$D145,""))</f>
        <v>#REF!</v>
      </c>
      <c r="W145" t="e">
        <f>IF(VLOOKUP(W$130,#REF!,2,FALSE)&gt;($B145-1),"",IF(VLOOKUP(W$130,#REF!,3,FALSE)&gt;($B145-1),'Chief &amp; Hero Data'!$D145,""))</f>
        <v>#REF!</v>
      </c>
      <c r="X145" t="e">
        <f>IF(VLOOKUP(X$130,#REF!,2,FALSE)&gt;($B145-1),"",IF(VLOOKUP(X$130,#REF!,3,FALSE)&gt;($B145-1),'Chief &amp; Hero Data'!$D145,""))</f>
        <v>#REF!</v>
      </c>
      <c r="Y145" t="e">
        <f>IF(VLOOKUP(Y$130,#REF!,2,FALSE)&gt;($B145-1),"",IF(VLOOKUP(Y$130,#REF!,3,FALSE)&gt;($B145-1),'Chief &amp; Hero Data'!$D145,""))</f>
        <v>#REF!</v>
      </c>
      <c r="Z145" t="e">
        <f>IF(VLOOKUP(Z$130,#REF!,2,FALSE)&gt;($B145-1),"",IF(VLOOKUP(Z$130,#REF!,3,FALSE)&gt;($B145-1),'Chief &amp; Hero Data'!$D145,""))</f>
        <v>#REF!</v>
      </c>
      <c r="AA145" t="e">
        <f>IF(VLOOKUP(AA$130,#REF!,2,FALSE)&gt;($B145-1),"",IF(VLOOKUP(AA$130,#REF!,3,FALSE)&gt;($B145-1),'Chief &amp; Hero Data'!$D145,""))</f>
        <v>#REF!</v>
      </c>
      <c r="AB145" t="e">
        <f>IF(VLOOKUP(AB$130,#REF!,2,FALSE)&gt;($B145-1),"",IF(VLOOKUP(AB$130,#REF!,3,FALSE)&gt;($B145-1),'Chief &amp; Hero Data'!$D145,""))</f>
        <v>#REF!</v>
      </c>
      <c r="AC145" t="e">
        <f>IF(VLOOKUP(AC$130,#REF!,2,FALSE)&gt;($B145-1),"",IF(VLOOKUP(AC$130,#REF!,3,FALSE)&gt;($B145-1),'Chief &amp; Hero Data'!$D145,""))</f>
        <v>#REF!</v>
      </c>
    </row>
    <row r="146" spans="2:29" x14ac:dyDescent="0.3">
      <c r="B146">
        <v>16</v>
      </c>
      <c r="C146">
        <v>160</v>
      </c>
      <c r="D146">
        <v>6</v>
      </c>
      <c r="E146" t="e">
        <f>IF(VLOOKUP(E$130,#REF!,2,FALSE)&gt;($B146-1),"",IF(VLOOKUP(E$130,#REF!,3,FALSE)&gt;($B146-1),'Chief &amp; Hero Data'!$C146,""))</f>
        <v>#REF!</v>
      </c>
      <c r="F146" t="e">
        <f>IF(VLOOKUP(F$130,#REF!,2,FALSE)&gt;($B146-1),"",IF(VLOOKUP(F$130,#REF!,3,FALSE)&gt;($B146-1),'Chief &amp; Hero Data'!$C146,""))</f>
        <v>#REF!</v>
      </c>
      <c r="G146" t="e">
        <f>IF(VLOOKUP(G$130,#REF!,2,FALSE)&gt;($B146-1),"",IF(VLOOKUP(G$130,#REF!,3,FALSE)&gt;($B146-1),'Chief &amp; Hero Data'!$C146,""))</f>
        <v>#REF!</v>
      </c>
      <c r="H146" t="e">
        <f>IF(VLOOKUP(H$130,#REF!,2,FALSE)&gt;($B146-1),"",IF(VLOOKUP(H$130,#REF!,3,FALSE)&gt;($B146-1),'Chief &amp; Hero Data'!$C146,""))</f>
        <v>#REF!</v>
      </c>
      <c r="I146" t="e">
        <f>IF(VLOOKUP(I$130,#REF!,2,FALSE)&gt;($B146-1),"",IF(VLOOKUP(I$130,#REF!,3,FALSE)&gt;($B146-1),'Chief &amp; Hero Data'!$C146,""))</f>
        <v>#REF!</v>
      </c>
      <c r="J146" t="e">
        <f>IF(VLOOKUP(J$130,#REF!,2,FALSE)&gt;($B146-1),"",IF(VLOOKUP(J$130,#REF!,3,FALSE)&gt;($B146-1),'Chief &amp; Hero Data'!$C146,""))</f>
        <v>#REF!</v>
      </c>
      <c r="K146" t="e">
        <f>IF(VLOOKUP(K$130,#REF!,2,FALSE)&gt;($B146-1),"",IF(VLOOKUP(K$130,#REF!,3,FALSE)&gt;($B146-1),'Chief &amp; Hero Data'!$C146,""))</f>
        <v>#REF!</v>
      </c>
      <c r="L146" t="e">
        <f>IF(VLOOKUP(L$130,#REF!,2,FALSE)&gt;($B146-1),"",IF(VLOOKUP(L$130,#REF!,3,FALSE)&gt;($B146-1),'Chief &amp; Hero Data'!$C146,""))</f>
        <v>#REF!</v>
      </c>
      <c r="M146" t="e">
        <f>IF(VLOOKUP(M$130,#REF!,2,FALSE)&gt;($B146-1),"",IF(VLOOKUP(M$130,#REF!,3,FALSE)&gt;($B146-1),'Chief &amp; Hero Data'!$C146,""))</f>
        <v>#REF!</v>
      </c>
      <c r="N146" t="e">
        <f>IF(VLOOKUP(N$130,#REF!,2,FALSE)&gt;($B146-1),"",IF(VLOOKUP(N$130,#REF!,3,FALSE)&gt;($B146-1),'Chief &amp; Hero Data'!$C146,""))</f>
        <v>#REF!</v>
      </c>
      <c r="O146" t="e">
        <f>IF(VLOOKUP(O$130,#REF!,2,FALSE)&gt;($B146-1),"",IF(VLOOKUP(O$130,#REF!,3,FALSE)&gt;($B146-1),'Chief &amp; Hero Data'!$C146,""))</f>
        <v>#REF!</v>
      </c>
      <c r="P146" t="e">
        <f>IF(VLOOKUP(P$130,#REF!,2,FALSE)&gt;($B146-1),"",IF(VLOOKUP(P$130,#REF!,3,FALSE)&gt;($B146-1),'Chief &amp; Hero Data'!$C146,""))</f>
        <v>#REF!</v>
      </c>
      <c r="R146" t="e">
        <f>IF(VLOOKUP(R$130,#REF!,2,FALSE)&gt;($B146-1),"",IF(VLOOKUP(R$130,#REF!,3,FALSE)&gt;($B146-1),'Chief &amp; Hero Data'!$D146,""))</f>
        <v>#REF!</v>
      </c>
      <c r="S146" t="e">
        <f>IF(VLOOKUP(S$130,#REF!,2,FALSE)&gt;($B146-1),"",IF(VLOOKUP(S$130,#REF!,3,FALSE)&gt;($B146-1),'Chief &amp; Hero Data'!$D146,""))</f>
        <v>#REF!</v>
      </c>
      <c r="T146" t="e">
        <f>IF(VLOOKUP(T$130,#REF!,2,FALSE)&gt;($B146-1),"",IF(VLOOKUP(T$130,#REF!,3,FALSE)&gt;($B146-1),'Chief &amp; Hero Data'!$D146,""))</f>
        <v>#REF!</v>
      </c>
      <c r="U146" t="e">
        <f>IF(VLOOKUP(U$130,#REF!,2,FALSE)&gt;($B146-1),"",IF(VLOOKUP(U$130,#REF!,3,FALSE)&gt;($B146-1),'Chief &amp; Hero Data'!$D146,""))</f>
        <v>#REF!</v>
      </c>
      <c r="V146" t="e">
        <f>IF(VLOOKUP(V$130,#REF!,2,FALSE)&gt;($B146-1),"",IF(VLOOKUP(V$130,#REF!,3,FALSE)&gt;($B146-1),'Chief &amp; Hero Data'!$D146,""))</f>
        <v>#REF!</v>
      </c>
      <c r="W146" t="e">
        <f>IF(VLOOKUP(W$130,#REF!,2,FALSE)&gt;($B146-1),"",IF(VLOOKUP(W$130,#REF!,3,FALSE)&gt;($B146-1),'Chief &amp; Hero Data'!$D146,""))</f>
        <v>#REF!</v>
      </c>
      <c r="X146" t="e">
        <f>IF(VLOOKUP(X$130,#REF!,2,FALSE)&gt;($B146-1),"",IF(VLOOKUP(X$130,#REF!,3,FALSE)&gt;($B146-1),'Chief &amp; Hero Data'!$D146,""))</f>
        <v>#REF!</v>
      </c>
      <c r="Y146" t="e">
        <f>IF(VLOOKUP(Y$130,#REF!,2,FALSE)&gt;($B146-1),"",IF(VLOOKUP(Y$130,#REF!,3,FALSE)&gt;($B146-1),'Chief &amp; Hero Data'!$D146,""))</f>
        <v>#REF!</v>
      </c>
      <c r="Z146" t="e">
        <f>IF(VLOOKUP(Z$130,#REF!,2,FALSE)&gt;($B146-1),"",IF(VLOOKUP(Z$130,#REF!,3,FALSE)&gt;($B146-1),'Chief &amp; Hero Data'!$D146,""))</f>
        <v>#REF!</v>
      </c>
      <c r="AA146" t="e">
        <f>IF(VLOOKUP(AA$130,#REF!,2,FALSE)&gt;($B146-1),"",IF(VLOOKUP(AA$130,#REF!,3,FALSE)&gt;($B146-1),'Chief &amp; Hero Data'!$D146,""))</f>
        <v>#REF!</v>
      </c>
      <c r="AB146" t="e">
        <f>IF(VLOOKUP(AB$130,#REF!,2,FALSE)&gt;($B146-1),"",IF(VLOOKUP(AB$130,#REF!,3,FALSE)&gt;($B146-1),'Chief &amp; Hero Data'!$D146,""))</f>
        <v>#REF!</v>
      </c>
      <c r="AC146" t="e">
        <f>IF(VLOOKUP(AC$130,#REF!,2,FALSE)&gt;($B146-1),"",IF(VLOOKUP(AC$130,#REF!,3,FALSE)&gt;($B146-1),'Chief &amp; Hero Data'!$D146,""))</f>
        <v>#REF!</v>
      </c>
    </row>
    <row r="147" spans="2:29" x14ac:dyDescent="0.3">
      <c r="B147">
        <v>17</v>
      </c>
      <c r="C147">
        <v>170</v>
      </c>
      <c r="D147">
        <v>7</v>
      </c>
      <c r="E147" t="e">
        <f>IF(VLOOKUP(E$130,#REF!,2,FALSE)&gt;($B147-1),"",IF(VLOOKUP(E$130,#REF!,3,FALSE)&gt;($B147-1),'Chief &amp; Hero Data'!$C147,""))</f>
        <v>#REF!</v>
      </c>
      <c r="F147" t="e">
        <f>IF(VLOOKUP(F$130,#REF!,2,FALSE)&gt;($B147-1),"",IF(VLOOKUP(F$130,#REF!,3,FALSE)&gt;($B147-1),'Chief &amp; Hero Data'!$C147,""))</f>
        <v>#REF!</v>
      </c>
      <c r="G147" t="e">
        <f>IF(VLOOKUP(G$130,#REF!,2,FALSE)&gt;($B147-1),"",IF(VLOOKUP(G$130,#REF!,3,FALSE)&gt;($B147-1),'Chief &amp; Hero Data'!$C147,""))</f>
        <v>#REF!</v>
      </c>
      <c r="H147" t="e">
        <f>IF(VLOOKUP(H$130,#REF!,2,FALSE)&gt;($B147-1),"",IF(VLOOKUP(H$130,#REF!,3,FALSE)&gt;($B147-1),'Chief &amp; Hero Data'!$C147,""))</f>
        <v>#REF!</v>
      </c>
      <c r="I147" t="e">
        <f>IF(VLOOKUP(I$130,#REF!,2,FALSE)&gt;($B147-1),"",IF(VLOOKUP(I$130,#REF!,3,FALSE)&gt;($B147-1),'Chief &amp; Hero Data'!$C147,""))</f>
        <v>#REF!</v>
      </c>
      <c r="J147" t="e">
        <f>IF(VLOOKUP(J$130,#REF!,2,FALSE)&gt;($B147-1),"",IF(VLOOKUP(J$130,#REF!,3,FALSE)&gt;($B147-1),'Chief &amp; Hero Data'!$C147,""))</f>
        <v>#REF!</v>
      </c>
      <c r="K147" t="e">
        <f>IF(VLOOKUP(K$130,#REF!,2,FALSE)&gt;($B147-1),"",IF(VLOOKUP(K$130,#REF!,3,FALSE)&gt;($B147-1),'Chief &amp; Hero Data'!$C147,""))</f>
        <v>#REF!</v>
      </c>
      <c r="L147" t="e">
        <f>IF(VLOOKUP(L$130,#REF!,2,FALSE)&gt;($B147-1),"",IF(VLOOKUP(L$130,#REF!,3,FALSE)&gt;($B147-1),'Chief &amp; Hero Data'!$C147,""))</f>
        <v>#REF!</v>
      </c>
      <c r="M147" t="e">
        <f>IF(VLOOKUP(M$130,#REF!,2,FALSE)&gt;($B147-1),"",IF(VLOOKUP(M$130,#REF!,3,FALSE)&gt;($B147-1),'Chief &amp; Hero Data'!$C147,""))</f>
        <v>#REF!</v>
      </c>
      <c r="N147" t="e">
        <f>IF(VLOOKUP(N$130,#REF!,2,FALSE)&gt;($B147-1),"",IF(VLOOKUP(N$130,#REF!,3,FALSE)&gt;($B147-1),'Chief &amp; Hero Data'!$C147,""))</f>
        <v>#REF!</v>
      </c>
      <c r="O147" t="e">
        <f>IF(VLOOKUP(O$130,#REF!,2,FALSE)&gt;($B147-1),"",IF(VLOOKUP(O$130,#REF!,3,FALSE)&gt;($B147-1),'Chief &amp; Hero Data'!$C147,""))</f>
        <v>#REF!</v>
      </c>
      <c r="P147" t="e">
        <f>IF(VLOOKUP(P$130,#REF!,2,FALSE)&gt;($B147-1),"",IF(VLOOKUP(P$130,#REF!,3,FALSE)&gt;($B147-1),'Chief &amp; Hero Data'!$C147,""))</f>
        <v>#REF!</v>
      </c>
      <c r="R147" t="e">
        <f>IF(VLOOKUP(R$130,#REF!,2,FALSE)&gt;($B147-1),"",IF(VLOOKUP(R$130,#REF!,3,FALSE)&gt;($B147-1),'Chief &amp; Hero Data'!$D147,""))</f>
        <v>#REF!</v>
      </c>
      <c r="S147" t="e">
        <f>IF(VLOOKUP(S$130,#REF!,2,FALSE)&gt;($B147-1),"",IF(VLOOKUP(S$130,#REF!,3,FALSE)&gt;($B147-1),'Chief &amp; Hero Data'!$D147,""))</f>
        <v>#REF!</v>
      </c>
      <c r="T147" t="e">
        <f>IF(VLOOKUP(T$130,#REF!,2,FALSE)&gt;($B147-1),"",IF(VLOOKUP(T$130,#REF!,3,FALSE)&gt;($B147-1),'Chief &amp; Hero Data'!$D147,""))</f>
        <v>#REF!</v>
      </c>
      <c r="U147" t="e">
        <f>IF(VLOOKUP(U$130,#REF!,2,FALSE)&gt;($B147-1),"",IF(VLOOKUP(U$130,#REF!,3,FALSE)&gt;($B147-1),'Chief &amp; Hero Data'!$D147,""))</f>
        <v>#REF!</v>
      </c>
      <c r="V147" t="e">
        <f>IF(VLOOKUP(V$130,#REF!,2,FALSE)&gt;($B147-1),"",IF(VLOOKUP(V$130,#REF!,3,FALSE)&gt;($B147-1),'Chief &amp; Hero Data'!$D147,""))</f>
        <v>#REF!</v>
      </c>
      <c r="W147" t="e">
        <f>IF(VLOOKUP(W$130,#REF!,2,FALSE)&gt;($B147-1),"",IF(VLOOKUP(W$130,#REF!,3,FALSE)&gt;($B147-1),'Chief &amp; Hero Data'!$D147,""))</f>
        <v>#REF!</v>
      </c>
      <c r="X147" t="e">
        <f>IF(VLOOKUP(X$130,#REF!,2,FALSE)&gt;($B147-1),"",IF(VLOOKUP(X$130,#REF!,3,FALSE)&gt;($B147-1),'Chief &amp; Hero Data'!$D147,""))</f>
        <v>#REF!</v>
      </c>
      <c r="Y147" t="e">
        <f>IF(VLOOKUP(Y$130,#REF!,2,FALSE)&gt;($B147-1),"",IF(VLOOKUP(Y$130,#REF!,3,FALSE)&gt;($B147-1),'Chief &amp; Hero Data'!$D147,""))</f>
        <v>#REF!</v>
      </c>
      <c r="Z147" t="e">
        <f>IF(VLOOKUP(Z$130,#REF!,2,FALSE)&gt;($B147-1),"",IF(VLOOKUP(Z$130,#REF!,3,FALSE)&gt;($B147-1),'Chief &amp; Hero Data'!$D147,""))</f>
        <v>#REF!</v>
      </c>
      <c r="AA147" t="e">
        <f>IF(VLOOKUP(AA$130,#REF!,2,FALSE)&gt;($B147-1),"",IF(VLOOKUP(AA$130,#REF!,3,FALSE)&gt;($B147-1),'Chief &amp; Hero Data'!$D147,""))</f>
        <v>#REF!</v>
      </c>
      <c r="AB147" t="e">
        <f>IF(VLOOKUP(AB$130,#REF!,2,FALSE)&gt;($B147-1),"",IF(VLOOKUP(AB$130,#REF!,3,FALSE)&gt;($B147-1),'Chief &amp; Hero Data'!$D147,""))</f>
        <v>#REF!</v>
      </c>
      <c r="AC147" t="e">
        <f>IF(VLOOKUP(AC$130,#REF!,2,FALSE)&gt;($B147-1),"",IF(VLOOKUP(AC$130,#REF!,3,FALSE)&gt;($B147-1),'Chief &amp; Hero Data'!$D147,""))</f>
        <v>#REF!</v>
      </c>
    </row>
    <row r="148" spans="2:29" x14ac:dyDescent="0.3">
      <c r="B148">
        <v>18</v>
      </c>
      <c r="C148">
        <v>180</v>
      </c>
      <c r="D148">
        <v>8</v>
      </c>
      <c r="E148" t="e">
        <f>IF(VLOOKUP(E$130,#REF!,2,FALSE)&gt;($B148-1),"",IF(VLOOKUP(E$130,#REF!,3,FALSE)&gt;($B148-1),'Chief &amp; Hero Data'!$C148,""))</f>
        <v>#REF!</v>
      </c>
      <c r="F148" t="e">
        <f>IF(VLOOKUP(F$130,#REF!,2,FALSE)&gt;($B148-1),"",IF(VLOOKUP(F$130,#REF!,3,FALSE)&gt;($B148-1),'Chief &amp; Hero Data'!$C148,""))</f>
        <v>#REF!</v>
      </c>
      <c r="G148" t="e">
        <f>IF(VLOOKUP(G$130,#REF!,2,FALSE)&gt;($B148-1),"",IF(VLOOKUP(G$130,#REF!,3,FALSE)&gt;($B148-1),'Chief &amp; Hero Data'!$C148,""))</f>
        <v>#REF!</v>
      </c>
      <c r="H148" t="e">
        <f>IF(VLOOKUP(H$130,#REF!,2,FALSE)&gt;($B148-1),"",IF(VLOOKUP(H$130,#REF!,3,FALSE)&gt;($B148-1),'Chief &amp; Hero Data'!$C148,""))</f>
        <v>#REF!</v>
      </c>
      <c r="I148" t="e">
        <f>IF(VLOOKUP(I$130,#REF!,2,FALSE)&gt;($B148-1),"",IF(VLOOKUP(I$130,#REF!,3,FALSE)&gt;($B148-1),'Chief &amp; Hero Data'!$C148,""))</f>
        <v>#REF!</v>
      </c>
      <c r="J148" t="e">
        <f>IF(VLOOKUP(J$130,#REF!,2,FALSE)&gt;($B148-1),"",IF(VLOOKUP(J$130,#REF!,3,FALSE)&gt;($B148-1),'Chief &amp; Hero Data'!$C148,""))</f>
        <v>#REF!</v>
      </c>
      <c r="K148" t="e">
        <f>IF(VLOOKUP(K$130,#REF!,2,FALSE)&gt;($B148-1),"",IF(VLOOKUP(K$130,#REF!,3,FALSE)&gt;($B148-1),'Chief &amp; Hero Data'!$C148,""))</f>
        <v>#REF!</v>
      </c>
      <c r="L148" t="e">
        <f>IF(VLOOKUP(L$130,#REF!,2,FALSE)&gt;($B148-1),"",IF(VLOOKUP(L$130,#REF!,3,FALSE)&gt;($B148-1),'Chief &amp; Hero Data'!$C148,""))</f>
        <v>#REF!</v>
      </c>
      <c r="M148" t="e">
        <f>IF(VLOOKUP(M$130,#REF!,2,FALSE)&gt;($B148-1),"",IF(VLOOKUP(M$130,#REF!,3,FALSE)&gt;($B148-1),'Chief &amp; Hero Data'!$C148,""))</f>
        <v>#REF!</v>
      </c>
      <c r="N148" t="e">
        <f>IF(VLOOKUP(N$130,#REF!,2,FALSE)&gt;($B148-1),"",IF(VLOOKUP(N$130,#REF!,3,FALSE)&gt;($B148-1),'Chief &amp; Hero Data'!$C148,""))</f>
        <v>#REF!</v>
      </c>
      <c r="O148" t="e">
        <f>IF(VLOOKUP(O$130,#REF!,2,FALSE)&gt;($B148-1),"",IF(VLOOKUP(O$130,#REF!,3,FALSE)&gt;($B148-1),'Chief &amp; Hero Data'!$C148,""))</f>
        <v>#REF!</v>
      </c>
      <c r="P148" t="e">
        <f>IF(VLOOKUP(P$130,#REF!,2,FALSE)&gt;($B148-1),"",IF(VLOOKUP(P$130,#REF!,3,FALSE)&gt;($B148-1),'Chief &amp; Hero Data'!$C148,""))</f>
        <v>#REF!</v>
      </c>
      <c r="R148" t="e">
        <f>IF(VLOOKUP(R$130,#REF!,2,FALSE)&gt;($B148-1),"",IF(VLOOKUP(R$130,#REF!,3,FALSE)&gt;($B148-1),'Chief &amp; Hero Data'!$D148,""))</f>
        <v>#REF!</v>
      </c>
      <c r="S148" t="e">
        <f>IF(VLOOKUP(S$130,#REF!,2,FALSE)&gt;($B148-1),"",IF(VLOOKUP(S$130,#REF!,3,FALSE)&gt;($B148-1),'Chief &amp; Hero Data'!$D148,""))</f>
        <v>#REF!</v>
      </c>
      <c r="T148" t="e">
        <f>IF(VLOOKUP(T$130,#REF!,2,FALSE)&gt;($B148-1),"",IF(VLOOKUP(T$130,#REF!,3,FALSE)&gt;($B148-1),'Chief &amp; Hero Data'!$D148,""))</f>
        <v>#REF!</v>
      </c>
      <c r="U148" t="e">
        <f>IF(VLOOKUP(U$130,#REF!,2,FALSE)&gt;($B148-1),"",IF(VLOOKUP(U$130,#REF!,3,FALSE)&gt;($B148-1),'Chief &amp; Hero Data'!$D148,""))</f>
        <v>#REF!</v>
      </c>
      <c r="V148" t="e">
        <f>IF(VLOOKUP(V$130,#REF!,2,FALSE)&gt;($B148-1),"",IF(VLOOKUP(V$130,#REF!,3,FALSE)&gt;($B148-1),'Chief &amp; Hero Data'!$D148,""))</f>
        <v>#REF!</v>
      </c>
      <c r="W148" t="e">
        <f>IF(VLOOKUP(W$130,#REF!,2,FALSE)&gt;($B148-1),"",IF(VLOOKUP(W$130,#REF!,3,FALSE)&gt;($B148-1),'Chief &amp; Hero Data'!$D148,""))</f>
        <v>#REF!</v>
      </c>
      <c r="X148" t="e">
        <f>IF(VLOOKUP(X$130,#REF!,2,FALSE)&gt;($B148-1),"",IF(VLOOKUP(X$130,#REF!,3,FALSE)&gt;($B148-1),'Chief &amp; Hero Data'!$D148,""))</f>
        <v>#REF!</v>
      </c>
      <c r="Y148" t="e">
        <f>IF(VLOOKUP(Y$130,#REF!,2,FALSE)&gt;($B148-1),"",IF(VLOOKUP(Y$130,#REF!,3,FALSE)&gt;($B148-1),'Chief &amp; Hero Data'!$D148,""))</f>
        <v>#REF!</v>
      </c>
      <c r="Z148" t="e">
        <f>IF(VLOOKUP(Z$130,#REF!,2,FALSE)&gt;($B148-1),"",IF(VLOOKUP(Z$130,#REF!,3,FALSE)&gt;($B148-1),'Chief &amp; Hero Data'!$D148,""))</f>
        <v>#REF!</v>
      </c>
      <c r="AA148" t="e">
        <f>IF(VLOOKUP(AA$130,#REF!,2,FALSE)&gt;($B148-1),"",IF(VLOOKUP(AA$130,#REF!,3,FALSE)&gt;($B148-1),'Chief &amp; Hero Data'!$D148,""))</f>
        <v>#REF!</v>
      </c>
      <c r="AB148" t="e">
        <f>IF(VLOOKUP(AB$130,#REF!,2,FALSE)&gt;($B148-1),"",IF(VLOOKUP(AB$130,#REF!,3,FALSE)&gt;($B148-1),'Chief &amp; Hero Data'!$D148,""))</f>
        <v>#REF!</v>
      </c>
      <c r="AC148" t="e">
        <f>IF(VLOOKUP(AC$130,#REF!,2,FALSE)&gt;($B148-1),"",IF(VLOOKUP(AC$130,#REF!,3,FALSE)&gt;($B148-1),'Chief &amp; Hero Data'!$D148,""))</f>
        <v>#REF!</v>
      </c>
    </row>
    <row r="149" spans="2:29" x14ac:dyDescent="0.3">
      <c r="B149">
        <v>19</v>
      </c>
      <c r="C149">
        <v>190</v>
      </c>
      <c r="D149">
        <v>9</v>
      </c>
      <c r="E149" t="e">
        <f>IF(VLOOKUP(E$130,#REF!,2,FALSE)&gt;($B149-1),"",IF(VLOOKUP(E$130,#REF!,3,FALSE)&gt;($B149-1),'Chief &amp; Hero Data'!$C149,""))</f>
        <v>#REF!</v>
      </c>
      <c r="F149" t="e">
        <f>IF(VLOOKUP(F$130,#REF!,2,FALSE)&gt;($B149-1),"",IF(VLOOKUP(F$130,#REF!,3,FALSE)&gt;($B149-1),'Chief &amp; Hero Data'!$C149,""))</f>
        <v>#REF!</v>
      </c>
      <c r="G149" t="e">
        <f>IF(VLOOKUP(G$130,#REF!,2,FALSE)&gt;($B149-1),"",IF(VLOOKUP(G$130,#REF!,3,FALSE)&gt;($B149-1),'Chief &amp; Hero Data'!$C149,""))</f>
        <v>#REF!</v>
      </c>
      <c r="H149" t="e">
        <f>IF(VLOOKUP(H$130,#REF!,2,FALSE)&gt;($B149-1),"",IF(VLOOKUP(H$130,#REF!,3,FALSE)&gt;($B149-1),'Chief &amp; Hero Data'!$C149,""))</f>
        <v>#REF!</v>
      </c>
      <c r="I149" t="e">
        <f>IF(VLOOKUP(I$130,#REF!,2,FALSE)&gt;($B149-1),"",IF(VLOOKUP(I$130,#REF!,3,FALSE)&gt;($B149-1),'Chief &amp; Hero Data'!$C149,""))</f>
        <v>#REF!</v>
      </c>
      <c r="J149" t="e">
        <f>IF(VLOOKUP(J$130,#REF!,2,FALSE)&gt;($B149-1),"",IF(VLOOKUP(J$130,#REF!,3,FALSE)&gt;($B149-1),'Chief &amp; Hero Data'!$C149,""))</f>
        <v>#REF!</v>
      </c>
      <c r="K149" t="e">
        <f>IF(VLOOKUP(K$130,#REF!,2,FALSE)&gt;($B149-1),"",IF(VLOOKUP(K$130,#REF!,3,FALSE)&gt;($B149-1),'Chief &amp; Hero Data'!$C149,""))</f>
        <v>#REF!</v>
      </c>
      <c r="L149" t="e">
        <f>IF(VLOOKUP(L$130,#REF!,2,FALSE)&gt;($B149-1),"",IF(VLOOKUP(L$130,#REF!,3,FALSE)&gt;($B149-1),'Chief &amp; Hero Data'!$C149,""))</f>
        <v>#REF!</v>
      </c>
      <c r="M149" t="e">
        <f>IF(VLOOKUP(M$130,#REF!,2,FALSE)&gt;($B149-1),"",IF(VLOOKUP(M$130,#REF!,3,FALSE)&gt;($B149-1),'Chief &amp; Hero Data'!$C149,""))</f>
        <v>#REF!</v>
      </c>
      <c r="N149" t="e">
        <f>IF(VLOOKUP(N$130,#REF!,2,FALSE)&gt;($B149-1),"",IF(VLOOKUP(N$130,#REF!,3,FALSE)&gt;($B149-1),'Chief &amp; Hero Data'!$C149,""))</f>
        <v>#REF!</v>
      </c>
      <c r="O149" t="e">
        <f>IF(VLOOKUP(O$130,#REF!,2,FALSE)&gt;($B149-1),"",IF(VLOOKUP(O$130,#REF!,3,FALSE)&gt;($B149-1),'Chief &amp; Hero Data'!$C149,""))</f>
        <v>#REF!</v>
      </c>
      <c r="P149" t="e">
        <f>IF(VLOOKUP(P$130,#REF!,2,FALSE)&gt;($B149-1),"",IF(VLOOKUP(P$130,#REF!,3,FALSE)&gt;($B149-1),'Chief &amp; Hero Data'!$C149,""))</f>
        <v>#REF!</v>
      </c>
      <c r="R149" t="e">
        <f>IF(VLOOKUP(R$130,#REF!,2,FALSE)&gt;($B149-1),"",IF(VLOOKUP(R$130,#REF!,3,FALSE)&gt;($B149-1),'Chief &amp; Hero Data'!$D149,""))</f>
        <v>#REF!</v>
      </c>
      <c r="S149" t="e">
        <f>IF(VLOOKUP(S$130,#REF!,2,FALSE)&gt;($B149-1),"",IF(VLOOKUP(S$130,#REF!,3,FALSE)&gt;($B149-1),'Chief &amp; Hero Data'!$D149,""))</f>
        <v>#REF!</v>
      </c>
      <c r="T149" t="e">
        <f>IF(VLOOKUP(T$130,#REF!,2,FALSE)&gt;($B149-1),"",IF(VLOOKUP(T$130,#REF!,3,FALSE)&gt;($B149-1),'Chief &amp; Hero Data'!$D149,""))</f>
        <v>#REF!</v>
      </c>
      <c r="U149" t="e">
        <f>IF(VLOOKUP(U$130,#REF!,2,FALSE)&gt;($B149-1),"",IF(VLOOKUP(U$130,#REF!,3,FALSE)&gt;($B149-1),'Chief &amp; Hero Data'!$D149,""))</f>
        <v>#REF!</v>
      </c>
      <c r="V149" t="e">
        <f>IF(VLOOKUP(V$130,#REF!,2,FALSE)&gt;($B149-1),"",IF(VLOOKUP(V$130,#REF!,3,FALSE)&gt;($B149-1),'Chief &amp; Hero Data'!$D149,""))</f>
        <v>#REF!</v>
      </c>
      <c r="W149" t="e">
        <f>IF(VLOOKUP(W$130,#REF!,2,FALSE)&gt;($B149-1),"",IF(VLOOKUP(W$130,#REF!,3,FALSE)&gt;($B149-1),'Chief &amp; Hero Data'!$D149,""))</f>
        <v>#REF!</v>
      </c>
      <c r="X149" t="e">
        <f>IF(VLOOKUP(X$130,#REF!,2,FALSE)&gt;($B149-1),"",IF(VLOOKUP(X$130,#REF!,3,FALSE)&gt;($B149-1),'Chief &amp; Hero Data'!$D149,""))</f>
        <v>#REF!</v>
      </c>
      <c r="Y149" t="e">
        <f>IF(VLOOKUP(Y$130,#REF!,2,FALSE)&gt;($B149-1),"",IF(VLOOKUP(Y$130,#REF!,3,FALSE)&gt;($B149-1),'Chief &amp; Hero Data'!$D149,""))</f>
        <v>#REF!</v>
      </c>
      <c r="Z149" t="e">
        <f>IF(VLOOKUP(Z$130,#REF!,2,FALSE)&gt;($B149-1),"",IF(VLOOKUP(Z$130,#REF!,3,FALSE)&gt;($B149-1),'Chief &amp; Hero Data'!$D149,""))</f>
        <v>#REF!</v>
      </c>
      <c r="AA149" t="e">
        <f>IF(VLOOKUP(AA$130,#REF!,2,FALSE)&gt;($B149-1),"",IF(VLOOKUP(AA$130,#REF!,3,FALSE)&gt;($B149-1),'Chief &amp; Hero Data'!$D149,""))</f>
        <v>#REF!</v>
      </c>
      <c r="AB149" t="e">
        <f>IF(VLOOKUP(AB$130,#REF!,2,FALSE)&gt;($B149-1),"",IF(VLOOKUP(AB$130,#REF!,3,FALSE)&gt;($B149-1),'Chief &amp; Hero Data'!$D149,""))</f>
        <v>#REF!</v>
      </c>
      <c r="AC149" t="e">
        <f>IF(VLOOKUP(AC$130,#REF!,2,FALSE)&gt;($B149-1),"",IF(VLOOKUP(AC$130,#REF!,3,FALSE)&gt;($B149-1),'Chief &amp; Hero Data'!$D149,""))</f>
        <v>#REF!</v>
      </c>
    </row>
    <row r="150" spans="2:29" x14ac:dyDescent="0.3">
      <c r="B150">
        <v>20</v>
      </c>
      <c r="C150">
        <v>200</v>
      </c>
      <c r="D150">
        <v>10</v>
      </c>
      <c r="E150" t="e">
        <f>IF(VLOOKUP(E$130,#REF!,2,FALSE)&gt;($B150-1),"",IF(VLOOKUP(E$130,#REF!,3,FALSE)&gt;($B150-1),'Chief &amp; Hero Data'!$C150,""))</f>
        <v>#REF!</v>
      </c>
      <c r="F150" t="e">
        <f>IF(VLOOKUP(F$130,#REF!,2,FALSE)&gt;($B150-1),"",IF(VLOOKUP(F$130,#REF!,3,FALSE)&gt;($B150-1),'Chief &amp; Hero Data'!$C150,""))</f>
        <v>#REF!</v>
      </c>
      <c r="G150" t="e">
        <f>IF(VLOOKUP(G$130,#REF!,2,FALSE)&gt;($B150-1),"",IF(VLOOKUP(G$130,#REF!,3,FALSE)&gt;($B150-1),'Chief &amp; Hero Data'!$C150,""))</f>
        <v>#REF!</v>
      </c>
      <c r="H150" t="e">
        <f>IF(VLOOKUP(H$130,#REF!,2,FALSE)&gt;($B150-1),"",IF(VLOOKUP(H$130,#REF!,3,FALSE)&gt;($B150-1),'Chief &amp; Hero Data'!$C150,""))</f>
        <v>#REF!</v>
      </c>
      <c r="I150" t="e">
        <f>IF(VLOOKUP(I$130,#REF!,2,FALSE)&gt;($B150-1),"",IF(VLOOKUP(I$130,#REF!,3,FALSE)&gt;($B150-1),'Chief &amp; Hero Data'!$C150,""))</f>
        <v>#REF!</v>
      </c>
      <c r="J150" t="e">
        <f>IF(VLOOKUP(J$130,#REF!,2,FALSE)&gt;($B150-1),"",IF(VLOOKUP(J$130,#REF!,3,FALSE)&gt;($B150-1),'Chief &amp; Hero Data'!$C150,""))</f>
        <v>#REF!</v>
      </c>
      <c r="K150" t="e">
        <f>IF(VLOOKUP(K$130,#REF!,2,FALSE)&gt;($B150-1),"",IF(VLOOKUP(K$130,#REF!,3,FALSE)&gt;($B150-1),'Chief &amp; Hero Data'!$C150,""))</f>
        <v>#REF!</v>
      </c>
      <c r="L150" t="e">
        <f>IF(VLOOKUP(L$130,#REF!,2,FALSE)&gt;($B150-1),"",IF(VLOOKUP(L$130,#REF!,3,FALSE)&gt;($B150-1),'Chief &amp; Hero Data'!$C150,""))</f>
        <v>#REF!</v>
      </c>
      <c r="M150" t="e">
        <f>IF(VLOOKUP(M$130,#REF!,2,FALSE)&gt;($B150-1),"",IF(VLOOKUP(M$130,#REF!,3,FALSE)&gt;($B150-1),'Chief &amp; Hero Data'!$C150,""))</f>
        <v>#REF!</v>
      </c>
      <c r="N150" t="e">
        <f>IF(VLOOKUP(N$130,#REF!,2,FALSE)&gt;($B150-1),"",IF(VLOOKUP(N$130,#REF!,3,FALSE)&gt;($B150-1),'Chief &amp; Hero Data'!$C150,""))</f>
        <v>#REF!</v>
      </c>
      <c r="O150" t="e">
        <f>IF(VLOOKUP(O$130,#REF!,2,FALSE)&gt;($B150-1),"",IF(VLOOKUP(O$130,#REF!,3,FALSE)&gt;($B150-1),'Chief &amp; Hero Data'!$C150,""))</f>
        <v>#REF!</v>
      </c>
      <c r="P150" t="e">
        <f>IF(VLOOKUP(P$130,#REF!,2,FALSE)&gt;($B150-1),"",IF(VLOOKUP(P$130,#REF!,3,FALSE)&gt;($B150-1),'Chief &amp; Hero Data'!$C150,""))</f>
        <v>#REF!</v>
      </c>
      <c r="R150" t="e">
        <f>IF(VLOOKUP(R$130,#REF!,2,FALSE)&gt;($B150-1),"",IF(VLOOKUP(R$130,#REF!,3,FALSE)&gt;($B150-1),'Chief &amp; Hero Data'!$D150,""))</f>
        <v>#REF!</v>
      </c>
      <c r="S150" t="e">
        <f>IF(VLOOKUP(S$130,#REF!,2,FALSE)&gt;($B150-1),"",IF(VLOOKUP(S$130,#REF!,3,FALSE)&gt;($B150-1),'Chief &amp; Hero Data'!$D150,""))</f>
        <v>#REF!</v>
      </c>
      <c r="T150" t="e">
        <f>IF(VLOOKUP(T$130,#REF!,2,FALSE)&gt;($B150-1),"",IF(VLOOKUP(T$130,#REF!,3,FALSE)&gt;($B150-1),'Chief &amp; Hero Data'!$D150,""))</f>
        <v>#REF!</v>
      </c>
      <c r="U150" t="e">
        <f>IF(VLOOKUP(U$130,#REF!,2,FALSE)&gt;($B150-1),"",IF(VLOOKUP(U$130,#REF!,3,FALSE)&gt;($B150-1),'Chief &amp; Hero Data'!$D150,""))</f>
        <v>#REF!</v>
      </c>
      <c r="V150" t="e">
        <f>IF(VLOOKUP(V$130,#REF!,2,FALSE)&gt;($B150-1),"",IF(VLOOKUP(V$130,#REF!,3,FALSE)&gt;($B150-1),'Chief &amp; Hero Data'!$D150,""))</f>
        <v>#REF!</v>
      </c>
      <c r="W150" t="e">
        <f>IF(VLOOKUP(W$130,#REF!,2,FALSE)&gt;($B150-1),"",IF(VLOOKUP(W$130,#REF!,3,FALSE)&gt;($B150-1),'Chief &amp; Hero Data'!$D150,""))</f>
        <v>#REF!</v>
      </c>
      <c r="X150" t="e">
        <f>IF(VLOOKUP(X$130,#REF!,2,FALSE)&gt;($B150-1),"",IF(VLOOKUP(X$130,#REF!,3,FALSE)&gt;($B150-1),'Chief &amp; Hero Data'!$D150,""))</f>
        <v>#REF!</v>
      </c>
      <c r="Y150" t="e">
        <f>IF(VLOOKUP(Y$130,#REF!,2,FALSE)&gt;($B150-1),"",IF(VLOOKUP(Y$130,#REF!,3,FALSE)&gt;($B150-1),'Chief &amp; Hero Data'!$D150,""))</f>
        <v>#REF!</v>
      </c>
      <c r="Z150" t="e">
        <f>IF(VLOOKUP(Z$130,#REF!,2,FALSE)&gt;($B150-1),"",IF(VLOOKUP(Z$130,#REF!,3,FALSE)&gt;($B150-1),'Chief &amp; Hero Data'!$D150,""))</f>
        <v>#REF!</v>
      </c>
      <c r="AA150" t="e">
        <f>IF(VLOOKUP(AA$130,#REF!,2,FALSE)&gt;($B150-1),"",IF(VLOOKUP(AA$130,#REF!,3,FALSE)&gt;($B150-1),'Chief &amp; Hero Data'!$D150,""))</f>
        <v>#REF!</v>
      </c>
      <c r="AB150" t="e">
        <f>IF(VLOOKUP(AB$130,#REF!,2,FALSE)&gt;($B150-1),"",IF(VLOOKUP(AB$130,#REF!,3,FALSE)&gt;($B150-1),'Chief &amp; Hero Data'!$D150,""))</f>
        <v>#REF!</v>
      </c>
      <c r="AC150" t="e">
        <f>IF(VLOOKUP(AC$130,#REF!,2,FALSE)&gt;($B150-1),"",IF(VLOOKUP(AC$130,#REF!,3,FALSE)&gt;($B150-1),'Chief &amp; Hero Data'!$D150,""))</f>
        <v>#REF!</v>
      </c>
    </row>
    <row r="151" spans="2:29" x14ac:dyDescent="0.3">
      <c r="B151" t="s">
        <v>298</v>
      </c>
      <c r="C151">
        <f>SUM(C131:C150)</f>
        <v>2100</v>
      </c>
      <c r="D151">
        <f>SUM(D131:D150)</f>
        <v>55</v>
      </c>
    </row>
    <row r="152" spans="2:29" x14ac:dyDescent="0.3">
      <c r="B152" t="s">
        <v>32</v>
      </c>
      <c r="C152" t="e">
        <f>E152+F152+G152+H152+I152+J152+K152+L152+M152+N152+O152+P152</f>
        <v>#REF!</v>
      </c>
      <c r="E152" t="e">
        <f t="shared" ref="E152:P152" si="118">SUM(E131:E150)</f>
        <v>#REF!</v>
      </c>
      <c r="F152" t="e">
        <f t="shared" si="118"/>
        <v>#REF!</v>
      </c>
      <c r="G152" t="e">
        <f t="shared" si="118"/>
        <v>#REF!</v>
      </c>
      <c r="H152" t="e">
        <f t="shared" si="118"/>
        <v>#REF!</v>
      </c>
      <c r="I152" t="e">
        <f t="shared" si="118"/>
        <v>#REF!</v>
      </c>
      <c r="J152" t="e">
        <f t="shared" si="118"/>
        <v>#REF!</v>
      </c>
      <c r="K152" t="e">
        <f t="shared" si="118"/>
        <v>#REF!</v>
      </c>
      <c r="L152" t="e">
        <f t="shared" si="118"/>
        <v>#REF!</v>
      </c>
      <c r="M152" t="e">
        <f t="shared" si="118"/>
        <v>#REF!</v>
      </c>
      <c r="N152" t="e">
        <f t="shared" si="118"/>
        <v>#REF!</v>
      </c>
      <c r="O152" t="e">
        <f t="shared" si="118"/>
        <v>#REF!</v>
      </c>
      <c r="P152" t="e">
        <f t="shared" si="118"/>
        <v>#REF!</v>
      </c>
      <c r="R152" t="e">
        <f>SUM(R131:R151)</f>
        <v>#REF!</v>
      </c>
      <c r="S152" t="e">
        <f t="shared" ref="S152:AC152" si="119">SUM(S131:S151)</f>
        <v>#REF!</v>
      </c>
      <c r="T152" t="e">
        <f t="shared" si="119"/>
        <v>#REF!</v>
      </c>
      <c r="U152" t="e">
        <f t="shared" si="119"/>
        <v>#REF!</v>
      </c>
      <c r="V152" t="e">
        <f t="shared" si="119"/>
        <v>#REF!</v>
      </c>
      <c r="W152" t="e">
        <f t="shared" si="119"/>
        <v>#REF!</v>
      </c>
      <c r="X152" t="e">
        <f t="shared" si="119"/>
        <v>#REF!</v>
      </c>
      <c r="Y152" t="e">
        <f t="shared" si="119"/>
        <v>#REF!</v>
      </c>
      <c r="Z152" t="e">
        <f t="shared" si="119"/>
        <v>#REF!</v>
      </c>
      <c r="AA152" t="e">
        <f t="shared" si="119"/>
        <v>#REF!</v>
      </c>
      <c r="AB152" t="e">
        <f t="shared" si="119"/>
        <v>#REF!</v>
      </c>
      <c r="AC152" t="e">
        <f t="shared" si="119"/>
        <v>#REF!</v>
      </c>
    </row>
    <row r="155" spans="2:29" x14ac:dyDescent="0.3">
      <c r="B155" t="s">
        <v>299</v>
      </c>
      <c r="C155" t="s">
        <v>300</v>
      </c>
    </row>
    <row r="156" spans="2:29" x14ac:dyDescent="0.3">
      <c r="B156" t="s">
        <v>301</v>
      </c>
    </row>
    <row r="157" spans="2:29" x14ac:dyDescent="0.3">
      <c r="B157" t="s">
        <v>302</v>
      </c>
    </row>
    <row r="158" spans="2:29" x14ac:dyDescent="0.3">
      <c r="B158" t="s">
        <v>303</v>
      </c>
    </row>
    <row r="159" spans="2:29" x14ac:dyDescent="0.3">
      <c r="B159" t="s">
        <v>304</v>
      </c>
    </row>
    <row r="160" spans="2:29" x14ac:dyDescent="0.3">
      <c r="B160" t="s">
        <v>305</v>
      </c>
    </row>
    <row r="161" spans="2:3" x14ac:dyDescent="0.3">
      <c r="B161" t="s">
        <v>306</v>
      </c>
    </row>
    <row r="162" spans="2:3" x14ac:dyDescent="0.3">
      <c r="B162" t="s">
        <v>307</v>
      </c>
    </row>
    <row r="163" spans="2:3" x14ac:dyDescent="0.3">
      <c r="B163" t="s">
        <v>308</v>
      </c>
    </row>
    <row r="164" spans="2:3" x14ac:dyDescent="0.3">
      <c r="B164" t="s">
        <v>309</v>
      </c>
    </row>
    <row r="165" spans="2:3" x14ac:dyDescent="0.3">
      <c r="B165" t="s">
        <v>310</v>
      </c>
    </row>
    <row r="166" spans="2:3" x14ac:dyDescent="0.3">
      <c r="B166" t="s">
        <v>311</v>
      </c>
    </row>
    <row r="167" spans="2:3" x14ac:dyDescent="0.3">
      <c r="B167" t="s">
        <v>312</v>
      </c>
    </row>
    <row r="168" spans="2:3" x14ac:dyDescent="0.3">
      <c r="B168" t="s">
        <v>313</v>
      </c>
      <c r="C168">
        <v>1</v>
      </c>
    </row>
    <row r="169" spans="2:3" x14ac:dyDescent="0.3">
      <c r="B169" t="s">
        <v>314</v>
      </c>
      <c r="C169">
        <v>1</v>
      </c>
    </row>
    <row r="170" spans="2:3" x14ac:dyDescent="0.3">
      <c r="B170" t="s">
        <v>315</v>
      </c>
      <c r="C170">
        <v>1</v>
      </c>
    </row>
    <row r="171" spans="2:3" x14ac:dyDescent="0.3">
      <c r="B171" t="s">
        <v>316</v>
      </c>
      <c r="C171">
        <v>1</v>
      </c>
    </row>
    <row r="172" spans="2:3" x14ac:dyDescent="0.3">
      <c r="B172" t="s">
        <v>317</v>
      </c>
      <c r="C172">
        <v>2</v>
      </c>
    </row>
    <row r="173" spans="2:3" x14ac:dyDescent="0.3">
      <c r="B173" t="s">
        <v>318</v>
      </c>
      <c r="C173">
        <v>2</v>
      </c>
    </row>
    <row r="174" spans="2:3" x14ac:dyDescent="0.3">
      <c r="B174" t="s">
        <v>319</v>
      </c>
      <c r="C174">
        <v>2</v>
      </c>
    </row>
    <row r="175" spans="2:3" x14ac:dyDescent="0.3">
      <c r="B175" t="s">
        <v>320</v>
      </c>
      <c r="C175">
        <v>3</v>
      </c>
    </row>
    <row r="176" spans="2:3" x14ac:dyDescent="0.3">
      <c r="B176" t="s">
        <v>321</v>
      </c>
      <c r="C176">
        <v>3</v>
      </c>
    </row>
    <row r="177" spans="2:15" x14ac:dyDescent="0.3">
      <c r="B177" t="s">
        <v>322</v>
      </c>
      <c r="C177">
        <v>3</v>
      </c>
    </row>
    <row r="178" spans="2:15" x14ac:dyDescent="0.3">
      <c r="B178" t="s">
        <v>323</v>
      </c>
      <c r="C178">
        <v>4</v>
      </c>
    </row>
    <row r="179" spans="2:15" x14ac:dyDescent="0.3">
      <c r="B179" t="s">
        <v>324</v>
      </c>
      <c r="C179">
        <v>4</v>
      </c>
    </row>
    <row r="180" spans="2:15" x14ac:dyDescent="0.3">
      <c r="B180" t="s">
        <v>325</v>
      </c>
      <c r="C180">
        <v>4</v>
      </c>
    </row>
    <row r="181" spans="2:15" x14ac:dyDescent="0.3">
      <c r="B181" t="s">
        <v>326</v>
      </c>
      <c r="C181">
        <v>5</v>
      </c>
    </row>
    <row r="182" spans="2:15" x14ac:dyDescent="0.3">
      <c r="B182" t="s">
        <v>327</v>
      </c>
      <c r="C182">
        <v>5</v>
      </c>
    </row>
    <row r="183" spans="2:15" x14ac:dyDescent="0.3">
      <c r="B183" t="s">
        <v>328</v>
      </c>
      <c r="C183">
        <v>5</v>
      </c>
    </row>
    <row r="184" spans="2:15" x14ac:dyDescent="0.3">
      <c r="B184" t="s">
        <v>329</v>
      </c>
      <c r="C184">
        <v>6</v>
      </c>
    </row>
    <row r="185" spans="2:15" x14ac:dyDescent="0.3">
      <c r="B185" t="s">
        <v>330</v>
      </c>
      <c r="C185">
        <v>6</v>
      </c>
    </row>
    <row r="186" spans="2:15" x14ac:dyDescent="0.3">
      <c r="B186" t="s">
        <v>331</v>
      </c>
      <c r="C186">
        <v>6</v>
      </c>
    </row>
    <row r="188" spans="2:15" x14ac:dyDescent="0.3">
      <c r="B188" t="s">
        <v>332</v>
      </c>
    </row>
    <row r="189" spans="2:15" x14ac:dyDescent="0.3">
      <c r="B189" t="s">
        <v>174</v>
      </c>
      <c r="C189" t="s">
        <v>30</v>
      </c>
      <c r="F189">
        <v>1</v>
      </c>
      <c r="G189">
        <v>2</v>
      </c>
      <c r="H189">
        <v>3</v>
      </c>
      <c r="I189">
        <v>4</v>
      </c>
      <c r="J189">
        <v>5</v>
      </c>
      <c r="K189">
        <v>6</v>
      </c>
      <c r="L189">
        <v>7</v>
      </c>
      <c r="M189">
        <v>8</v>
      </c>
      <c r="N189">
        <v>9</v>
      </c>
      <c r="O189">
        <v>10</v>
      </c>
    </row>
    <row r="190" spans="2:15" x14ac:dyDescent="0.3">
      <c r="B190">
        <v>0</v>
      </c>
      <c r="E190">
        <v>0</v>
      </c>
      <c r="F190">
        <v>5</v>
      </c>
      <c r="G190">
        <f>F190+VLOOKUP(G$189,$B$190:$C200,2,FALSE)</f>
        <v>15</v>
      </c>
      <c r="H190">
        <f>G190+VLOOKUP(H$189,$B$190:$C200,2,FALSE)</f>
        <v>30</v>
      </c>
      <c r="I190">
        <f>H190+VLOOKUP(I$189,$B$190:$C200,2,FALSE)</f>
        <v>50</v>
      </c>
      <c r="J190">
        <f>I190+VLOOKUP(J$189,$B$190:$C200,2,FALSE)</f>
        <v>75</v>
      </c>
      <c r="K190">
        <f>J190+VLOOKUP(K$189,$B$190:$C200,2,FALSE)</f>
        <v>105</v>
      </c>
      <c r="L190">
        <f>K190+VLOOKUP(L$189,$B$190:$C200,2,FALSE)</f>
        <v>140</v>
      </c>
      <c r="M190">
        <f>L190+VLOOKUP(M$189,$B$190:$C200,2,FALSE)</f>
        <v>180</v>
      </c>
      <c r="N190">
        <f>M190+VLOOKUP(N$189,$B$190:$C200,2,FALSE)</f>
        <v>225</v>
      </c>
      <c r="O190">
        <f>N190+VLOOKUP(O$189,$B$190:$C200,2,FALSE)</f>
        <v>275</v>
      </c>
    </row>
    <row r="191" spans="2:15" x14ac:dyDescent="0.3">
      <c r="B191">
        <v>1</v>
      </c>
      <c r="C191">
        <v>5</v>
      </c>
      <c r="E191">
        <v>1</v>
      </c>
      <c r="G191">
        <v>10</v>
      </c>
      <c r="H191">
        <f>G191+VLOOKUP(H$189,$B$190:$C201,2,FALSE)</f>
        <v>25</v>
      </c>
      <c r="I191">
        <f>H191+VLOOKUP(I$189,$B$190:$C201,2,FALSE)</f>
        <v>45</v>
      </c>
      <c r="J191">
        <f>I191+VLOOKUP(J$189,$B$190:$C201,2,FALSE)</f>
        <v>70</v>
      </c>
      <c r="K191">
        <f>J191+VLOOKUP(K$189,$B$190:$C201,2,FALSE)</f>
        <v>100</v>
      </c>
      <c r="L191">
        <f>K191+VLOOKUP(L$189,$B$190:$C201,2,FALSE)</f>
        <v>135</v>
      </c>
      <c r="M191">
        <f>L191+VLOOKUP(M$189,$B$190:$C201,2,FALSE)</f>
        <v>175</v>
      </c>
      <c r="N191">
        <f>M191+VLOOKUP(N$189,$B$190:$C201,2,FALSE)</f>
        <v>220</v>
      </c>
      <c r="O191">
        <f>N191+VLOOKUP(O$189,$B$190:$C201,2,FALSE)</f>
        <v>270</v>
      </c>
    </row>
    <row r="192" spans="2:15" x14ac:dyDescent="0.3">
      <c r="B192">
        <v>2</v>
      </c>
      <c r="C192">
        <v>10</v>
      </c>
      <c r="E192">
        <v>2</v>
      </c>
      <c r="H192">
        <v>15</v>
      </c>
      <c r="I192">
        <f>H192+VLOOKUP(I$189,$B$190:$C202,2,FALSE)</f>
        <v>35</v>
      </c>
      <c r="J192">
        <f>I192+VLOOKUP(J$189,$B$190:$C202,2,FALSE)</f>
        <v>60</v>
      </c>
      <c r="K192">
        <f>J192+VLOOKUP(K$189,$B$190:$C202,2,FALSE)</f>
        <v>90</v>
      </c>
      <c r="L192">
        <f>K192+VLOOKUP(L$189,$B$190:$C202,2,FALSE)</f>
        <v>125</v>
      </c>
      <c r="M192">
        <f>L192+VLOOKUP(M$189,$B$190:$C202,2,FALSE)</f>
        <v>165</v>
      </c>
      <c r="N192">
        <f>M192+VLOOKUP(N$189,$B$190:$C202,2,FALSE)</f>
        <v>210</v>
      </c>
      <c r="O192">
        <f>N192+VLOOKUP(O$189,$B$190:$C202,2,FALSE)</f>
        <v>260</v>
      </c>
    </row>
    <row r="193" spans="2:15" x14ac:dyDescent="0.3">
      <c r="B193">
        <v>3</v>
      </c>
      <c r="C193">
        <v>15</v>
      </c>
      <c r="E193">
        <v>3</v>
      </c>
      <c r="I193">
        <v>20</v>
      </c>
      <c r="J193">
        <f>I193+VLOOKUP(J$189,$B$190:$C203,2,FALSE)</f>
        <v>45</v>
      </c>
      <c r="K193">
        <f>J193+VLOOKUP(K$189,$B$190:$C203,2,FALSE)</f>
        <v>75</v>
      </c>
      <c r="L193">
        <f>K193+VLOOKUP(L$189,$B$190:$C203,2,FALSE)</f>
        <v>110</v>
      </c>
      <c r="M193">
        <f>L193+VLOOKUP(M$189,$B$190:$C203,2,FALSE)</f>
        <v>150</v>
      </c>
      <c r="N193">
        <f>M193+VLOOKUP(N$189,$B$190:$C203,2,FALSE)</f>
        <v>195</v>
      </c>
      <c r="O193">
        <f>N193+VLOOKUP(O$189,$B$190:$C203,2,FALSE)</f>
        <v>245</v>
      </c>
    </row>
    <row r="194" spans="2:15" x14ac:dyDescent="0.3">
      <c r="B194">
        <v>4</v>
      </c>
      <c r="C194">
        <v>20</v>
      </c>
      <c r="E194">
        <v>4</v>
      </c>
      <c r="J194">
        <v>25</v>
      </c>
      <c r="K194">
        <f>J194+VLOOKUP(K$189,$B$190:$C204,2,FALSE)</f>
        <v>55</v>
      </c>
      <c r="L194">
        <f>K194+VLOOKUP(L$189,$B$190:$C204,2,FALSE)</f>
        <v>90</v>
      </c>
      <c r="M194">
        <f>L194+VLOOKUP(M$189,$B$190:$C204,2,FALSE)</f>
        <v>130</v>
      </c>
      <c r="N194">
        <f>M194+VLOOKUP(N$189,$B$190:$C204,2,FALSE)</f>
        <v>175</v>
      </c>
      <c r="O194">
        <f>N194+VLOOKUP(O$189,$B$190:$C204,2,FALSE)</f>
        <v>225</v>
      </c>
    </row>
    <row r="195" spans="2:15" x14ac:dyDescent="0.3">
      <c r="B195">
        <v>5</v>
      </c>
      <c r="C195">
        <v>25</v>
      </c>
      <c r="E195">
        <v>5</v>
      </c>
      <c r="K195">
        <v>30</v>
      </c>
      <c r="L195">
        <f>K195+VLOOKUP(L$189,$B$190:$C205,2,FALSE)</f>
        <v>65</v>
      </c>
      <c r="M195">
        <f>L195+VLOOKUP(M$189,$B$190:$C205,2,FALSE)</f>
        <v>105</v>
      </c>
      <c r="N195">
        <f>M195+VLOOKUP(N$189,$B$190:$C205,2,FALSE)</f>
        <v>150</v>
      </c>
      <c r="O195">
        <f>N195+VLOOKUP(O$189,$B$190:$C205,2,FALSE)</f>
        <v>200</v>
      </c>
    </row>
    <row r="196" spans="2:15" x14ac:dyDescent="0.3">
      <c r="B196">
        <v>6</v>
      </c>
      <c r="C196">
        <v>30</v>
      </c>
      <c r="E196">
        <v>6</v>
      </c>
      <c r="L196">
        <v>35</v>
      </c>
      <c r="M196">
        <f>L196+VLOOKUP(M$189,$B$190:$C206,2,FALSE)</f>
        <v>75</v>
      </c>
      <c r="N196">
        <f>M196+VLOOKUP(N$189,$B$190:$C206,2,FALSE)</f>
        <v>120</v>
      </c>
      <c r="O196">
        <f>N196+VLOOKUP(O$189,$B$190:$C206,2,FALSE)</f>
        <v>170</v>
      </c>
    </row>
    <row r="197" spans="2:15" x14ac:dyDescent="0.3">
      <c r="B197">
        <v>7</v>
      </c>
      <c r="C197">
        <v>35</v>
      </c>
      <c r="E197">
        <v>7</v>
      </c>
      <c r="M197">
        <v>40</v>
      </c>
      <c r="N197">
        <f>M197+VLOOKUP(N$189,$B$190:$C207,2,FALSE)</f>
        <v>85</v>
      </c>
      <c r="O197">
        <f>N197+VLOOKUP(O$189,$B$190:$C207,2,FALSE)</f>
        <v>135</v>
      </c>
    </row>
    <row r="198" spans="2:15" x14ac:dyDescent="0.3">
      <c r="B198">
        <v>8</v>
      </c>
      <c r="C198">
        <v>40</v>
      </c>
      <c r="E198">
        <v>8</v>
      </c>
      <c r="N198">
        <v>45</v>
      </c>
      <c r="O198">
        <f>N198+VLOOKUP(O$189,$B$190:$C208,2,FALSE)</f>
        <v>95</v>
      </c>
    </row>
    <row r="199" spans="2:15" x14ac:dyDescent="0.3">
      <c r="B199">
        <v>9</v>
      </c>
      <c r="C199">
        <v>45</v>
      </c>
      <c r="E199">
        <v>9</v>
      </c>
      <c r="O199">
        <v>50</v>
      </c>
    </row>
    <row r="200" spans="2:15" x14ac:dyDescent="0.3">
      <c r="B200">
        <v>10</v>
      </c>
      <c r="C200">
        <v>50</v>
      </c>
      <c r="E200">
        <v>10</v>
      </c>
    </row>
    <row r="201" spans="2:15" x14ac:dyDescent="0.3">
      <c r="C201">
        <f>SUM(C191:C200)</f>
        <v>275</v>
      </c>
    </row>
  </sheetData>
  <mergeCells count="13">
    <mergeCell ref="BH51:BZ51"/>
    <mergeCell ref="E104:P104"/>
    <mergeCell ref="R104:AC104"/>
    <mergeCell ref="E129:P129"/>
    <mergeCell ref="R129:AC129"/>
    <mergeCell ref="C51:U51"/>
    <mergeCell ref="V51:AN51"/>
    <mergeCell ref="AO51:BG51"/>
    <mergeCell ref="C2:I2"/>
    <mergeCell ref="J2:P2"/>
    <mergeCell ref="Q2:W2"/>
    <mergeCell ref="X2:AD2"/>
    <mergeCell ref="AL2:AR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835A-FFCF-43E6-B7E2-CE5AE0FC31D2}">
  <sheetPr codeName="Sheet22"/>
  <dimension ref="A1:AJ69"/>
  <sheetViews>
    <sheetView workbookViewId="0">
      <selection sqref="A1:X2"/>
    </sheetView>
  </sheetViews>
  <sheetFormatPr baseColWidth="10" defaultColWidth="8.88671875" defaultRowHeight="14.4" x14ac:dyDescent="0.3"/>
  <cols>
    <col min="7" max="7" width="11.6640625" bestFit="1" customWidth="1"/>
    <col min="9" max="9" width="11.33203125" bestFit="1" customWidth="1"/>
    <col min="12" max="12" width="11.6640625" bestFit="1" customWidth="1"/>
    <col min="19" max="19" width="11.6640625" bestFit="1" customWidth="1"/>
    <col min="21" max="21" width="11.6640625" bestFit="1" customWidth="1"/>
    <col min="24" max="24" width="11.6640625" bestFit="1" customWidth="1"/>
    <col min="28" max="28" width="10" bestFit="1" customWidth="1"/>
    <col min="31" max="31" width="11.6640625" bestFit="1" customWidth="1"/>
    <col min="32" max="32" width="10" bestFit="1" customWidth="1"/>
    <col min="36" max="36" width="11.6640625" bestFit="1" customWidth="1"/>
  </cols>
  <sheetData>
    <row r="1" spans="1:36" ht="15" customHeight="1" x14ac:dyDescent="0.3">
      <c r="A1" s="623" t="s">
        <v>615</v>
      </c>
      <c r="B1" s="623"/>
      <c r="C1" s="623"/>
      <c r="D1" s="623"/>
      <c r="E1" s="623"/>
      <c r="F1" s="623"/>
      <c r="G1" s="623"/>
      <c r="H1" s="623"/>
      <c r="I1" s="623"/>
      <c r="J1" s="623"/>
      <c r="K1" s="623"/>
      <c r="L1" s="623"/>
      <c r="M1" s="623"/>
      <c r="N1" s="623"/>
      <c r="O1" s="623"/>
      <c r="P1" s="623"/>
      <c r="Q1" s="623"/>
      <c r="R1" s="623"/>
      <c r="S1" s="623"/>
      <c r="T1" s="623"/>
      <c r="U1" s="623"/>
      <c r="V1" s="623"/>
      <c r="W1" s="623"/>
      <c r="X1" s="623"/>
    </row>
    <row r="2" spans="1:36" ht="15" customHeight="1" x14ac:dyDescent="0.3">
      <c r="A2" s="623"/>
      <c r="B2" s="623"/>
      <c r="C2" s="623"/>
      <c r="D2" s="623"/>
      <c r="E2" s="623"/>
      <c r="F2" s="623"/>
      <c r="G2" s="623"/>
      <c r="H2" s="623"/>
      <c r="I2" s="623"/>
      <c r="J2" s="623"/>
      <c r="K2" s="623"/>
      <c r="L2" s="623"/>
      <c r="M2" s="623"/>
      <c r="N2" s="623"/>
      <c r="O2" s="623"/>
      <c r="P2" s="623"/>
      <c r="Q2" s="623"/>
      <c r="R2" s="623"/>
      <c r="S2" s="623"/>
      <c r="T2" s="623"/>
      <c r="U2" s="623"/>
      <c r="V2" s="623"/>
      <c r="W2" s="623"/>
      <c r="X2" s="623"/>
    </row>
    <row r="4" spans="1:36" x14ac:dyDescent="0.3">
      <c r="C4" s="426" t="s">
        <v>576</v>
      </c>
      <c r="D4" s="426"/>
      <c r="E4" s="426"/>
      <c r="F4" s="426"/>
      <c r="G4" s="426"/>
      <c r="H4" s="426"/>
      <c r="I4" s="426"/>
      <c r="J4" s="426"/>
      <c r="K4" s="426"/>
      <c r="L4" s="426"/>
      <c r="O4" s="426" t="s">
        <v>577</v>
      </c>
      <c r="P4" s="426"/>
      <c r="Q4" s="426"/>
      <c r="R4" s="426"/>
      <c r="S4" s="426"/>
      <c r="T4" s="426"/>
      <c r="U4" s="426"/>
      <c r="V4" s="426"/>
      <c r="W4" s="426"/>
      <c r="X4" s="426"/>
      <c r="AA4" s="426" t="s">
        <v>578</v>
      </c>
      <c r="AB4" s="426"/>
      <c r="AC4" s="426"/>
      <c r="AD4" s="426"/>
      <c r="AE4" s="426"/>
      <c r="AF4" s="426"/>
      <c r="AG4" s="426"/>
      <c r="AH4" s="426"/>
      <c r="AI4" s="426"/>
      <c r="AJ4" s="426"/>
    </row>
    <row r="5" spans="1:36" x14ac:dyDescent="0.3">
      <c r="B5" s="1"/>
      <c r="C5" s="156" t="s">
        <v>579</v>
      </c>
      <c r="D5" s="389" t="s">
        <v>174</v>
      </c>
      <c r="E5" s="390"/>
      <c r="F5" s="389" t="s">
        <v>564</v>
      </c>
      <c r="G5" s="450"/>
      <c r="H5" s="390"/>
      <c r="I5" s="389" t="s">
        <v>572</v>
      </c>
      <c r="J5" s="390"/>
      <c r="K5" s="389" t="s">
        <v>572</v>
      </c>
      <c r="L5" s="390"/>
      <c r="N5" s="1"/>
      <c r="O5" s="156" t="s">
        <v>579</v>
      </c>
      <c r="P5" s="389" t="s">
        <v>174</v>
      </c>
      <c r="Q5" s="390"/>
      <c r="R5" s="389" t="s">
        <v>564</v>
      </c>
      <c r="S5" s="450"/>
      <c r="T5" s="390"/>
      <c r="U5" s="389" t="s">
        <v>572</v>
      </c>
      <c r="V5" s="390"/>
      <c r="W5" s="389" t="s">
        <v>572</v>
      </c>
      <c r="X5" s="390"/>
      <c r="Z5" s="1"/>
      <c r="AA5" s="156" t="s">
        <v>579</v>
      </c>
      <c r="AB5" s="389" t="s">
        <v>174</v>
      </c>
      <c r="AC5" s="390"/>
      <c r="AD5" s="389" t="s">
        <v>564</v>
      </c>
      <c r="AE5" s="450"/>
      <c r="AF5" s="390"/>
      <c r="AG5" s="389" t="s">
        <v>572</v>
      </c>
      <c r="AH5" s="390"/>
      <c r="AI5" s="389" t="s">
        <v>572</v>
      </c>
      <c r="AJ5" s="390"/>
    </row>
    <row r="6" spans="1:36" x14ac:dyDescent="0.3">
      <c r="B6" s="185" t="s">
        <v>349</v>
      </c>
      <c r="C6" s="185" t="s">
        <v>570</v>
      </c>
      <c r="D6" s="185" t="s">
        <v>98</v>
      </c>
      <c r="E6" s="185" t="s">
        <v>99</v>
      </c>
      <c r="F6" s="185" t="s">
        <v>570</v>
      </c>
      <c r="G6" s="185" t="s">
        <v>285</v>
      </c>
      <c r="H6" s="185" t="s">
        <v>580</v>
      </c>
      <c r="I6" s="185" t="s">
        <v>98</v>
      </c>
      <c r="J6" s="185" t="s">
        <v>99</v>
      </c>
      <c r="K6" s="187" t="s">
        <v>573</v>
      </c>
      <c r="L6" s="185" t="s">
        <v>285</v>
      </c>
      <c r="N6" s="185" t="s">
        <v>349</v>
      </c>
      <c r="O6" s="185" t="s">
        <v>570</v>
      </c>
      <c r="P6" s="185" t="s">
        <v>98</v>
      </c>
      <c r="Q6" s="185" t="s">
        <v>99</v>
      </c>
      <c r="R6" s="185" t="s">
        <v>570</v>
      </c>
      <c r="S6" s="185" t="s">
        <v>285</v>
      </c>
      <c r="T6" s="185" t="s">
        <v>580</v>
      </c>
      <c r="U6" s="185" t="s">
        <v>98</v>
      </c>
      <c r="V6" s="185" t="s">
        <v>99</v>
      </c>
      <c r="W6" s="185" t="s">
        <v>573</v>
      </c>
      <c r="X6" s="185" t="s">
        <v>285</v>
      </c>
      <c r="Z6" s="185" t="s">
        <v>349</v>
      </c>
      <c r="AA6" s="185" t="s">
        <v>570</v>
      </c>
      <c r="AB6" s="185" t="s">
        <v>98</v>
      </c>
      <c r="AC6" s="185" t="s">
        <v>99</v>
      </c>
      <c r="AD6" s="185" t="s">
        <v>570</v>
      </c>
      <c r="AE6" s="185" t="s">
        <v>285</v>
      </c>
      <c r="AF6" s="185" t="s">
        <v>580</v>
      </c>
      <c r="AG6" s="185" t="s">
        <v>98</v>
      </c>
      <c r="AH6" s="185" t="s">
        <v>99</v>
      </c>
      <c r="AI6" s="185" t="s">
        <v>573</v>
      </c>
      <c r="AJ6" s="185" t="s">
        <v>285</v>
      </c>
    </row>
    <row r="7" spans="1:36" x14ac:dyDescent="0.3">
      <c r="B7" s="106" t="s">
        <v>566</v>
      </c>
      <c r="C7" s="81" t="str">
        <f>IF($D7&lt;101,VLOOKUP($D7,'Hero Gear Data'!$B$236:$D$336,3,FALSE),"")</f>
        <v/>
      </c>
      <c r="D7" s="188">
        <v>200</v>
      </c>
      <c r="E7" s="125"/>
      <c r="F7" s="81">
        <f>'Hero Gear Data'!F206</f>
        <v>0</v>
      </c>
      <c r="G7" s="66">
        <f>'Hero Gear Data'!G206</f>
        <v>0</v>
      </c>
      <c r="H7" s="66">
        <f>'Hero Gear Data'!H206</f>
        <v>0</v>
      </c>
      <c r="I7" s="125">
        <v>20</v>
      </c>
      <c r="J7" s="189"/>
      <c r="K7" s="81">
        <f>'Hero Gear Data'!F232</f>
        <v>0</v>
      </c>
      <c r="L7" s="81">
        <f>'Hero Gear Data'!G232</f>
        <v>0</v>
      </c>
      <c r="N7" s="106" t="s">
        <v>566</v>
      </c>
      <c r="O7" s="81" t="str">
        <f>IF($P7&lt;101,VLOOKUP($P7,'Hero Gear Data'!$B$236:$D$336,3,FALSE),"")</f>
        <v/>
      </c>
      <c r="P7" s="188">
        <v>119</v>
      </c>
      <c r="Q7" s="125"/>
      <c r="R7" s="81">
        <f>'Hero Gear Data'!AP206</f>
        <v>0</v>
      </c>
      <c r="S7" s="81">
        <f>'Hero Gear Data'!AQ206</f>
        <v>0</v>
      </c>
      <c r="T7" s="81">
        <f>'Hero Gear Data'!AR206</f>
        <v>0</v>
      </c>
      <c r="U7" s="125">
        <v>13</v>
      </c>
      <c r="V7" s="189"/>
      <c r="W7" s="81">
        <f>'Hero Gear Data'!AP232</f>
        <v>0</v>
      </c>
      <c r="X7" s="81">
        <f>'Hero Gear Data'!AQ232</f>
        <v>0</v>
      </c>
      <c r="Z7" s="106" t="s">
        <v>566</v>
      </c>
      <c r="AA7" s="81">
        <f>IF($AB7&lt;101,VLOOKUP($AB7,'Hero Gear Data'!$B$236:$D$336,3,FALSE),"")</f>
        <v>42570</v>
      </c>
      <c r="AB7" s="188">
        <v>85</v>
      </c>
      <c r="AC7" s="125"/>
      <c r="AD7" s="81">
        <f>'Hero Gear Data'!BZ206</f>
        <v>0</v>
      </c>
      <c r="AE7" s="81">
        <f>'Hero Gear Data'!CA206</f>
        <v>0</v>
      </c>
      <c r="AF7" s="81">
        <f>'Hero Gear Data'!CB206</f>
        <v>0</v>
      </c>
      <c r="AG7" s="125"/>
      <c r="AH7" s="189"/>
      <c r="AI7" s="81">
        <f>'Hero Gear Data'!BZ232</f>
        <v>0</v>
      </c>
      <c r="AJ7" s="81">
        <f>'Hero Gear Data'!CA232</f>
        <v>0</v>
      </c>
    </row>
    <row r="8" spans="1:36" x14ac:dyDescent="0.3">
      <c r="B8" s="105" t="s">
        <v>567</v>
      </c>
      <c r="C8" s="82" t="str">
        <f>IF($D8&lt;101,VLOOKUP($D8,'Hero Gear Data'!$B$236:$D$336,3,FALSE),"")</f>
        <v/>
      </c>
      <c r="D8" s="177">
        <v>200</v>
      </c>
      <c r="E8" s="49"/>
      <c r="F8" s="82">
        <f>'Hero Gear Data'!I206</f>
        <v>0</v>
      </c>
      <c r="G8" s="68">
        <f>'Hero Gear Data'!J206</f>
        <v>0</v>
      </c>
      <c r="H8" s="68">
        <f>'Hero Gear Data'!K206</f>
        <v>0</v>
      </c>
      <c r="I8" s="49">
        <v>20</v>
      </c>
      <c r="J8" s="154"/>
      <c r="K8" s="82">
        <f>'Hero Gear Data'!I232</f>
        <v>0</v>
      </c>
      <c r="L8" s="82">
        <f>'Hero Gear Data'!J232</f>
        <v>0</v>
      </c>
      <c r="N8" s="105" t="s">
        <v>567</v>
      </c>
      <c r="O8" s="82" t="str">
        <f>IF($P8&lt;101,VLOOKUP($P8,'Hero Gear Data'!$B$236:$D$336,3,FALSE),"")</f>
        <v/>
      </c>
      <c r="P8" s="177">
        <v>139</v>
      </c>
      <c r="Q8" s="49">
        <v>159</v>
      </c>
      <c r="R8" s="82">
        <f>'Hero Gear Data'!AS206</f>
        <v>93100</v>
      </c>
      <c r="S8" s="82">
        <f>'Hero Gear Data'!AT206</f>
        <v>5</v>
      </c>
      <c r="T8" s="82">
        <f>'Hero Gear Data'!AU206</f>
        <v>20</v>
      </c>
      <c r="U8" s="49">
        <v>15</v>
      </c>
      <c r="V8" s="154">
        <v>16</v>
      </c>
      <c r="W8" s="82">
        <f>'Hero Gear Data'!AS232</f>
        <v>160</v>
      </c>
      <c r="X8" s="82">
        <f>'Hero Gear Data'!AT232</f>
        <v>6</v>
      </c>
      <c r="Z8" s="105" t="s">
        <v>567</v>
      </c>
      <c r="AA8" s="82">
        <f>IF($AB8&lt;101,VLOOKUP($AB8,'Hero Gear Data'!$B$236:$D$336,3,FALSE),"")</f>
        <v>42570</v>
      </c>
      <c r="AB8" s="177">
        <v>85</v>
      </c>
      <c r="AC8" s="49">
        <v>99</v>
      </c>
      <c r="AD8" s="82">
        <f>'Hero Gear Data'!CC206</f>
        <v>28350</v>
      </c>
      <c r="AE8" s="82">
        <f>'Hero Gear Data'!CD206</f>
        <v>0</v>
      </c>
      <c r="AF8" s="82">
        <f>'Hero Gear Data'!CE206</f>
        <v>0</v>
      </c>
      <c r="AG8" s="49"/>
      <c r="AH8" s="154"/>
      <c r="AI8" s="82">
        <f>'Hero Gear Data'!CC232</f>
        <v>0</v>
      </c>
      <c r="AJ8" s="82">
        <f>'Hero Gear Data'!CD232</f>
        <v>0</v>
      </c>
    </row>
    <row r="9" spans="1:36" x14ac:dyDescent="0.3">
      <c r="B9" s="105" t="s">
        <v>568</v>
      </c>
      <c r="C9" s="82" t="str">
        <f>IF($D9&lt;101,VLOOKUP($D9,'Hero Gear Data'!$B$236:$D$336,3,FALSE),"")</f>
        <v/>
      </c>
      <c r="D9" s="177">
        <v>200</v>
      </c>
      <c r="E9" s="49"/>
      <c r="F9" s="82">
        <f>'Hero Gear Data'!L206</f>
        <v>0</v>
      </c>
      <c r="G9" s="68">
        <f>'Hero Gear Data'!M206</f>
        <v>0</v>
      </c>
      <c r="H9" s="68">
        <f>'Hero Gear Data'!N206</f>
        <v>0</v>
      </c>
      <c r="I9" s="49">
        <v>20</v>
      </c>
      <c r="J9" s="154"/>
      <c r="K9" s="82">
        <f>'Hero Gear Data'!L232</f>
        <v>0</v>
      </c>
      <c r="L9" s="82">
        <f>'Hero Gear Data'!M232</f>
        <v>0</v>
      </c>
      <c r="N9" s="105" t="s">
        <v>568</v>
      </c>
      <c r="O9" s="82" t="str">
        <f>IF($P9&lt;101,VLOOKUP($P9,'Hero Gear Data'!$B$236:$D$336,3,FALSE),"")</f>
        <v/>
      </c>
      <c r="P9" s="177">
        <v>139</v>
      </c>
      <c r="Q9" s="49">
        <v>159</v>
      </c>
      <c r="R9" s="82">
        <f>'Hero Gear Data'!AV206</f>
        <v>93100</v>
      </c>
      <c r="S9" s="82">
        <f>'Hero Gear Data'!AW206</f>
        <v>5</v>
      </c>
      <c r="T9" s="82">
        <f>'Hero Gear Data'!AX206</f>
        <v>20</v>
      </c>
      <c r="U9" s="49">
        <v>15</v>
      </c>
      <c r="V9" s="154">
        <v>16</v>
      </c>
      <c r="W9" s="82">
        <f>'Hero Gear Data'!AV232</f>
        <v>160</v>
      </c>
      <c r="X9" s="82">
        <f>'Hero Gear Data'!AW232</f>
        <v>6</v>
      </c>
      <c r="Z9" s="105" t="s">
        <v>568</v>
      </c>
      <c r="AA9" s="82">
        <f>IF($AB9&lt;101,VLOOKUP($AB9,'Hero Gear Data'!$B$236:$D$336,3,FALSE),"")</f>
        <v>42570</v>
      </c>
      <c r="AB9" s="177">
        <v>85</v>
      </c>
      <c r="AC9" s="49">
        <v>99</v>
      </c>
      <c r="AD9" s="82">
        <f>'Hero Gear Data'!CF206</f>
        <v>28350</v>
      </c>
      <c r="AE9" s="82">
        <f>'Hero Gear Data'!CG206</f>
        <v>0</v>
      </c>
      <c r="AF9" s="82">
        <f>'Hero Gear Data'!CH206</f>
        <v>0</v>
      </c>
      <c r="AG9" s="49"/>
      <c r="AH9" s="154"/>
      <c r="AI9" s="82">
        <f>'Hero Gear Data'!CF232</f>
        <v>0</v>
      </c>
      <c r="AJ9" s="82">
        <f>'Hero Gear Data'!CG232</f>
        <v>0</v>
      </c>
    </row>
    <row r="10" spans="1:36" x14ac:dyDescent="0.3">
      <c r="B10" s="104" t="s">
        <v>569</v>
      </c>
      <c r="C10" s="84" t="str">
        <f>IF($D10&lt;101,VLOOKUP($D10,'Hero Gear Data'!$B$236:$D$336,3,FALSE),"")</f>
        <v/>
      </c>
      <c r="D10" s="177">
        <v>200</v>
      </c>
      <c r="E10" s="49"/>
      <c r="F10" s="84">
        <f>'Hero Gear Data'!O206</f>
        <v>0</v>
      </c>
      <c r="G10" s="70">
        <f>'Hero Gear Data'!P206</f>
        <v>0</v>
      </c>
      <c r="H10" s="70">
        <f>'Hero Gear Data'!Q206</f>
        <v>0</v>
      </c>
      <c r="I10" s="49">
        <v>20</v>
      </c>
      <c r="J10" s="154"/>
      <c r="K10" s="84">
        <f>'Hero Gear Data'!O232</f>
        <v>0</v>
      </c>
      <c r="L10" s="84">
        <f>'Hero Gear Data'!P232</f>
        <v>0</v>
      </c>
      <c r="N10" s="104" t="s">
        <v>569</v>
      </c>
      <c r="O10" s="84" t="str">
        <f>IF($P10&lt;101,VLOOKUP($P10,'Hero Gear Data'!$B$236:$D$336,3,FALSE),"")</f>
        <v/>
      </c>
      <c r="P10" s="177">
        <v>119</v>
      </c>
      <c r="Q10" s="49"/>
      <c r="R10" s="84">
        <f>'Hero Gear Data'!AY206</f>
        <v>0</v>
      </c>
      <c r="S10" s="84">
        <f>'Hero Gear Data'!AZ206</f>
        <v>0</v>
      </c>
      <c r="T10" s="84">
        <f>'Hero Gear Data'!BA206</f>
        <v>0</v>
      </c>
      <c r="U10" s="49">
        <v>13</v>
      </c>
      <c r="V10" s="154"/>
      <c r="W10" s="84">
        <f>'Hero Gear Data'!AY232</f>
        <v>0</v>
      </c>
      <c r="X10" s="84">
        <f>'Hero Gear Data'!AZ232</f>
        <v>0</v>
      </c>
      <c r="Z10" s="104" t="s">
        <v>569</v>
      </c>
      <c r="AA10" s="84">
        <f>IF($AB10&lt;101,VLOOKUP($AB10,'Hero Gear Data'!$B$236:$D$336,3,FALSE),"")</f>
        <v>42570</v>
      </c>
      <c r="AB10" s="177">
        <v>85</v>
      </c>
      <c r="AC10" s="49"/>
      <c r="AD10" s="84">
        <f>'Hero Gear Data'!CI206</f>
        <v>0</v>
      </c>
      <c r="AE10" s="84">
        <f>'Hero Gear Data'!CJ206</f>
        <v>0</v>
      </c>
      <c r="AF10" s="84">
        <f>'Hero Gear Data'!CK206</f>
        <v>0</v>
      </c>
      <c r="AG10" s="49"/>
      <c r="AH10" s="154"/>
      <c r="AI10" s="84">
        <f>'Hero Gear Data'!CI232</f>
        <v>0</v>
      </c>
      <c r="AJ10" s="84">
        <f>'Hero Gear Data'!CJ232</f>
        <v>0</v>
      </c>
    </row>
    <row r="11" spans="1:36" x14ac:dyDescent="0.3">
      <c r="B11" s="1"/>
      <c r="C11" s="84">
        <f>SUMIF(F7:F10,0,C7:C10)</f>
        <v>0</v>
      </c>
      <c r="D11" s="101"/>
      <c r="E11" s="101"/>
      <c r="F11" s="87">
        <f>SUM(F7:F10)</f>
        <v>0</v>
      </c>
      <c r="G11" s="87">
        <f>SUM(G7:G10)</f>
        <v>0</v>
      </c>
      <c r="H11" s="87">
        <f>SUM(H7:H10)</f>
        <v>0</v>
      </c>
      <c r="I11" s="101"/>
      <c r="J11" s="101"/>
      <c r="K11" s="87">
        <f>SUM(K7:K10)</f>
        <v>0</v>
      </c>
      <c r="L11" s="87">
        <f>SUM(L7:L10)</f>
        <v>0</v>
      </c>
      <c r="N11" s="1"/>
      <c r="O11" s="84">
        <f>SUMIF(R7:R10,0,O7:O10)</f>
        <v>0</v>
      </c>
      <c r="P11" s="101"/>
      <c r="Q11" s="101"/>
      <c r="R11" s="87">
        <f>SUM(R7:R10)</f>
        <v>186200</v>
      </c>
      <c r="S11" s="87">
        <f>SUM(S7:S10)</f>
        <v>10</v>
      </c>
      <c r="T11" s="87">
        <f>SUM(T7:T10)</f>
        <v>40</v>
      </c>
      <c r="U11" s="101"/>
      <c r="V11" s="101"/>
      <c r="W11" s="87">
        <f>SUM(W7:W10)</f>
        <v>320</v>
      </c>
      <c r="X11" s="84">
        <f>SUM(X7:X10)</f>
        <v>12</v>
      </c>
      <c r="Z11" s="1"/>
      <c r="AA11" s="84">
        <f>SUMIF(AD7:AD10,0,AA7:AA10)</f>
        <v>85140</v>
      </c>
      <c r="AB11" s="101"/>
      <c r="AC11" s="101"/>
      <c r="AD11" s="87">
        <f>SUM(AD7:AD10)</f>
        <v>56700</v>
      </c>
      <c r="AE11" s="87">
        <f>SUM(AE7:AE10)</f>
        <v>0</v>
      </c>
      <c r="AF11" s="87">
        <f>SUM(AF7:AF10)</f>
        <v>0</v>
      </c>
      <c r="AG11" s="101"/>
      <c r="AH11" s="101"/>
      <c r="AI11" s="87">
        <f>SUM(AI7:AI10)</f>
        <v>0</v>
      </c>
      <c r="AJ11" s="84">
        <f>SUM(AJ7:AJ10)</f>
        <v>0</v>
      </c>
    </row>
    <row r="13" spans="1:36" x14ac:dyDescent="0.3">
      <c r="C13" s="406" t="s">
        <v>581</v>
      </c>
      <c r="D13" s="406"/>
      <c r="E13" s="406"/>
      <c r="F13" s="406"/>
      <c r="G13" s="406"/>
      <c r="H13" s="406"/>
      <c r="I13" s="406"/>
      <c r="J13" s="406"/>
      <c r="K13" s="406"/>
      <c r="L13" s="406"/>
      <c r="O13" s="406" t="s">
        <v>582</v>
      </c>
      <c r="P13" s="406"/>
      <c r="Q13" s="406"/>
      <c r="R13" s="406"/>
      <c r="S13" s="406"/>
      <c r="T13" s="406"/>
      <c r="U13" s="406"/>
      <c r="V13" s="406"/>
      <c r="W13" s="406"/>
      <c r="X13" s="406"/>
      <c r="AA13" s="406" t="s">
        <v>583</v>
      </c>
      <c r="AB13" s="406"/>
      <c r="AC13" s="406"/>
      <c r="AD13" s="406"/>
      <c r="AE13" s="406"/>
      <c r="AF13" s="406"/>
      <c r="AG13" s="406"/>
      <c r="AH13" s="406"/>
      <c r="AI13" s="406"/>
      <c r="AJ13" s="406"/>
    </row>
    <row r="14" spans="1:36" x14ac:dyDescent="0.3">
      <c r="B14" s="1"/>
      <c r="C14" s="156" t="s">
        <v>579</v>
      </c>
      <c r="D14" s="389" t="s">
        <v>174</v>
      </c>
      <c r="E14" s="390"/>
      <c r="F14" s="389" t="s">
        <v>564</v>
      </c>
      <c r="G14" s="450"/>
      <c r="H14" s="390"/>
      <c r="I14" s="389" t="s">
        <v>572</v>
      </c>
      <c r="J14" s="390"/>
      <c r="K14" s="389" t="s">
        <v>572</v>
      </c>
      <c r="L14" s="390"/>
      <c r="N14" s="1"/>
      <c r="O14" s="156" t="s">
        <v>579</v>
      </c>
      <c r="P14" s="389" t="s">
        <v>174</v>
      </c>
      <c r="Q14" s="390"/>
      <c r="R14" s="389" t="s">
        <v>564</v>
      </c>
      <c r="S14" s="450"/>
      <c r="T14" s="390"/>
      <c r="U14" s="389" t="s">
        <v>572</v>
      </c>
      <c r="V14" s="390"/>
      <c r="W14" s="389" t="s">
        <v>572</v>
      </c>
      <c r="X14" s="390"/>
      <c r="Z14" s="1"/>
      <c r="AA14" s="156" t="s">
        <v>579</v>
      </c>
      <c r="AB14" s="389" t="s">
        <v>174</v>
      </c>
      <c r="AC14" s="390"/>
      <c r="AD14" s="389" t="s">
        <v>564</v>
      </c>
      <c r="AE14" s="450"/>
      <c r="AF14" s="390"/>
      <c r="AG14" s="389" t="s">
        <v>572</v>
      </c>
      <c r="AH14" s="390"/>
      <c r="AI14" s="389" t="s">
        <v>572</v>
      </c>
      <c r="AJ14" s="390"/>
    </row>
    <row r="15" spans="1:36" x14ac:dyDescent="0.3">
      <c r="B15" s="185" t="s">
        <v>349</v>
      </c>
      <c r="C15" s="185" t="s">
        <v>570</v>
      </c>
      <c r="D15" s="185" t="s">
        <v>98</v>
      </c>
      <c r="E15" s="185" t="s">
        <v>99</v>
      </c>
      <c r="F15" s="185" t="s">
        <v>570</v>
      </c>
      <c r="G15" s="185" t="s">
        <v>285</v>
      </c>
      <c r="H15" s="185" t="s">
        <v>580</v>
      </c>
      <c r="I15" s="185" t="s">
        <v>98</v>
      </c>
      <c r="J15" s="185" t="s">
        <v>99</v>
      </c>
      <c r="K15" s="187" t="s">
        <v>573</v>
      </c>
      <c r="L15" s="185" t="s">
        <v>285</v>
      </c>
      <c r="N15" s="185" t="s">
        <v>349</v>
      </c>
      <c r="O15" s="185" t="s">
        <v>570</v>
      </c>
      <c r="P15" s="185" t="s">
        <v>98</v>
      </c>
      <c r="Q15" s="185" t="s">
        <v>99</v>
      </c>
      <c r="R15" s="185" t="s">
        <v>570</v>
      </c>
      <c r="S15" s="185" t="s">
        <v>285</v>
      </c>
      <c r="T15" s="185" t="s">
        <v>580</v>
      </c>
      <c r="U15" s="185" t="s">
        <v>98</v>
      </c>
      <c r="V15" s="185" t="s">
        <v>99</v>
      </c>
      <c r="W15" s="187" t="s">
        <v>573</v>
      </c>
      <c r="X15" s="185" t="s">
        <v>285</v>
      </c>
      <c r="Z15" s="185" t="s">
        <v>349</v>
      </c>
      <c r="AA15" s="185" t="s">
        <v>570</v>
      </c>
      <c r="AB15" s="185" t="s">
        <v>98</v>
      </c>
      <c r="AC15" s="185" t="s">
        <v>99</v>
      </c>
      <c r="AD15" s="185" t="s">
        <v>570</v>
      </c>
      <c r="AE15" s="185" t="s">
        <v>285</v>
      </c>
      <c r="AF15" s="185" t="s">
        <v>580</v>
      </c>
      <c r="AG15" s="185" t="s">
        <v>98</v>
      </c>
      <c r="AH15" s="185" t="s">
        <v>99</v>
      </c>
      <c r="AI15" s="187" t="s">
        <v>573</v>
      </c>
      <c r="AJ15" s="185" t="s">
        <v>285</v>
      </c>
    </row>
    <row r="16" spans="1:36" x14ac:dyDescent="0.3">
      <c r="B16" s="106" t="s">
        <v>566</v>
      </c>
      <c r="C16" s="81" t="str">
        <f>IF($D16&lt;101,VLOOKUP($D16,'Hero Gear Data'!$B$236:$D$336,3,FALSE),"")</f>
        <v/>
      </c>
      <c r="D16" s="188">
        <v>200</v>
      </c>
      <c r="E16" s="125"/>
      <c r="F16" s="81">
        <f>'Hero Gear Data'!R206</f>
        <v>0</v>
      </c>
      <c r="G16" s="81">
        <f>'Hero Gear Data'!S206</f>
        <v>0</v>
      </c>
      <c r="H16" s="81">
        <f>'Hero Gear Data'!T206</f>
        <v>0</v>
      </c>
      <c r="I16" s="125">
        <v>20</v>
      </c>
      <c r="J16" s="189"/>
      <c r="K16" s="81">
        <f>'Hero Gear Data'!R232</f>
        <v>0</v>
      </c>
      <c r="L16" s="81">
        <f>'Hero Gear Data'!S232</f>
        <v>0</v>
      </c>
      <c r="N16" s="106" t="s">
        <v>566</v>
      </c>
      <c r="O16" s="81" t="str">
        <f>IF($P16&lt;101,VLOOKUP($P16,'Hero Gear Data'!$B$236:$D$336,3,FALSE),"")</f>
        <v/>
      </c>
      <c r="P16" s="188">
        <v>139</v>
      </c>
      <c r="Q16" s="125">
        <v>159</v>
      </c>
      <c r="R16" s="81">
        <f>'Hero Gear Data'!BB206</f>
        <v>93100</v>
      </c>
      <c r="S16" s="81">
        <f>'Hero Gear Data'!BC206</f>
        <v>5</v>
      </c>
      <c r="T16" s="81">
        <f>'Hero Gear Data'!BD206</f>
        <v>20</v>
      </c>
      <c r="U16" s="125">
        <v>15</v>
      </c>
      <c r="V16" s="189">
        <v>16</v>
      </c>
      <c r="W16" s="81">
        <f>'Hero Gear Data'!BB232</f>
        <v>160</v>
      </c>
      <c r="X16" s="81">
        <f>'Hero Gear Data'!BC232</f>
        <v>6</v>
      </c>
      <c r="Z16" s="106" t="s">
        <v>566</v>
      </c>
      <c r="AA16" s="81">
        <f>IF($AB16&lt;101,VLOOKUP($AB16,'Hero Gear Data'!$B$236:$D$336,3,FALSE),"")</f>
        <v>42570</v>
      </c>
      <c r="AB16" s="188">
        <v>85</v>
      </c>
      <c r="AC16" s="125">
        <v>90</v>
      </c>
      <c r="AD16" s="81">
        <f>'Hero Gear Data'!CL206</f>
        <v>9000</v>
      </c>
      <c r="AE16" s="81">
        <f>'Hero Gear Data'!CM206</f>
        <v>0</v>
      </c>
      <c r="AF16" s="81">
        <f>'Hero Gear Data'!CN206</f>
        <v>0</v>
      </c>
      <c r="AG16" s="125"/>
      <c r="AH16" s="189"/>
      <c r="AI16" s="81">
        <f>'Hero Gear Data'!CL232</f>
        <v>0</v>
      </c>
      <c r="AJ16" s="81">
        <f>'Hero Gear Data'!CM232</f>
        <v>0</v>
      </c>
    </row>
    <row r="17" spans="1:36" x14ac:dyDescent="0.3">
      <c r="B17" s="105" t="s">
        <v>567</v>
      </c>
      <c r="C17" s="82" t="str">
        <f>IF($D17&lt;101,VLOOKUP($D17,'Hero Gear Data'!$B$236:$D$336,3,FALSE),"")</f>
        <v/>
      </c>
      <c r="D17" s="177">
        <v>200</v>
      </c>
      <c r="E17" s="49"/>
      <c r="F17" s="82">
        <f>'Hero Gear Data'!U206</f>
        <v>0</v>
      </c>
      <c r="G17" s="82">
        <f>'Hero Gear Data'!V206</f>
        <v>0</v>
      </c>
      <c r="H17" s="82">
        <f>'Hero Gear Data'!W206</f>
        <v>0</v>
      </c>
      <c r="I17" s="49">
        <v>20</v>
      </c>
      <c r="J17" s="154"/>
      <c r="K17" s="82">
        <f>'Hero Gear Data'!U232</f>
        <v>0</v>
      </c>
      <c r="L17" s="82">
        <f>'Hero Gear Data'!V232</f>
        <v>0</v>
      </c>
      <c r="N17" s="105" t="s">
        <v>567</v>
      </c>
      <c r="O17" s="82" t="str">
        <f>IF($P17&lt;101,VLOOKUP($P17,'Hero Gear Data'!$B$236:$D$336,3,FALSE),"")</f>
        <v/>
      </c>
      <c r="P17" s="177">
        <v>119</v>
      </c>
      <c r="Q17" s="49"/>
      <c r="R17" s="82">
        <f>'Hero Gear Data'!BE206</f>
        <v>0</v>
      </c>
      <c r="S17" s="82">
        <f>'Hero Gear Data'!BF206</f>
        <v>0</v>
      </c>
      <c r="T17" s="82">
        <f>'Hero Gear Data'!BG206</f>
        <v>0</v>
      </c>
      <c r="U17" s="49">
        <v>13</v>
      </c>
      <c r="V17" s="154"/>
      <c r="W17" s="82">
        <f>'Hero Gear Data'!BE232</f>
        <v>0</v>
      </c>
      <c r="X17" s="82">
        <f>'Hero Gear Data'!BF232</f>
        <v>0</v>
      </c>
      <c r="Z17" s="105" t="s">
        <v>567</v>
      </c>
      <c r="AA17" s="82">
        <f>IF($AB17&lt;101,VLOOKUP($AB17,'Hero Gear Data'!$B$236:$D$336,3,FALSE),"")</f>
        <v>42570</v>
      </c>
      <c r="AB17" s="177">
        <v>85</v>
      </c>
      <c r="AC17" s="49"/>
      <c r="AD17" s="82">
        <f>'Hero Gear Data'!CO206</f>
        <v>0</v>
      </c>
      <c r="AE17" s="82">
        <f>'Hero Gear Data'!CP206</f>
        <v>0</v>
      </c>
      <c r="AF17" s="82">
        <f>'Hero Gear Data'!CQ206</f>
        <v>0</v>
      </c>
      <c r="AG17" s="49"/>
      <c r="AH17" s="154"/>
      <c r="AI17" s="82">
        <f>'Hero Gear Data'!CO232</f>
        <v>0</v>
      </c>
      <c r="AJ17" s="82">
        <f>'Hero Gear Data'!CP232</f>
        <v>0</v>
      </c>
    </row>
    <row r="18" spans="1:36" x14ac:dyDescent="0.3">
      <c r="B18" s="105" t="s">
        <v>568</v>
      </c>
      <c r="C18" s="82" t="str">
        <f>IF($D18&lt;101,VLOOKUP($D18,'Hero Gear Data'!$B$236:$D$336,3,FALSE),"")</f>
        <v/>
      </c>
      <c r="D18" s="177">
        <v>200</v>
      </c>
      <c r="E18" s="49"/>
      <c r="F18" s="82">
        <f>'Hero Gear Data'!X206</f>
        <v>0</v>
      </c>
      <c r="G18" s="82">
        <f>'Hero Gear Data'!Y206</f>
        <v>0</v>
      </c>
      <c r="H18" s="82">
        <f>'Hero Gear Data'!Z206</f>
        <v>0</v>
      </c>
      <c r="I18" s="49">
        <v>20</v>
      </c>
      <c r="J18" s="154"/>
      <c r="K18" s="82">
        <f>'Hero Gear Data'!X232</f>
        <v>0</v>
      </c>
      <c r="L18" s="82">
        <f>'Hero Gear Data'!Y232</f>
        <v>0</v>
      </c>
      <c r="N18" s="105" t="s">
        <v>568</v>
      </c>
      <c r="O18" s="82" t="str">
        <f>IF($P18&lt;101,VLOOKUP($P18,'Hero Gear Data'!$B$236:$D$336,3,FALSE),"")</f>
        <v/>
      </c>
      <c r="P18" s="177">
        <v>119</v>
      </c>
      <c r="Q18" s="49"/>
      <c r="R18" s="82">
        <f>'Hero Gear Data'!BH206</f>
        <v>0</v>
      </c>
      <c r="S18" s="82">
        <f>'Hero Gear Data'!BI206</f>
        <v>0</v>
      </c>
      <c r="T18" s="82">
        <f>'Hero Gear Data'!BJ206</f>
        <v>0</v>
      </c>
      <c r="U18" s="49">
        <v>13</v>
      </c>
      <c r="V18" s="154"/>
      <c r="W18" s="82">
        <f>'Hero Gear Data'!BH232</f>
        <v>0</v>
      </c>
      <c r="X18" s="82">
        <f>'Hero Gear Data'!BI232</f>
        <v>0</v>
      </c>
      <c r="Z18" s="105" t="s">
        <v>568</v>
      </c>
      <c r="AA18" s="82">
        <f>IF($AB18&lt;101,VLOOKUP($AB18,'Hero Gear Data'!$B$236:$D$336,3,FALSE),"")</f>
        <v>42570</v>
      </c>
      <c r="AB18" s="177">
        <v>85</v>
      </c>
      <c r="AC18" s="49"/>
      <c r="AD18" s="82">
        <f>'Hero Gear Data'!CR206</f>
        <v>0</v>
      </c>
      <c r="AE18" s="82">
        <f>'Hero Gear Data'!CS206</f>
        <v>0</v>
      </c>
      <c r="AF18" s="82">
        <f>'Hero Gear Data'!CT206</f>
        <v>0</v>
      </c>
      <c r="AG18" s="49"/>
      <c r="AH18" s="154"/>
      <c r="AI18" s="82">
        <f>'Hero Gear Data'!CR232</f>
        <v>0</v>
      </c>
      <c r="AJ18" s="82">
        <f>'Hero Gear Data'!CS232</f>
        <v>0</v>
      </c>
    </row>
    <row r="19" spans="1:36" x14ac:dyDescent="0.3">
      <c r="B19" s="104" t="s">
        <v>569</v>
      </c>
      <c r="C19" s="84" t="str">
        <f>IF($D19&lt;101,VLOOKUP($D19,'Hero Gear Data'!$B$236:$D$336,3,FALSE),"")</f>
        <v/>
      </c>
      <c r="D19" s="177">
        <v>200</v>
      </c>
      <c r="E19" s="49"/>
      <c r="F19" s="84">
        <f>'Hero Gear Data'!AA206</f>
        <v>0</v>
      </c>
      <c r="G19" s="84">
        <f>'Hero Gear Data'!AB206</f>
        <v>0</v>
      </c>
      <c r="H19" s="84">
        <f>'Hero Gear Data'!AC206</f>
        <v>0</v>
      </c>
      <c r="I19" s="49">
        <v>20</v>
      </c>
      <c r="J19" s="154"/>
      <c r="K19" s="84">
        <f>'Hero Gear Data'!AA232</f>
        <v>0</v>
      </c>
      <c r="L19" s="84">
        <f>'Hero Gear Data'!AB232</f>
        <v>0</v>
      </c>
      <c r="N19" s="104" t="s">
        <v>569</v>
      </c>
      <c r="O19" s="84" t="str">
        <f>IF($P19&lt;101,VLOOKUP($P19,'Hero Gear Data'!$B$236:$D$336,3,FALSE),"")</f>
        <v/>
      </c>
      <c r="P19" s="177">
        <v>139</v>
      </c>
      <c r="Q19" s="49">
        <v>159</v>
      </c>
      <c r="R19" s="84">
        <f>'Hero Gear Data'!BK206</f>
        <v>93100</v>
      </c>
      <c r="S19" s="84">
        <f>'Hero Gear Data'!BL206</f>
        <v>5</v>
      </c>
      <c r="T19" s="84">
        <f>'Hero Gear Data'!BM206</f>
        <v>20</v>
      </c>
      <c r="U19" s="49">
        <v>15</v>
      </c>
      <c r="V19" s="154">
        <v>16</v>
      </c>
      <c r="W19" s="84">
        <f>'Hero Gear Data'!BK232</f>
        <v>160</v>
      </c>
      <c r="X19" s="84">
        <f>'Hero Gear Data'!BL232</f>
        <v>6</v>
      </c>
      <c r="Z19" s="104" t="s">
        <v>569</v>
      </c>
      <c r="AA19" s="84">
        <f>IF($AB19&lt;101,VLOOKUP($AB19,'Hero Gear Data'!$B$236:$D$336,3,FALSE),"")</f>
        <v>42570</v>
      </c>
      <c r="AB19" s="177">
        <v>85</v>
      </c>
      <c r="AC19" s="49">
        <v>90</v>
      </c>
      <c r="AD19" s="84">
        <f>'Hero Gear Data'!CU206</f>
        <v>9000</v>
      </c>
      <c r="AE19" s="84">
        <f>'Hero Gear Data'!CV206</f>
        <v>0</v>
      </c>
      <c r="AF19" s="84">
        <f>'Hero Gear Data'!CW206</f>
        <v>0</v>
      </c>
      <c r="AG19" s="49"/>
      <c r="AH19" s="154"/>
      <c r="AI19" s="84">
        <f>'Hero Gear Data'!CU232</f>
        <v>0</v>
      </c>
      <c r="AJ19" s="84">
        <f>'Hero Gear Data'!CV232</f>
        <v>0</v>
      </c>
    </row>
    <row r="20" spans="1:36" x14ac:dyDescent="0.3">
      <c r="B20" s="1"/>
      <c r="C20" s="84">
        <f>SUMIF(F16:F19,0,C16:C19)</f>
        <v>0</v>
      </c>
      <c r="D20" s="101"/>
      <c r="E20" s="101"/>
      <c r="F20" s="87">
        <f>SUM(F16:F19)</f>
        <v>0</v>
      </c>
      <c r="G20" s="87">
        <f>SUM(G16:G19)</f>
        <v>0</v>
      </c>
      <c r="H20" s="87">
        <f>SUM(H16:H19)</f>
        <v>0</v>
      </c>
      <c r="I20" s="101"/>
      <c r="J20" s="101"/>
      <c r="K20" s="87">
        <f>SUM(K16:K19)</f>
        <v>0</v>
      </c>
      <c r="L20" s="87">
        <f>SUM(L16:L19)</f>
        <v>0</v>
      </c>
      <c r="N20" s="1"/>
      <c r="O20" s="84">
        <f>SUMIF(R16:R19,0,O16:O19)</f>
        <v>0</v>
      </c>
      <c r="P20" s="101"/>
      <c r="Q20" s="101"/>
      <c r="R20" s="87">
        <f>SUM(R16:R19)</f>
        <v>186200</v>
      </c>
      <c r="S20" s="87">
        <f>SUM(S16:S19)</f>
        <v>10</v>
      </c>
      <c r="T20" s="87">
        <f>SUM(T16:T19)</f>
        <v>40</v>
      </c>
      <c r="U20" s="101"/>
      <c r="V20" s="101"/>
      <c r="W20" s="87">
        <f>SUM(W16:W19)</f>
        <v>320</v>
      </c>
      <c r="X20" s="87">
        <f>SUM(X16:X19)</f>
        <v>12</v>
      </c>
      <c r="Z20" s="1"/>
      <c r="AA20" s="84">
        <f>SUMIF(AD16:AD19,0,AA16:AA19)</f>
        <v>85140</v>
      </c>
      <c r="AB20" s="101"/>
      <c r="AC20" s="101"/>
      <c r="AD20" s="87">
        <f>SUM(AD16:AD19)</f>
        <v>18000</v>
      </c>
      <c r="AE20" s="87">
        <f>SUM(AE16:AE19)</f>
        <v>0</v>
      </c>
      <c r="AF20" s="87">
        <f>SUM(AF16:AF19)</f>
        <v>0</v>
      </c>
      <c r="AG20" s="101"/>
      <c r="AH20" s="101"/>
      <c r="AI20" s="87">
        <f>SUM(AI16:AI19)</f>
        <v>0</v>
      </c>
      <c r="AJ20" s="87">
        <f>SUM(AJ16:AJ19)</f>
        <v>0</v>
      </c>
    </row>
    <row r="22" spans="1:36" x14ac:dyDescent="0.3">
      <c r="C22" s="406" t="s">
        <v>584</v>
      </c>
      <c r="D22" s="406"/>
      <c r="E22" s="406"/>
      <c r="F22" s="406"/>
      <c r="G22" s="406"/>
      <c r="H22" s="406"/>
      <c r="I22" s="406"/>
      <c r="J22" s="406"/>
      <c r="K22" s="406"/>
      <c r="L22" s="406"/>
      <c r="O22" s="406" t="s">
        <v>585</v>
      </c>
      <c r="P22" s="406"/>
      <c r="Q22" s="406"/>
      <c r="R22" s="406"/>
      <c r="S22" s="406"/>
      <c r="T22" s="406"/>
      <c r="U22" s="406"/>
      <c r="V22" s="406"/>
      <c r="W22" s="406"/>
      <c r="X22" s="406"/>
      <c r="AA22" s="406" t="s">
        <v>586</v>
      </c>
      <c r="AB22" s="406"/>
      <c r="AC22" s="406"/>
      <c r="AD22" s="406"/>
      <c r="AE22" s="406"/>
      <c r="AF22" s="406"/>
      <c r="AG22" s="406"/>
      <c r="AH22" s="406"/>
      <c r="AI22" s="406"/>
      <c r="AJ22" s="406"/>
    </row>
    <row r="23" spans="1:36" x14ac:dyDescent="0.3">
      <c r="B23" s="1"/>
      <c r="C23" s="156" t="s">
        <v>579</v>
      </c>
      <c r="D23" s="389" t="s">
        <v>174</v>
      </c>
      <c r="E23" s="390"/>
      <c r="F23" s="389" t="s">
        <v>564</v>
      </c>
      <c r="G23" s="450"/>
      <c r="H23" s="390"/>
      <c r="I23" s="389" t="s">
        <v>572</v>
      </c>
      <c r="J23" s="390"/>
      <c r="K23" s="389" t="s">
        <v>572</v>
      </c>
      <c r="L23" s="390"/>
      <c r="N23" s="1"/>
      <c r="O23" s="156" t="s">
        <v>579</v>
      </c>
      <c r="P23" s="389" t="s">
        <v>174</v>
      </c>
      <c r="Q23" s="390"/>
      <c r="R23" s="389" t="s">
        <v>564</v>
      </c>
      <c r="S23" s="450"/>
      <c r="T23" s="390"/>
      <c r="U23" s="389" t="s">
        <v>572</v>
      </c>
      <c r="V23" s="390"/>
      <c r="W23" s="389" t="s">
        <v>572</v>
      </c>
      <c r="X23" s="390"/>
      <c r="Z23" s="1"/>
      <c r="AA23" s="156" t="s">
        <v>579</v>
      </c>
      <c r="AB23" s="389" t="s">
        <v>174</v>
      </c>
      <c r="AC23" s="390"/>
      <c r="AD23" s="389" t="s">
        <v>564</v>
      </c>
      <c r="AE23" s="450"/>
      <c r="AF23" s="390"/>
      <c r="AG23" s="389" t="s">
        <v>572</v>
      </c>
      <c r="AH23" s="390"/>
      <c r="AI23" s="389" t="s">
        <v>572</v>
      </c>
      <c r="AJ23" s="390"/>
    </row>
    <row r="24" spans="1:36" x14ac:dyDescent="0.3">
      <c r="B24" s="185" t="s">
        <v>349</v>
      </c>
      <c r="C24" s="185" t="s">
        <v>570</v>
      </c>
      <c r="D24" s="185" t="s">
        <v>98</v>
      </c>
      <c r="E24" s="185" t="s">
        <v>99</v>
      </c>
      <c r="F24" s="185" t="s">
        <v>570</v>
      </c>
      <c r="G24" s="185" t="s">
        <v>285</v>
      </c>
      <c r="H24" s="185" t="s">
        <v>580</v>
      </c>
      <c r="I24" s="185" t="s">
        <v>98</v>
      </c>
      <c r="J24" s="185" t="s">
        <v>99</v>
      </c>
      <c r="K24" s="187" t="s">
        <v>573</v>
      </c>
      <c r="L24" s="185" t="s">
        <v>285</v>
      </c>
      <c r="N24" s="185" t="s">
        <v>349</v>
      </c>
      <c r="O24" s="185" t="s">
        <v>570</v>
      </c>
      <c r="P24" s="185" t="s">
        <v>98</v>
      </c>
      <c r="Q24" s="185" t="s">
        <v>99</v>
      </c>
      <c r="R24" s="185" t="s">
        <v>570</v>
      </c>
      <c r="S24" s="185" t="s">
        <v>285</v>
      </c>
      <c r="T24" s="185" t="s">
        <v>580</v>
      </c>
      <c r="U24" s="185" t="s">
        <v>98</v>
      </c>
      <c r="V24" s="185" t="s">
        <v>99</v>
      </c>
      <c r="W24" s="187" t="s">
        <v>573</v>
      </c>
      <c r="X24" s="185" t="s">
        <v>285</v>
      </c>
      <c r="Z24" s="185" t="s">
        <v>349</v>
      </c>
      <c r="AA24" s="185" t="s">
        <v>570</v>
      </c>
      <c r="AB24" s="185" t="s">
        <v>98</v>
      </c>
      <c r="AC24" s="185" t="s">
        <v>99</v>
      </c>
      <c r="AD24" s="185" t="s">
        <v>570</v>
      </c>
      <c r="AE24" s="185" t="s">
        <v>285</v>
      </c>
      <c r="AF24" s="185" t="s">
        <v>580</v>
      </c>
      <c r="AG24" s="185" t="s">
        <v>98</v>
      </c>
      <c r="AH24" s="185" t="s">
        <v>99</v>
      </c>
      <c r="AI24" s="187" t="s">
        <v>573</v>
      </c>
      <c r="AJ24" s="185" t="s">
        <v>285</v>
      </c>
    </row>
    <row r="25" spans="1:36" x14ac:dyDescent="0.3">
      <c r="B25" s="106" t="s">
        <v>566</v>
      </c>
      <c r="C25" s="81" t="str">
        <f>IF($D25&lt;101,VLOOKUP($D25,'Hero Gear Data'!$B$236:$D$336,3,FALSE),"")</f>
        <v/>
      </c>
      <c r="D25" s="188">
        <v>200</v>
      </c>
      <c r="E25" s="125"/>
      <c r="F25" s="81">
        <f>'Hero Gear Data'!AD206</f>
        <v>0</v>
      </c>
      <c r="G25" s="81">
        <f>'Hero Gear Data'!AE206</f>
        <v>0</v>
      </c>
      <c r="H25" s="81">
        <f>'Hero Gear Data'!AF206</f>
        <v>0</v>
      </c>
      <c r="I25" s="125">
        <v>20</v>
      </c>
      <c r="J25" s="189"/>
      <c r="K25" s="81">
        <f>'Hero Gear Data'!AD232</f>
        <v>0</v>
      </c>
      <c r="L25" s="81">
        <f>'Hero Gear Data'!AE232</f>
        <v>0</v>
      </c>
      <c r="N25" s="106" t="s">
        <v>566</v>
      </c>
      <c r="O25" s="81" t="str">
        <f>IF($P25&lt;101,VLOOKUP($P25,'Hero Gear Data'!$B$236:$D$336,3,FALSE),"")</f>
        <v/>
      </c>
      <c r="P25" s="188">
        <v>139</v>
      </c>
      <c r="Q25" s="125">
        <v>159</v>
      </c>
      <c r="R25" s="81">
        <f>'Hero Gear Data'!BN206</f>
        <v>93100</v>
      </c>
      <c r="S25" s="81">
        <f>'Hero Gear Data'!BO206</f>
        <v>5</v>
      </c>
      <c r="T25" s="81">
        <f>'Hero Gear Data'!BP206</f>
        <v>20</v>
      </c>
      <c r="U25" s="125">
        <v>15</v>
      </c>
      <c r="V25" s="189">
        <v>16</v>
      </c>
      <c r="W25" s="81">
        <f>'Hero Gear Data'!BN232</f>
        <v>160</v>
      </c>
      <c r="X25" s="81">
        <f>'Hero Gear Data'!BO232</f>
        <v>6</v>
      </c>
      <c r="Z25" s="106" t="s">
        <v>566</v>
      </c>
      <c r="AA25" s="81">
        <f>IF($AB25&lt;101,VLOOKUP($AB25,'Hero Gear Data'!$B$236:$D$336,3,FALSE),"")</f>
        <v>42570</v>
      </c>
      <c r="AB25" s="188">
        <v>85</v>
      </c>
      <c r="AC25" s="125">
        <v>99</v>
      </c>
      <c r="AD25" s="81">
        <f>'Hero Gear Data'!CX206</f>
        <v>28350</v>
      </c>
      <c r="AE25" s="81">
        <f>'Hero Gear Data'!CY206</f>
        <v>0</v>
      </c>
      <c r="AF25" s="81">
        <f>'Hero Gear Data'!CZ206</f>
        <v>0</v>
      </c>
      <c r="AG25" s="125"/>
      <c r="AH25" s="189"/>
      <c r="AI25" s="81">
        <f>'Hero Gear Data'!CX232</f>
        <v>0</v>
      </c>
      <c r="AJ25" s="81">
        <f>'Hero Gear Data'!CY232</f>
        <v>0</v>
      </c>
    </row>
    <row r="26" spans="1:36" x14ac:dyDescent="0.3">
      <c r="B26" s="105" t="s">
        <v>567</v>
      </c>
      <c r="C26" s="82" t="str">
        <f>IF($D26&lt;101,VLOOKUP($D26,'Hero Gear Data'!$B$236:$D$336,3,FALSE),"")</f>
        <v/>
      </c>
      <c r="D26" s="177">
        <v>200</v>
      </c>
      <c r="E26" s="49"/>
      <c r="F26" s="82">
        <f>'Hero Gear Data'!AG206</f>
        <v>0</v>
      </c>
      <c r="G26" s="82">
        <f>'Hero Gear Data'!AH206</f>
        <v>0</v>
      </c>
      <c r="H26" s="82">
        <f>'Hero Gear Data'!AI206</f>
        <v>0</v>
      </c>
      <c r="I26" s="49">
        <v>20</v>
      </c>
      <c r="J26" s="154"/>
      <c r="K26" s="82">
        <f>'Hero Gear Data'!AG232</f>
        <v>0</v>
      </c>
      <c r="L26" s="82">
        <f>'Hero Gear Data'!AH232</f>
        <v>0</v>
      </c>
      <c r="N26" s="105" t="s">
        <v>567</v>
      </c>
      <c r="O26" s="82" t="str">
        <f>IF($P26&lt;101,VLOOKUP($P26,'Hero Gear Data'!$B$236:$D$336,3,FALSE),"")</f>
        <v/>
      </c>
      <c r="P26" s="177">
        <v>119</v>
      </c>
      <c r="Q26" s="49"/>
      <c r="R26" s="82">
        <f>'Hero Gear Data'!BQ206</f>
        <v>0</v>
      </c>
      <c r="S26" s="82">
        <f>'Hero Gear Data'!BR206</f>
        <v>0</v>
      </c>
      <c r="T26" s="82">
        <f>'Hero Gear Data'!BS206</f>
        <v>0</v>
      </c>
      <c r="U26" s="49">
        <v>13</v>
      </c>
      <c r="V26" s="154"/>
      <c r="W26" s="82">
        <f>'Hero Gear Data'!BQ232</f>
        <v>0</v>
      </c>
      <c r="X26" s="82">
        <f>'Hero Gear Data'!BR232</f>
        <v>0</v>
      </c>
      <c r="Z26" s="105" t="s">
        <v>567</v>
      </c>
      <c r="AA26" s="82">
        <f>IF($AB26&lt;101,VLOOKUP($AB26,'Hero Gear Data'!$B$236:$D$336,3,FALSE),"")</f>
        <v>42570</v>
      </c>
      <c r="AB26" s="177">
        <v>85</v>
      </c>
      <c r="AC26" s="49"/>
      <c r="AD26" s="82">
        <f>'Hero Gear Data'!DA206</f>
        <v>0</v>
      </c>
      <c r="AE26" s="82">
        <f>'Hero Gear Data'!DB206</f>
        <v>0</v>
      </c>
      <c r="AF26" s="82">
        <f>'Hero Gear Data'!DC206</f>
        <v>0</v>
      </c>
      <c r="AG26" s="49"/>
      <c r="AH26" s="154"/>
      <c r="AI26" s="82">
        <f>'Hero Gear Data'!DA232</f>
        <v>0</v>
      </c>
      <c r="AJ26" s="82">
        <f>'Hero Gear Data'!DB232</f>
        <v>0</v>
      </c>
    </row>
    <row r="27" spans="1:36" x14ac:dyDescent="0.3">
      <c r="B27" s="105" t="s">
        <v>568</v>
      </c>
      <c r="C27" s="82" t="str">
        <f>IF($D27&lt;101,VLOOKUP($D27,'Hero Gear Data'!$B$236:$D$336,3,FALSE),"")</f>
        <v/>
      </c>
      <c r="D27" s="177">
        <v>200</v>
      </c>
      <c r="E27" s="49"/>
      <c r="F27" s="82">
        <f>'Hero Gear Data'!AJ206</f>
        <v>0</v>
      </c>
      <c r="G27" s="82">
        <f>'Hero Gear Data'!AK206</f>
        <v>0</v>
      </c>
      <c r="H27" s="82">
        <f>'Hero Gear Data'!AL206</f>
        <v>0</v>
      </c>
      <c r="I27" s="49">
        <v>20</v>
      </c>
      <c r="J27" s="154"/>
      <c r="K27" s="82">
        <f>'Hero Gear Data'!AJ232</f>
        <v>0</v>
      </c>
      <c r="L27" s="82">
        <f>'Hero Gear Data'!AK232</f>
        <v>0</v>
      </c>
      <c r="N27" s="105" t="s">
        <v>568</v>
      </c>
      <c r="O27" s="82" t="str">
        <f>IF($P27&lt;101,VLOOKUP($P27,'Hero Gear Data'!$B$236:$D$336,3,FALSE),"")</f>
        <v/>
      </c>
      <c r="P27" s="177">
        <v>119</v>
      </c>
      <c r="Q27" s="49"/>
      <c r="R27" s="82">
        <f>'Hero Gear Data'!BT206</f>
        <v>0</v>
      </c>
      <c r="S27" s="82">
        <f>'Hero Gear Data'!BU206</f>
        <v>0</v>
      </c>
      <c r="T27" s="82">
        <f>'Hero Gear Data'!BV206</f>
        <v>0</v>
      </c>
      <c r="U27" s="49">
        <v>13</v>
      </c>
      <c r="V27" s="154"/>
      <c r="W27" s="82">
        <f>'Hero Gear Data'!BT232</f>
        <v>0</v>
      </c>
      <c r="X27" s="82">
        <f>'Hero Gear Data'!BU232</f>
        <v>0</v>
      </c>
      <c r="Z27" s="105" t="s">
        <v>568</v>
      </c>
      <c r="AA27" s="82">
        <f>IF($AB27&lt;101,VLOOKUP($AB27,'Hero Gear Data'!$B$236:$D$336,3,FALSE),"")</f>
        <v>42570</v>
      </c>
      <c r="AB27" s="177">
        <v>85</v>
      </c>
      <c r="AC27" s="49"/>
      <c r="AD27" s="82">
        <f>'Hero Gear Data'!DD206</f>
        <v>0</v>
      </c>
      <c r="AE27" s="82">
        <f>'Hero Gear Data'!DE206</f>
        <v>0</v>
      </c>
      <c r="AF27" s="82">
        <f>'Hero Gear Data'!DF206</f>
        <v>0</v>
      </c>
      <c r="AG27" s="49"/>
      <c r="AH27" s="154"/>
      <c r="AI27" s="82">
        <f>'Hero Gear Data'!DD232</f>
        <v>0</v>
      </c>
      <c r="AJ27" s="82">
        <f>'Hero Gear Data'!DE232</f>
        <v>0</v>
      </c>
    </row>
    <row r="28" spans="1:36" x14ac:dyDescent="0.3">
      <c r="B28" s="104" t="s">
        <v>569</v>
      </c>
      <c r="C28" s="84" t="str">
        <f>IF($D28&lt;101,VLOOKUP($D28,'Hero Gear Data'!$B$236:$D$336,3,FALSE),"")</f>
        <v/>
      </c>
      <c r="D28" s="177">
        <v>200</v>
      </c>
      <c r="E28" s="49"/>
      <c r="F28" s="84">
        <f>'Hero Gear Data'!AM206</f>
        <v>0</v>
      </c>
      <c r="G28" s="84">
        <f>'Hero Gear Data'!AN206</f>
        <v>0</v>
      </c>
      <c r="H28" s="84">
        <f>'Hero Gear Data'!AO206</f>
        <v>0</v>
      </c>
      <c r="I28" s="49">
        <v>20</v>
      </c>
      <c r="J28" s="154"/>
      <c r="K28" s="84">
        <f>'Hero Gear Data'!AM232</f>
        <v>0</v>
      </c>
      <c r="L28" s="84">
        <f>'Hero Gear Data'!AN232</f>
        <v>0</v>
      </c>
      <c r="N28" s="104" t="s">
        <v>569</v>
      </c>
      <c r="O28" s="84" t="str">
        <f>IF($P28&lt;101,VLOOKUP($P28,'Hero Gear Data'!$B$236:$D$336,3,FALSE),"")</f>
        <v/>
      </c>
      <c r="P28" s="177">
        <v>139</v>
      </c>
      <c r="Q28" s="49">
        <v>159</v>
      </c>
      <c r="R28" s="84">
        <f>'Hero Gear Data'!BW206</f>
        <v>93100</v>
      </c>
      <c r="S28" s="84">
        <f>'Hero Gear Data'!BX206</f>
        <v>5</v>
      </c>
      <c r="T28" s="84">
        <f>'Hero Gear Data'!BY206</f>
        <v>20</v>
      </c>
      <c r="U28" s="49">
        <v>15</v>
      </c>
      <c r="V28" s="154">
        <v>16</v>
      </c>
      <c r="W28" s="84">
        <f>'Hero Gear Data'!BW232</f>
        <v>160</v>
      </c>
      <c r="X28" s="84">
        <f>'Hero Gear Data'!BX232</f>
        <v>6</v>
      </c>
      <c r="Z28" s="104" t="s">
        <v>569</v>
      </c>
      <c r="AA28" s="84">
        <f>IF($AB28&lt;101,VLOOKUP($AB28,'Hero Gear Data'!$B$236:$D$336,3,FALSE),"")</f>
        <v>42570</v>
      </c>
      <c r="AB28" s="177">
        <v>85</v>
      </c>
      <c r="AC28" s="49">
        <v>99</v>
      </c>
      <c r="AD28" s="84">
        <f>'Hero Gear Data'!DG206</f>
        <v>28350</v>
      </c>
      <c r="AE28" s="84">
        <f>'Hero Gear Data'!DH206</f>
        <v>0</v>
      </c>
      <c r="AF28" s="84">
        <f>'Hero Gear Data'!DI206</f>
        <v>0</v>
      </c>
      <c r="AG28" s="49"/>
      <c r="AH28" s="154"/>
      <c r="AI28" s="84">
        <f>'Hero Gear Data'!DG232</f>
        <v>0</v>
      </c>
      <c r="AJ28" s="84">
        <f>'Hero Gear Data'!DH232</f>
        <v>0</v>
      </c>
    </row>
    <row r="29" spans="1:36" x14ac:dyDescent="0.3">
      <c r="B29" s="1"/>
      <c r="C29" s="84">
        <f>SUMIF(F25:F28,0,C25:C28)</f>
        <v>0</v>
      </c>
      <c r="D29" s="101"/>
      <c r="E29" s="101"/>
      <c r="F29" s="87">
        <f>SUM(F25:F28)</f>
        <v>0</v>
      </c>
      <c r="G29" s="87">
        <f>SUM(G25:G28)</f>
        <v>0</v>
      </c>
      <c r="H29" s="87">
        <f>SUM(H25:H28)</f>
        <v>0</v>
      </c>
      <c r="I29" s="101"/>
      <c r="J29" s="101"/>
      <c r="K29" s="87">
        <f>SUM(K25:K28)</f>
        <v>0</v>
      </c>
      <c r="L29" s="87">
        <f>SUM(L25:L28)</f>
        <v>0</v>
      </c>
      <c r="N29" s="1"/>
      <c r="O29" s="84">
        <f>SUMIF(R25:R28,0,O25:O28)</f>
        <v>0</v>
      </c>
      <c r="P29" s="101"/>
      <c r="Q29" s="101"/>
      <c r="R29" s="87">
        <f>SUM(R25:R28)</f>
        <v>186200</v>
      </c>
      <c r="S29" s="87">
        <f>SUM(S25:S28)</f>
        <v>10</v>
      </c>
      <c r="T29" s="87">
        <f>SUM(T25:T28)</f>
        <v>40</v>
      </c>
      <c r="U29" s="101"/>
      <c r="V29" s="101"/>
      <c r="W29" s="87">
        <f>SUM(W25:W28)</f>
        <v>320</v>
      </c>
      <c r="X29" s="87">
        <f>SUM(X25:X28)</f>
        <v>12</v>
      </c>
      <c r="Z29" s="1"/>
      <c r="AA29" s="84">
        <f>SUMIF(AD25:AD28,0,AA25:AA28)</f>
        <v>85140</v>
      </c>
      <c r="AB29" s="101"/>
      <c r="AC29" s="101"/>
      <c r="AD29" s="87">
        <f>SUM(AD25:AD28)</f>
        <v>56700</v>
      </c>
      <c r="AE29" s="87">
        <f>SUM(AE25:AE28)</f>
        <v>0</v>
      </c>
      <c r="AF29" s="87">
        <f>SUM(AF25:AF28)</f>
        <v>0</v>
      </c>
      <c r="AG29" s="101"/>
      <c r="AH29" s="101">
        <v>33</v>
      </c>
      <c r="AI29" s="87">
        <f>SUM(AI25:AI28)</f>
        <v>0</v>
      </c>
      <c r="AJ29" s="87">
        <f>SUM(AJ25:AJ28)</f>
        <v>0</v>
      </c>
    </row>
    <row r="31" spans="1:36" ht="15.75" customHeight="1" x14ac:dyDescent="0.3">
      <c r="B31" s="406" t="s">
        <v>587</v>
      </c>
      <c r="C31" s="406"/>
      <c r="D31" s="406"/>
      <c r="I31" s="426" t="s">
        <v>588</v>
      </c>
      <c r="J31" s="426"/>
      <c r="K31" s="426"/>
      <c r="L31" s="426"/>
      <c r="M31" s="426"/>
      <c r="N31" s="426"/>
      <c r="P31" s="599" t="s">
        <v>589</v>
      </c>
      <c r="Q31" s="599"/>
      <c r="R31" s="599"/>
      <c r="S31" s="599"/>
      <c r="W31" s="406" t="s">
        <v>590</v>
      </c>
      <c r="X31" s="406"/>
      <c r="Y31" s="406"/>
      <c r="Z31" s="406"/>
      <c r="AA31" s="406"/>
    </row>
    <row r="32" spans="1:36" ht="15.75" customHeight="1" x14ac:dyDescent="0.3">
      <c r="A32" s="38"/>
      <c r="B32" s="601" t="s">
        <v>591</v>
      </c>
      <c r="C32" s="602"/>
      <c r="D32" s="190">
        <v>2000</v>
      </c>
      <c r="E32" s="611" t="s">
        <v>592</v>
      </c>
      <c r="F32" s="612"/>
      <c r="G32" s="613"/>
      <c r="I32" s="389" t="s">
        <v>593</v>
      </c>
      <c r="J32" s="390"/>
      <c r="K32" s="389" t="s">
        <v>285</v>
      </c>
      <c r="L32" s="390"/>
      <c r="M32" s="389" t="s">
        <v>580</v>
      </c>
      <c r="N32" s="390"/>
      <c r="P32" s="600"/>
      <c r="Q32" s="600"/>
      <c r="R32" s="600"/>
      <c r="S32" s="600"/>
      <c r="W32" s="191">
        <v>5</v>
      </c>
      <c r="X32" s="191">
        <v>10</v>
      </c>
      <c r="Y32" s="191">
        <v>20</v>
      </c>
      <c r="Z32" s="191">
        <v>50</v>
      </c>
      <c r="AA32" s="191">
        <v>100</v>
      </c>
      <c r="AB32" s="1"/>
    </row>
    <row r="33" spans="2:28" x14ac:dyDescent="0.3">
      <c r="B33" s="617" t="s">
        <v>594</v>
      </c>
      <c r="C33" s="618"/>
      <c r="D33" s="190">
        <v>2000</v>
      </c>
      <c r="E33" s="614"/>
      <c r="F33" s="615"/>
      <c r="G33" s="616"/>
      <c r="H33" s="9" t="s">
        <v>30</v>
      </c>
      <c r="I33" s="494">
        <f>F11+F20+F29+R11+R20+R29+AD11+AD20+AD29</f>
        <v>690000</v>
      </c>
      <c r="J33" s="496"/>
      <c r="K33" s="494">
        <f>G11+G20+G29+S11+S20+S29+AE11+AE20+AE29+AJ11+AJ20+AJ29</f>
        <v>30</v>
      </c>
      <c r="L33" s="496"/>
      <c r="M33" s="494">
        <f>H11+H20+H29+T29+T20+T11+AF11+AF20+AF29</f>
        <v>120</v>
      </c>
      <c r="N33" s="496"/>
      <c r="P33" s="173" t="s">
        <v>84</v>
      </c>
      <c r="Q33" s="114" t="s">
        <v>83</v>
      </c>
      <c r="R33" s="114" t="s">
        <v>82</v>
      </c>
      <c r="S33" s="192" t="s">
        <v>595</v>
      </c>
      <c r="U33" s="607" t="s">
        <v>601</v>
      </c>
      <c r="V33" s="608"/>
      <c r="W33" s="129"/>
      <c r="X33" s="130"/>
      <c r="Y33" s="130"/>
      <c r="Z33" s="130"/>
      <c r="AA33" s="131"/>
      <c r="AB33" s="1"/>
    </row>
    <row r="34" spans="2:28" x14ac:dyDescent="0.3">
      <c r="B34" s="404" t="s">
        <v>284</v>
      </c>
      <c r="C34" s="405"/>
      <c r="D34" s="190">
        <v>1200</v>
      </c>
      <c r="E34" s="487" t="s">
        <v>596</v>
      </c>
      <c r="F34" s="488"/>
      <c r="G34" s="489"/>
      <c r="H34" s="9" t="s">
        <v>31</v>
      </c>
      <c r="I34" s="494">
        <f>D32*10+(D33+AB42)*100+B44+SUM(P46:S46)</f>
        <v>353520</v>
      </c>
      <c r="J34" s="496"/>
      <c r="K34" s="494">
        <f>D35+ROUNDDOWN(B46,0)+D36</f>
        <v>74</v>
      </c>
      <c r="L34" s="496"/>
      <c r="M34" s="494">
        <f>D37+D38</f>
        <v>140</v>
      </c>
      <c r="N34" s="496"/>
      <c r="P34" s="126">
        <v>24</v>
      </c>
      <c r="Q34" s="126">
        <v>115</v>
      </c>
      <c r="R34" s="126">
        <v>38</v>
      </c>
      <c r="S34" s="126">
        <v>5</v>
      </c>
      <c r="U34" s="609"/>
      <c r="V34" s="610"/>
      <c r="W34" s="69">
        <v>8</v>
      </c>
      <c r="X34" s="83">
        <v>16</v>
      </c>
      <c r="Y34" s="83">
        <v>32</v>
      </c>
      <c r="Z34" s="83">
        <v>80</v>
      </c>
      <c r="AA34" s="70">
        <v>160</v>
      </c>
      <c r="AB34" s="124">
        <f>W34*W33+X34*X33+Y34*Y33+Z34*Z33+AA34*AA33</f>
        <v>0</v>
      </c>
    </row>
    <row r="35" spans="2:28" x14ac:dyDescent="0.3">
      <c r="B35" s="404" t="s">
        <v>285</v>
      </c>
      <c r="C35" s="405"/>
      <c r="D35" s="193">
        <v>60</v>
      </c>
      <c r="H35" s="9" t="str">
        <f>"Needed"&amp;IF(B44&gt;0," (Mythic Gear Approx due to Chests)","")</f>
        <v>Needed</v>
      </c>
      <c r="I35" s="500">
        <f>IF(I33&lt;I34,"-",IF(I33-I34=0,"-",I33-I34))</f>
        <v>336480</v>
      </c>
      <c r="J35" s="502"/>
      <c r="K35" s="500" t="str">
        <f>IF((K33+K41)&lt;K34,"-",IF((K33+K41)-K34=0,"-",(K33+K41)-K34))</f>
        <v>-</v>
      </c>
      <c r="L35" s="502"/>
      <c r="M35" s="500" t="str">
        <f>IF(M33&lt;M34,"-",IF(M33-M34=0,"-",M33-M34))</f>
        <v>-</v>
      </c>
      <c r="N35" s="502"/>
      <c r="P35" s="126">
        <v>28</v>
      </c>
      <c r="Q35" s="126">
        <v>118</v>
      </c>
      <c r="R35" s="126">
        <v>32</v>
      </c>
      <c r="S35" s="126">
        <v>6</v>
      </c>
      <c r="U35" s="603" t="s">
        <v>284</v>
      </c>
      <c r="V35" s="604"/>
      <c r="W35" s="194"/>
      <c r="X35" s="195"/>
      <c r="Y35" s="195"/>
      <c r="Z35" s="195"/>
      <c r="AA35" s="196"/>
      <c r="AB35" s="1"/>
    </row>
    <row r="36" spans="2:28" x14ac:dyDescent="0.3">
      <c r="B36" s="404" t="s">
        <v>597</v>
      </c>
      <c r="C36" s="405"/>
      <c r="D36" s="193">
        <v>14</v>
      </c>
      <c r="H36" s="9" t="s">
        <v>401</v>
      </c>
      <c r="I36" s="500" t="str">
        <f>IF(I33&gt;I34,"-",IF(I33-I34=0,"-",I34-I33))</f>
        <v>-</v>
      </c>
      <c r="J36" s="502"/>
      <c r="K36" s="500">
        <f>IF((K33+K41)&gt;(K34),"-",IF((K33+K41)-(K34)=0,"-",(K34)-(K33+K41)))</f>
        <v>8</v>
      </c>
      <c r="L36" s="502"/>
      <c r="M36" s="500">
        <f>IF(M33&gt;M34,"-",IF(M33-M34=0,"-",M34-M33))</f>
        <v>20</v>
      </c>
      <c r="N36" s="502"/>
      <c r="P36" s="126">
        <v>26</v>
      </c>
      <c r="Q36" s="126">
        <v>112</v>
      </c>
      <c r="R36" s="126">
        <v>16</v>
      </c>
      <c r="S36" s="126">
        <v>6</v>
      </c>
      <c r="U36" s="605"/>
      <c r="V36" s="606"/>
      <c r="W36" s="69">
        <v>8</v>
      </c>
      <c r="X36" s="83">
        <v>16</v>
      </c>
      <c r="Y36" s="83">
        <v>32</v>
      </c>
      <c r="Z36" s="83">
        <v>80</v>
      </c>
      <c r="AA36" s="70">
        <v>160</v>
      </c>
      <c r="AB36" s="124">
        <f>W36*W35+X36*X35+Y36*Y35+Z36*Z35+AA36*AA35</f>
        <v>0</v>
      </c>
    </row>
    <row r="37" spans="2:28" x14ac:dyDescent="0.3">
      <c r="B37" s="404" t="s">
        <v>580</v>
      </c>
      <c r="C37" s="405"/>
      <c r="D37" s="197">
        <v>80</v>
      </c>
      <c r="H37" s="9" t="s">
        <v>598</v>
      </c>
      <c r="I37" s="500">
        <f>O11+O20+O29+C11+C20+C29+AA11+AA20+AA29</f>
        <v>255420</v>
      </c>
      <c r="J37" s="502"/>
      <c r="L37" s="11" t="s">
        <v>355</v>
      </c>
      <c r="M37" s="494" t="str">
        <f>IF(AND(M35="-",K35="-",I35="-"),M33*144000,"-")</f>
        <v>-</v>
      </c>
      <c r="N37" s="496"/>
      <c r="P37" s="126">
        <v>26</v>
      </c>
      <c r="Q37" s="126">
        <v>112</v>
      </c>
      <c r="R37" s="126">
        <v>14</v>
      </c>
      <c r="S37" s="126">
        <v>5</v>
      </c>
      <c r="V37" s="11" t="s">
        <v>24</v>
      </c>
      <c r="W37" s="88">
        <f>IF(W33+W35&gt;3,"Too Many",3-(W33+W35))</f>
        <v>3</v>
      </c>
      <c r="X37" s="88">
        <f t="shared" ref="X37:AA37" si="0">IF(X33+X35&gt;3,"Too Many",3-(X33+X35))</f>
        <v>3</v>
      </c>
      <c r="Y37" s="88">
        <f t="shared" si="0"/>
        <v>3</v>
      </c>
      <c r="Z37" s="88">
        <f t="shared" si="0"/>
        <v>3</v>
      </c>
      <c r="AA37" s="88">
        <f t="shared" si="0"/>
        <v>3</v>
      </c>
    </row>
    <row r="38" spans="2:28" x14ac:dyDescent="0.3">
      <c r="B38" s="404" t="s">
        <v>619</v>
      </c>
      <c r="C38" s="405"/>
      <c r="D38" s="121">
        <v>60</v>
      </c>
      <c r="P38" s="126">
        <v>23</v>
      </c>
      <c r="Q38" s="126">
        <v>116</v>
      </c>
      <c r="R38" s="126">
        <v>12</v>
      </c>
      <c r="S38" s="126">
        <v>1</v>
      </c>
    </row>
    <row r="39" spans="2:28" x14ac:dyDescent="0.3">
      <c r="I39" s="406" t="s">
        <v>599</v>
      </c>
      <c r="J39" s="406"/>
      <c r="K39" s="406"/>
      <c r="L39" s="406"/>
      <c r="P39" s="126">
        <v>28</v>
      </c>
      <c r="Q39" s="126">
        <v>117</v>
      </c>
      <c r="R39" s="126"/>
      <c r="S39" s="126"/>
      <c r="W39" s="426" t="s">
        <v>600</v>
      </c>
      <c r="X39" s="426"/>
      <c r="Y39" s="426"/>
      <c r="Z39" s="426"/>
      <c r="AA39" s="426"/>
    </row>
    <row r="40" spans="2:28" x14ac:dyDescent="0.3">
      <c r="B40" s="406" t="s">
        <v>601</v>
      </c>
      <c r="C40" s="406"/>
      <c r="D40" s="406"/>
      <c r="E40" s="619" t="s">
        <v>596</v>
      </c>
      <c r="F40" s="620"/>
      <c r="I40" s="389" t="s">
        <v>284</v>
      </c>
      <c r="J40" s="390"/>
      <c r="K40" s="597" t="s">
        <v>285</v>
      </c>
      <c r="L40" s="598"/>
      <c r="P40" s="126">
        <v>21</v>
      </c>
      <c r="Q40" s="126">
        <v>116</v>
      </c>
      <c r="R40" s="126"/>
      <c r="S40" s="126"/>
      <c r="U40" s="3"/>
      <c r="V40" s="3"/>
      <c r="W40" s="128">
        <v>5</v>
      </c>
      <c r="X40" s="128">
        <v>10</v>
      </c>
      <c r="Y40" s="128">
        <v>20</v>
      </c>
      <c r="Z40" s="128">
        <v>50</v>
      </c>
      <c r="AA40" s="128">
        <v>100</v>
      </c>
      <c r="AB40" s="88"/>
    </row>
    <row r="41" spans="2:28" ht="15" customHeight="1" x14ac:dyDescent="0.3">
      <c r="B41" s="628"/>
      <c r="C41" s="628"/>
      <c r="D41" s="629"/>
      <c r="E41" s="621"/>
      <c r="F41" s="622"/>
      <c r="H41" s="9" t="s">
        <v>30</v>
      </c>
      <c r="I41" s="494">
        <f>K11+K20+K29+W11+W20+W29+AI11+AI20+AI29</f>
        <v>960</v>
      </c>
      <c r="J41" s="496"/>
      <c r="K41" s="494">
        <f>X11+X20+X29+L11+L20+L29+AJ11+AJ20+AJ29</f>
        <v>36</v>
      </c>
      <c r="L41" s="496"/>
      <c r="P41" s="126">
        <v>29</v>
      </c>
      <c r="Q41" s="126">
        <v>114</v>
      </c>
      <c r="R41" s="126"/>
      <c r="S41" s="126"/>
      <c r="U41" s="624" t="s">
        <v>602</v>
      </c>
      <c r="V41" s="625"/>
      <c r="W41" s="234"/>
      <c r="X41" s="130"/>
      <c r="Y41" s="130"/>
      <c r="Z41" s="130"/>
      <c r="AA41" s="131"/>
      <c r="AB41" s="88"/>
    </row>
    <row r="42" spans="2:28" ht="15" customHeight="1" x14ac:dyDescent="0.3">
      <c r="B42" s="630" t="s">
        <v>603</v>
      </c>
      <c r="C42" s="630"/>
      <c r="D42" s="630"/>
      <c r="H42" s="9" t="s">
        <v>31</v>
      </c>
      <c r="I42" s="494">
        <f>D34+AB36+AB46</f>
        <v>1200</v>
      </c>
      <c r="J42" s="496"/>
      <c r="K42" s="494">
        <f>D35+ROUNDDOWN(B46,0)+D36</f>
        <v>74</v>
      </c>
      <c r="L42" s="496"/>
      <c r="N42" s="1"/>
      <c r="P42" s="126">
        <v>22</v>
      </c>
      <c r="Q42" s="126">
        <v>119</v>
      </c>
      <c r="R42" s="126"/>
      <c r="S42" s="126"/>
      <c r="U42" s="626"/>
      <c r="V42" s="627"/>
      <c r="W42" s="235">
        <v>22</v>
      </c>
      <c r="X42" s="83">
        <f>W42*2</f>
        <v>44</v>
      </c>
      <c r="Y42" s="83">
        <f>W42*4</f>
        <v>88</v>
      </c>
      <c r="Z42" s="83">
        <f>W42*10</f>
        <v>220</v>
      </c>
      <c r="AA42" s="70">
        <f>W42*20</f>
        <v>440</v>
      </c>
      <c r="AB42" s="87">
        <f>W42*W41+X42*X41+Y42*Y41+Z42*Z41+AA42*AA41</f>
        <v>0</v>
      </c>
    </row>
    <row r="43" spans="2:28" x14ac:dyDescent="0.3">
      <c r="B43" s="389" t="str">
        <f>"68.4 XP * "&amp;IF(B41+AB34+AB44&gt;0,B41+AB34+AB44,"X")</f>
        <v>68.4 XP * X</v>
      </c>
      <c r="C43" s="450"/>
      <c r="D43" s="390"/>
      <c r="H43" s="9" t="str">
        <f>"Needed"&amp;IF(B44&gt;0," (Mythic Gear Approx due to Chests)","")</f>
        <v>Needed</v>
      </c>
      <c r="I43" s="500" t="str">
        <f>IF(I41&lt;I42,"-",IF(I41-I42=0,"-",I41-I42))</f>
        <v>-</v>
      </c>
      <c r="J43" s="502"/>
      <c r="K43" s="500" t="str">
        <f>IF((K33+K41)&lt;K42,"-",IF((K33+K41)-K42=0,"-",(K33+K41)-K42))</f>
        <v>-</v>
      </c>
      <c r="L43" s="502"/>
      <c r="P43" s="126">
        <v>28</v>
      </c>
      <c r="Q43" s="126">
        <v>125</v>
      </c>
      <c r="R43" s="126"/>
      <c r="S43" s="126"/>
      <c r="U43" s="624" t="s">
        <v>601</v>
      </c>
      <c r="V43" s="625"/>
      <c r="W43" s="234"/>
      <c r="X43" s="130"/>
      <c r="Y43" s="130"/>
      <c r="Z43" s="130"/>
      <c r="AA43" s="131"/>
      <c r="AB43" s="88"/>
    </row>
    <row r="44" spans="2:28" x14ac:dyDescent="0.3">
      <c r="B44" s="494">
        <f>(B41+AB34+AB44)*68.4</f>
        <v>0</v>
      </c>
      <c r="C44" s="495"/>
      <c r="D44" s="496"/>
      <c r="H44" s="9" t="s">
        <v>401</v>
      </c>
      <c r="I44" s="455">
        <f>IF(I41&gt;I42,"-",IF(I41-I42=0,"-",I42-I41))</f>
        <v>240</v>
      </c>
      <c r="J44" s="456"/>
      <c r="K44" s="455">
        <f>IF((K33+K41)&gt;(K34),"-",IF((K33+K41)-(K34)=0,"-",(K34)-(K33+K41)))</f>
        <v>8</v>
      </c>
      <c r="L44" s="456"/>
      <c r="P44" s="126">
        <v>26</v>
      </c>
      <c r="Q44" s="126">
        <v>131</v>
      </c>
      <c r="R44" s="126"/>
      <c r="S44" s="126"/>
      <c r="U44" s="626"/>
      <c r="V44" s="627"/>
      <c r="W44" s="235">
        <v>12</v>
      </c>
      <c r="X44" s="83">
        <f>W44*2</f>
        <v>24</v>
      </c>
      <c r="Y44" s="83">
        <f>W44*4</f>
        <v>48</v>
      </c>
      <c r="Z44" s="83">
        <f>W44*10</f>
        <v>120</v>
      </c>
      <c r="AA44" s="70">
        <f>W44*20</f>
        <v>240</v>
      </c>
      <c r="AB44" s="87">
        <f>W44*W43+X44*X43+Y44*Y43+Z44*Z43+AA44*AA43</f>
        <v>0</v>
      </c>
    </row>
    <row r="45" spans="2:28" x14ac:dyDescent="0.3">
      <c r="B45" s="389" t="str">
        <f>"Mythic Gear (1.6% * "&amp;IF(B41&gt;0,B41&amp;")","X"&amp;")")</f>
        <v>Mythic Gear (1.6% * X)</v>
      </c>
      <c r="C45" s="450"/>
      <c r="D45" s="390"/>
      <c r="H45" s="9" t="s">
        <v>355</v>
      </c>
      <c r="I45" s="494">
        <f>IF(AND(I43="-",K43="-"),I41*4000,"-")</f>
        <v>3840000</v>
      </c>
      <c r="J45" s="496"/>
      <c r="P45" s="126">
        <v>24</v>
      </c>
      <c r="Q45" s="126">
        <v>108</v>
      </c>
      <c r="R45" s="126"/>
      <c r="S45" s="126"/>
      <c r="U45" s="603" t="s">
        <v>284</v>
      </c>
      <c r="V45" s="604"/>
      <c r="W45" s="234"/>
      <c r="X45" s="130"/>
      <c r="Y45" s="130"/>
      <c r="Z45" s="130"/>
      <c r="AA45" s="131"/>
      <c r="AB45" s="88"/>
    </row>
    <row r="46" spans="2:28" x14ac:dyDescent="0.3">
      <c r="B46" s="404">
        <f>(B41+AB34+AB44)*0.016</f>
        <v>0</v>
      </c>
      <c r="C46" s="486"/>
      <c r="D46" s="405"/>
      <c r="G46" s="50"/>
      <c r="O46" s="9" t="s">
        <v>570</v>
      </c>
      <c r="P46" s="87">
        <f>SUM(P34:P45)*150</f>
        <v>45750</v>
      </c>
      <c r="Q46" s="122">
        <f>SUM(Q34:Q45)*60</f>
        <v>84180</v>
      </c>
      <c r="R46" s="122">
        <f>SUM(R34:R45)*30</f>
        <v>3360</v>
      </c>
      <c r="S46" s="122">
        <f>SUM(S34:S45)*10</f>
        <v>230</v>
      </c>
      <c r="U46" s="605"/>
      <c r="V46" s="606"/>
      <c r="W46" s="235">
        <v>12</v>
      </c>
      <c r="X46" s="83">
        <f>W46*2</f>
        <v>24</v>
      </c>
      <c r="Y46" s="83">
        <f>W46*4</f>
        <v>48</v>
      </c>
      <c r="Z46" s="83">
        <f>W46*10</f>
        <v>120</v>
      </c>
      <c r="AA46" s="70">
        <f>W46*20</f>
        <v>240</v>
      </c>
      <c r="AB46" s="87">
        <f>W46*W45+X46*X45+Y46*Y45+Z46*Z45+AA46*AA45</f>
        <v>0</v>
      </c>
    </row>
    <row r="47" spans="2:28" x14ac:dyDescent="0.3">
      <c r="V47" s="11" t="s">
        <v>24</v>
      </c>
      <c r="W47" s="88">
        <f>IF(W41+W43+W45&gt;3,"Too Many",3-(W41+W43+W45))</f>
        <v>3</v>
      </c>
      <c r="X47" s="88">
        <f t="shared" ref="X47:AA47" si="1">IF(X41+X43+X45&gt;3,"Too Many",3-(X41+X43+X45))</f>
        <v>3</v>
      </c>
      <c r="Y47" s="88">
        <f t="shared" si="1"/>
        <v>3</v>
      </c>
      <c r="Z47" s="88">
        <f t="shared" si="1"/>
        <v>3</v>
      </c>
      <c r="AA47" s="88">
        <f t="shared" si="1"/>
        <v>3</v>
      </c>
    </row>
    <row r="48" spans="2:28" x14ac:dyDescent="0.3">
      <c r="Q48" s="1"/>
    </row>
    <row r="49" spans="9:12" x14ac:dyDescent="0.3">
      <c r="I49" s="1"/>
      <c r="J49" s="1"/>
      <c r="K49" s="1"/>
    </row>
    <row r="50" spans="9:12" x14ac:dyDescent="0.3">
      <c r="I50" s="88"/>
      <c r="J50" s="88"/>
      <c r="K50" s="198"/>
      <c r="L50" s="88"/>
    </row>
    <row r="51" spans="9:12" x14ac:dyDescent="0.3">
      <c r="I51" s="88"/>
      <c r="J51" s="88"/>
      <c r="K51" s="88"/>
      <c r="L51" s="88"/>
    </row>
    <row r="52" spans="9:12" x14ac:dyDescent="0.3">
      <c r="I52" s="88"/>
      <c r="J52" s="88"/>
      <c r="K52" s="88"/>
      <c r="L52" s="88"/>
    </row>
    <row r="53" spans="9:12" x14ac:dyDescent="0.3">
      <c r="I53" s="88"/>
      <c r="J53" s="88"/>
      <c r="K53" s="88"/>
      <c r="L53" s="88"/>
    </row>
    <row r="54" spans="9:12" x14ac:dyDescent="0.3">
      <c r="I54" s="88"/>
      <c r="J54" s="88"/>
      <c r="K54" s="88"/>
      <c r="L54" s="88"/>
    </row>
    <row r="55" spans="9:12" x14ac:dyDescent="0.3">
      <c r="I55" s="88"/>
      <c r="J55" s="88"/>
      <c r="K55" s="88"/>
      <c r="L55" s="88"/>
    </row>
    <row r="56" spans="9:12" x14ac:dyDescent="0.3">
      <c r="I56" s="88"/>
      <c r="J56" s="88"/>
      <c r="K56" s="88"/>
      <c r="L56" s="88"/>
    </row>
    <row r="57" spans="9:12" x14ac:dyDescent="0.3">
      <c r="I57" s="88"/>
      <c r="J57" s="88"/>
      <c r="K57" s="88"/>
      <c r="L57" s="88"/>
    </row>
    <row r="58" spans="9:12" x14ac:dyDescent="0.3">
      <c r="I58" s="88"/>
      <c r="J58" s="88"/>
      <c r="K58" s="88"/>
      <c r="L58" s="88"/>
    </row>
    <row r="59" spans="9:12" x14ac:dyDescent="0.3">
      <c r="I59" s="88"/>
      <c r="J59" s="88"/>
      <c r="K59" s="88"/>
      <c r="L59" s="88"/>
    </row>
    <row r="60" spans="9:12" x14ac:dyDescent="0.3">
      <c r="I60" s="88"/>
      <c r="J60" s="88"/>
      <c r="K60" s="88"/>
      <c r="L60" s="88"/>
    </row>
    <row r="61" spans="9:12" x14ac:dyDescent="0.3">
      <c r="I61" s="88"/>
      <c r="J61" s="88"/>
      <c r="K61" s="88"/>
      <c r="L61" s="88"/>
    </row>
    <row r="62" spans="9:12" x14ac:dyDescent="0.3">
      <c r="I62" s="88"/>
      <c r="J62" s="88"/>
      <c r="K62" s="88"/>
      <c r="L62" s="88"/>
    </row>
    <row r="63" spans="9:12" x14ac:dyDescent="0.3">
      <c r="I63" s="88"/>
      <c r="J63" s="88"/>
      <c r="K63" s="88"/>
      <c r="L63" s="88"/>
    </row>
    <row r="64" spans="9:12" x14ac:dyDescent="0.3">
      <c r="I64" s="88"/>
    </row>
    <row r="65" spans="9:9" x14ac:dyDescent="0.3">
      <c r="I65" s="88"/>
    </row>
    <row r="66" spans="9:9" x14ac:dyDescent="0.3">
      <c r="I66" s="88"/>
    </row>
    <row r="67" spans="9:9" x14ac:dyDescent="0.3">
      <c r="I67" s="88"/>
    </row>
    <row r="68" spans="9:9" x14ac:dyDescent="0.3">
      <c r="I68" s="88"/>
    </row>
    <row r="69" spans="9:9" x14ac:dyDescent="0.3">
      <c r="I69" s="38"/>
    </row>
  </sheetData>
  <sheetProtection formatColumns="0"/>
  <mergeCells count="102">
    <mergeCell ref="B45:D45"/>
    <mergeCell ref="I45:J45"/>
    <mergeCell ref="U45:V46"/>
    <mergeCell ref="B46:D46"/>
    <mergeCell ref="A1:X2"/>
    <mergeCell ref="K42:L42"/>
    <mergeCell ref="B43:D43"/>
    <mergeCell ref="I43:J43"/>
    <mergeCell ref="K43:L43"/>
    <mergeCell ref="U43:V44"/>
    <mergeCell ref="B44:D44"/>
    <mergeCell ref="I44:J44"/>
    <mergeCell ref="K44:L44"/>
    <mergeCell ref="W39:AA39"/>
    <mergeCell ref="B40:D40"/>
    <mergeCell ref="I40:J40"/>
    <mergeCell ref="K40:L40"/>
    <mergeCell ref="B41:D41"/>
    <mergeCell ref="I41:J41"/>
    <mergeCell ref="K41:L41"/>
    <mergeCell ref="U41:V42"/>
    <mergeCell ref="B42:D42"/>
    <mergeCell ref="I42:J42"/>
    <mergeCell ref="B37:C37"/>
    <mergeCell ref="I37:J37"/>
    <mergeCell ref="M37:N37"/>
    <mergeCell ref="B38:C38"/>
    <mergeCell ref="E40:F41"/>
    <mergeCell ref="I39:L39"/>
    <mergeCell ref="B35:C35"/>
    <mergeCell ref="I35:J35"/>
    <mergeCell ref="K35:L35"/>
    <mergeCell ref="M35:N35"/>
    <mergeCell ref="B31:D31"/>
    <mergeCell ref="I31:N31"/>
    <mergeCell ref="P31:S32"/>
    <mergeCell ref="W31:AA31"/>
    <mergeCell ref="B32:C32"/>
    <mergeCell ref="U35:V36"/>
    <mergeCell ref="B36:C36"/>
    <mergeCell ref="I36:J36"/>
    <mergeCell ref="K36:L36"/>
    <mergeCell ref="M36:N36"/>
    <mergeCell ref="U33:V34"/>
    <mergeCell ref="B34:C34"/>
    <mergeCell ref="E34:G34"/>
    <mergeCell ref="I34:J34"/>
    <mergeCell ref="K34:L34"/>
    <mergeCell ref="M34:N34"/>
    <mergeCell ref="E32:G33"/>
    <mergeCell ref="I32:J32"/>
    <mergeCell ref="K32:L32"/>
    <mergeCell ref="M32:N32"/>
    <mergeCell ref="B33:C33"/>
    <mergeCell ref="I33:J33"/>
    <mergeCell ref="K33:L33"/>
    <mergeCell ref="M33:N33"/>
    <mergeCell ref="C22:L22"/>
    <mergeCell ref="O22:X22"/>
    <mergeCell ref="AA22:AJ22"/>
    <mergeCell ref="D23:E23"/>
    <mergeCell ref="F23:H23"/>
    <mergeCell ref="I23:J23"/>
    <mergeCell ref="K23:L23"/>
    <mergeCell ref="P23:Q23"/>
    <mergeCell ref="R23:T23"/>
    <mergeCell ref="U23:V23"/>
    <mergeCell ref="W23:X23"/>
    <mergeCell ref="AB23:AC23"/>
    <mergeCell ref="AD23:AF23"/>
    <mergeCell ref="AG23:AH23"/>
    <mergeCell ref="AI23:AJ23"/>
    <mergeCell ref="U14:V14"/>
    <mergeCell ref="W14:X14"/>
    <mergeCell ref="AB14:AC14"/>
    <mergeCell ref="AD14:AF14"/>
    <mergeCell ref="AG14:AH14"/>
    <mergeCell ref="AI14:AJ14"/>
    <mergeCell ref="D14:E14"/>
    <mergeCell ref="F14:H14"/>
    <mergeCell ref="I14:J14"/>
    <mergeCell ref="K14:L14"/>
    <mergeCell ref="P14:Q14"/>
    <mergeCell ref="R14:T14"/>
    <mergeCell ref="AD5:AF5"/>
    <mergeCell ref="AG5:AH5"/>
    <mergeCell ref="AI5:AJ5"/>
    <mergeCell ref="C13:L13"/>
    <mergeCell ref="O13:X13"/>
    <mergeCell ref="AA13:AJ13"/>
    <mergeCell ref="AA4:AJ4"/>
    <mergeCell ref="D5:E5"/>
    <mergeCell ref="F5:H5"/>
    <mergeCell ref="I5:J5"/>
    <mergeCell ref="K5:L5"/>
    <mergeCell ref="P5:Q5"/>
    <mergeCell ref="R5:T5"/>
    <mergeCell ref="U5:V5"/>
    <mergeCell ref="W5:X5"/>
    <mergeCell ref="AB5:AC5"/>
    <mergeCell ref="C4:L4"/>
    <mergeCell ref="O4:X4"/>
  </mergeCells>
  <conditionalFormatting sqref="C7:C10 C16:C19 C25:C28">
    <cfRule type="expression" dxfId="111" priority="1">
      <formula>$D7&gt;100</formula>
    </cfRule>
  </conditionalFormatting>
  <conditionalFormatting sqref="C11 O11 AA11 C20 O20 AA20 C29 O29 AA29">
    <cfRule type="cellIs" dxfId="110" priority="3" operator="equal">
      <formula>0</formula>
    </cfRule>
  </conditionalFormatting>
  <conditionalFormatting sqref="I35 K35 M35 I43:L43">
    <cfRule type="cellIs" dxfId="109" priority="11" operator="greaterThan">
      <formula>0</formula>
    </cfRule>
  </conditionalFormatting>
  <conditionalFormatting sqref="I35:I37 K35:K37 M35:M37 I43:L44">
    <cfRule type="cellIs" dxfId="108" priority="9" stopIfTrue="1" operator="equal">
      <formula>"-"</formula>
    </cfRule>
  </conditionalFormatting>
  <conditionalFormatting sqref="I36:I37 K36:K37 M36:M37 I44:L44">
    <cfRule type="cellIs" dxfId="107" priority="10" operator="greaterThan">
      <formula>0</formula>
    </cfRule>
  </conditionalFormatting>
  <conditionalFormatting sqref="O7:O10 O16:O19 O25:O28">
    <cfRule type="expression" dxfId="106" priority="2">
      <formula>$P7&gt;100</formula>
    </cfRule>
  </conditionalFormatting>
  <conditionalFormatting sqref="W37:AA37">
    <cfRule type="cellIs" dxfId="105" priority="5" stopIfTrue="1" operator="equal">
      <formula>"Too Many"</formula>
    </cfRule>
    <cfRule type="cellIs" dxfId="104" priority="6" operator="greaterThan">
      <formula>0</formula>
    </cfRule>
  </conditionalFormatting>
  <conditionalFormatting sqref="W47:AA47">
    <cfRule type="cellIs" dxfId="103" priority="7" stopIfTrue="1" operator="equal">
      <formula>"Too Many"</formula>
    </cfRule>
    <cfRule type="cellIs" dxfId="102" priority="8" operator="greaterThan">
      <formula>0</formula>
    </cfRule>
  </conditionalFormatting>
  <conditionalFormatting sqref="AA7:AA10 AA16:AA19 AA25:AA28">
    <cfRule type="expression" dxfId="101" priority="4">
      <formula>$AB7&gt;100</formula>
    </cfRule>
  </conditionalFormatting>
  <dataValidations count="1">
    <dataValidation allowBlank="1" showInputMessage="1" showErrorMessage="1" promptTitle="Note:" prompt="Do not include chests from packs built into this sheet  They're already calculated." sqref="B41:D41" xr:uid="{1FE3A53B-134F-4A39-9B50-AF710FA66E05}"/>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A488BCE-9170-4662-8DCD-BA212AD193AC}">
          <x14:formula1>
            <xm:f>'Hero Gear Data'!$B$5:$B$205</xm:f>
          </x14:formula1>
          <xm:sqref>D7:E10 D16:E19 D25:E28 P7:Q10 P16:Q19 P25:Q28 AB7:AC10 AB16:AC19 AB25:AC28</xm:sqref>
        </x14:dataValidation>
        <x14:dataValidation type="list" allowBlank="1" showInputMessage="1" showErrorMessage="1" xr:uid="{FEFAAE77-3397-45C4-B64C-70C9D01FAE33}">
          <x14:formula1>
            <xm:f>'Hero Gear Data'!$B$211:$B$231</xm:f>
          </x14:formula1>
          <xm:sqref>I7:J10 I16:J19 I25:J28 U7:V10 U16:V19 U25:V28 AG7:AH10 AG16:AH19 AG25:AH28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458D-015A-4567-8BBE-31AB438C57A2}">
  <sheetPr codeName="Sheet23"/>
  <dimension ref="B2:DI336"/>
  <sheetViews>
    <sheetView zoomScaleNormal="100" workbookViewId="0">
      <pane xSplit="5" ySplit="4" topLeftCell="F314" activePane="bottomRight" state="frozen"/>
      <selection pane="topRight" activeCell="F1" sqref="F1"/>
      <selection pane="bottomLeft" activeCell="A5" sqref="A5"/>
      <selection pane="bottomRight" activeCell="B3" sqref="B3"/>
    </sheetView>
  </sheetViews>
  <sheetFormatPr baseColWidth="10" defaultColWidth="8.88671875" defaultRowHeight="14.4" x14ac:dyDescent="0.3"/>
  <cols>
    <col min="4" max="4" width="11.33203125" bestFit="1" customWidth="1"/>
    <col min="7" max="7" width="11.33203125" bestFit="1" customWidth="1"/>
    <col min="10" max="10" width="11.33203125" bestFit="1" customWidth="1"/>
    <col min="13" max="13" width="11.33203125" bestFit="1" customWidth="1"/>
    <col min="16" max="16" width="11.33203125" bestFit="1" customWidth="1"/>
    <col min="19" max="19" width="11.33203125" bestFit="1" customWidth="1"/>
    <col min="22" max="22" width="11.33203125" bestFit="1" customWidth="1"/>
    <col min="25" max="25" width="11.33203125" bestFit="1" customWidth="1"/>
    <col min="28" max="28" width="11.33203125" bestFit="1" customWidth="1"/>
    <col min="31" max="31" width="11.33203125" bestFit="1" customWidth="1"/>
    <col min="34" max="34" width="11.33203125" bestFit="1" customWidth="1"/>
    <col min="37" max="37" width="11.33203125" bestFit="1" customWidth="1"/>
    <col min="40" max="40" width="11.33203125" bestFit="1" customWidth="1"/>
    <col min="43" max="43" width="11.33203125" bestFit="1" customWidth="1"/>
    <col min="46" max="46" width="11.33203125" bestFit="1" customWidth="1"/>
    <col min="49" max="49" width="11.33203125" bestFit="1" customWidth="1"/>
    <col min="52" max="52" width="11.33203125" bestFit="1" customWidth="1"/>
    <col min="55" max="55" width="11.33203125" bestFit="1" customWidth="1"/>
    <col min="58" max="58" width="11.33203125" bestFit="1" customWidth="1"/>
    <col min="61" max="61" width="11.33203125" bestFit="1" customWidth="1"/>
    <col min="64" max="64" width="11.33203125" bestFit="1" customWidth="1"/>
    <col min="67" max="67" width="11.33203125" bestFit="1" customWidth="1"/>
    <col min="70" max="70" width="11.33203125" bestFit="1" customWidth="1"/>
    <col min="73" max="73" width="11.33203125" bestFit="1" customWidth="1"/>
    <col min="76" max="76" width="11.33203125" bestFit="1" customWidth="1"/>
    <col min="79" max="79" width="11.6640625" bestFit="1" customWidth="1"/>
    <col min="82" max="82" width="11.6640625" bestFit="1" customWidth="1"/>
    <col min="85" max="85" width="11.6640625" bestFit="1" customWidth="1"/>
    <col min="88" max="88" width="11.6640625" bestFit="1" customWidth="1"/>
    <col min="91" max="91" width="11.6640625" bestFit="1" customWidth="1"/>
    <col min="94" max="94" width="11.6640625" bestFit="1" customWidth="1"/>
    <col min="97" max="97" width="11.6640625" bestFit="1" customWidth="1"/>
    <col min="100" max="100" width="11.6640625" bestFit="1" customWidth="1"/>
    <col min="103" max="103" width="11.6640625" bestFit="1" customWidth="1"/>
    <col min="106" max="106" width="11.6640625" bestFit="1" customWidth="1"/>
    <col min="109" max="109" width="11.6640625" bestFit="1" customWidth="1"/>
    <col min="112" max="112" width="11.6640625" bestFit="1" customWidth="1"/>
  </cols>
  <sheetData>
    <row r="2" spans="2:113" x14ac:dyDescent="0.3">
      <c r="F2" s="631" t="s">
        <v>555</v>
      </c>
      <c r="G2" s="632"/>
      <c r="H2" s="632"/>
      <c r="I2" s="632"/>
      <c r="J2" s="632"/>
      <c r="K2" s="632"/>
      <c r="L2" s="632"/>
      <c r="M2" s="632"/>
      <c r="N2" s="632"/>
      <c r="O2" s="632"/>
      <c r="P2" s="632"/>
      <c r="Q2" s="633"/>
      <c r="R2" s="631" t="s">
        <v>556</v>
      </c>
      <c r="S2" s="632"/>
      <c r="T2" s="632"/>
      <c r="U2" s="632"/>
      <c r="V2" s="632"/>
      <c r="W2" s="632"/>
      <c r="X2" s="632"/>
      <c r="Y2" s="632"/>
      <c r="Z2" s="632"/>
      <c r="AA2" s="632"/>
      <c r="AB2" s="632"/>
      <c r="AC2" s="633"/>
      <c r="AD2" s="631" t="s">
        <v>557</v>
      </c>
      <c r="AE2" s="632"/>
      <c r="AF2" s="632"/>
      <c r="AG2" s="632"/>
      <c r="AH2" s="632"/>
      <c r="AI2" s="632"/>
      <c r="AJ2" s="632"/>
      <c r="AK2" s="632"/>
      <c r="AL2" s="632"/>
      <c r="AM2" s="632"/>
      <c r="AN2" s="632"/>
      <c r="AO2" s="633"/>
      <c r="AP2" s="631" t="s">
        <v>558</v>
      </c>
      <c r="AQ2" s="632"/>
      <c r="AR2" s="632"/>
      <c r="AS2" s="632"/>
      <c r="AT2" s="632"/>
      <c r="AU2" s="632"/>
      <c r="AV2" s="632"/>
      <c r="AW2" s="632"/>
      <c r="AX2" s="632"/>
      <c r="AY2" s="632"/>
      <c r="AZ2" s="632"/>
      <c r="BA2" s="633"/>
      <c r="BB2" s="631" t="s">
        <v>559</v>
      </c>
      <c r="BC2" s="632"/>
      <c r="BD2" s="632"/>
      <c r="BE2" s="632"/>
      <c r="BF2" s="632"/>
      <c r="BG2" s="632"/>
      <c r="BH2" s="632"/>
      <c r="BI2" s="632"/>
      <c r="BJ2" s="632"/>
      <c r="BK2" s="632"/>
      <c r="BL2" s="632"/>
      <c r="BM2" s="633"/>
      <c r="BN2" s="631" t="s">
        <v>560</v>
      </c>
      <c r="BO2" s="632"/>
      <c r="BP2" s="632"/>
      <c r="BQ2" s="632"/>
      <c r="BR2" s="632"/>
      <c r="BS2" s="632"/>
      <c r="BT2" s="632"/>
      <c r="BU2" s="632"/>
      <c r="BV2" s="632"/>
      <c r="BW2" s="632"/>
      <c r="BX2" s="632"/>
      <c r="BY2" s="633"/>
      <c r="BZ2" s="631" t="s">
        <v>561</v>
      </c>
      <c r="CA2" s="632"/>
      <c r="CB2" s="632"/>
      <c r="CC2" s="632"/>
      <c r="CD2" s="632"/>
      <c r="CE2" s="632"/>
      <c r="CF2" s="632"/>
      <c r="CG2" s="632"/>
      <c r="CH2" s="632"/>
      <c r="CI2" s="632"/>
      <c r="CJ2" s="632"/>
      <c r="CK2" s="633"/>
      <c r="CL2" s="631" t="s">
        <v>562</v>
      </c>
      <c r="CM2" s="632"/>
      <c r="CN2" s="632"/>
      <c r="CO2" s="632"/>
      <c r="CP2" s="632"/>
      <c r="CQ2" s="632"/>
      <c r="CR2" s="632"/>
      <c r="CS2" s="632"/>
      <c r="CT2" s="632"/>
      <c r="CU2" s="632"/>
      <c r="CV2" s="632"/>
      <c r="CW2" s="633"/>
      <c r="CX2" s="631" t="s">
        <v>563</v>
      </c>
      <c r="CY2" s="632"/>
      <c r="CZ2" s="632"/>
      <c r="DA2" s="632"/>
      <c r="DB2" s="632"/>
      <c r="DC2" s="632"/>
      <c r="DD2" s="632"/>
      <c r="DE2" s="632"/>
      <c r="DF2" s="632"/>
      <c r="DG2" s="632"/>
      <c r="DH2" s="632"/>
      <c r="DI2" s="633"/>
    </row>
    <row r="3" spans="2:113" x14ac:dyDescent="0.3">
      <c r="B3" s="2" t="s">
        <v>564</v>
      </c>
      <c r="C3" s="402" t="s">
        <v>565</v>
      </c>
      <c r="D3" s="403"/>
      <c r="E3" s="510"/>
      <c r="F3" s="634" t="s">
        <v>566</v>
      </c>
      <c r="G3" s="635"/>
      <c r="H3" s="636"/>
      <c r="I3" s="634" t="s">
        <v>567</v>
      </c>
      <c r="J3" s="635"/>
      <c r="K3" s="636"/>
      <c r="L3" s="634" t="s">
        <v>568</v>
      </c>
      <c r="M3" s="635"/>
      <c r="N3" s="636"/>
      <c r="O3" s="634" t="s">
        <v>569</v>
      </c>
      <c r="P3" s="635"/>
      <c r="Q3" s="636"/>
      <c r="R3" s="634" t="s">
        <v>566</v>
      </c>
      <c r="S3" s="635"/>
      <c r="T3" s="636"/>
      <c r="U3" s="634" t="s">
        <v>567</v>
      </c>
      <c r="V3" s="635"/>
      <c r="W3" s="636"/>
      <c r="X3" s="634" t="s">
        <v>568</v>
      </c>
      <c r="Y3" s="635"/>
      <c r="Z3" s="636"/>
      <c r="AA3" s="634" t="s">
        <v>569</v>
      </c>
      <c r="AB3" s="635"/>
      <c r="AC3" s="636"/>
      <c r="AD3" s="634" t="s">
        <v>566</v>
      </c>
      <c r="AE3" s="635"/>
      <c r="AF3" s="636"/>
      <c r="AG3" s="634" t="s">
        <v>567</v>
      </c>
      <c r="AH3" s="635"/>
      <c r="AI3" s="636"/>
      <c r="AJ3" s="634" t="s">
        <v>568</v>
      </c>
      <c r="AK3" s="635"/>
      <c r="AL3" s="636"/>
      <c r="AM3" s="634" t="s">
        <v>569</v>
      </c>
      <c r="AN3" s="635"/>
      <c r="AO3" s="636"/>
      <c r="AP3" s="634" t="s">
        <v>566</v>
      </c>
      <c r="AQ3" s="635"/>
      <c r="AR3" s="636"/>
      <c r="AS3" s="634" t="s">
        <v>567</v>
      </c>
      <c r="AT3" s="635"/>
      <c r="AU3" s="636"/>
      <c r="AV3" s="634" t="s">
        <v>568</v>
      </c>
      <c r="AW3" s="635"/>
      <c r="AX3" s="636"/>
      <c r="AY3" s="634" t="s">
        <v>569</v>
      </c>
      <c r="AZ3" s="635"/>
      <c r="BA3" s="636"/>
      <c r="BB3" s="634" t="s">
        <v>566</v>
      </c>
      <c r="BC3" s="635"/>
      <c r="BD3" s="636"/>
      <c r="BE3" s="634" t="s">
        <v>567</v>
      </c>
      <c r="BF3" s="635"/>
      <c r="BG3" s="636"/>
      <c r="BH3" s="634" t="s">
        <v>568</v>
      </c>
      <c r="BI3" s="635"/>
      <c r="BJ3" s="636"/>
      <c r="BK3" s="634" t="s">
        <v>569</v>
      </c>
      <c r="BL3" s="635"/>
      <c r="BM3" s="636"/>
      <c r="BN3" s="634" t="s">
        <v>566</v>
      </c>
      <c r="BO3" s="635"/>
      <c r="BP3" s="636"/>
      <c r="BQ3" s="634" t="s">
        <v>567</v>
      </c>
      <c r="BR3" s="635"/>
      <c r="BS3" s="636"/>
      <c r="BT3" s="634" t="s">
        <v>568</v>
      </c>
      <c r="BU3" s="635"/>
      <c r="BV3" s="636"/>
      <c r="BW3" s="634" t="s">
        <v>569</v>
      </c>
      <c r="BX3" s="635"/>
      <c r="BY3" s="636"/>
      <c r="BZ3" s="634" t="s">
        <v>566</v>
      </c>
      <c r="CA3" s="635"/>
      <c r="CB3" s="636"/>
      <c r="CC3" s="634" t="s">
        <v>567</v>
      </c>
      <c r="CD3" s="635"/>
      <c r="CE3" s="636"/>
      <c r="CF3" s="634" t="s">
        <v>568</v>
      </c>
      <c r="CG3" s="635"/>
      <c r="CH3" s="636"/>
      <c r="CI3" s="634" t="s">
        <v>569</v>
      </c>
      <c r="CJ3" s="635"/>
      <c r="CK3" s="636"/>
      <c r="CL3" s="634" t="s">
        <v>566</v>
      </c>
      <c r="CM3" s="635"/>
      <c r="CN3" s="636"/>
      <c r="CO3" s="634" t="s">
        <v>567</v>
      </c>
      <c r="CP3" s="635"/>
      <c r="CQ3" s="636"/>
      <c r="CR3" s="634" t="s">
        <v>568</v>
      </c>
      <c r="CS3" s="635"/>
      <c r="CT3" s="636"/>
      <c r="CU3" s="634" t="s">
        <v>569</v>
      </c>
      <c r="CV3" s="635"/>
      <c r="CW3" s="636"/>
      <c r="CX3" s="634" t="s">
        <v>566</v>
      </c>
      <c r="CY3" s="635"/>
      <c r="CZ3" s="636"/>
      <c r="DA3" s="634" t="s">
        <v>567</v>
      </c>
      <c r="DB3" s="635"/>
      <c r="DC3" s="636"/>
      <c r="DD3" s="634" t="s">
        <v>568</v>
      </c>
      <c r="DE3" s="635"/>
      <c r="DF3" s="636"/>
      <c r="DG3" s="634" t="s">
        <v>569</v>
      </c>
      <c r="DH3" s="635"/>
      <c r="DI3" s="636"/>
    </row>
    <row r="4" spans="2:113" x14ac:dyDescent="0.3">
      <c r="B4" s="2" t="s">
        <v>174</v>
      </c>
      <c r="C4" s="185" t="s">
        <v>570</v>
      </c>
      <c r="D4" s="185" t="s">
        <v>285</v>
      </c>
      <c r="E4" s="185" t="s">
        <v>571</v>
      </c>
      <c r="F4" s="186" t="s">
        <v>570</v>
      </c>
      <c r="G4" s="186" t="s">
        <v>285</v>
      </c>
      <c r="H4" s="186" t="s">
        <v>571</v>
      </c>
      <c r="I4" s="186" t="s">
        <v>570</v>
      </c>
      <c r="J4" s="186" t="s">
        <v>285</v>
      </c>
      <c r="K4" s="186" t="s">
        <v>571</v>
      </c>
      <c r="L4" s="186" t="s">
        <v>570</v>
      </c>
      <c r="M4" s="186" t="s">
        <v>285</v>
      </c>
      <c r="N4" s="186" t="s">
        <v>571</v>
      </c>
      <c r="O4" s="186" t="s">
        <v>570</v>
      </c>
      <c r="P4" s="186" t="s">
        <v>285</v>
      </c>
      <c r="Q4" s="186" t="s">
        <v>571</v>
      </c>
      <c r="R4" s="186" t="s">
        <v>570</v>
      </c>
      <c r="S4" s="186" t="s">
        <v>285</v>
      </c>
      <c r="T4" s="186" t="s">
        <v>571</v>
      </c>
      <c r="U4" s="186" t="s">
        <v>570</v>
      </c>
      <c r="V4" s="186" t="s">
        <v>285</v>
      </c>
      <c r="W4" s="186" t="s">
        <v>571</v>
      </c>
      <c r="X4" s="186" t="s">
        <v>570</v>
      </c>
      <c r="Y4" s="186" t="s">
        <v>285</v>
      </c>
      <c r="Z4" s="186" t="s">
        <v>571</v>
      </c>
      <c r="AA4" s="186" t="s">
        <v>570</v>
      </c>
      <c r="AB4" s="186" t="s">
        <v>285</v>
      </c>
      <c r="AC4" s="186" t="s">
        <v>571</v>
      </c>
      <c r="AD4" s="186" t="s">
        <v>570</v>
      </c>
      <c r="AE4" s="186" t="s">
        <v>285</v>
      </c>
      <c r="AF4" s="186" t="s">
        <v>571</v>
      </c>
      <c r="AG4" s="186" t="s">
        <v>570</v>
      </c>
      <c r="AH4" s="186" t="s">
        <v>285</v>
      </c>
      <c r="AI4" s="186" t="s">
        <v>571</v>
      </c>
      <c r="AJ4" s="186" t="s">
        <v>570</v>
      </c>
      <c r="AK4" s="186" t="s">
        <v>285</v>
      </c>
      <c r="AL4" s="186" t="s">
        <v>571</v>
      </c>
      <c r="AM4" s="186" t="s">
        <v>570</v>
      </c>
      <c r="AN4" s="186" t="s">
        <v>285</v>
      </c>
      <c r="AO4" s="186" t="s">
        <v>571</v>
      </c>
      <c r="AP4" s="186" t="s">
        <v>570</v>
      </c>
      <c r="AQ4" s="186" t="s">
        <v>285</v>
      </c>
      <c r="AR4" s="186" t="s">
        <v>571</v>
      </c>
      <c r="AS4" s="186" t="s">
        <v>570</v>
      </c>
      <c r="AT4" s="186" t="s">
        <v>285</v>
      </c>
      <c r="AU4" s="186" t="s">
        <v>571</v>
      </c>
      <c r="AV4" s="186" t="s">
        <v>570</v>
      </c>
      <c r="AW4" s="186" t="s">
        <v>285</v>
      </c>
      <c r="AX4" s="186" t="s">
        <v>571</v>
      </c>
      <c r="AY4" s="186" t="s">
        <v>570</v>
      </c>
      <c r="AZ4" s="186" t="s">
        <v>285</v>
      </c>
      <c r="BA4" s="186" t="s">
        <v>571</v>
      </c>
      <c r="BB4" s="186" t="s">
        <v>570</v>
      </c>
      <c r="BC4" s="186" t="s">
        <v>285</v>
      </c>
      <c r="BD4" s="186" t="s">
        <v>571</v>
      </c>
      <c r="BE4" s="186" t="s">
        <v>570</v>
      </c>
      <c r="BF4" s="186" t="s">
        <v>285</v>
      </c>
      <c r="BG4" s="186" t="s">
        <v>571</v>
      </c>
      <c r="BH4" s="186" t="s">
        <v>570</v>
      </c>
      <c r="BI4" s="186" t="s">
        <v>285</v>
      </c>
      <c r="BJ4" s="186" t="s">
        <v>571</v>
      </c>
      <c r="BK4" s="186" t="s">
        <v>570</v>
      </c>
      <c r="BL4" s="186" t="s">
        <v>285</v>
      </c>
      <c r="BM4" s="186" t="s">
        <v>571</v>
      </c>
      <c r="BN4" s="186" t="s">
        <v>570</v>
      </c>
      <c r="BO4" s="186" t="s">
        <v>285</v>
      </c>
      <c r="BP4" s="186" t="s">
        <v>571</v>
      </c>
      <c r="BQ4" s="186" t="s">
        <v>570</v>
      </c>
      <c r="BR4" s="186" t="s">
        <v>285</v>
      </c>
      <c r="BS4" s="186" t="s">
        <v>571</v>
      </c>
      <c r="BT4" s="186" t="s">
        <v>570</v>
      </c>
      <c r="BU4" s="186" t="s">
        <v>285</v>
      </c>
      <c r="BV4" s="186" t="s">
        <v>571</v>
      </c>
      <c r="BW4" s="186" t="s">
        <v>570</v>
      </c>
      <c r="BX4" s="186" t="s">
        <v>285</v>
      </c>
      <c r="BY4" s="186" t="s">
        <v>571</v>
      </c>
      <c r="BZ4" s="186" t="s">
        <v>570</v>
      </c>
      <c r="CA4" s="186" t="s">
        <v>285</v>
      </c>
      <c r="CB4" s="186" t="s">
        <v>571</v>
      </c>
      <c r="CC4" s="186" t="s">
        <v>570</v>
      </c>
      <c r="CD4" s="186" t="s">
        <v>285</v>
      </c>
      <c r="CE4" s="186" t="s">
        <v>571</v>
      </c>
      <c r="CF4" s="186" t="s">
        <v>570</v>
      </c>
      <c r="CG4" s="186" t="s">
        <v>285</v>
      </c>
      <c r="CH4" s="186" t="s">
        <v>571</v>
      </c>
      <c r="CI4" s="186" t="s">
        <v>570</v>
      </c>
      <c r="CJ4" s="186" t="s">
        <v>285</v>
      </c>
      <c r="CK4" s="186" t="s">
        <v>571</v>
      </c>
      <c r="CL4" s="186" t="s">
        <v>570</v>
      </c>
      <c r="CM4" s="186" t="s">
        <v>285</v>
      </c>
      <c r="CN4" s="186" t="s">
        <v>571</v>
      </c>
      <c r="CO4" s="186" t="s">
        <v>570</v>
      </c>
      <c r="CP4" s="186" t="s">
        <v>285</v>
      </c>
      <c r="CQ4" s="186" t="s">
        <v>571</v>
      </c>
      <c r="CR4" s="186" t="s">
        <v>570</v>
      </c>
      <c r="CS4" s="186" t="s">
        <v>285</v>
      </c>
      <c r="CT4" s="186" t="s">
        <v>571</v>
      </c>
      <c r="CU4" s="186" t="s">
        <v>570</v>
      </c>
      <c r="CV4" s="186" t="s">
        <v>285</v>
      </c>
      <c r="CW4" s="186" t="s">
        <v>571</v>
      </c>
      <c r="CX4" s="186" t="s">
        <v>570</v>
      </c>
      <c r="CY4" s="186" t="s">
        <v>285</v>
      </c>
      <c r="CZ4" s="186" t="s">
        <v>571</v>
      </c>
      <c r="DA4" s="186" t="s">
        <v>570</v>
      </c>
      <c r="DB4" s="186" t="s">
        <v>285</v>
      </c>
      <c r="DC4" s="186" t="s">
        <v>571</v>
      </c>
      <c r="DD4" s="186" t="s">
        <v>570</v>
      </c>
      <c r="DE4" s="186" t="s">
        <v>285</v>
      </c>
      <c r="DF4" s="186" t="s">
        <v>571</v>
      </c>
      <c r="DG4" s="186" t="s">
        <v>570</v>
      </c>
      <c r="DH4" s="186" t="s">
        <v>285</v>
      </c>
      <c r="DI4" s="186" t="s">
        <v>571</v>
      </c>
    </row>
    <row r="5" spans="2:113" x14ac:dyDescent="0.3">
      <c r="B5" s="1">
        <v>0</v>
      </c>
      <c r="C5" s="20" t="s">
        <v>27</v>
      </c>
      <c r="D5" s="143" t="s">
        <v>27</v>
      </c>
      <c r="E5" s="144" t="s">
        <v>27</v>
      </c>
      <c r="F5" s="20" t="s">
        <v>27</v>
      </c>
      <c r="G5" s="143" t="s">
        <v>27</v>
      </c>
      <c r="H5" s="144" t="s">
        <v>27</v>
      </c>
      <c r="I5" s="143" t="s">
        <v>27</v>
      </c>
      <c r="J5" s="143" t="s">
        <v>27</v>
      </c>
      <c r="K5" s="144" t="s">
        <v>27</v>
      </c>
      <c r="L5" s="143" t="s">
        <v>27</v>
      </c>
      <c r="M5" s="143" t="s">
        <v>27</v>
      </c>
      <c r="N5" s="144" t="s">
        <v>27</v>
      </c>
      <c r="O5" s="143" t="s">
        <v>27</v>
      </c>
      <c r="P5" s="143" t="s">
        <v>27</v>
      </c>
      <c r="Q5" s="144" t="s">
        <v>27</v>
      </c>
      <c r="R5" s="143" t="s">
        <v>27</v>
      </c>
      <c r="S5" s="143" t="s">
        <v>27</v>
      </c>
      <c r="T5" s="144" t="s">
        <v>27</v>
      </c>
      <c r="U5" s="143" t="s">
        <v>27</v>
      </c>
      <c r="V5" s="143" t="s">
        <v>27</v>
      </c>
      <c r="W5" s="144" t="s">
        <v>27</v>
      </c>
      <c r="X5" s="143" t="s">
        <v>27</v>
      </c>
      <c r="Y5" s="143" t="s">
        <v>27</v>
      </c>
      <c r="Z5" s="144" t="s">
        <v>27</v>
      </c>
      <c r="AA5" s="143" t="s">
        <v>27</v>
      </c>
      <c r="AB5" s="143" t="s">
        <v>27</v>
      </c>
      <c r="AC5" s="144" t="s">
        <v>27</v>
      </c>
      <c r="AD5" s="143" t="s">
        <v>27</v>
      </c>
      <c r="AE5" s="143" t="s">
        <v>27</v>
      </c>
      <c r="AF5" s="144" t="s">
        <v>27</v>
      </c>
      <c r="AG5" s="143" t="s">
        <v>27</v>
      </c>
      <c r="AH5" s="143" t="s">
        <v>27</v>
      </c>
      <c r="AI5" s="144" t="s">
        <v>27</v>
      </c>
      <c r="AJ5" s="143" t="s">
        <v>27</v>
      </c>
      <c r="AK5" s="143" t="s">
        <v>27</v>
      </c>
      <c r="AL5" s="144" t="s">
        <v>27</v>
      </c>
      <c r="AM5" s="143" t="s">
        <v>27</v>
      </c>
      <c r="AN5" s="143" t="s">
        <v>27</v>
      </c>
      <c r="AO5" s="144" t="s">
        <v>27</v>
      </c>
      <c r="AP5" s="20" t="s">
        <v>27</v>
      </c>
      <c r="AQ5" s="143" t="s">
        <v>27</v>
      </c>
      <c r="AR5" s="144" t="s">
        <v>27</v>
      </c>
      <c r="AS5" s="143" t="s">
        <v>27</v>
      </c>
      <c r="AT5" s="143" t="s">
        <v>27</v>
      </c>
      <c r="AU5" s="144" t="s">
        <v>27</v>
      </c>
      <c r="AV5" s="143" t="s">
        <v>27</v>
      </c>
      <c r="AW5" s="143" t="s">
        <v>27</v>
      </c>
      <c r="AX5" s="144" t="s">
        <v>27</v>
      </c>
      <c r="AY5" s="143" t="s">
        <v>27</v>
      </c>
      <c r="AZ5" s="143" t="s">
        <v>27</v>
      </c>
      <c r="BA5" s="144" t="s">
        <v>27</v>
      </c>
      <c r="BB5" s="143" t="s">
        <v>27</v>
      </c>
      <c r="BC5" s="143" t="s">
        <v>27</v>
      </c>
      <c r="BD5" s="144" t="s">
        <v>27</v>
      </c>
      <c r="BE5" s="143" t="s">
        <v>27</v>
      </c>
      <c r="BF5" s="143" t="s">
        <v>27</v>
      </c>
      <c r="BG5" s="144" t="s">
        <v>27</v>
      </c>
      <c r="BH5" s="143" t="s">
        <v>27</v>
      </c>
      <c r="BI5" s="143" t="s">
        <v>27</v>
      </c>
      <c r="BJ5" s="144" t="s">
        <v>27</v>
      </c>
      <c r="BK5" s="143" t="s">
        <v>27</v>
      </c>
      <c r="BL5" s="143" t="s">
        <v>27</v>
      </c>
      <c r="BM5" s="144" t="s">
        <v>27</v>
      </c>
      <c r="BN5" s="143" t="s">
        <v>27</v>
      </c>
      <c r="BO5" s="143" t="s">
        <v>27</v>
      </c>
      <c r="BP5" s="144" t="s">
        <v>27</v>
      </c>
      <c r="BQ5" s="143" t="s">
        <v>27</v>
      </c>
      <c r="BR5" s="143" t="s">
        <v>27</v>
      </c>
      <c r="BS5" s="144" t="s">
        <v>27</v>
      </c>
      <c r="BT5" s="143" t="s">
        <v>27</v>
      </c>
      <c r="BU5" s="143" t="s">
        <v>27</v>
      </c>
      <c r="BV5" s="144" t="s">
        <v>27</v>
      </c>
      <c r="BW5" s="143" t="s">
        <v>27</v>
      </c>
      <c r="BX5" s="143" t="s">
        <v>27</v>
      </c>
      <c r="BY5" s="144" t="s">
        <v>27</v>
      </c>
      <c r="BZ5" s="20" t="s">
        <v>27</v>
      </c>
      <c r="CA5" s="143" t="s">
        <v>27</v>
      </c>
      <c r="CB5" s="144" t="s">
        <v>27</v>
      </c>
      <c r="CC5" s="143" t="s">
        <v>27</v>
      </c>
      <c r="CD5" s="143" t="s">
        <v>27</v>
      </c>
      <c r="CE5" s="144" t="s">
        <v>27</v>
      </c>
      <c r="CF5" s="143" t="s">
        <v>27</v>
      </c>
      <c r="CG5" s="143" t="s">
        <v>27</v>
      </c>
      <c r="CH5" s="144" t="s">
        <v>27</v>
      </c>
      <c r="CI5" s="143" t="s">
        <v>27</v>
      </c>
      <c r="CJ5" s="143" t="s">
        <v>27</v>
      </c>
      <c r="CK5" s="144" t="s">
        <v>27</v>
      </c>
      <c r="CL5" s="143" t="s">
        <v>27</v>
      </c>
      <c r="CM5" s="143" t="s">
        <v>27</v>
      </c>
      <c r="CN5" s="144" t="s">
        <v>27</v>
      </c>
      <c r="CO5" s="143" t="s">
        <v>27</v>
      </c>
      <c r="CP5" s="143" t="s">
        <v>27</v>
      </c>
      <c r="CQ5" s="144" t="s">
        <v>27</v>
      </c>
      <c r="CR5" s="143" t="s">
        <v>27</v>
      </c>
      <c r="CS5" s="143" t="s">
        <v>27</v>
      </c>
      <c r="CT5" s="144" t="s">
        <v>27</v>
      </c>
      <c r="CU5" s="143" t="s">
        <v>27</v>
      </c>
      <c r="CV5" s="143" t="s">
        <v>27</v>
      </c>
      <c r="CW5" s="144" t="s">
        <v>27</v>
      </c>
      <c r="CX5" s="143" t="s">
        <v>27</v>
      </c>
      <c r="CY5" s="143" t="s">
        <v>27</v>
      </c>
      <c r="CZ5" s="144" t="s">
        <v>27</v>
      </c>
      <c r="DA5" s="143" t="s">
        <v>27</v>
      </c>
      <c r="DB5" s="143" t="s">
        <v>27</v>
      </c>
      <c r="DC5" s="144" t="s">
        <v>27</v>
      </c>
      <c r="DD5" s="143" t="s">
        <v>27</v>
      </c>
      <c r="DE5" s="143" t="s">
        <v>27</v>
      </c>
      <c r="DF5" s="144" t="s">
        <v>27</v>
      </c>
      <c r="DG5" s="143" t="s">
        <v>27</v>
      </c>
      <c r="DH5" s="143" t="s">
        <v>27</v>
      </c>
      <c r="DI5" s="144" t="s">
        <v>27</v>
      </c>
    </row>
    <row r="6" spans="2:113" x14ac:dyDescent="0.3">
      <c r="B6" s="1">
        <v>1</v>
      </c>
      <c r="C6" s="15">
        <v>10</v>
      </c>
      <c r="D6" s="1" t="s">
        <v>27</v>
      </c>
      <c r="E6" s="21" t="s">
        <v>27</v>
      </c>
      <c r="F6" s="15" t="str">
        <f t="shared" ref="F6" si="0">IF(InfGog1LevelCurrent&gt;=$B6,"-",IF(InfGog1LevelDesired&lt;$B6,"-",$C6))</f>
        <v>-</v>
      </c>
      <c r="G6" s="1" t="str">
        <f t="shared" ref="G6" si="1">IF(InfGog1LevelCurrent&gt;=$B6,"-",IF(InfGog1LevelDesired&lt;$B6,"-",$D6))</f>
        <v>-</v>
      </c>
      <c r="H6" s="21" t="str">
        <f t="shared" ref="H6" si="2">IF(InfGog1LevelCurrent&gt;=$B6,"-",IF(InfGog1LevelDesired&lt;$B6,"-",$E6))</f>
        <v>-</v>
      </c>
      <c r="I6" s="15" t="str">
        <f t="shared" ref="I6" si="3">IF(InfGlo1LevelCurrent&gt;=$B6,"-",IF(InfGlo1LevelDesired&lt;$B6,"-",$C6))</f>
        <v>-</v>
      </c>
      <c r="J6" s="1" t="str">
        <f t="shared" ref="J6" si="4">IF(InfGlo1LevelCurrent&gt;=$B6,"-",IF(InfGlo1LevelDesired&lt;$B6,"-",$D6))</f>
        <v>-</v>
      </c>
      <c r="K6" s="21" t="str">
        <f t="shared" ref="K6" si="5">IF(InfGlo1LevelCurrent&gt;=$B6,"-",IF(InfGlo1LevelDesired&lt;$B6,"-",$E6))</f>
        <v>-</v>
      </c>
      <c r="L6" s="15" t="str">
        <f t="shared" ref="L6" si="6">IF(InfBel1LevelCurrent&gt;=$B6,"-",IF(InfBel1LevelDesired&lt;$B6,"-",$C6))</f>
        <v>-</v>
      </c>
      <c r="M6" s="1" t="str">
        <f t="shared" ref="M6" si="7">IF(InfBel1LevelCurrent&gt;=$B6,"-",IF(InfBel1LevelDesired&lt;$B6,"-",$D6))</f>
        <v>-</v>
      </c>
      <c r="N6" s="21" t="str">
        <f t="shared" ref="N6" si="8">IF(InfBel1LevelCurrent&gt;=$B6,"-",IF(InfBel1LevelDesired&lt;$B6,"-",$E6))</f>
        <v>-</v>
      </c>
      <c r="O6" s="15" t="str">
        <f t="shared" ref="O6" si="9">IF(InfBoo1LevelCurrent&gt;=$B6,"-",IF(InfBoo1LevelDesired&lt;$B6,"-",$C6))</f>
        <v>-</v>
      </c>
      <c r="P6" s="1" t="str">
        <f t="shared" ref="P6" si="10">IF(InfBoo1LevelCurrent&gt;=$B6,"-",IF(InfBoo1LevelDesired&lt;$B6,"-",$D6))</f>
        <v>-</v>
      </c>
      <c r="Q6" s="21" t="str">
        <f t="shared" ref="Q6" si="11">IF(InfBoo1LevelCurrent&gt;=$B6,"-",IF(InfBoo1LevelDesired&lt;$B6,"-",$E6))</f>
        <v>-</v>
      </c>
      <c r="R6" s="15" t="str">
        <f t="shared" ref="R6" si="12">IF(LanGog1LevelCurrent&gt;=$B6,"-",IF(LanGog1LevelDesired&lt;$B6,"-",$C6))</f>
        <v>-</v>
      </c>
      <c r="S6" s="1" t="str">
        <f t="shared" ref="S6" si="13">IF(LanGog1LevelCurrent&gt;=$B6,"-",IF(LanGog1LevelDesired&lt;$B6,"-",$D6))</f>
        <v>-</v>
      </c>
      <c r="T6" s="21" t="str">
        <f t="shared" ref="T6" si="14">IF(LanGog1LevelCurrent&gt;=$B6,"-",IF(LanGog1LevelDesired&lt;$B6,"-",$E6))</f>
        <v>-</v>
      </c>
      <c r="U6" s="15" t="str">
        <f t="shared" ref="U6" si="15">IF(LanGlo1LevelCurrent&gt;=$B6,"-",IF(LanGlo1LevelDesired&lt;$B6,"-",$C6))</f>
        <v>-</v>
      </c>
      <c r="V6" s="1" t="str">
        <f t="shared" ref="V6" si="16">IF(LanGlo1LevelCurrent&gt;=$B6,"-",IF(LanGlo1LevelDesired&lt;$B6,"-",$D6))</f>
        <v>-</v>
      </c>
      <c r="W6" s="21" t="str">
        <f t="shared" ref="W6" si="17">IF(LanGlo1LevelCurrent&gt;=$B6,"-",IF(LanGlo1LevelDesired&lt;$B6,"-",$E6))</f>
        <v>-</v>
      </c>
      <c r="X6" s="15" t="str">
        <f t="shared" ref="X6" si="18">IF(LanBel1LevelCurrent&gt;=$B6,"-",IF(LanBel1LevelDesired&lt;$B6,"-",$C6))</f>
        <v>-</v>
      </c>
      <c r="Y6" s="1" t="str">
        <f t="shared" ref="Y6" si="19">IF(LanBel1LevelCurrent&gt;=$B6,"-",IF(LanBel1LevelDesired&lt;$B6,"-",$D6))</f>
        <v>-</v>
      </c>
      <c r="Z6" s="21" t="str">
        <f t="shared" ref="Z6" si="20">IF(LanBel1LevelCurrent&gt;=$B6,"-",IF(LanBel1LevelDesired&lt;$B6,"-",$E6))</f>
        <v>-</v>
      </c>
      <c r="AA6" s="15" t="str">
        <f t="shared" ref="AA6" si="21">IF(LanBoo1LevelCurrent&gt;=$B6,"-",IF(LanBoo1LevelDesired&lt;$B6,"-",$C6))</f>
        <v>-</v>
      </c>
      <c r="AB6" s="1" t="str">
        <f t="shared" ref="AB6" si="22">IF(LanBoo1LevelCurrent&gt;=$B6,"-",IF(LanBoo1LevelDesired&lt;$B6,"-",$D6))</f>
        <v>-</v>
      </c>
      <c r="AC6" s="21" t="str">
        <f t="shared" ref="AC6" si="23">IF(LanBoo1LevelCurrent&gt;=$B6,"-",IF(LanBoo1LevelDesired&lt;$B6,"-",$E6))</f>
        <v>-</v>
      </c>
      <c r="AD6" s="15" t="str">
        <f t="shared" ref="AD6" si="24">IF(MarGog1LevelCurrent&gt;=$B6,"-",IF(MarGog1LevelDesired&lt;$B6,"-",$C6))</f>
        <v>-</v>
      </c>
      <c r="AE6" s="1" t="str">
        <f t="shared" ref="AE6" si="25">IF(MarGog1LevelCurrent&gt;=$B6,"-",IF(MarGog1LevelDesired&lt;$B6,"-",$D6))</f>
        <v>-</v>
      </c>
      <c r="AF6" s="21" t="str">
        <f t="shared" ref="AF6" si="26">IF(MarGog1LevelCurrent&gt;=$B6,"-",IF(MarGog1LevelDesired&lt;$B6,"-",$E6))</f>
        <v>-</v>
      </c>
      <c r="AG6" s="15" t="str">
        <f t="shared" ref="AG6" si="27">IF(MarGlo1LevelCurrent&gt;=$B6,"-",IF(MarGlo1LevelDesired&lt;$B6,"-",$C6))</f>
        <v>-</v>
      </c>
      <c r="AH6" s="1" t="str">
        <f t="shared" ref="AH6" si="28">IF(MarGlo1LevelCurrent&gt;=$B6,"-",IF(MarGlo1LevelDesired&lt;$B6,"-",$D6))</f>
        <v>-</v>
      </c>
      <c r="AI6" s="21" t="str">
        <f t="shared" ref="AI6" si="29">IF(MarGlo1LevelCurrent&gt;=$B6,"-",IF(MarGlo1LevelDesired&lt;$B6,"-",$E6))</f>
        <v>-</v>
      </c>
      <c r="AJ6" s="15" t="str">
        <f t="shared" ref="AJ6" si="30">IF(MarBel1LevelCurrent&gt;=$B6,"-",IF(MarBel1LevelDesired&lt;$B6,"-",$C6))</f>
        <v>-</v>
      </c>
      <c r="AK6" s="1" t="str">
        <f t="shared" ref="AK6" si="31">IF(MarBel1LevelCurrent&gt;=$B6,"-",IF(MarBel1LevelDesired&lt;$B6,"-",$D6))</f>
        <v>-</v>
      </c>
      <c r="AL6" s="21" t="str">
        <f t="shared" ref="AL6" si="32">IF(MarBel1LevelCurrent&gt;=$B6,"-",IF(MarBel1LevelDesired&lt;$B6,"-",$E6))</f>
        <v>-</v>
      </c>
      <c r="AM6" s="15" t="str">
        <f t="shared" ref="AM6" si="33">IF(MarBoo1LevelCurrent&gt;=$B6,"-",IF(MarBoo1LevelDesired&lt;$B6,"-",$C6))</f>
        <v>-</v>
      </c>
      <c r="AN6" s="1" t="str">
        <f t="shared" ref="AN6" si="34">IF(MarBoo1LevelCurrent&gt;=$B6,"-",IF(MarBoo1LevelDesired&lt;$B6,"-",$D6))</f>
        <v>-</v>
      </c>
      <c r="AO6" s="21" t="str">
        <f t="shared" ref="AO6" si="35">IF(MarBoo1LevelCurrent&gt;=$B6,"-",IF(MarBoo1LevelDesired&lt;$B6,"-",$E6))</f>
        <v>-</v>
      </c>
      <c r="AP6" s="15" t="str">
        <f t="shared" ref="AP6" si="36">IF(InfGog2LevelCurrent&gt;=$B6,"-",IF(InfGog2LevelDesired&lt;$B6,"-",$C6))</f>
        <v>-</v>
      </c>
      <c r="AQ6" s="1" t="str">
        <f t="shared" ref="AQ6" si="37">IF(InfGog2LevelCurrent&gt;=$B6,"-",IF(InfGog2LevelDesired&lt;$B6,"-",$D6))</f>
        <v>-</v>
      </c>
      <c r="AR6" s="21" t="str">
        <f t="shared" ref="AR6" si="38">IF(InfGog2LevelCurrent&gt;=$B6,"-",IF(InfGog2LevelDesired&lt;$B6,"-",$E6))</f>
        <v>-</v>
      </c>
      <c r="AS6" s="15" t="str">
        <f t="shared" ref="AS6" si="39">IF(InfGlo2LevelCurrent&gt;=$B6,"-",IF(InfGlo2LevelDesired&lt;$B6,"-",$C6))</f>
        <v>-</v>
      </c>
      <c r="AT6" s="1" t="str">
        <f t="shared" ref="AT6" si="40">IF(InfGlo2LevelCurrent&gt;=$B6,"-",IF(InfGlo2LevelDesired&lt;$B6,"-",$D6))</f>
        <v>-</v>
      </c>
      <c r="AU6" s="21" t="str">
        <f t="shared" ref="AU6" si="41">IF(InfGlo2LevelCurrent&gt;=$B6,"-",IF(InfGlo2LevelDesired&lt;$B6,"-",$E6))</f>
        <v>-</v>
      </c>
      <c r="AV6" s="15" t="str">
        <f t="shared" ref="AV6" si="42">IF(InfBel2LevelCurrent&gt;=$B6,"-",IF(InfBel2LevelDesired&lt;$B6,"-",$C6))</f>
        <v>-</v>
      </c>
      <c r="AW6" s="1" t="str">
        <f t="shared" ref="AW6" si="43">IF(InfBel2LevelCurrent&gt;=$B6,"-",IF(InfBel2LevelDesired&lt;$B6,"-",$D6))</f>
        <v>-</v>
      </c>
      <c r="AX6" s="21" t="str">
        <f t="shared" ref="AX6" si="44">IF(InfBel2LevelCurrent&gt;=$B6,"-",IF(InfBel2LevelDesired&lt;$B6,"-",$E6))</f>
        <v>-</v>
      </c>
      <c r="AY6" s="15" t="str">
        <f t="shared" ref="AY6" si="45">IF(InfBoo2LevelCurrent&gt;=$B6,"-",IF(InfBoo2LevelDesired&lt;$B6,"-",$C6))</f>
        <v>-</v>
      </c>
      <c r="AZ6" s="1" t="str">
        <f t="shared" ref="AZ6" si="46">IF(InfBoo2LevelCurrent&gt;=$B6,"-",IF(InfBoo2LevelDesired&lt;$B6,"-",$D6))</f>
        <v>-</v>
      </c>
      <c r="BA6" s="21" t="str">
        <f t="shared" ref="BA6" si="47">IF(InfBoo2LevelCurrent&gt;=$B6,"-",IF(InfBoo2LevelDesired&lt;$B6,"-",$E6))</f>
        <v>-</v>
      </c>
      <c r="BB6" s="15" t="str">
        <f t="shared" ref="BB6" si="48">IF(LanGog2LevelCurrent&gt;=$B6,"-",IF(LanGog2LevelDesired&lt;$B6,"-",$C6))</f>
        <v>-</v>
      </c>
      <c r="BC6" s="1" t="str">
        <f t="shared" ref="BC6" si="49">IF(LanGog2LevelCurrent&gt;=$B6,"-",IF(LanGog2LevelDesired&lt;$B6,"-",$D6))</f>
        <v>-</v>
      </c>
      <c r="BD6" s="21" t="str">
        <f t="shared" ref="BD6" si="50">IF(LanGog2LevelCurrent&gt;=$B6,"-",IF(LanGog2LevelDesired&lt;$B6,"-",$E6))</f>
        <v>-</v>
      </c>
      <c r="BE6" s="15" t="str">
        <f t="shared" ref="BE6" si="51">IF(LanGlo2LevelCurrent&gt;=$B6,"-",IF(LanGlo2LevelDesired&lt;$B6,"-",$C6))</f>
        <v>-</v>
      </c>
      <c r="BF6" s="1" t="str">
        <f t="shared" ref="BF6" si="52">IF(LanGlo2LevelCurrent&gt;=$B6,"-",IF(LanGlo2LevelDesired&lt;$B6,"-",$D6))</f>
        <v>-</v>
      </c>
      <c r="BG6" s="21" t="str">
        <f t="shared" ref="BG6" si="53">IF(LanGlo2LevelCurrent&gt;=$B6,"-",IF(LanGlo2LevelDesired&lt;$B6,"-",$E6))</f>
        <v>-</v>
      </c>
      <c r="BH6" s="15" t="str">
        <f t="shared" ref="BH6" si="54">IF(LanBel2LevelCurrent&gt;=$B6,"-",IF(LanBel2LevelDesired&lt;$B6,"-",$C6))</f>
        <v>-</v>
      </c>
      <c r="BI6" s="1" t="str">
        <f t="shared" ref="BI6" si="55">IF(LanBel2LevelCurrent&gt;=$B6,"-",IF(LanBel2LevelDesired&lt;$B6,"-",$D6))</f>
        <v>-</v>
      </c>
      <c r="BJ6" s="21" t="str">
        <f t="shared" ref="BJ6" si="56">IF(LanBel2LevelCurrent&gt;=$B6,"-",IF(LanBel2LevelDesired&lt;$B6,"-",$E6))</f>
        <v>-</v>
      </c>
      <c r="BK6" s="15" t="str">
        <f t="shared" ref="BK6" si="57">IF(LanBoo2LevelCurrent&gt;=$B6,"-",IF(LanBoo2LevelDesired&lt;$B6,"-",$C6))</f>
        <v>-</v>
      </c>
      <c r="BL6" s="1" t="str">
        <f t="shared" ref="BL6" si="58">IF(LanBoo2LevelCurrent&gt;=$B6,"-",IF(LanBoo2LevelDesired&lt;$B6,"-",$D6))</f>
        <v>-</v>
      </c>
      <c r="BM6" s="21" t="str">
        <f t="shared" ref="BM6" si="59">IF(LanBoo2LevelCurrent&gt;=$B6,"-",IF(LanBoo2LevelDesired&lt;$B6,"-",$E6))</f>
        <v>-</v>
      </c>
      <c r="BN6" s="15" t="str">
        <f t="shared" ref="BN6" si="60">IF(MarGog2LevelCurrent&gt;=$B6,"-",IF(MarGog2LevelDesired&lt;$B6,"-",$C6))</f>
        <v>-</v>
      </c>
      <c r="BO6" s="1" t="str">
        <f t="shared" ref="BO6" si="61">IF(MarGog2LevelCurrent&gt;=$B6,"-",IF(MarGog2LevelDesired&lt;$B6,"-",$D6))</f>
        <v>-</v>
      </c>
      <c r="BP6" s="21" t="str">
        <f t="shared" ref="BP6" si="62">IF(MarGog2LevelCurrent&gt;=$B6,"-",IF(MarGog2LevelDesired&lt;$B6,"-",$E6))</f>
        <v>-</v>
      </c>
      <c r="BQ6" s="15" t="str">
        <f t="shared" ref="BQ6" si="63">IF(MarGlo2LevelCurrent&gt;=$B6,"-",IF(MarGlo2LevelDesired&lt;$B6,"-",$C6))</f>
        <v>-</v>
      </c>
      <c r="BR6" s="1" t="str">
        <f t="shared" ref="BR6" si="64">IF(MarGlo2LevelCurrent&gt;=$B6,"-",IF(MarGlo2LevelDesired&lt;$B6,"-",$D6))</f>
        <v>-</v>
      </c>
      <c r="BS6" s="21" t="str">
        <f t="shared" ref="BS6" si="65">IF(MarGlo2LevelCurrent&gt;=$B6,"-",IF(MarGlo2LevelDesired&lt;$B6,"-",$E6))</f>
        <v>-</v>
      </c>
      <c r="BT6" s="15" t="str">
        <f t="shared" ref="BT6" si="66">IF(MarBel2LevelCurrent&gt;=$B6,"-",IF(MarBel2LevelDesired&lt;$B6,"-",$C6))</f>
        <v>-</v>
      </c>
      <c r="BU6" s="1" t="str">
        <f t="shared" ref="BU6" si="67">IF(MarBel2LevelCurrent&gt;=$B6,"-",IF(MarBel2LevelDesired&lt;$B6,"-",$D6))</f>
        <v>-</v>
      </c>
      <c r="BV6" s="21" t="str">
        <f t="shared" ref="BV6" si="68">IF(MarBel2LevelCurrent&gt;=$B6,"-",IF(MarBel2LevelDesired&lt;$B6,"-",$E6))</f>
        <v>-</v>
      </c>
      <c r="BW6" s="15" t="str">
        <f t="shared" ref="BW6" si="69">IF(MarBoo2LevelCurrent&gt;=$B6,"-",IF(MarBoo2LevelDesired&lt;$B6,"-",$C6))</f>
        <v>-</v>
      </c>
      <c r="BX6" s="1" t="str">
        <f t="shared" ref="BX6" si="70">IF(MarBoo2LevelCurrent&gt;=$B6,"-",IF(MarBoo2LevelDesired&lt;$B6,"-",$D6))</f>
        <v>-</v>
      </c>
      <c r="BY6" s="21" t="str">
        <f t="shared" ref="BY6" si="71">IF(MarBoo2LevelCurrent&gt;=$B6,"-",IF(MarBoo2LevelDesired&lt;$B6,"-",$E6))</f>
        <v>-</v>
      </c>
      <c r="BZ6" s="15" t="str">
        <f t="shared" ref="BZ6:BZ37" si="72">IF(InfGog3LevelCurrent&gt;=$B6,"-",IF(InfGog3LevelDesired&lt;$B6,"-",$C6))</f>
        <v>-</v>
      </c>
      <c r="CA6" s="1" t="str" cm="1">
        <f t="array" ref="CA6">IF(InfGog3LevelCurrent&gt;=$B6,"-",IF(InfGog3LevelDesired&lt;$B6,"-",$D6))</f>
        <v>-</v>
      </c>
      <c r="CB6" s="21" t="str" cm="1">
        <f t="array" ref="CB6">IF(InfGog3LevelCurrent&gt;=$B6,"-",IF(InfGog3LevelDesired&lt;$B6,"-",$E6))</f>
        <v>-</v>
      </c>
      <c r="CC6" s="15" t="str">
        <f t="shared" ref="CC6:CC37" si="73">IF(InfGlo3LevelCurrent&gt;=$B6,"-",IF(InfGlo3LevelDesired&lt;$B6,"-",$C6))</f>
        <v>-</v>
      </c>
      <c r="CD6" s="1" t="str">
        <f t="shared" ref="CD6:CD37" si="74">IF(InfGlo3LevelCurrent&gt;=$B6,"-",IF(InfGlo3LevelDesired&lt;$B6,"-",$D6))</f>
        <v>-</v>
      </c>
      <c r="CE6" s="21" t="str">
        <f t="shared" ref="CE6:CE37" si="75">IF(InfGlo3LevelCurrent&gt;=$B6,"-",IF(InfGlo3LevelDesired&lt;$B6,"-",$E6))</f>
        <v>-</v>
      </c>
      <c r="CF6" s="15" t="str">
        <f t="shared" ref="CF6:CF37" si="76">IF(InfBel3LevelCurrent&gt;=$B6,"-",IF(InfBel3LevelDesired&lt;$B6,"-",$C6))</f>
        <v>-</v>
      </c>
      <c r="CG6" s="1" t="str">
        <f t="shared" ref="CG6:CG37" si="77">IF(InfBel3LevelCurrent&gt;=$B6,"-",IF(InfBel3LevelDesired&lt;$B6,"-",$D6))</f>
        <v>-</v>
      </c>
      <c r="CH6" s="21" t="str">
        <f t="shared" ref="CH6:CH37" si="78">IF(InfBel3LevelCurrent&gt;=$B6,"-",IF(InfBel3LevelDesired&lt;$B6,"-",$E6))</f>
        <v>-</v>
      </c>
      <c r="CI6" s="15" t="str">
        <f t="shared" ref="CI6:CI37" si="79">IF(InfBoo3LevelCurrent&gt;=$B6,"-",IF(InfBoo3LevelDesired&lt;$B6,"-",$C6))</f>
        <v>-</v>
      </c>
      <c r="CJ6" s="1" t="str">
        <f t="shared" ref="CJ6:CJ37" si="80">IF(InfBoo3LevelCurrent&gt;=$B6,"-",IF(InfBoo3LevelDesired&lt;$B6,"-",$D6))</f>
        <v>-</v>
      </c>
      <c r="CK6" s="21" t="str">
        <f t="shared" ref="CK6:CK37" si="81">IF(InfBoo3LevelCurrent&gt;=$B6,"-",IF(InfBoo3LevelDesired&lt;$B6,"-",$E6))</f>
        <v>-</v>
      </c>
      <c r="CL6" s="15" t="str">
        <f t="shared" ref="CL6:CL37" si="82">IF(LanGog3LevelCurrent&gt;=$B6,"-",IF(LanGog3LevelDesired&lt;$B6,"-",$C6))</f>
        <v>-</v>
      </c>
      <c r="CM6" s="1" t="str">
        <f t="shared" ref="CM6:CM37" si="83">IF(LanGog3LevelCurrent&gt;=$B6,"-",IF(LanGog3LevelDesired&lt;$B6,"-",$D6))</f>
        <v>-</v>
      </c>
      <c r="CN6" s="21" t="str">
        <f t="shared" ref="CN6:CN37" si="84">IF(LanGog3LevelCurrent&gt;=$B6,"-",IF(LanGog3LevelDesired&lt;$B6,"-",$E6))</f>
        <v>-</v>
      </c>
      <c r="CO6" s="15" t="str">
        <f t="shared" ref="CO6:CO37" si="85">IF(LanGlo3LevelCurrent&gt;=$B6,"-",IF(LanGlo3LevelDesired&lt;$B6,"-",$C6))</f>
        <v>-</v>
      </c>
      <c r="CP6" s="1" t="str">
        <f t="shared" ref="CP6:CP37" si="86">IF(LanGlo3LevelCurrent&gt;=$B6,"-",IF(LanGlo3LevelDesired&lt;$B6,"-",$D6))</f>
        <v>-</v>
      </c>
      <c r="CQ6" s="21" t="str">
        <f t="shared" ref="CQ6:CQ37" si="87">IF(LanGlo3LevelCurrent&gt;=$B6,"-",IF(LanGlo3LevelDesired&lt;$B6,"-",$E6))</f>
        <v>-</v>
      </c>
      <c r="CR6" s="15" t="str">
        <f t="shared" ref="CR6:CR37" si="88">IF(LanBel3LevelCurrent&gt;=$B6,"-",IF(LanBel3LevelDesired&lt;$B6,"-",$C6))</f>
        <v>-</v>
      </c>
      <c r="CS6" s="1" t="str">
        <f t="shared" ref="CS6:CS37" si="89">IF(LanBel3LevelCurrent&gt;=$B6,"-",IF(LanBel3LevelDesired&lt;$B6,"-",$D6))</f>
        <v>-</v>
      </c>
      <c r="CT6" s="21" t="str">
        <f t="shared" ref="CT6:CT37" si="90">IF(LanBel3LevelCurrent&gt;=$B6,"-",IF(LanBel3LevelDesired&lt;$B6,"-",$E6))</f>
        <v>-</v>
      </c>
      <c r="CU6" s="15" t="str">
        <f t="shared" ref="CU6:CU37" si="91">IF(LanBoo3LevelCurrent&gt;=$B6,"-",IF(LanBoo3LevelDesired&lt;$B6,"-",$C6))</f>
        <v>-</v>
      </c>
      <c r="CV6" s="1" t="str">
        <f t="shared" ref="CV6:CV37" si="92">IF(LanBoo3LevelCurrent&gt;=$B6,"-",IF(LanBoo3LevelDesired&lt;$B6,"-",$D6))</f>
        <v>-</v>
      </c>
      <c r="CW6" s="21" t="str">
        <f t="shared" ref="CW6:CW37" si="93">IF(LanBoo3LevelCurrent&gt;=$B6,"-",IF(LanBoo3LevelDesired&lt;$B6,"-",$E6))</f>
        <v>-</v>
      </c>
      <c r="CX6" s="15" t="str">
        <f t="shared" ref="CX6:CX37" si="94">IF(MarGog3LevelCurrent&gt;=$B6,"-",IF(MarGog3LevelDesired&lt;$B6,"-",$C6))</f>
        <v>-</v>
      </c>
      <c r="CY6" s="1" t="str">
        <f t="shared" ref="CY6:CY37" si="95">IF(MarGog3LevelCurrent&gt;=$B6,"-",IF(MarGog3LevelDesired&lt;$B6,"-",$D6))</f>
        <v>-</v>
      </c>
      <c r="CZ6" s="21" t="str">
        <f t="shared" ref="CZ6:CZ37" si="96">IF(MarGog3LevelCurrent&gt;=$B6,"-",IF(MarGog3LevelDesired&lt;$B6,"-",$E6))</f>
        <v>-</v>
      </c>
      <c r="DA6" s="15" t="str">
        <f t="shared" ref="DA6:DA37" si="97">IF(MarGlo3LevelCurrent&gt;=$B6,"-",IF(MarGlo3LevelDesired&lt;$B6,"-",$C6))</f>
        <v>-</v>
      </c>
      <c r="DB6" s="1" t="str">
        <f t="shared" ref="DB6:DB37" si="98">IF(MarGlo3LevelCurrent&gt;=$B6,"-",IF(MarGlo3LevelDesired&lt;$B6,"-",$D6))</f>
        <v>-</v>
      </c>
      <c r="DC6" s="21" t="str">
        <f t="shared" ref="DC6:DC37" si="99">IF(MarGlo3LevelCurrent&gt;=$B6,"-",IF(MarGlo3LevelDesired&lt;$B6,"-",$E6))</f>
        <v>-</v>
      </c>
      <c r="DD6" s="15" t="str">
        <f t="shared" ref="DD6:DD37" si="100">IF(MarBel3LevelCurrent&gt;=$B6,"-",IF(MarBel3LevelDesired&lt;$B6,"-",$C6))</f>
        <v>-</v>
      </c>
      <c r="DE6" s="1" t="str">
        <f t="shared" ref="DE6:DE37" si="101">IF(MarBel3LevelCurrent&gt;=$B6,"-",IF(MarBel3LevelDesired&lt;$B6,"-",$D6))</f>
        <v>-</v>
      </c>
      <c r="DF6" s="21" t="str">
        <f t="shared" ref="DF6:DF37" si="102">IF(MarBel3LevelCurrent&gt;=$B6,"-",IF(MarBel3LevelDesired&lt;$B6,"-",$E6))</f>
        <v>-</v>
      </c>
      <c r="DG6" s="15" t="str">
        <f t="shared" ref="DG6:DG37" si="103">IF(MarBoo3LevelCurrent&gt;=$B6,"-",IF(MarBoo3LevelDesired&lt;$B6,"-",$C6))</f>
        <v>-</v>
      </c>
      <c r="DH6" s="1" t="str">
        <f t="shared" ref="DH6:DH37" si="104">IF(MarBoo3LevelCurrent&gt;=$B6,"-",IF(MarBoo3LevelDesired&lt;$B6,"-",$D6))</f>
        <v>-</v>
      </c>
      <c r="DI6" s="21" t="str">
        <f t="shared" ref="DI6:DI37" si="105">IF(MarBoo3LevelCurrent&gt;=$B6,"-",IF(MarBoo3LevelDesired&lt;$B6,"-",$E6))</f>
        <v>-</v>
      </c>
    </row>
    <row r="7" spans="2:113" x14ac:dyDescent="0.3">
      <c r="B7" s="1">
        <v>2</v>
      </c>
      <c r="C7" s="67">
        <v>15</v>
      </c>
      <c r="D7" s="88" t="s">
        <v>27</v>
      </c>
      <c r="E7" s="21" t="s">
        <v>27</v>
      </c>
      <c r="F7" s="15" t="str">
        <f t="shared" ref="F7" si="106">IF(InfGog1LevelCurrent&gt;=$B7,"-",IF(InfGog1LevelDesired&lt;$B7,"-",$C7))</f>
        <v>-</v>
      </c>
      <c r="G7" s="1" t="str">
        <f t="shared" ref="G7" si="107">IF(InfGog1LevelCurrent&gt;=$B7,"-",IF(InfGog1LevelDesired&lt;$B7,"-",$D7))</f>
        <v>-</v>
      </c>
      <c r="H7" s="21" t="str">
        <f t="shared" ref="H7" si="108">IF(InfGog1LevelCurrent&gt;=$B7,"-",IF(InfGog1LevelDesired&lt;$B7,"-",$E7))</f>
        <v>-</v>
      </c>
      <c r="I7" s="15" t="str">
        <f t="shared" ref="I7" si="109">IF(InfGlo1LevelCurrent&gt;=$B7,"-",IF(InfGlo1LevelDesired&lt;$B7,"-",$C7))</f>
        <v>-</v>
      </c>
      <c r="J7" s="1" t="str">
        <f t="shared" ref="J7" si="110">IF(InfGlo1LevelCurrent&gt;=$B7,"-",IF(InfGlo1LevelDesired&lt;$B7,"-",$D7))</f>
        <v>-</v>
      </c>
      <c r="K7" s="21" t="str">
        <f t="shared" ref="K7" si="111">IF(InfGlo1LevelCurrent&gt;=$B7,"-",IF(InfGlo1LevelDesired&lt;$B7,"-",$E7))</f>
        <v>-</v>
      </c>
      <c r="L7" s="15" t="str">
        <f t="shared" ref="L7" si="112">IF(InfBel1LevelCurrent&gt;=$B7,"-",IF(InfBel1LevelDesired&lt;$B7,"-",$C7))</f>
        <v>-</v>
      </c>
      <c r="M7" s="1" t="str">
        <f t="shared" ref="M7" si="113">IF(InfBel1LevelCurrent&gt;=$B7,"-",IF(InfBel1LevelDesired&lt;$B7,"-",$D7))</f>
        <v>-</v>
      </c>
      <c r="N7" s="21" t="str">
        <f t="shared" ref="N7" si="114">IF(InfBel1LevelCurrent&gt;=$B7,"-",IF(InfBel1LevelDesired&lt;$B7,"-",$E7))</f>
        <v>-</v>
      </c>
      <c r="O7" s="15" t="str">
        <f t="shared" ref="O7" si="115">IF(InfBoo1LevelCurrent&gt;=$B7,"-",IF(InfBoo1LevelDesired&lt;$B7,"-",$C7))</f>
        <v>-</v>
      </c>
      <c r="P7" s="1" t="str">
        <f t="shared" ref="P7" si="116">IF(InfBoo1LevelCurrent&gt;=$B7,"-",IF(InfBoo1LevelDesired&lt;$B7,"-",$D7))</f>
        <v>-</v>
      </c>
      <c r="Q7" s="21" t="str">
        <f t="shared" ref="Q7" si="117">IF(InfBoo1LevelCurrent&gt;=$B7,"-",IF(InfBoo1LevelDesired&lt;$B7,"-",$E7))</f>
        <v>-</v>
      </c>
      <c r="R7" s="15" t="str">
        <f t="shared" ref="R7" si="118">IF(LanGog1LevelCurrent&gt;=$B7,"-",IF(LanGog1LevelDesired&lt;$B7,"-",$C7))</f>
        <v>-</v>
      </c>
      <c r="S7" s="1" t="str">
        <f t="shared" ref="S7" si="119">IF(LanGog1LevelCurrent&gt;=$B7,"-",IF(LanGog1LevelDesired&lt;$B7,"-",$D7))</f>
        <v>-</v>
      </c>
      <c r="T7" s="21" t="str">
        <f t="shared" ref="T7" si="120">IF(LanGog1LevelCurrent&gt;=$B7,"-",IF(LanGog1LevelDesired&lt;$B7,"-",$E7))</f>
        <v>-</v>
      </c>
      <c r="U7" s="15" t="str">
        <f t="shared" ref="U7" si="121">IF(LanGlo1LevelCurrent&gt;=$B7,"-",IF(LanGlo1LevelDesired&lt;$B7,"-",$C7))</f>
        <v>-</v>
      </c>
      <c r="V7" s="1" t="str">
        <f t="shared" ref="V7" si="122">IF(LanGlo1LevelCurrent&gt;=$B7,"-",IF(LanGlo1LevelDesired&lt;$B7,"-",$D7))</f>
        <v>-</v>
      </c>
      <c r="W7" s="21" t="str">
        <f t="shared" ref="W7" si="123">IF(LanGlo1LevelCurrent&gt;=$B7,"-",IF(LanGlo1LevelDesired&lt;$B7,"-",$E7))</f>
        <v>-</v>
      </c>
      <c r="X7" s="15" t="str">
        <f t="shared" ref="X7" si="124">IF(LanBel1LevelCurrent&gt;=$B7,"-",IF(LanBel1LevelDesired&lt;$B7,"-",$C7))</f>
        <v>-</v>
      </c>
      <c r="Y7" s="1" t="str">
        <f t="shared" ref="Y7" si="125">IF(LanBel1LevelCurrent&gt;=$B7,"-",IF(LanBel1LevelDesired&lt;$B7,"-",$D7))</f>
        <v>-</v>
      </c>
      <c r="Z7" s="21" t="str">
        <f t="shared" ref="Z7" si="126">IF(LanBel1LevelCurrent&gt;=$B7,"-",IF(LanBel1LevelDesired&lt;$B7,"-",$E7))</f>
        <v>-</v>
      </c>
      <c r="AA7" s="15" t="str">
        <f t="shared" ref="AA7" si="127">IF(LanBoo1LevelCurrent&gt;=$B7,"-",IF(LanBoo1LevelDesired&lt;$B7,"-",$C7))</f>
        <v>-</v>
      </c>
      <c r="AB7" s="1" t="str">
        <f t="shared" ref="AB7" si="128">IF(LanBoo1LevelCurrent&gt;=$B7,"-",IF(LanBoo1LevelDesired&lt;$B7,"-",$D7))</f>
        <v>-</v>
      </c>
      <c r="AC7" s="21" t="str">
        <f t="shared" ref="AC7" si="129">IF(LanBoo1LevelCurrent&gt;=$B7,"-",IF(LanBoo1LevelDesired&lt;$B7,"-",$E7))</f>
        <v>-</v>
      </c>
      <c r="AD7" s="15" t="str">
        <f t="shared" ref="AD7" si="130">IF(MarGog1LevelCurrent&gt;=$B7,"-",IF(MarGog1LevelDesired&lt;$B7,"-",$C7))</f>
        <v>-</v>
      </c>
      <c r="AE7" s="1" t="str">
        <f t="shared" ref="AE7" si="131">IF(MarGog1LevelCurrent&gt;=$B7,"-",IF(MarGog1LevelDesired&lt;$B7,"-",$D7))</f>
        <v>-</v>
      </c>
      <c r="AF7" s="21" t="str">
        <f t="shared" ref="AF7" si="132">IF(MarGog1LevelCurrent&gt;=$B7,"-",IF(MarGog1LevelDesired&lt;$B7,"-",$E7))</f>
        <v>-</v>
      </c>
      <c r="AG7" s="15" t="str">
        <f t="shared" ref="AG7" si="133">IF(MarGlo1LevelCurrent&gt;=$B7,"-",IF(MarGlo1LevelDesired&lt;$B7,"-",$C7))</f>
        <v>-</v>
      </c>
      <c r="AH7" s="1" t="str">
        <f t="shared" ref="AH7" si="134">IF(MarGlo1LevelCurrent&gt;=$B7,"-",IF(MarGlo1LevelDesired&lt;$B7,"-",$D7))</f>
        <v>-</v>
      </c>
      <c r="AI7" s="21" t="str">
        <f t="shared" ref="AI7" si="135">IF(MarGlo1LevelCurrent&gt;=$B7,"-",IF(MarGlo1LevelDesired&lt;$B7,"-",$E7))</f>
        <v>-</v>
      </c>
      <c r="AJ7" s="15" t="str">
        <f t="shared" ref="AJ7" si="136">IF(MarBel1LevelCurrent&gt;=$B7,"-",IF(MarBel1LevelDesired&lt;$B7,"-",$C7))</f>
        <v>-</v>
      </c>
      <c r="AK7" s="1" t="str">
        <f t="shared" ref="AK7" si="137">IF(MarBel1LevelCurrent&gt;=$B7,"-",IF(MarBel1LevelDesired&lt;$B7,"-",$D7))</f>
        <v>-</v>
      </c>
      <c r="AL7" s="21" t="str">
        <f t="shared" ref="AL7" si="138">IF(MarBel1LevelCurrent&gt;=$B7,"-",IF(MarBel1LevelDesired&lt;$B7,"-",$E7))</f>
        <v>-</v>
      </c>
      <c r="AM7" s="15" t="str">
        <f t="shared" ref="AM7" si="139">IF(MarBoo1LevelCurrent&gt;=$B7,"-",IF(MarBoo1LevelDesired&lt;$B7,"-",$C7))</f>
        <v>-</v>
      </c>
      <c r="AN7" s="1" t="str">
        <f t="shared" ref="AN7" si="140">IF(MarBoo1LevelCurrent&gt;=$B7,"-",IF(MarBoo1LevelDesired&lt;$B7,"-",$D7))</f>
        <v>-</v>
      </c>
      <c r="AO7" s="21" t="str">
        <f t="shared" ref="AO7" si="141">IF(MarBoo1LevelCurrent&gt;=$B7,"-",IF(MarBoo1LevelDesired&lt;$B7,"-",$E7))</f>
        <v>-</v>
      </c>
      <c r="AP7" s="15" t="str">
        <f t="shared" ref="AP7" si="142">IF(InfGog2LevelCurrent&gt;=$B7,"-",IF(InfGog2LevelDesired&lt;$B7,"-",$C7))</f>
        <v>-</v>
      </c>
      <c r="AQ7" s="1" t="str">
        <f t="shared" ref="AQ7" si="143">IF(InfGog2LevelCurrent&gt;=$B7,"-",IF(InfGog2LevelDesired&lt;$B7,"-",$D7))</f>
        <v>-</v>
      </c>
      <c r="AR7" s="21" t="str">
        <f t="shared" ref="AR7" si="144">IF(InfGog2LevelCurrent&gt;=$B7,"-",IF(InfGog2LevelDesired&lt;$B7,"-",$E7))</f>
        <v>-</v>
      </c>
      <c r="AS7" s="15" t="str">
        <f t="shared" ref="AS7" si="145">IF(InfGlo2LevelCurrent&gt;=$B7,"-",IF(InfGlo2LevelDesired&lt;$B7,"-",$C7))</f>
        <v>-</v>
      </c>
      <c r="AT7" s="1" t="str">
        <f t="shared" ref="AT7" si="146">IF(InfGlo2LevelCurrent&gt;=$B7,"-",IF(InfGlo2LevelDesired&lt;$B7,"-",$D7))</f>
        <v>-</v>
      </c>
      <c r="AU7" s="21" t="str">
        <f t="shared" ref="AU7" si="147">IF(InfGlo2LevelCurrent&gt;=$B7,"-",IF(InfGlo2LevelDesired&lt;$B7,"-",$E7))</f>
        <v>-</v>
      </c>
      <c r="AV7" s="15" t="str">
        <f t="shared" ref="AV7" si="148">IF(InfBel2LevelCurrent&gt;=$B7,"-",IF(InfBel2LevelDesired&lt;$B7,"-",$C7))</f>
        <v>-</v>
      </c>
      <c r="AW7" s="1" t="str">
        <f t="shared" ref="AW7" si="149">IF(InfBel2LevelCurrent&gt;=$B7,"-",IF(InfBel2LevelDesired&lt;$B7,"-",$D7))</f>
        <v>-</v>
      </c>
      <c r="AX7" s="21" t="str">
        <f t="shared" ref="AX7" si="150">IF(InfBel2LevelCurrent&gt;=$B7,"-",IF(InfBel2LevelDesired&lt;$B7,"-",$E7))</f>
        <v>-</v>
      </c>
      <c r="AY7" s="15" t="str">
        <f t="shared" ref="AY7" si="151">IF(InfBoo2LevelCurrent&gt;=$B7,"-",IF(InfBoo2LevelDesired&lt;$B7,"-",$C7))</f>
        <v>-</v>
      </c>
      <c r="AZ7" s="1" t="str">
        <f t="shared" ref="AZ7" si="152">IF(InfBoo2LevelCurrent&gt;=$B7,"-",IF(InfBoo2LevelDesired&lt;$B7,"-",$D7))</f>
        <v>-</v>
      </c>
      <c r="BA7" s="21" t="str">
        <f t="shared" ref="BA7" si="153">IF(InfBoo2LevelCurrent&gt;=$B7,"-",IF(InfBoo2LevelDesired&lt;$B7,"-",$E7))</f>
        <v>-</v>
      </c>
      <c r="BB7" s="15" t="str">
        <f t="shared" ref="BB7" si="154">IF(LanGog2LevelCurrent&gt;=$B7,"-",IF(LanGog2LevelDesired&lt;$B7,"-",$C7))</f>
        <v>-</v>
      </c>
      <c r="BC7" s="1" t="str">
        <f t="shared" ref="BC7" si="155">IF(LanGog2LevelCurrent&gt;=$B7,"-",IF(LanGog2LevelDesired&lt;$B7,"-",$D7))</f>
        <v>-</v>
      </c>
      <c r="BD7" s="21" t="str">
        <f t="shared" ref="BD7" si="156">IF(LanGog2LevelCurrent&gt;=$B7,"-",IF(LanGog2LevelDesired&lt;$B7,"-",$E7))</f>
        <v>-</v>
      </c>
      <c r="BE7" s="15" t="str">
        <f t="shared" ref="BE7" si="157">IF(LanGlo2LevelCurrent&gt;=$B7,"-",IF(LanGlo2LevelDesired&lt;$B7,"-",$C7))</f>
        <v>-</v>
      </c>
      <c r="BF7" s="1" t="str">
        <f t="shared" ref="BF7" si="158">IF(LanGlo2LevelCurrent&gt;=$B7,"-",IF(LanGlo2LevelDesired&lt;$B7,"-",$D7))</f>
        <v>-</v>
      </c>
      <c r="BG7" s="21" t="str">
        <f t="shared" ref="BG7" si="159">IF(LanGlo2LevelCurrent&gt;=$B7,"-",IF(LanGlo2LevelDesired&lt;$B7,"-",$E7))</f>
        <v>-</v>
      </c>
      <c r="BH7" s="15" t="str">
        <f t="shared" ref="BH7" si="160">IF(LanBel2LevelCurrent&gt;=$B7,"-",IF(LanBel2LevelDesired&lt;$B7,"-",$C7))</f>
        <v>-</v>
      </c>
      <c r="BI7" s="1" t="str">
        <f t="shared" ref="BI7" si="161">IF(LanBel2LevelCurrent&gt;=$B7,"-",IF(LanBel2LevelDesired&lt;$B7,"-",$D7))</f>
        <v>-</v>
      </c>
      <c r="BJ7" s="21" t="str">
        <f t="shared" ref="BJ7" si="162">IF(LanBel2LevelCurrent&gt;=$B7,"-",IF(LanBel2LevelDesired&lt;$B7,"-",$E7))</f>
        <v>-</v>
      </c>
      <c r="BK7" s="15" t="str">
        <f t="shared" ref="BK7" si="163">IF(LanBoo2LevelCurrent&gt;=$B7,"-",IF(LanBoo2LevelDesired&lt;$B7,"-",$C7))</f>
        <v>-</v>
      </c>
      <c r="BL7" s="1" t="str">
        <f t="shared" ref="BL7" si="164">IF(LanBoo2LevelCurrent&gt;=$B7,"-",IF(LanBoo2LevelDesired&lt;$B7,"-",$D7))</f>
        <v>-</v>
      </c>
      <c r="BM7" s="21" t="str">
        <f t="shared" ref="BM7" si="165">IF(LanBoo2LevelCurrent&gt;=$B7,"-",IF(LanBoo2LevelDesired&lt;$B7,"-",$E7))</f>
        <v>-</v>
      </c>
      <c r="BN7" s="15" t="str">
        <f t="shared" ref="BN7" si="166">IF(MarGog2LevelCurrent&gt;=$B7,"-",IF(MarGog2LevelDesired&lt;$B7,"-",$C7))</f>
        <v>-</v>
      </c>
      <c r="BO7" s="1" t="str">
        <f t="shared" ref="BO7" si="167">IF(MarGog2LevelCurrent&gt;=$B7,"-",IF(MarGog2LevelDesired&lt;$B7,"-",$D7))</f>
        <v>-</v>
      </c>
      <c r="BP7" s="21" t="str">
        <f t="shared" ref="BP7" si="168">IF(MarGog2LevelCurrent&gt;=$B7,"-",IF(MarGog2LevelDesired&lt;$B7,"-",$E7))</f>
        <v>-</v>
      </c>
      <c r="BQ7" s="15" t="str">
        <f t="shared" ref="BQ7" si="169">IF(MarGlo2LevelCurrent&gt;=$B7,"-",IF(MarGlo2LevelDesired&lt;$B7,"-",$C7))</f>
        <v>-</v>
      </c>
      <c r="BR7" s="1" t="str">
        <f t="shared" ref="BR7" si="170">IF(MarGlo2LevelCurrent&gt;=$B7,"-",IF(MarGlo2LevelDesired&lt;$B7,"-",$D7))</f>
        <v>-</v>
      </c>
      <c r="BS7" s="21" t="str">
        <f t="shared" ref="BS7" si="171">IF(MarGlo2LevelCurrent&gt;=$B7,"-",IF(MarGlo2LevelDesired&lt;$B7,"-",$E7))</f>
        <v>-</v>
      </c>
      <c r="BT7" s="15" t="str">
        <f t="shared" ref="BT7" si="172">IF(MarBel2LevelCurrent&gt;=$B7,"-",IF(MarBel2LevelDesired&lt;$B7,"-",$C7))</f>
        <v>-</v>
      </c>
      <c r="BU7" s="1" t="str">
        <f t="shared" ref="BU7" si="173">IF(MarBel2LevelCurrent&gt;=$B7,"-",IF(MarBel2LevelDesired&lt;$B7,"-",$D7))</f>
        <v>-</v>
      </c>
      <c r="BV7" s="21" t="str">
        <f t="shared" ref="BV7" si="174">IF(MarBel2LevelCurrent&gt;=$B7,"-",IF(MarBel2LevelDesired&lt;$B7,"-",$E7))</f>
        <v>-</v>
      </c>
      <c r="BW7" s="15" t="str">
        <f t="shared" ref="BW7" si="175">IF(MarBoo2LevelCurrent&gt;=$B7,"-",IF(MarBoo2LevelDesired&lt;$B7,"-",$C7))</f>
        <v>-</v>
      </c>
      <c r="BX7" s="1" t="str">
        <f t="shared" ref="BX7" si="176">IF(MarBoo2LevelCurrent&gt;=$B7,"-",IF(MarBoo2LevelDesired&lt;$B7,"-",$D7))</f>
        <v>-</v>
      </c>
      <c r="BY7" s="21" t="str">
        <f t="shared" ref="BY7" si="177">IF(MarBoo2LevelCurrent&gt;=$B7,"-",IF(MarBoo2LevelDesired&lt;$B7,"-",$E7))</f>
        <v>-</v>
      </c>
      <c r="BZ7" s="15" t="str">
        <f t="shared" si="72"/>
        <v>-</v>
      </c>
      <c r="CA7" s="1" t="str" cm="1">
        <f t="array" ref="CA7">IF(InfGog3LevelCurrent&gt;=$B7,"-",IF(InfGog3LevelDesired&lt;$B7,"-",$D7))</f>
        <v>-</v>
      </c>
      <c r="CB7" s="21" t="str" cm="1">
        <f t="array" ref="CB7">IF(InfGog3LevelCurrent&gt;=$B7,"-",IF(InfGog3LevelDesired&lt;$B7,"-",$E7))</f>
        <v>-</v>
      </c>
      <c r="CC7" s="15" t="str">
        <f t="shared" si="73"/>
        <v>-</v>
      </c>
      <c r="CD7" s="1" t="str">
        <f t="shared" si="74"/>
        <v>-</v>
      </c>
      <c r="CE7" s="21" t="str">
        <f t="shared" si="75"/>
        <v>-</v>
      </c>
      <c r="CF7" s="15" t="str">
        <f t="shared" si="76"/>
        <v>-</v>
      </c>
      <c r="CG7" s="1" t="str">
        <f t="shared" si="77"/>
        <v>-</v>
      </c>
      <c r="CH7" s="21" t="str">
        <f t="shared" si="78"/>
        <v>-</v>
      </c>
      <c r="CI7" s="15" t="str">
        <f t="shared" si="79"/>
        <v>-</v>
      </c>
      <c r="CJ7" s="1" t="str">
        <f t="shared" si="80"/>
        <v>-</v>
      </c>
      <c r="CK7" s="21" t="str">
        <f t="shared" si="81"/>
        <v>-</v>
      </c>
      <c r="CL7" s="15" t="str">
        <f t="shared" si="82"/>
        <v>-</v>
      </c>
      <c r="CM7" s="1" t="str">
        <f t="shared" si="83"/>
        <v>-</v>
      </c>
      <c r="CN7" s="21" t="str">
        <f t="shared" si="84"/>
        <v>-</v>
      </c>
      <c r="CO7" s="15" t="str">
        <f t="shared" si="85"/>
        <v>-</v>
      </c>
      <c r="CP7" s="1" t="str">
        <f t="shared" si="86"/>
        <v>-</v>
      </c>
      <c r="CQ7" s="21" t="str">
        <f t="shared" si="87"/>
        <v>-</v>
      </c>
      <c r="CR7" s="15" t="str">
        <f t="shared" si="88"/>
        <v>-</v>
      </c>
      <c r="CS7" s="1" t="str">
        <f t="shared" si="89"/>
        <v>-</v>
      </c>
      <c r="CT7" s="21" t="str">
        <f t="shared" si="90"/>
        <v>-</v>
      </c>
      <c r="CU7" s="15" t="str">
        <f t="shared" si="91"/>
        <v>-</v>
      </c>
      <c r="CV7" s="1" t="str">
        <f t="shared" si="92"/>
        <v>-</v>
      </c>
      <c r="CW7" s="21" t="str">
        <f t="shared" si="93"/>
        <v>-</v>
      </c>
      <c r="CX7" s="15" t="str">
        <f t="shared" si="94"/>
        <v>-</v>
      </c>
      <c r="CY7" s="1" t="str">
        <f t="shared" si="95"/>
        <v>-</v>
      </c>
      <c r="CZ7" s="21" t="str">
        <f t="shared" si="96"/>
        <v>-</v>
      </c>
      <c r="DA7" s="15" t="str">
        <f t="shared" si="97"/>
        <v>-</v>
      </c>
      <c r="DB7" s="1" t="str">
        <f t="shared" si="98"/>
        <v>-</v>
      </c>
      <c r="DC7" s="21" t="str">
        <f t="shared" si="99"/>
        <v>-</v>
      </c>
      <c r="DD7" s="15" t="str">
        <f t="shared" si="100"/>
        <v>-</v>
      </c>
      <c r="DE7" s="1" t="str">
        <f t="shared" si="101"/>
        <v>-</v>
      </c>
      <c r="DF7" s="21" t="str">
        <f t="shared" si="102"/>
        <v>-</v>
      </c>
      <c r="DG7" s="15" t="str">
        <f t="shared" si="103"/>
        <v>-</v>
      </c>
      <c r="DH7" s="1" t="str">
        <f t="shared" si="104"/>
        <v>-</v>
      </c>
      <c r="DI7" s="21" t="str">
        <f t="shared" si="105"/>
        <v>-</v>
      </c>
    </row>
    <row r="8" spans="2:113" x14ac:dyDescent="0.3">
      <c r="B8" s="1">
        <v>3</v>
      </c>
      <c r="C8" s="67">
        <v>20</v>
      </c>
      <c r="D8" s="88" t="s">
        <v>27</v>
      </c>
      <c r="E8" s="21" t="s">
        <v>27</v>
      </c>
      <c r="F8" s="15" t="str">
        <f t="shared" ref="F8" si="178">IF(InfGog1LevelCurrent&gt;=$B8,"-",IF(InfGog1LevelDesired&lt;$B8,"-",$C8))</f>
        <v>-</v>
      </c>
      <c r="G8" s="1" t="str">
        <f t="shared" ref="G8" si="179">IF(InfGog1LevelCurrent&gt;=$B8,"-",IF(InfGog1LevelDesired&lt;$B8,"-",$D8))</f>
        <v>-</v>
      </c>
      <c r="H8" s="21" t="str">
        <f t="shared" ref="H8" si="180">IF(InfGog1LevelCurrent&gt;=$B8,"-",IF(InfGog1LevelDesired&lt;$B8,"-",$E8))</f>
        <v>-</v>
      </c>
      <c r="I8" s="15" t="str">
        <f t="shared" ref="I8" si="181">IF(InfGlo1LevelCurrent&gt;=$B8,"-",IF(InfGlo1LevelDesired&lt;$B8,"-",$C8))</f>
        <v>-</v>
      </c>
      <c r="J8" s="1" t="str">
        <f t="shared" ref="J8" si="182">IF(InfGlo1LevelCurrent&gt;=$B8,"-",IF(InfGlo1LevelDesired&lt;$B8,"-",$D8))</f>
        <v>-</v>
      </c>
      <c r="K8" s="21" t="str">
        <f t="shared" ref="K8" si="183">IF(InfGlo1LevelCurrent&gt;=$B8,"-",IF(InfGlo1LevelDesired&lt;$B8,"-",$E8))</f>
        <v>-</v>
      </c>
      <c r="L8" s="15" t="str">
        <f t="shared" ref="L8" si="184">IF(InfBel1LevelCurrent&gt;=$B8,"-",IF(InfBel1LevelDesired&lt;$B8,"-",$C8))</f>
        <v>-</v>
      </c>
      <c r="M8" s="1" t="str">
        <f t="shared" ref="M8" si="185">IF(InfBel1LevelCurrent&gt;=$B8,"-",IF(InfBel1LevelDesired&lt;$B8,"-",$D8))</f>
        <v>-</v>
      </c>
      <c r="N8" s="21" t="str">
        <f t="shared" ref="N8" si="186">IF(InfBel1LevelCurrent&gt;=$B8,"-",IF(InfBel1LevelDesired&lt;$B8,"-",$E8))</f>
        <v>-</v>
      </c>
      <c r="O8" s="15" t="str">
        <f t="shared" ref="O8" si="187">IF(InfBoo1LevelCurrent&gt;=$B8,"-",IF(InfBoo1LevelDesired&lt;$B8,"-",$C8))</f>
        <v>-</v>
      </c>
      <c r="P8" s="1" t="str">
        <f t="shared" ref="P8" si="188">IF(InfBoo1LevelCurrent&gt;=$B8,"-",IF(InfBoo1LevelDesired&lt;$B8,"-",$D8))</f>
        <v>-</v>
      </c>
      <c r="Q8" s="21" t="str">
        <f t="shared" ref="Q8" si="189">IF(InfBoo1LevelCurrent&gt;=$B8,"-",IF(InfBoo1LevelDesired&lt;$B8,"-",$E8))</f>
        <v>-</v>
      </c>
      <c r="R8" s="15" t="str">
        <f t="shared" ref="R8" si="190">IF(LanGog1LevelCurrent&gt;=$B8,"-",IF(LanGog1LevelDesired&lt;$B8,"-",$C8))</f>
        <v>-</v>
      </c>
      <c r="S8" s="1" t="str">
        <f t="shared" ref="S8" si="191">IF(LanGog1LevelCurrent&gt;=$B8,"-",IF(LanGog1LevelDesired&lt;$B8,"-",$D8))</f>
        <v>-</v>
      </c>
      <c r="T8" s="21" t="str">
        <f t="shared" ref="T8" si="192">IF(LanGog1LevelCurrent&gt;=$B8,"-",IF(LanGog1LevelDesired&lt;$B8,"-",$E8))</f>
        <v>-</v>
      </c>
      <c r="U8" s="15" t="str">
        <f t="shared" ref="U8" si="193">IF(LanGlo1LevelCurrent&gt;=$B8,"-",IF(LanGlo1LevelDesired&lt;$B8,"-",$C8))</f>
        <v>-</v>
      </c>
      <c r="V8" s="1" t="str">
        <f t="shared" ref="V8" si="194">IF(LanGlo1LevelCurrent&gt;=$B8,"-",IF(LanGlo1LevelDesired&lt;$B8,"-",$D8))</f>
        <v>-</v>
      </c>
      <c r="W8" s="21" t="str">
        <f t="shared" ref="W8" si="195">IF(LanGlo1LevelCurrent&gt;=$B8,"-",IF(LanGlo1LevelDesired&lt;$B8,"-",$E8))</f>
        <v>-</v>
      </c>
      <c r="X8" s="15" t="str">
        <f t="shared" ref="X8" si="196">IF(LanBel1LevelCurrent&gt;=$B8,"-",IF(LanBel1LevelDesired&lt;$B8,"-",$C8))</f>
        <v>-</v>
      </c>
      <c r="Y8" s="1" t="str">
        <f t="shared" ref="Y8" si="197">IF(LanBel1LevelCurrent&gt;=$B8,"-",IF(LanBel1LevelDesired&lt;$B8,"-",$D8))</f>
        <v>-</v>
      </c>
      <c r="Z8" s="21" t="str">
        <f t="shared" ref="Z8" si="198">IF(LanBel1LevelCurrent&gt;=$B8,"-",IF(LanBel1LevelDesired&lt;$B8,"-",$E8))</f>
        <v>-</v>
      </c>
      <c r="AA8" s="15" t="str">
        <f t="shared" ref="AA8" si="199">IF(LanBoo1LevelCurrent&gt;=$B8,"-",IF(LanBoo1LevelDesired&lt;$B8,"-",$C8))</f>
        <v>-</v>
      </c>
      <c r="AB8" s="1" t="str">
        <f t="shared" ref="AB8" si="200">IF(LanBoo1LevelCurrent&gt;=$B8,"-",IF(LanBoo1LevelDesired&lt;$B8,"-",$D8))</f>
        <v>-</v>
      </c>
      <c r="AC8" s="21" t="str">
        <f t="shared" ref="AC8" si="201">IF(LanBoo1LevelCurrent&gt;=$B8,"-",IF(LanBoo1LevelDesired&lt;$B8,"-",$E8))</f>
        <v>-</v>
      </c>
      <c r="AD8" s="15" t="str">
        <f t="shared" ref="AD8" si="202">IF(MarGog1LevelCurrent&gt;=$B8,"-",IF(MarGog1LevelDesired&lt;$B8,"-",$C8))</f>
        <v>-</v>
      </c>
      <c r="AE8" s="1" t="str">
        <f t="shared" ref="AE8" si="203">IF(MarGog1LevelCurrent&gt;=$B8,"-",IF(MarGog1LevelDesired&lt;$B8,"-",$D8))</f>
        <v>-</v>
      </c>
      <c r="AF8" s="21" t="str">
        <f t="shared" ref="AF8" si="204">IF(MarGog1LevelCurrent&gt;=$B8,"-",IF(MarGog1LevelDesired&lt;$B8,"-",$E8))</f>
        <v>-</v>
      </c>
      <c r="AG8" s="15" t="str">
        <f t="shared" ref="AG8" si="205">IF(MarGlo1LevelCurrent&gt;=$B8,"-",IF(MarGlo1LevelDesired&lt;$B8,"-",$C8))</f>
        <v>-</v>
      </c>
      <c r="AH8" s="1" t="str">
        <f t="shared" ref="AH8" si="206">IF(MarGlo1LevelCurrent&gt;=$B8,"-",IF(MarGlo1LevelDesired&lt;$B8,"-",$D8))</f>
        <v>-</v>
      </c>
      <c r="AI8" s="21" t="str">
        <f t="shared" ref="AI8" si="207">IF(MarGlo1LevelCurrent&gt;=$B8,"-",IF(MarGlo1LevelDesired&lt;$B8,"-",$E8))</f>
        <v>-</v>
      </c>
      <c r="AJ8" s="15" t="str">
        <f t="shared" ref="AJ8" si="208">IF(MarBel1LevelCurrent&gt;=$B8,"-",IF(MarBel1LevelDesired&lt;$B8,"-",$C8))</f>
        <v>-</v>
      </c>
      <c r="AK8" s="1" t="str">
        <f t="shared" ref="AK8" si="209">IF(MarBel1LevelCurrent&gt;=$B8,"-",IF(MarBel1LevelDesired&lt;$B8,"-",$D8))</f>
        <v>-</v>
      </c>
      <c r="AL8" s="21" t="str">
        <f t="shared" ref="AL8" si="210">IF(MarBel1LevelCurrent&gt;=$B8,"-",IF(MarBel1LevelDesired&lt;$B8,"-",$E8))</f>
        <v>-</v>
      </c>
      <c r="AM8" s="15" t="str">
        <f t="shared" ref="AM8" si="211">IF(MarBoo1LevelCurrent&gt;=$B8,"-",IF(MarBoo1LevelDesired&lt;$B8,"-",$C8))</f>
        <v>-</v>
      </c>
      <c r="AN8" s="1" t="str">
        <f t="shared" ref="AN8" si="212">IF(MarBoo1LevelCurrent&gt;=$B8,"-",IF(MarBoo1LevelDesired&lt;$B8,"-",$D8))</f>
        <v>-</v>
      </c>
      <c r="AO8" s="21" t="str">
        <f t="shared" ref="AO8" si="213">IF(MarBoo1LevelCurrent&gt;=$B8,"-",IF(MarBoo1LevelDesired&lt;$B8,"-",$E8))</f>
        <v>-</v>
      </c>
      <c r="AP8" s="15" t="str">
        <f t="shared" ref="AP8" si="214">IF(InfGog2LevelCurrent&gt;=$B8,"-",IF(InfGog2LevelDesired&lt;$B8,"-",$C8))</f>
        <v>-</v>
      </c>
      <c r="AQ8" s="1" t="str">
        <f t="shared" ref="AQ8" si="215">IF(InfGog2LevelCurrent&gt;=$B8,"-",IF(InfGog2LevelDesired&lt;$B8,"-",$D8))</f>
        <v>-</v>
      </c>
      <c r="AR8" s="21" t="str">
        <f t="shared" ref="AR8" si="216">IF(InfGog2LevelCurrent&gt;=$B8,"-",IF(InfGog2LevelDesired&lt;$B8,"-",$E8))</f>
        <v>-</v>
      </c>
      <c r="AS8" s="15" t="str">
        <f t="shared" ref="AS8" si="217">IF(InfGlo2LevelCurrent&gt;=$B8,"-",IF(InfGlo2LevelDesired&lt;$B8,"-",$C8))</f>
        <v>-</v>
      </c>
      <c r="AT8" s="1" t="str">
        <f t="shared" ref="AT8" si="218">IF(InfGlo2LevelCurrent&gt;=$B8,"-",IF(InfGlo2LevelDesired&lt;$B8,"-",$D8))</f>
        <v>-</v>
      </c>
      <c r="AU8" s="21" t="str">
        <f t="shared" ref="AU8" si="219">IF(InfGlo2LevelCurrent&gt;=$B8,"-",IF(InfGlo2LevelDesired&lt;$B8,"-",$E8))</f>
        <v>-</v>
      </c>
      <c r="AV8" s="15" t="str">
        <f t="shared" ref="AV8" si="220">IF(InfBel2LevelCurrent&gt;=$B8,"-",IF(InfBel2LevelDesired&lt;$B8,"-",$C8))</f>
        <v>-</v>
      </c>
      <c r="AW8" s="1" t="str">
        <f t="shared" ref="AW8" si="221">IF(InfBel2LevelCurrent&gt;=$B8,"-",IF(InfBel2LevelDesired&lt;$B8,"-",$D8))</f>
        <v>-</v>
      </c>
      <c r="AX8" s="21" t="str">
        <f t="shared" ref="AX8" si="222">IF(InfBel2LevelCurrent&gt;=$B8,"-",IF(InfBel2LevelDesired&lt;$B8,"-",$E8))</f>
        <v>-</v>
      </c>
      <c r="AY8" s="15" t="str">
        <f t="shared" ref="AY8" si="223">IF(InfBoo2LevelCurrent&gt;=$B8,"-",IF(InfBoo2LevelDesired&lt;$B8,"-",$C8))</f>
        <v>-</v>
      </c>
      <c r="AZ8" s="1" t="str">
        <f t="shared" ref="AZ8" si="224">IF(InfBoo2LevelCurrent&gt;=$B8,"-",IF(InfBoo2LevelDesired&lt;$B8,"-",$D8))</f>
        <v>-</v>
      </c>
      <c r="BA8" s="21" t="str">
        <f t="shared" ref="BA8" si="225">IF(InfBoo2LevelCurrent&gt;=$B8,"-",IF(InfBoo2LevelDesired&lt;$B8,"-",$E8))</f>
        <v>-</v>
      </c>
      <c r="BB8" s="15" t="str">
        <f t="shared" ref="BB8" si="226">IF(LanGog2LevelCurrent&gt;=$B8,"-",IF(LanGog2LevelDesired&lt;$B8,"-",$C8))</f>
        <v>-</v>
      </c>
      <c r="BC8" s="1" t="str">
        <f t="shared" ref="BC8" si="227">IF(LanGog2LevelCurrent&gt;=$B8,"-",IF(LanGog2LevelDesired&lt;$B8,"-",$D8))</f>
        <v>-</v>
      </c>
      <c r="BD8" s="21" t="str">
        <f t="shared" ref="BD8" si="228">IF(LanGog2LevelCurrent&gt;=$B8,"-",IF(LanGog2LevelDesired&lt;$B8,"-",$E8))</f>
        <v>-</v>
      </c>
      <c r="BE8" s="15" t="str">
        <f t="shared" ref="BE8" si="229">IF(LanGlo2LevelCurrent&gt;=$B8,"-",IF(LanGlo2LevelDesired&lt;$B8,"-",$C8))</f>
        <v>-</v>
      </c>
      <c r="BF8" s="1" t="str">
        <f t="shared" ref="BF8" si="230">IF(LanGlo2LevelCurrent&gt;=$B8,"-",IF(LanGlo2LevelDesired&lt;$B8,"-",$D8))</f>
        <v>-</v>
      </c>
      <c r="BG8" s="21" t="str">
        <f t="shared" ref="BG8" si="231">IF(LanGlo2LevelCurrent&gt;=$B8,"-",IF(LanGlo2LevelDesired&lt;$B8,"-",$E8))</f>
        <v>-</v>
      </c>
      <c r="BH8" s="15" t="str">
        <f t="shared" ref="BH8" si="232">IF(LanBel2LevelCurrent&gt;=$B8,"-",IF(LanBel2LevelDesired&lt;$B8,"-",$C8))</f>
        <v>-</v>
      </c>
      <c r="BI8" s="1" t="str">
        <f t="shared" ref="BI8" si="233">IF(LanBel2LevelCurrent&gt;=$B8,"-",IF(LanBel2LevelDesired&lt;$B8,"-",$D8))</f>
        <v>-</v>
      </c>
      <c r="BJ8" s="21" t="str">
        <f t="shared" ref="BJ8" si="234">IF(LanBel2LevelCurrent&gt;=$B8,"-",IF(LanBel2LevelDesired&lt;$B8,"-",$E8))</f>
        <v>-</v>
      </c>
      <c r="BK8" s="15" t="str">
        <f t="shared" ref="BK8" si="235">IF(LanBoo2LevelCurrent&gt;=$B8,"-",IF(LanBoo2LevelDesired&lt;$B8,"-",$C8))</f>
        <v>-</v>
      </c>
      <c r="BL8" s="1" t="str">
        <f t="shared" ref="BL8" si="236">IF(LanBoo2LevelCurrent&gt;=$B8,"-",IF(LanBoo2LevelDesired&lt;$B8,"-",$D8))</f>
        <v>-</v>
      </c>
      <c r="BM8" s="21" t="str">
        <f t="shared" ref="BM8" si="237">IF(LanBoo2LevelCurrent&gt;=$B8,"-",IF(LanBoo2LevelDesired&lt;$B8,"-",$E8))</f>
        <v>-</v>
      </c>
      <c r="BN8" s="15" t="str">
        <f t="shared" ref="BN8" si="238">IF(MarGog2LevelCurrent&gt;=$B8,"-",IF(MarGog2LevelDesired&lt;$B8,"-",$C8))</f>
        <v>-</v>
      </c>
      <c r="BO8" s="1" t="str">
        <f t="shared" ref="BO8" si="239">IF(MarGog2LevelCurrent&gt;=$B8,"-",IF(MarGog2LevelDesired&lt;$B8,"-",$D8))</f>
        <v>-</v>
      </c>
      <c r="BP8" s="21" t="str">
        <f t="shared" ref="BP8" si="240">IF(MarGog2LevelCurrent&gt;=$B8,"-",IF(MarGog2LevelDesired&lt;$B8,"-",$E8))</f>
        <v>-</v>
      </c>
      <c r="BQ8" s="15" t="str">
        <f t="shared" ref="BQ8" si="241">IF(MarGlo2LevelCurrent&gt;=$B8,"-",IF(MarGlo2LevelDesired&lt;$B8,"-",$C8))</f>
        <v>-</v>
      </c>
      <c r="BR8" s="1" t="str">
        <f t="shared" ref="BR8" si="242">IF(MarGlo2LevelCurrent&gt;=$B8,"-",IF(MarGlo2LevelDesired&lt;$B8,"-",$D8))</f>
        <v>-</v>
      </c>
      <c r="BS8" s="21" t="str">
        <f t="shared" ref="BS8" si="243">IF(MarGlo2LevelCurrent&gt;=$B8,"-",IF(MarGlo2LevelDesired&lt;$B8,"-",$E8))</f>
        <v>-</v>
      </c>
      <c r="BT8" s="15" t="str">
        <f t="shared" ref="BT8" si="244">IF(MarBel2LevelCurrent&gt;=$B8,"-",IF(MarBel2LevelDesired&lt;$B8,"-",$C8))</f>
        <v>-</v>
      </c>
      <c r="BU8" s="1" t="str">
        <f t="shared" ref="BU8" si="245">IF(MarBel2LevelCurrent&gt;=$B8,"-",IF(MarBel2LevelDesired&lt;$B8,"-",$D8))</f>
        <v>-</v>
      </c>
      <c r="BV8" s="21" t="str">
        <f t="shared" ref="BV8" si="246">IF(MarBel2LevelCurrent&gt;=$B8,"-",IF(MarBel2LevelDesired&lt;$B8,"-",$E8))</f>
        <v>-</v>
      </c>
      <c r="BW8" s="15" t="str">
        <f t="shared" ref="BW8" si="247">IF(MarBoo2LevelCurrent&gt;=$B8,"-",IF(MarBoo2LevelDesired&lt;$B8,"-",$C8))</f>
        <v>-</v>
      </c>
      <c r="BX8" s="1" t="str">
        <f t="shared" ref="BX8" si="248">IF(MarBoo2LevelCurrent&gt;=$B8,"-",IF(MarBoo2LevelDesired&lt;$B8,"-",$D8))</f>
        <v>-</v>
      </c>
      <c r="BY8" s="21" t="str">
        <f t="shared" ref="BY8" si="249">IF(MarBoo2LevelCurrent&gt;=$B8,"-",IF(MarBoo2LevelDesired&lt;$B8,"-",$E8))</f>
        <v>-</v>
      </c>
      <c r="BZ8" s="15" t="str">
        <f t="shared" si="72"/>
        <v>-</v>
      </c>
      <c r="CA8" s="1" t="str" cm="1">
        <f t="array" ref="CA8">IF(InfGog3LevelCurrent&gt;=$B8,"-",IF(InfGog3LevelDesired&lt;$B8,"-",$D8))</f>
        <v>-</v>
      </c>
      <c r="CB8" s="21" t="str" cm="1">
        <f t="array" ref="CB8">IF(InfGog3LevelCurrent&gt;=$B8,"-",IF(InfGog3LevelDesired&lt;$B8,"-",$E8))</f>
        <v>-</v>
      </c>
      <c r="CC8" s="15" t="str">
        <f t="shared" si="73"/>
        <v>-</v>
      </c>
      <c r="CD8" s="1" t="str">
        <f t="shared" si="74"/>
        <v>-</v>
      </c>
      <c r="CE8" s="21" t="str">
        <f t="shared" si="75"/>
        <v>-</v>
      </c>
      <c r="CF8" s="15" t="str">
        <f t="shared" si="76"/>
        <v>-</v>
      </c>
      <c r="CG8" s="1" t="str">
        <f t="shared" si="77"/>
        <v>-</v>
      </c>
      <c r="CH8" s="21" t="str">
        <f t="shared" si="78"/>
        <v>-</v>
      </c>
      <c r="CI8" s="15" t="str">
        <f t="shared" si="79"/>
        <v>-</v>
      </c>
      <c r="CJ8" s="1" t="str">
        <f t="shared" si="80"/>
        <v>-</v>
      </c>
      <c r="CK8" s="21" t="str">
        <f t="shared" si="81"/>
        <v>-</v>
      </c>
      <c r="CL8" s="15" t="str">
        <f t="shared" si="82"/>
        <v>-</v>
      </c>
      <c r="CM8" s="1" t="str">
        <f t="shared" si="83"/>
        <v>-</v>
      </c>
      <c r="CN8" s="21" t="str">
        <f t="shared" si="84"/>
        <v>-</v>
      </c>
      <c r="CO8" s="15" t="str">
        <f t="shared" si="85"/>
        <v>-</v>
      </c>
      <c r="CP8" s="1" t="str">
        <f t="shared" si="86"/>
        <v>-</v>
      </c>
      <c r="CQ8" s="21" t="str">
        <f t="shared" si="87"/>
        <v>-</v>
      </c>
      <c r="CR8" s="15" t="str">
        <f t="shared" si="88"/>
        <v>-</v>
      </c>
      <c r="CS8" s="1" t="str">
        <f t="shared" si="89"/>
        <v>-</v>
      </c>
      <c r="CT8" s="21" t="str">
        <f t="shared" si="90"/>
        <v>-</v>
      </c>
      <c r="CU8" s="15" t="str">
        <f t="shared" si="91"/>
        <v>-</v>
      </c>
      <c r="CV8" s="1" t="str">
        <f t="shared" si="92"/>
        <v>-</v>
      </c>
      <c r="CW8" s="21" t="str">
        <f t="shared" si="93"/>
        <v>-</v>
      </c>
      <c r="CX8" s="15" t="str">
        <f t="shared" si="94"/>
        <v>-</v>
      </c>
      <c r="CY8" s="1" t="str">
        <f t="shared" si="95"/>
        <v>-</v>
      </c>
      <c r="CZ8" s="21" t="str">
        <f t="shared" si="96"/>
        <v>-</v>
      </c>
      <c r="DA8" s="15" t="str">
        <f t="shared" si="97"/>
        <v>-</v>
      </c>
      <c r="DB8" s="1" t="str">
        <f t="shared" si="98"/>
        <v>-</v>
      </c>
      <c r="DC8" s="21" t="str">
        <f t="shared" si="99"/>
        <v>-</v>
      </c>
      <c r="DD8" s="15" t="str">
        <f t="shared" si="100"/>
        <v>-</v>
      </c>
      <c r="DE8" s="1" t="str">
        <f t="shared" si="101"/>
        <v>-</v>
      </c>
      <c r="DF8" s="21" t="str">
        <f t="shared" si="102"/>
        <v>-</v>
      </c>
      <c r="DG8" s="15" t="str">
        <f t="shared" si="103"/>
        <v>-</v>
      </c>
      <c r="DH8" s="1" t="str">
        <f t="shared" si="104"/>
        <v>-</v>
      </c>
      <c r="DI8" s="21" t="str">
        <f t="shared" si="105"/>
        <v>-</v>
      </c>
    </row>
    <row r="9" spans="2:113" x14ac:dyDescent="0.3">
      <c r="B9" s="1">
        <v>4</v>
      </c>
      <c r="C9" s="67">
        <v>25</v>
      </c>
      <c r="D9" s="88" t="s">
        <v>27</v>
      </c>
      <c r="E9" s="21" t="s">
        <v>27</v>
      </c>
      <c r="F9" s="15" t="str">
        <f t="shared" ref="F9" si="250">IF(InfGog1LevelCurrent&gt;=$B9,"-",IF(InfGog1LevelDesired&lt;$B9,"-",$C9))</f>
        <v>-</v>
      </c>
      <c r="G9" s="1" t="str">
        <f t="shared" ref="G9" si="251">IF(InfGog1LevelCurrent&gt;=$B9,"-",IF(InfGog1LevelDesired&lt;$B9,"-",$D9))</f>
        <v>-</v>
      </c>
      <c r="H9" s="21" t="str">
        <f t="shared" ref="H9" si="252">IF(InfGog1LevelCurrent&gt;=$B9,"-",IF(InfGog1LevelDesired&lt;$B9,"-",$E9))</f>
        <v>-</v>
      </c>
      <c r="I9" s="15" t="str">
        <f t="shared" ref="I9" si="253">IF(InfGlo1LevelCurrent&gt;=$B9,"-",IF(InfGlo1LevelDesired&lt;$B9,"-",$C9))</f>
        <v>-</v>
      </c>
      <c r="J9" s="1" t="str">
        <f t="shared" ref="J9" si="254">IF(InfGlo1LevelCurrent&gt;=$B9,"-",IF(InfGlo1LevelDesired&lt;$B9,"-",$D9))</f>
        <v>-</v>
      </c>
      <c r="K9" s="21" t="str">
        <f t="shared" ref="K9" si="255">IF(InfGlo1LevelCurrent&gt;=$B9,"-",IF(InfGlo1LevelDesired&lt;$B9,"-",$E9))</f>
        <v>-</v>
      </c>
      <c r="L9" s="15" t="str">
        <f t="shared" ref="L9" si="256">IF(InfBel1LevelCurrent&gt;=$B9,"-",IF(InfBel1LevelDesired&lt;$B9,"-",$C9))</f>
        <v>-</v>
      </c>
      <c r="M9" s="1" t="str">
        <f t="shared" ref="M9" si="257">IF(InfBel1LevelCurrent&gt;=$B9,"-",IF(InfBel1LevelDesired&lt;$B9,"-",$D9))</f>
        <v>-</v>
      </c>
      <c r="N9" s="21" t="str">
        <f t="shared" ref="N9" si="258">IF(InfBel1LevelCurrent&gt;=$B9,"-",IF(InfBel1LevelDesired&lt;$B9,"-",$E9))</f>
        <v>-</v>
      </c>
      <c r="O9" s="15" t="str">
        <f t="shared" ref="O9" si="259">IF(InfBoo1LevelCurrent&gt;=$B9,"-",IF(InfBoo1LevelDesired&lt;$B9,"-",$C9))</f>
        <v>-</v>
      </c>
      <c r="P9" s="1" t="str">
        <f t="shared" ref="P9" si="260">IF(InfBoo1LevelCurrent&gt;=$B9,"-",IF(InfBoo1LevelDesired&lt;$B9,"-",$D9))</f>
        <v>-</v>
      </c>
      <c r="Q9" s="21" t="str">
        <f t="shared" ref="Q9" si="261">IF(InfBoo1LevelCurrent&gt;=$B9,"-",IF(InfBoo1LevelDesired&lt;$B9,"-",$E9))</f>
        <v>-</v>
      </c>
      <c r="R9" s="15" t="str">
        <f t="shared" ref="R9" si="262">IF(LanGog1LevelCurrent&gt;=$B9,"-",IF(LanGog1LevelDesired&lt;$B9,"-",$C9))</f>
        <v>-</v>
      </c>
      <c r="S9" s="1" t="str">
        <f t="shared" ref="S9" si="263">IF(LanGog1LevelCurrent&gt;=$B9,"-",IF(LanGog1LevelDesired&lt;$B9,"-",$D9))</f>
        <v>-</v>
      </c>
      <c r="T9" s="21" t="str">
        <f t="shared" ref="T9" si="264">IF(LanGog1LevelCurrent&gt;=$B9,"-",IF(LanGog1LevelDesired&lt;$B9,"-",$E9))</f>
        <v>-</v>
      </c>
      <c r="U9" s="15" t="str">
        <f t="shared" ref="U9" si="265">IF(LanGlo1LevelCurrent&gt;=$B9,"-",IF(LanGlo1LevelDesired&lt;$B9,"-",$C9))</f>
        <v>-</v>
      </c>
      <c r="V9" s="1" t="str">
        <f t="shared" ref="V9" si="266">IF(LanGlo1LevelCurrent&gt;=$B9,"-",IF(LanGlo1LevelDesired&lt;$B9,"-",$D9))</f>
        <v>-</v>
      </c>
      <c r="W9" s="21" t="str">
        <f t="shared" ref="W9" si="267">IF(LanGlo1LevelCurrent&gt;=$B9,"-",IF(LanGlo1LevelDesired&lt;$B9,"-",$E9))</f>
        <v>-</v>
      </c>
      <c r="X9" s="15" t="str">
        <f t="shared" ref="X9" si="268">IF(LanBel1LevelCurrent&gt;=$B9,"-",IF(LanBel1LevelDesired&lt;$B9,"-",$C9))</f>
        <v>-</v>
      </c>
      <c r="Y9" s="1" t="str">
        <f t="shared" ref="Y9" si="269">IF(LanBel1LevelCurrent&gt;=$B9,"-",IF(LanBel1LevelDesired&lt;$B9,"-",$D9))</f>
        <v>-</v>
      </c>
      <c r="Z9" s="21" t="str">
        <f t="shared" ref="Z9" si="270">IF(LanBel1LevelCurrent&gt;=$B9,"-",IF(LanBel1LevelDesired&lt;$B9,"-",$E9))</f>
        <v>-</v>
      </c>
      <c r="AA9" s="15" t="str">
        <f t="shared" ref="AA9" si="271">IF(LanBoo1LevelCurrent&gt;=$B9,"-",IF(LanBoo1LevelDesired&lt;$B9,"-",$C9))</f>
        <v>-</v>
      </c>
      <c r="AB9" s="1" t="str">
        <f t="shared" ref="AB9" si="272">IF(LanBoo1LevelCurrent&gt;=$B9,"-",IF(LanBoo1LevelDesired&lt;$B9,"-",$D9))</f>
        <v>-</v>
      </c>
      <c r="AC9" s="21" t="str">
        <f t="shared" ref="AC9" si="273">IF(LanBoo1LevelCurrent&gt;=$B9,"-",IF(LanBoo1LevelDesired&lt;$B9,"-",$E9))</f>
        <v>-</v>
      </c>
      <c r="AD9" s="15" t="str">
        <f t="shared" ref="AD9" si="274">IF(MarGog1LevelCurrent&gt;=$B9,"-",IF(MarGog1LevelDesired&lt;$B9,"-",$C9))</f>
        <v>-</v>
      </c>
      <c r="AE9" s="1" t="str">
        <f t="shared" ref="AE9" si="275">IF(MarGog1LevelCurrent&gt;=$B9,"-",IF(MarGog1LevelDesired&lt;$B9,"-",$D9))</f>
        <v>-</v>
      </c>
      <c r="AF9" s="21" t="str">
        <f t="shared" ref="AF9" si="276">IF(MarGog1LevelCurrent&gt;=$B9,"-",IF(MarGog1LevelDesired&lt;$B9,"-",$E9))</f>
        <v>-</v>
      </c>
      <c r="AG9" s="15" t="str">
        <f t="shared" ref="AG9" si="277">IF(MarGlo1LevelCurrent&gt;=$B9,"-",IF(MarGlo1LevelDesired&lt;$B9,"-",$C9))</f>
        <v>-</v>
      </c>
      <c r="AH9" s="1" t="str">
        <f t="shared" ref="AH9" si="278">IF(MarGlo1LevelCurrent&gt;=$B9,"-",IF(MarGlo1LevelDesired&lt;$B9,"-",$D9))</f>
        <v>-</v>
      </c>
      <c r="AI9" s="21" t="str">
        <f t="shared" ref="AI9" si="279">IF(MarGlo1LevelCurrent&gt;=$B9,"-",IF(MarGlo1LevelDesired&lt;$B9,"-",$E9))</f>
        <v>-</v>
      </c>
      <c r="AJ9" s="15" t="str">
        <f t="shared" ref="AJ9" si="280">IF(MarBel1LevelCurrent&gt;=$B9,"-",IF(MarBel1LevelDesired&lt;$B9,"-",$C9))</f>
        <v>-</v>
      </c>
      <c r="AK9" s="1" t="str">
        <f t="shared" ref="AK9" si="281">IF(MarBel1LevelCurrent&gt;=$B9,"-",IF(MarBel1LevelDesired&lt;$B9,"-",$D9))</f>
        <v>-</v>
      </c>
      <c r="AL9" s="21" t="str">
        <f t="shared" ref="AL9" si="282">IF(MarBel1LevelCurrent&gt;=$B9,"-",IF(MarBel1LevelDesired&lt;$B9,"-",$E9))</f>
        <v>-</v>
      </c>
      <c r="AM9" s="15" t="str">
        <f t="shared" ref="AM9" si="283">IF(MarBoo1LevelCurrent&gt;=$B9,"-",IF(MarBoo1LevelDesired&lt;$B9,"-",$C9))</f>
        <v>-</v>
      </c>
      <c r="AN9" s="1" t="str">
        <f t="shared" ref="AN9" si="284">IF(MarBoo1LevelCurrent&gt;=$B9,"-",IF(MarBoo1LevelDesired&lt;$B9,"-",$D9))</f>
        <v>-</v>
      </c>
      <c r="AO9" s="21" t="str">
        <f t="shared" ref="AO9" si="285">IF(MarBoo1LevelCurrent&gt;=$B9,"-",IF(MarBoo1LevelDesired&lt;$B9,"-",$E9))</f>
        <v>-</v>
      </c>
      <c r="AP9" s="15" t="str">
        <f t="shared" ref="AP9" si="286">IF(InfGog2LevelCurrent&gt;=$B9,"-",IF(InfGog2LevelDesired&lt;$B9,"-",$C9))</f>
        <v>-</v>
      </c>
      <c r="AQ9" s="1" t="str">
        <f t="shared" ref="AQ9" si="287">IF(InfGog2LevelCurrent&gt;=$B9,"-",IF(InfGog2LevelDesired&lt;$B9,"-",$D9))</f>
        <v>-</v>
      </c>
      <c r="AR9" s="21" t="str">
        <f t="shared" ref="AR9" si="288">IF(InfGog2LevelCurrent&gt;=$B9,"-",IF(InfGog2LevelDesired&lt;$B9,"-",$E9))</f>
        <v>-</v>
      </c>
      <c r="AS9" s="15" t="str">
        <f t="shared" ref="AS9" si="289">IF(InfGlo2LevelCurrent&gt;=$B9,"-",IF(InfGlo2LevelDesired&lt;$B9,"-",$C9))</f>
        <v>-</v>
      </c>
      <c r="AT9" s="1" t="str">
        <f t="shared" ref="AT9" si="290">IF(InfGlo2LevelCurrent&gt;=$B9,"-",IF(InfGlo2LevelDesired&lt;$B9,"-",$D9))</f>
        <v>-</v>
      </c>
      <c r="AU9" s="21" t="str">
        <f t="shared" ref="AU9" si="291">IF(InfGlo2LevelCurrent&gt;=$B9,"-",IF(InfGlo2LevelDesired&lt;$B9,"-",$E9))</f>
        <v>-</v>
      </c>
      <c r="AV9" s="15" t="str">
        <f t="shared" ref="AV9" si="292">IF(InfBel2LevelCurrent&gt;=$B9,"-",IF(InfBel2LevelDesired&lt;$B9,"-",$C9))</f>
        <v>-</v>
      </c>
      <c r="AW9" s="1" t="str">
        <f t="shared" ref="AW9" si="293">IF(InfBel2LevelCurrent&gt;=$B9,"-",IF(InfBel2LevelDesired&lt;$B9,"-",$D9))</f>
        <v>-</v>
      </c>
      <c r="AX9" s="21" t="str">
        <f t="shared" ref="AX9" si="294">IF(InfBel2LevelCurrent&gt;=$B9,"-",IF(InfBel2LevelDesired&lt;$B9,"-",$E9))</f>
        <v>-</v>
      </c>
      <c r="AY9" s="15" t="str">
        <f t="shared" ref="AY9" si="295">IF(InfBoo2LevelCurrent&gt;=$B9,"-",IF(InfBoo2LevelDesired&lt;$B9,"-",$C9))</f>
        <v>-</v>
      </c>
      <c r="AZ9" s="1" t="str">
        <f t="shared" ref="AZ9" si="296">IF(InfBoo2LevelCurrent&gt;=$B9,"-",IF(InfBoo2LevelDesired&lt;$B9,"-",$D9))</f>
        <v>-</v>
      </c>
      <c r="BA9" s="21" t="str">
        <f t="shared" ref="BA9" si="297">IF(InfBoo2LevelCurrent&gt;=$B9,"-",IF(InfBoo2LevelDesired&lt;$B9,"-",$E9))</f>
        <v>-</v>
      </c>
      <c r="BB9" s="15" t="str">
        <f t="shared" ref="BB9" si="298">IF(LanGog2LevelCurrent&gt;=$B9,"-",IF(LanGog2LevelDesired&lt;$B9,"-",$C9))</f>
        <v>-</v>
      </c>
      <c r="BC9" s="1" t="str">
        <f t="shared" ref="BC9" si="299">IF(LanGog2LevelCurrent&gt;=$B9,"-",IF(LanGog2LevelDesired&lt;$B9,"-",$D9))</f>
        <v>-</v>
      </c>
      <c r="BD9" s="21" t="str">
        <f t="shared" ref="BD9" si="300">IF(LanGog2LevelCurrent&gt;=$B9,"-",IF(LanGog2LevelDesired&lt;$B9,"-",$E9))</f>
        <v>-</v>
      </c>
      <c r="BE9" s="15" t="str">
        <f t="shared" ref="BE9" si="301">IF(LanGlo2LevelCurrent&gt;=$B9,"-",IF(LanGlo2LevelDesired&lt;$B9,"-",$C9))</f>
        <v>-</v>
      </c>
      <c r="BF9" s="1" t="str">
        <f t="shared" ref="BF9" si="302">IF(LanGlo2LevelCurrent&gt;=$B9,"-",IF(LanGlo2LevelDesired&lt;$B9,"-",$D9))</f>
        <v>-</v>
      </c>
      <c r="BG9" s="21" t="str">
        <f t="shared" ref="BG9" si="303">IF(LanGlo2LevelCurrent&gt;=$B9,"-",IF(LanGlo2LevelDesired&lt;$B9,"-",$E9))</f>
        <v>-</v>
      </c>
      <c r="BH9" s="15" t="str">
        <f t="shared" ref="BH9" si="304">IF(LanBel2LevelCurrent&gt;=$B9,"-",IF(LanBel2LevelDesired&lt;$B9,"-",$C9))</f>
        <v>-</v>
      </c>
      <c r="BI9" s="1" t="str">
        <f t="shared" ref="BI9" si="305">IF(LanBel2LevelCurrent&gt;=$B9,"-",IF(LanBel2LevelDesired&lt;$B9,"-",$D9))</f>
        <v>-</v>
      </c>
      <c r="BJ9" s="21" t="str">
        <f t="shared" ref="BJ9" si="306">IF(LanBel2LevelCurrent&gt;=$B9,"-",IF(LanBel2LevelDesired&lt;$B9,"-",$E9))</f>
        <v>-</v>
      </c>
      <c r="BK9" s="15" t="str">
        <f t="shared" ref="BK9" si="307">IF(LanBoo2LevelCurrent&gt;=$B9,"-",IF(LanBoo2LevelDesired&lt;$B9,"-",$C9))</f>
        <v>-</v>
      </c>
      <c r="BL9" s="1" t="str">
        <f t="shared" ref="BL9" si="308">IF(LanBoo2LevelCurrent&gt;=$B9,"-",IF(LanBoo2LevelDesired&lt;$B9,"-",$D9))</f>
        <v>-</v>
      </c>
      <c r="BM9" s="21" t="str">
        <f t="shared" ref="BM9" si="309">IF(LanBoo2LevelCurrent&gt;=$B9,"-",IF(LanBoo2LevelDesired&lt;$B9,"-",$E9))</f>
        <v>-</v>
      </c>
      <c r="BN9" s="15" t="str">
        <f t="shared" ref="BN9" si="310">IF(MarGog2LevelCurrent&gt;=$B9,"-",IF(MarGog2LevelDesired&lt;$B9,"-",$C9))</f>
        <v>-</v>
      </c>
      <c r="BO9" s="1" t="str">
        <f t="shared" ref="BO9" si="311">IF(MarGog2LevelCurrent&gt;=$B9,"-",IF(MarGog2LevelDesired&lt;$B9,"-",$D9))</f>
        <v>-</v>
      </c>
      <c r="BP9" s="21" t="str">
        <f t="shared" ref="BP9" si="312">IF(MarGog2LevelCurrent&gt;=$B9,"-",IF(MarGog2LevelDesired&lt;$B9,"-",$E9))</f>
        <v>-</v>
      </c>
      <c r="BQ9" s="15" t="str">
        <f t="shared" ref="BQ9" si="313">IF(MarGlo2LevelCurrent&gt;=$B9,"-",IF(MarGlo2LevelDesired&lt;$B9,"-",$C9))</f>
        <v>-</v>
      </c>
      <c r="BR9" s="1" t="str">
        <f t="shared" ref="BR9" si="314">IF(MarGlo2LevelCurrent&gt;=$B9,"-",IF(MarGlo2LevelDesired&lt;$B9,"-",$D9))</f>
        <v>-</v>
      </c>
      <c r="BS9" s="21" t="str">
        <f t="shared" ref="BS9" si="315">IF(MarGlo2LevelCurrent&gt;=$B9,"-",IF(MarGlo2LevelDesired&lt;$B9,"-",$E9))</f>
        <v>-</v>
      </c>
      <c r="BT9" s="15" t="str">
        <f t="shared" ref="BT9" si="316">IF(MarBel2LevelCurrent&gt;=$B9,"-",IF(MarBel2LevelDesired&lt;$B9,"-",$C9))</f>
        <v>-</v>
      </c>
      <c r="BU9" s="1" t="str">
        <f t="shared" ref="BU9" si="317">IF(MarBel2LevelCurrent&gt;=$B9,"-",IF(MarBel2LevelDesired&lt;$B9,"-",$D9))</f>
        <v>-</v>
      </c>
      <c r="BV9" s="21" t="str">
        <f t="shared" ref="BV9" si="318">IF(MarBel2LevelCurrent&gt;=$B9,"-",IF(MarBel2LevelDesired&lt;$B9,"-",$E9))</f>
        <v>-</v>
      </c>
      <c r="BW9" s="15" t="str">
        <f t="shared" ref="BW9" si="319">IF(MarBoo2LevelCurrent&gt;=$B9,"-",IF(MarBoo2LevelDesired&lt;$B9,"-",$C9))</f>
        <v>-</v>
      </c>
      <c r="BX9" s="1" t="str">
        <f t="shared" ref="BX9" si="320">IF(MarBoo2LevelCurrent&gt;=$B9,"-",IF(MarBoo2LevelDesired&lt;$B9,"-",$D9))</f>
        <v>-</v>
      </c>
      <c r="BY9" s="21" t="str">
        <f t="shared" ref="BY9" si="321">IF(MarBoo2LevelCurrent&gt;=$B9,"-",IF(MarBoo2LevelDesired&lt;$B9,"-",$E9))</f>
        <v>-</v>
      </c>
      <c r="BZ9" s="15" t="str">
        <f t="shared" si="72"/>
        <v>-</v>
      </c>
      <c r="CA9" s="1" t="str" cm="1">
        <f t="array" ref="CA9">IF(InfGog3LevelCurrent&gt;=$B9,"-",IF(InfGog3LevelDesired&lt;$B9,"-",$D9))</f>
        <v>-</v>
      </c>
      <c r="CB9" s="21" t="str" cm="1">
        <f t="array" ref="CB9">IF(InfGog3LevelCurrent&gt;=$B9,"-",IF(InfGog3LevelDesired&lt;$B9,"-",$E9))</f>
        <v>-</v>
      </c>
      <c r="CC9" s="15" t="str">
        <f t="shared" si="73"/>
        <v>-</v>
      </c>
      <c r="CD9" s="1" t="str">
        <f t="shared" si="74"/>
        <v>-</v>
      </c>
      <c r="CE9" s="21" t="str">
        <f t="shared" si="75"/>
        <v>-</v>
      </c>
      <c r="CF9" s="15" t="str">
        <f t="shared" si="76"/>
        <v>-</v>
      </c>
      <c r="CG9" s="1" t="str">
        <f t="shared" si="77"/>
        <v>-</v>
      </c>
      <c r="CH9" s="21" t="str">
        <f t="shared" si="78"/>
        <v>-</v>
      </c>
      <c r="CI9" s="15" t="str">
        <f t="shared" si="79"/>
        <v>-</v>
      </c>
      <c r="CJ9" s="1" t="str">
        <f t="shared" si="80"/>
        <v>-</v>
      </c>
      <c r="CK9" s="21" t="str">
        <f t="shared" si="81"/>
        <v>-</v>
      </c>
      <c r="CL9" s="15" t="str">
        <f t="shared" si="82"/>
        <v>-</v>
      </c>
      <c r="CM9" s="1" t="str">
        <f t="shared" si="83"/>
        <v>-</v>
      </c>
      <c r="CN9" s="21" t="str">
        <f t="shared" si="84"/>
        <v>-</v>
      </c>
      <c r="CO9" s="15" t="str">
        <f t="shared" si="85"/>
        <v>-</v>
      </c>
      <c r="CP9" s="1" t="str">
        <f t="shared" si="86"/>
        <v>-</v>
      </c>
      <c r="CQ9" s="21" t="str">
        <f t="shared" si="87"/>
        <v>-</v>
      </c>
      <c r="CR9" s="15" t="str">
        <f t="shared" si="88"/>
        <v>-</v>
      </c>
      <c r="CS9" s="1" t="str">
        <f t="shared" si="89"/>
        <v>-</v>
      </c>
      <c r="CT9" s="21" t="str">
        <f t="shared" si="90"/>
        <v>-</v>
      </c>
      <c r="CU9" s="15" t="str">
        <f t="shared" si="91"/>
        <v>-</v>
      </c>
      <c r="CV9" s="1" t="str">
        <f t="shared" si="92"/>
        <v>-</v>
      </c>
      <c r="CW9" s="21" t="str">
        <f t="shared" si="93"/>
        <v>-</v>
      </c>
      <c r="CX9" s="15" t="str">
        <f t="shared" si="94"/>
        <v>-</v>
      </c>
      <c r="CY9" s="1" t="str">
        <f t="shared" si="95"/>
        <v>-</v>
      </c>
      <c r="CZ9" s="21" t="str">
        <f t="shared" si="96"/>
        <v>-</v>
      </c>
      <c r="DA9" s="15" t="str">
        <f t="shared" si="97"/>
        <v>-</v>
      </c>
      <c r="DB9" s="1" t="str">
        <f t="shared" si="98"/>
        <v>-</v>
      </c>
      <c r="DC9" s="21" t="str">
        <f t="shared" si="99"/>
        <v>-</v>
      </c>
      <c r="DD9" s="15" t="str">
        <f t="shared" si="100"/>
        <v>-</v>
      </c>
      <c r="DE9" s="1" t="str">
        <f t="shared" si="101"/>
        <v>-</v>
      </c>
      <c r="DF9" s="21" t="str">
        <f t="shared" si="102"/>
        <v>-</v>
      </c>
      <c r="DG9" s="15" t="str">
        <f t="shared" si="103"/>
        <v>-</v>
      </c>
      <c r="DH9" s="1" t="str">
        <f t="shared" si="104"/>
        <v>-</v>
      </c>
      <c r="DI9" s="21" t="str">
        <f t="shared" si="105"/>
        <v>-</v>
      </c>
    </row>
    <row r="10" spans="2:113" x14ac:dyDescent="0.3">
      <c r="B10" s="1">
        <v>5</v>
      </c>
      <c r="C10" s="67">
        <v>30</v>
      </c>
      <c r="D10" s="88" t="s">
        <v>27</v>
      </c>
      <c r="E10" s="21" t="s">
        <v>27</v>
      </c>
      <c r="F10" s="15" t="str">
        <f t="shared" ref="F10" si="322">IF(InfGog1LevelCurrent&gt;=$B10,"-",IF(InfGog1LevelDesired&lt;$B10,"-",$C10))</f>
        <v>-</v>
      </c>
      <c r="G10" s="1" t="str">
        <f t="shared" ref="G10" si="323">IF(InfGog1LevelCurrent&gt;=$B10,"-",IF(InfGog1LevelDesired&lt;$B10,"-",$D10))</f>
        <v>-</v>
      </c>
      <c r="H10" s="21" t="str">
        <f t="shared" ref="H10" si="324">IF(InfGog1LevelCurrent&gt;=$B10,"-",IF(InfGog1LevelDesired&lt;$B10,"-",$E10))</f>
        <v>-</v>
      </c>
      <c r="I10" s="15" t="str">
        <f t="shared" ref="I10" si="325">IF(InfGlo1LevelCurrent&gt;=$B10,"-",IF(InfGlo1LevelDesired&lt;$B10,"-",$C10))</f>
        <v>-</v>
      </c>
      <c r="J10" s="1" t="str">
        <f t="shared" ref="J10" si="326">IF(InfGlo1LevelCurrent&gt;=$B10,"-",IF(InfGlo1LevelDesired&lt;$B10,"-",$D10))</f>
        <v>-</v>
      </c>
      <c r="K10" s="21" t="str">
        <f t="shared" ref="K10" si="327">IF(InfGlo1LevelCurrent&gt;=$B10,"-",IF(InfGlo1LevelDesired&lt;$B10,"-",$E10))</f>
        <v>-</v>
      </c>
      <c r="L10" s="15" t="str">
        <f t="shared" ref="L10" si="328">IF(InfBel1LevelCurrent&gt;=$B10,"-",IF(InfBel1LevelDesired&lt;$B10,"-",$C10))</f>
        <v>-</v>
      </c>
      <c r="M10" s="1" t="str">
        <f t="shared" ref="M10" si="329">IF(InfBel1LevelCurrent&gt;=$B10,"-",IF(InfBel1LevelDesired&lt;$B10,"-",$D10))</f>
        <v>-</v>
      </c>
      <c r="N10" s="21" t="str">
        <f t="shared" ref="N10" si="330">IF(InfBel1LevelCurrent&gt;=$B10,"-",IF(InfBel1LevelDesired&lt;$B10,"-",$E10))</f>
        <v>-</v>
      </c>
      <c r="O10" s="15" t="str">
        <f t="shared" ref="O10" si="331">IF(InfBoo1LevelCurrent&gt;=$B10,"-",IF(InfBoo1LevelDesired&lt;$B10,"-",$C10))</f>
        <v>-</v>
      </c>
      <c r="P10" s="1" t="str">
        <f t="shared" ref="P10" si="332">IF(InfBoo1LevelCurrent&gt;=$B10,"-",IF(InfBoo1LevelDesired&lt;$B10,"-",$D10))</f>
        <v>-</v>
      </c>
      <c r="Q10" s="21" t="str">
        <f t="shared" ref="Q10" si="333">IF(InfBoo1LevelCurrent&gt;=$B10,"-",IF(InfBoo1LevelDesired&lt;$B10,"-",$E10))</f>
        <v>-</v>
      </c>
      <c r="R10" s="15" t="str">
        <f t="shared" ref="R10" si="334">IF(LanGog1LevelCurrent&gt;=$B10,"-",IF(LanGog1LevelDesired&lt;$B10,"-",$C10))</f>
        <v>-</v>
      </c>
      <c r="S10" s="1" t="str">
        <f t="shared" ref="S10" si="335">IF(LanGog1LevelCurrent&gt;=$B10,"-",IF(LanGog1LevelDesired&lt;$B10,"-",$D10))</f>
        <v>-</v>
      </c>
      <c r="T10" s="21" t="str">
        <f t="shared" ref="T10" si="336">IF(LanGog1LevelCurrent&gt;=$B10,"-",IF(LanGog1LevelDesired&lt;$B10,"-",$E10))</f>
        <v>-</v>
      </c>
      <c r="U10" s="15" t="str">
        <f t="shared" ref="U10" si="337">IF(LanGlo1LevelCurrent&gt;=$B10,"-",IF(LanGlo1LevelDesired&lt;$B10,"-",$C10))</f>
        <v>-</v>
      </c>
      <c r="V10" s="1" t="str">
        <f t="shared" ref="V10" si="338">IF(LanGlo1LevelCurrent&gt;=$B10,"-",IF(LanGlo1LevelDesired&lt;$B10,"-",$D10))</f>
        <v>-</v>
      </c>
      <c r="W10" s="21" t="str">
        <f t="shared" ref="W10" si="339">IF(LanGlo1LevelCurrent&gt;=$B10,"-",IF(LanGlo1LevelDesired&lt;$B10,"-",$E10))</f>
        <v>-</v>
      </c>
      <c r="X10" s="15" t="str">
        <f t="shared" ref="X10" si="340">IF(LanBel1LevelCurrent&gt;=$B10,"-",IF(LanBel1LevelDesired&lt;$B10,"-",$C10))</f>
        <v>-</v>
      </c>
      <c r="Y10" s="1" t="str">
        <f t="shared" ref="Y10" si="341">IF(LanBel1LevelCurrent&gt;=$B10,"-",IF(LanBel1LevelDesired&lt;$B10,"-",$D10))</f>
        <v>-</v>
      </c>
      <c r="Z10" s="21" t="str">
        <f t="shared" ref="Z10" si="342">IF(LanBel1LevelCurrent&gt;=$B10,"-",IF(LanBel1LevelDesired&lt;$B10,"-",$E10))</f>
        <v>-</v>
      </c>
      <c r="AA10" s="15" t="str">
        <f t="shared" ref="AA10" si="343">IF(LanBoo1LevelCurrent&gt;=$B10,"-",IF(LanBoo1LevelDesired&lt;$B10,"-",$C10))</f>
        <v>-</v>
      </c>
      <c r="AB10" s="1" t="str">
        <f t="shared" ref="AB10" si="344">IF(LanBoo1LevelCurrent&gt;=$B10,"-",IF(LanBoo1LevelDesired&lt;$B10,"-",$D10))</f>
        <v>-</v>
      </c>
      <c r="AC10" s="21" t="str">
        <f t="shared" ref="AC10" si="345">IF(LanBoo1LevelCurrent&gt;=$B10,"-",IF(LanBoo1LevelDesired&lt;$B10,"-",$E10))</f>
        <v>-</v>
      </c>
      <c r="AD10" s="15" t="str">
        <f t="shared" ref="AD10" si="346">IF(MarGog1LevelCurrent&gt;=$B10,"-",IF(MarGog1LevelDesired&lt;$B10,"-",$C10))</f>
        <v>-</v>
      </c>
      <c r="AE10" s="1" t="str">
        <f t="shared" ref="AE10" si="347">IF(MarGog1LevelCurrent&gt;=$B10,"-",IF(MarGog1LevelDesired&lt;$B10,"-",$D10))</f>
        <v>-</v>
      </c>
      <c r="AF10" s="21" t="str">
        <f t="shared" ref="AF10" si="348">IF(MarGog1LevelCurrent&gt;=$B10,"-",IF(MarGog1LevelDesired&lt;$B10,"-",$E10))</f>
        <v>-</v>
      </c>
      <c r="AG10" s="15" t="str">
        <f t="shared" ref="AG10" si="349">IF(MarGlo1LevelCurrent&gt;=$B10,"-",IF(MarGlo1LevelDesired&lt;$B10,"-",$C10))</f>
        <v>-</v>
      </c>
      <c r="AH10" s="1" t="str">
        <f t="shared" ref="AH10" si="350">IF(MarGlo1LevelCurrent&gt;=$B10,"-",IF(MarGlo1LevelDesired&lt;$B10,"-",$D10))</f>
        <v>-</v>
      </c>
      <c r="AI10" s="21" t="str">
        <f t="shared" ref="AI10" si="351">IF(MarGlo1LevelCurrent&gt;=$B10,"-",IF(MarGlo1LevelDesired&lt;$B10,"-",$E10))</f>
        <v>-</v>
      </c>
      <c r="AJ10" s="15" t="str">
        <f t="shared" ref="AJ10" si="352">IF(MarBel1LevelCurrent&gt;=$B10,"-",IF(MarBel1LevelDesired&lt;$B10,"-",$C10))</f>
        <v>-</v>
      </c>
      <c r="AK10" s="1" t="str">
        <f t="shared" ref="AK10" si="353">IF(MarBel1LevelCurrent&gt;=$B10,"-",IF(MarBel1LevelDesired&lt;$B10,"-",$D10))</f>
        <v>-</v>
      </c>
      <c r="AL10" s="21" t="str">
        <f t="shared" ref="AL10" si="354">IF(MarBel1LevelCurrent&gt;=$B10,"-",IF(MarBel1LevelDesired&lt;$B10,"-",$E10))</f>
        <v>-</v>
      </c>
      <c r="AM10" s="15" t="str">
        <f t="shared" ref="AM10" si="355">IF(MarBoo1LevelCurrent&gt;=$B10,"-",IF(MarBoo1LevelDesired&lt;$B10,"-",$C10))</f>
        <v>-</v>
      </c>
      <c r="AN10" s="1" t="str">
        <f t="shared" ref="AN10" si="356">IF(MarBoo1LevelCurrent&gt;=$B10,"-",IF(MarBoo1LevelDesired&lt;$B10,"-",$D10))</f>
        <v>-</v>
      </c>
      <c r="AO10" s="21" t="str">
        <f t="shared" ref="AO10" si="357">IF(MarBoo1LevelCurrent&gt;=$B10,"-",IF(MarBoo1LevelDesired&lt;$B10,"-",$E10))</f>
        <v>-</v>
      </c>
      <c r="AP10" s="15" t="str">
        <f t="shared" ref="AP10" si="358">IF(InfGog2LevelCurrent&gt;=$B10,"-",IF(InfGog2LevelDesired&lt;$B10,"-",$C10))</f>
        <v>-</v>
      </c>
      <c r="AQ10" s="1" t="str">
        <f t="shared" ref="AQ10" si="359">IF(InfGog2LevelCurrent&gt;=$B10,"-",IF(InfGog2LevelDesired&lt;$B10,"-",$D10))</f>
        <v>-</v>
      </c>
      <c r="AR10" s="21" t="str">
        <f t="shared" ref="AR10" si="360">IF(InfGog2LevelCurrent&gt;=$B10,"-",IF(InfGog2LevelDesired&lt;$B10,"-",$E10))</f>
        <v>-</v>
      </c>
      <c r="AS10" s="15" t="str">
        <f t="shared" ref="AS10" si="361">IF(InfGlo2LevelCurrent&gt;=$B10,"-",IF(InfGlo2LevelDesired&lt;$B10,"-",$C10))</f>
        <v>-</v>
      </c>
      <c r="AT10" s="1" t="str">
        <f t="shared" ref="AT10" si="362">IF(InfGlo2LevelCurrent&gt;=$B10,"-",IF(InfGlo2LevelDesired&lt;$B10,"-",$D10))</f>
        <v>-</v>
      </c>
      <c r="AU10" s="21" t="str">
        <f t="shared" ref="AU10" si="363">IF(InfGlo2LevelCurrent&gt;=$B10,"-",IF(InfGlo2LevelDesired&lt;$B10,"-",$E10))</f>
        <v>-</v>
      </c>
      <c r="AV10" s="15" t="str">
        <f t="shared" ref="AV10" si="364">IF(InfBel2LevelCurrent&gt;=$B10,"-",IF(InfBel2LevelDesired&lt;$B10,"-",$C10))</f>
        <v>-</v>
      </c>
      <c r="AW10" s="1" t="str">
        <f t="shared" ref="AW10" si="365">IF(InfBel2LevelCurrent&gt;=$B10,"-",IF(InfBel2LevelDesired&lt;$B10,"-",$D10))</f>
        <v>-</v>
      </c>
      <c r="AX10" s="21" t="str">
        <f t="shared" ref="AX10" si="366">IF(InfBel2LevelCurrent&gt;=$B10,"-",IF(InfBel2LevelDesired&lt;$B10,"-",$E10))</f>
        <v>-</v>
      </c>
      <c r="AY10" s="15" t="str">
        <f t="shared" ref="AY10" si="367">IF(InfBoo2LevelCurrent&gt;=$B10,"-",IF(InfBoo2LevelDesired&lt;$B10,"-",$C10))</f>
        <v>-</v>
      </c>
      <c r="AZ10" s="1" t="str">
        <f t="shared" ref="AZ10" si="368">IF(InfBoo2LevelCurrent&gt;=$B10,"-",IF(InfBoo2LevelDesired&lt;$B10,"-",$D10))</f>
        <v>-</v>
      </c>
      <c r="BA10" s="21" t="str">
        <f t="shared" ref="BA10" si="369">IF(InfBoo2LevelCurrent&gt;=$B10,"-",IF(InfBoo2LevelDesired&lt;$B10,"-",$E10))</f>
        <v>-</v>
      </c>
      <c r="BB10" s="15" t="str">
        <f t="shared" ref="BB10" si="370">IF(LanGog2LevelCurrent&gt;=$B10,"-",IF(LanGog2LevelDesired&lt;$B10,"-",$C10))</f>
        <v>-</v>
      </c>
      <c r="BC10" s="1" t="str">
        <f t="shared" ref="BC10" si="371">IF(LanGog2LevelCurrent&gt;=$B10,"-",IF(LanGog2LevelDesired&lt;$B10,"-",$D10))</f>
        <v>-</v>
      </c>
      <c r="BD10" s="21" t="str">
        <f t="shared" ref="BD10" si="372">IF(LanGog2LevelCurrent&gt;=$B10,"-",IF(LanGog2LevelDesired&lt;$B10,"-",$E10))</f>
        <v>-</v>
      </c>
      <c r="BE10" s="15" t="str">
        <f t="shared" ref="BE10" si="373">IF(LanGlo2LevelCurrent&gt;=$B10,"-",IF(LanGlo2LevelDesired&lt;$B10,"-",$C10))</f>
        <v>-</v>
      </c>
      <c r="BF10" s="1" t="str">
        <f t="shared" ref="BF10" si="374">IF(LanGlo2LevelCurrent&gt;=$B10,"-",IF(LanGlo2LevelDesired&lt;$B10,"-",$D10))</f>
        <v>-</v>
      </c>
      <c r="BG10" s="21" t="str">
        <f t="shared" ref="BG10" si="375">IF(LanGlo2LevelCurrent&gt;=$B10,"-",IF(LanGlo2LevelDesired&lt;$B10,"-",$E10))</f>
        <v>-</v>
      </c>
      <c r="BH10" s="15" t="str">
        <f t="shared" ref="BH10" si="376">IF(LanBel2LevelCurrent&gt;=$B10,"-",IF(LanBel2LevelDesired&lt;$B10,"-",$C10))</f>
        <v>-</v>
      </c>
      <c r="BI10" s="1" t="str">
        <f t="shared" ref="BI10" si="377">IF(LanBel2LevelCurrent&gt;=$B10,"-",IF(LanBel2LevelDesired&lt;$B10,"-",$D10))</f>
        <v>-</v>
      </c>
      <c r="BJ10" s="21" t="str">
        <f t="shared" ref="BJ10" si="378">IF(LanBel2LevelCurrent&gt;=$B10,"-",IF(LanBel2LevelDesired&lt;$B10,"-",$E10))</f>
        <v>-</v>
      </c>
      <c r="BK10" s="15" t="str">
        <f t="shared" ref="BK10" si="379">IF(LanBoo2LevelCurrent&gt;=$B10,"-",IF(LanBoo2LevelDesired&lt;$B10,"-",$C10))</f>
        <v>-</v>
      </c>
      <c r="BL10" s="1" t="str">
        <f t="shared" ref="BL10" si="380">IF(LanBoo2LevelCurrent&gt;=$B10,"-",IF(LanBoo2LevelDesired&lt;$B10,"-",$D10))</f>
        <v>-</v>
      </c>
      <c r="BM10" s="21" t="str">
        <f t="shared" ref="BM10" si="381">IF(LanBoo2LevelCurrent&gt;=$B10,"-",IF(LanBoo2LevelDesired&lt;$B10,"-",$E10))</f>
        <v>-</v>
      </c>
      <c r="BN10" s="15" t="str">
        <f t="shared" ref="BN10" si="382">IF(MarGog2LevelCurrent&gt;=$B10,"-",IF(MarGog2LevelDesired&lt;$B10,"-",$C10))</f>
        <v>-</v>
      </c>
      <c r="BO10" s="1" t="str">
        <f t="shared" ref="BO10" si="383">IF(MarGog2LevelCurrent&gt;=$B10,"-",IF(MarGog2LevelDesired&lt;$B10,"-",$D10))</f>
        <v>-</v>
      </c>
      <c r="BP10" s="21" t="str">
        <f t="shared" ref="BP10" si="384">IF(MarGog2LevelCurrent&gt;=$B10,"-",IF(MarGog2LevelDesired&lt;$B10,"-",$E10))</f>
        <v>-</v>
      </c>
      <c r="BQ10" s="15" t="str">
        <f t="shared" ref="BQ10" si="385">IF(MarGlo2LevelCurrent&gt;=$B10,"-",IF(MarGlo2LevelDesired&lt;$B10,"-",$C10))</f>
        <v>-</v>
      </c>
      <c r="BR10" s="1" t="str">
        <f t="shared" ref="BR10" si="386">IF(MarGlo2LevelCurrent&gt;=$B10,"-",IF(MarGlo2LevelDesired&lt;$B10,"-",$D10))</f>
        <v>-</v>
      </c>
      <c r="BS10" s="21" t="str">
        <f t="shared" ref="BS10" si="387">IF(MarGlo2LevelCurrent&gt;=$B10,"-",IF(MarGlo2LevelDesired&lt;$B10,"-",$E10))</f>
        <v>-</v>
      </c>
      <c r="BT10" s="15" t="str">
        <f t="shared" ref="BT10" si="388">IF(MarBel2LevelCurrent&gt;=$B10,"-",IF(MarBel2LevelDesired&lt;$B10,"-",$C10))</f>
        <v>-</v>
      </c>
      <c r="BU10" s="1" t="str">
        <f t="shared" ref="BU10" si="389">IF(MarBel2LevelCurrent&gt;=$B10,"-",IF(MarBel2LevelDesired&lt;$B10,"-",$D10))</f>
        <v>-</v>
      </c>
      <c r="BV10" s="21" t="str">
        <f t="shared" ref="BV10" si="390">IF(MarBel2LevelCurrent&gt;=$B10,"-",IF(MarBel2LevelDesired&lt;$B10,"-",$E10))</f>
        <v>-</v>
      </c>
      <c r="BW10" s="15" t="str">
        <f t="shared" ref="BW10" si="391">IF(MarBoo2LevelCurrent&gt;=$B10,"-",IF(MarBoo2LevelDesired&lt;$B10,"-",$C10))</f>
        <v>-</v>
      </c>
      <c r="BX10" s="1" t="str">
        <f t="shared" ref="BX10" si="392">IF(MarBoo2LevelCurrent&gt;=$B10,"-",IF(MarBoo2LevelDesired&lt;$B10,"-",$D10))</f>
        <v>-</v>
      </c>
      <c r="BY10" s="21" t="str">
        <f t="shared" ref="BY10" si="393">IF(MarBoo2LevelCurrent&gt;=$B10,"-",IF(MarBoo2LevelDesired&lt;$B10,"-",$E10))</f>
        <v>-</v>
      </c>
      <c r="BZ10" s="15" t="str">
        <f t="shared" si="72"/>
        <v>-</v>
      </c>
      <c r="CA10" s="1" t="str" cm="1">
        <f t="array" ref="CA10">IF(InfGog3LevelCurrent&gt;=$B10,"-",IF(InfGog3LevelDesired&lt;$B10,"-",$D10))</f>
        <v>-</v>
      </c>
      <c r="CB10" s="21" t="str" cm="1">
        <f t="array" ref="CB10">IF(InfGog3LevelCurrent&gt;=$B10,"-",IF(InfGog3LevelDesired&lt;$B10,"-",$E10))</f>
        <v>-</v>
      </c>
      <c r="CC10" s="15" t="str">
        <f t="shared" si="73"/>
        <v>-</v>
      </c>
      <c r="CD10" s="1" t="str">
        <f t="shared" si="74"/>
        <v>-</v>
      </c>
      <c r="CE10" s="21" t="str">
        <f t="shared" si="75"/>
        <v>-</v>
      </c>
      <c r="CF10" s="15" t="str">
        <f t="shared" si="76"/>
        <v>-</v>
      </c>
      <c r="CG10" s="1" t="str">
        <f t="shared" si="77"/>
        <v>-</v>
      </c>
      <c r="CH10" s="21" t="str">
        <f t="shared" si="78"/>
        <v>-</v>
      </c>
      <c r="CI10" s="15" t="str">
        <f t="shared" si="79"/>
        <v>-</v>
      </c>
      <c r="CJ10" s="1" t="str">
        <f t="shared" si="80"/>
        <v>-</v>
      </c>
      <c r="CK10" s="21" t="str">
        <f t="shared" si="81"/>
        <v>-</v>
      </c>
      <c r="CL10" s="15" t="str">
        <f t="shared" si="82"/>
        <v>-</v>
      </c>
      <c r="CM10" s="1" t="str">
        <f t="shared" si="83"/>
        <v>-</v>
      </c>
      <c r="CN10" s="21" t="str">
        <f t="shared" si="84"/>
        <v>-</v>
      </c>
      <c r="CO10" s="15" t="str">
        <f t="shared" si="85"/>
        <v>-</v>
      </c>
      <c r="CP10" s="1" t="str">
        <f t="shared" si="86"/>
        <v>-</v>
      </c>
      <c r="CQ10" s="21" t="str">
        <f t="shared" si="87"/>
        <v>-</v>
      </c>
      <c r="CR10" s="15" t="str">
        <f t="shared" si="88"/>
        <v>-</v>
      </c>
      <c r="CS10" s="1" t="str">
        <f t="shared" si="89"/>
        <v>-</v>
      </c>
      <c r="CT10" s="21" t="str">
        <f t="shared" si="90"/>
        <v>-</v>
      </c>
      <c r="CU10" s="15" t="str">
        <f t="shared" si="91"/>
        <v>-</v>
      </c>
      <c r="CV10" s="1" t="str">
        <f t="shared" si="92"/>
        <v>-</v>
      </c>
      <c r="CW10" s="21" t="str">
        <f t="shared" si="93"/>
        <v>-</v>
      </c>
      <c r="CX10" s="15" t="str">
        <f t="shared" si="94"/>
        <v>-</v>
      </c>
      <c r="CY10" s="1" t="str">
        <f t="shared" si="95"/>
        <v>-</v>
      </c>
      <c r="CZ10" s="21" t="str">
        <f t="shared" si="96"/>
        <v>-</v>
      </c>
      <c r="DA10" s="15" t="str">
        <f t="shared" si="97"/>
        <v>-</v>
      </c>
      <c r="DB10" s="1" t="str">
        <f t="shared" si="98"/>
        <v>-</v>
      </c>
      <c r="DC10" s="21" t="str">
        <f t="shared" si="99"/>
        <v>-</v>
      </c>
      <c r="DD10" s="15" t="str">
        <f t="shared" si="100"/>
        <v>-</v>
      </c>
      <c r="DE10" s="1" t="str">
        <f t="shared" si="101"/>
        <v>-</v>
      </c>
      <c r="DF10" s="21" t="str">
        <f t="shared" si="102"/>
        <v>-</v>
      </c>
      <c r="DG10" s="15" t="str">
        <f t="shared" si="103"/>
        <v>-</v>
      </c>
      <c r="DH10" s="1" t="str">
        <f t="shared" si="104"/>
        <v>-</v>
      </c>
      <c r="DI10" s="21" t="str">
        <f t="shared" si="105"/>
        <v>-</v>
      </c>
    </row>
    <row r="11" spans="2:113" x14ac:dyDescent="0.3">
      <c r="B11" s="1">
        <v>6</v>
      </c>
      <c r="C11" s="67">
        <v>35</v>
      </c>
      <c r="D11" s="88" t="s">
        <v>27</v>
      </c>
      <c r="E11" s="21" t="s">
        <v>27</v>
      </c>
      <c r="F11" s="15" t="str">
        <f t="shared" ref="F11" si="394">IF(InfGog1LevelCurrent&gt;=$B11,"-",IF(InfGog1LevelDesired&lt;$B11,"-",$C11))</f>
        <v>-</v>
      </c>
      <c r="G11" s="1" t="str">
        <f t="shared" ref="G11" si="395">IF(InfGog1LevelCurrent&gt;=$B11,"-",IF(InfGog1LevelDesired&lt;$B11,"-",$D11))</f>
        <v>-</v>
      </c>
      <c r="H11" s="21" t="str">
        <f t="shared" ref="H11" si="396">IF(InfGog1LevelCurrent&gt;=$B11,"-",IF(InfGog1LevelDesired&lt;$B11,"-",$E11))</f>
        <v>-</v>
      </c>
      <c r="I11" s="15" t="str">
        <f t="shared" ref="I11" si="397">IF(InfGlo1LevelCurrent&gt;=$B11,"-",IF(InfGlo1LevelDesired&lt;$B11,"-",$C11))</f>
        <v>-</v>
      </c>
      <c r="J11" s="1" t="str">
        <f t="shared" ref="J11" si="398">IF(InfGlo1LevelCurrent&gt;=$B11,"-",IF(InfGlo1LevelDesired&lt;$B11,"-",$D11))</f>
        <v>-</v>
      </c>
      <c r="K11" s="21" t="str">
        <f t="shared" ref="K11" si="399">IF(InfGlo1LevelCurrent&gt;=$B11,"-",IF(InfGlo1LevelDesired&lt;$B11,"-",$E11))</f>
        <v>-</v>
      </c>
      <c r="L11" s="15" t="str">
        <f t="shared" ref="L11" si="400">IF(InfBel1LevelCurrent&gt;=$B11,"-",IF(InfBel1LevelDesired&lt;$B11,"-",$C11))</f>
        <v>-</v>
      </c>
      <c r="M11" s="1" t="str">
        <f t="shared" ref="M11" si="401">IF(InfBel1LevelCurrent&gt;=$B11,"-",IF(InfBel1LevelDesired&lt;$B11,"-",$D11))</f>
        <v>-</v>
      </c>
      <c r="N11" s="21" t="str">
        <f t="shared" ref="N11" si="402">IF(InfBel1LevelCurrent&gt;=$B11,"-",IF(InfBel1LevelDesired&lt;$B11,"-",$E11))</f>
        <v>-</v>
      </c>
      <c r="O11" s="15" t="str">
        <f t="shared" ref="O11" si="403">IF(InfBoo1LevelCurrent&gt;=$B11,"-",IF(InfBoo1LevelDesired&lt;$B11,"-",$C11))</f>
        <v>-</v>
      </c>
      <c r="P11" s="1" t="str">
        <f t="shared" ref="P11" si="404">IF(InfBoo1LevelCurrent&gt;=$B11,"-",IF(InfBoo1LevelDesired&lt;$B11,"-",$D11))</f>
        <v>-</v>
      </c>
      <c r="Q11" s="21" t="str">
        <f t="shared" ref="Q11" si="405">IF(InfBoo1LevelCurrent&gt;=$B11,"-",IF(InfBoo1LevelDesired&lt;$B11,"-",$E11))</f>
        <v>-</v>
      </c>
      <c r="R11" s="15" t="str">
        <f t="shared" ref="R11" si="406">IF(LanGog1LevelCurrent&gt;=$B11,"-",IF(LanGog1LevelDesired&lt;$B11,"-",$C11))</f>
        <v>-</v>
      </c>
      <c r="S11" s="1" t="str">
        <f t="shared" ref="S11" si="407">IF(LanGog1LevelCurrent&gt;=$B11,"-",IF(LanGog1LevelDesired&lt;$B11,"-",$D11))</f>
        <v>-</v>
      </c>
      <c r="T11" s="21" t="str">
        <f t="shared" ref="T11" si="408">IF(LanGog1LevelCurrent&gt;=$B11,"-",IF(LanGog1LevelDesired&lt;$B11,"-",$E11))</f>
        <v>-</v>
      </c>
      <c r="U11" s="15" t="str">
        <f t="shared" ref="U11" si="409">IF(LanGlo1LevelCurrent&gt;=$B11,"-",IF(LanGlo1LevelDesired&lt;$B11,"-",$C11))</f>
        <v>-</v>
      </c>
      <c r="V11" s="1" t="str">
        <f t="shared" ref="V11" si="410">IF(LanGlo1LevelCurrent&gt;=$B11,"-",IF(LanGlo1LevelDesired&lt;$B11,"-",$D11))</f>
        <v>-</v>
      </c>
      <c r="W11" s="21" t="str">
        <f t="shared" ref="W11" si="411">IF(LanGlo1LevelCurrent&gt;=$B11,"-",IF(LanGlo1LevelDesired&lt;$B11,"-",$E11))</f>
        <v>-</v>
      </c>
      <c r="X11" s="15" t="str">
        <f t="shared" ref="X11" si="412">IF(LanBel1LevelCurrent&gt;=$B11,"-",IF(LanBel1LevelDesired&lt;$B11,"-",$C11))</f>
        <v>-</v>
      </c>
      <c r="Y11" s="1" t="str">
        <f t="shared" ref="Y11" si="413">IF(LanBel1LevelCurrent&gt;=$B11,"-",IF(LanBel1LevelDesired&lt;$B11,"-",$D11))</f>
        <v>-</v>
      </c>
      <c r="Z11" s="21" t="str">
        <f t="shared" ref="Z11" si="414">IF(LanBel1LevelCurrent&gt;=$B11,"-",IF(LanBel1LevelDesired&lt;$B11,"-",$E11))</f>
        <v>-</v>
      </c>
      <c r="AA11" s="15" t="str">
        <f t="shared" ref="AA11" si="415">IF(LanBoo1LevelCurrent&gt;=$B11,"-",IF(LanBoo1LevelDesired&lt;$B11,"-",$C11))</f>
        <v>-</v>
      </c>
      <c r="AB11" s="1" t="str">
        <f t="shared" ref="AB11" si="416">IF(LanBoo1LevelCurrent&gt;=$B11,"-",IF(LanBoo1LevelDesired&lt;$B11,"-",$D11))</f>
        <v>-</v>
      </c>
      <c r="AC11" s="21" t="str">
        <f t="shared" ref="AC11" si="417">IF(LanBoo1LevelCurrent&gt;=$B11,"-",IF(LanBoo1LevelDesired&lt;$B11,"-",$E11))</f>
        <v>-</v>
      </c>
      <c r="AD11" s="15" t="str">
        <f t="shared" ref="AD11" si="418">IF(MarGog1LevelCurrent&gt;=$B11,"-",IF(MarGog1LevelDesired&lt;$B11,"-",$C11))</f>
        <v>-</v>
      </c>
      <c r="AE11" s="1" t="str">
        <f t="shared" ref="AE11" si="419">IF(MarGog1LevelCurrent&gt;=$B11,"-",IF(MarGog1LevelDesired&lt;$B11,"-",$D11))</f>
        <v>-</v>
      </c>
      <c r="AF11" s="21" t="str">
        <f t="shared" ref="AF11" si="420">IF(MarGog1LevelCurrent&gt;=$B11,"-",IF(MarGog1LevelDesired&lt;$B11,"-",$E11))</f>
        <v>-</v>
      </c>
      <c r="AG11" s="15" t="str">
        <f t="shared" ref="AG11" si="421">IF(MarGlo1LevelCurrent&gt;=$B11,"-",IF(MarGlo1LevelDesired&lt;$B11,"-",$C11))</f>
        <v>-</v>
      </c>
      <c r="AH11" s="1" t="str">
        <f t="shared" ref="AH11" si="422">IF(MarGlo1LevelCurrent&gt;=$B11,"-",IF(MarGlo1LevelDesired&lt;$B11,"-",$D11))</f>
        <v>-</v>
      </c>
      <c r="AI11" s="21" t="str">
        <f t="shared" ref="AI11" si="423">IF(MarGlo1LevelCurrent&gt;=$B11,"-",IF(MarGlo1LevelDesired&lt;$B11,"-",$E11))</f>
        <v>-</v>
      </c>
      <c r="AJ11" s="15" t="str">
        <f t="shared" ref="AJ11" si="424">IF(MarBel1LevelCurrent&gt;=$B11,"-",IF(MarBel1LevelDesired&lt;$B11,"-",$C11))</f>
        <v>-</v>
      </c>
      <c r="AK11" s="1" t="str">
        <f t="shared" ref="AK11" si="425">IF(MarBel1LevelCurrent&gt;=$B11,"-",IF(MarBel1LevelDesired&lt;$B11,"-",$D11))</f>
        <v>-</v>
      </c>
      <c r="AL11" s="21" t="str">
        <f t="shared" ref="AL11" si="426">IF(MarBel1LevelCurrent&gt;=$B11,"-",IF(MarBel1LevelDesired&lt;$B11,"-",$E11))</f>
        <v>-</v>
      </c>
      <c r="AM11" s="15" t="str">
        <f t="shared" ref="AM11" si="427">IF(MarBoo1LevelCurrent&gt;=$B11,"-",IF(MarBoo1LevelDesired&lt;$B11,"-",$C11))</f>
        <v>-</v>
      </c>
      <c r="AN11" s="1" t="str">
        <f t="shared" ref="AN11" si="428">IF(MarBoo1LevelCurrent&gt;=$B11,"-",IF(MarBoo1LevelDesired&lt;$B11,"-",$D11))</f>
        <v>-</v>
      </c>
      <c r="AO11" s="21" t="str">
        <f t="shared" ref="AO11" si="429">IF(MarBoo1LevelCurrent&gt;=$B11,"-",IF(MarBoo1LevelDesired&lt;$B11,"-",$E11))</f>
        <v>-</v>
      </c>
      <c r="AP11" s="15" t="str">
        <f t="shared" ref="AP11" si="430">IF(InfGog2LevelCurrent&gt;=$B11,"-",IF(InfGog2LevelDesired&lt;$B11,"-",$C11))</f>
        <v>-</v>
      </c>
      <c r="AQ11" s="1" t="str">
        <f t="shared" ref="AQ11" si="431">IF(InfGog2LevelCurrent&gt;=$B11,"-",IF(InfGog2LevelDesired&lt;$B11,"-",$D11))</f>
        <v>-</v>
      </c>
      <c r="AR11" s="21" t="str">
        <f t="shared" ref="AR11" si="432">IF(InfGog2LevelCurrent&gt;=$B11,"-",IF(InfGog2LevelDesired&lt;$B11,"-",$E11))</f>
        <v>-</v>
      </c>
      <c r="AS11" s="15" t="str">
        <f t="shared" ref="AS11" si="433">IF(InfGlo2LevelCurrent&gt;=$B11,"-",IF(InfGlo2LevelDesired&lt;$B11,"-",$C11))</f>
        <v>-</v>
      </c>
      <c r="AT11" s="1" t="str">
        <f t="shared" ref="AT11" si="434">IF(InfGlo2LevelCurrent&gt;=$B11,"-",IF(InfGlo2LevelDesired&lt;$B11,"-",$D11))</f>
        <v>-</v>
      </c>
      <c r="AU11" s="21" t="str">
        <f t="shared" ref="AU11" si="435">IF(InfGlo2LevelCurrent&gt;=$B11,"-",IF(InfGlo2LevelDesired&lt;$B11,"-",$E11))</f>
        <v>-</v>
      </c>
      <c r="AV11" s="15" t="str">
        <f t="shared" ref="AV11" si="436">IF(InfBel2LevelCurrent&gt;=$B11,"-",IF(InfBel2LevelDesired&lt;$B11,"-",$C11))</f>
        <v>-</v>
      </c>
      <c r="AW11" s="1" t="str">
        <f t="shared" ref="AW11" si="437">IF(InfBel2LevelCurrent&gt;=$B11,"-",IF(InfBel2LevelDesired&lt;$B11,"-",$D11))</f>
        <v>-</v>
      </c>
      <c r="AX11" s="21" t="str">
        <f t="shared" ref="AX11" si="438">IF(InfBel2LevelCurrent&gt;=$B11,"-",IF(InfBel2LevelDesired&lt;$B11,"-",$E11))</f>
        <v>-</v>
      </c>
      <c r="AY11" s="15" t="str">
        <f t="shared" ref="AY11" si="439">IF(InfBoo2LevelCurrent&gt;=$B11,"-",IF(InfBoo2LevelDesired&lt;$B11,"-",$C11))</f>
        <v>-</v>
      </c>
      <c r="AZ11" s="1" t="str">
        <f t="shared" ref="AZ11" si="440">IF(InfBoo2LevelCurrent&gt;=$B11,"-",IF(InfBoo2LevelDesired&lt;$B11,"-",$D11))</f>
        <v>-</v>
      </c>
      <c r="BA11" s="21" t="str">
        <f t="shared" ref="BA11" si="441">IF(InfBoo2LevelCurrent&gt;=$B11,"-",IF(InfBoo2LevelDesired&lt;$B11,"-",$E11))</f>
        <v>-</v>
      </c>
      <c r="BB11" s="15" t="str">
        <f t="shared" ref="BB11" si="442">IF(LanGog2LevelCurrent&gt;=$B11,"-",IF(LanGog2LevelDesired&lt;$B11,"-",$C11))</f>
        <v>-</v>
      </c>
      <c r="BC11" s="1" t="str">
        <f t="shared" ref="BC11" si="443">IF(LanGog2LevelCurrent&gt;=$B11,"-",IF(LanGog2LevelDesired&lt;$B11,"-",$D11))</f>
        <v>-</v>
      </c>
      <c r="BD11" s="21" t="str">
        <f t="shared" ref="BD11" si="444">IF(LanGog2LevelCurrent&gt;=$B11,"-",IF(LanGog2LevelDesired&lt;$B11,"-",$E11))</f>
        <v>-</v>
      </c>
      <c r="BE11" s="15" t="str">
        <f t="shared" ref="BE11" si="445">IF(LanGlo2LevelCurrent&gt;=$B11,"-",IF(LanGlo2LevelDesired&lt;$B11,"-",$C11))</f>
        <v>-</v>
      </c>
      <c r="BF11" s="1" t="str">
        <f t="shared" ref="BF11" si="446">IF(LanGlo2LevelCurrent&gt;=$B11,"-",IF(LanGlo2LevelDesired&lt;$B11,"-",$D11))</f>
        <v>-</v>
      </c>
      <c r="BG11" s="21" t="str">
        <f t="shared" ref="BG11" si="447">IF(LanGlo2LevelCurrent&gt;=$B11,"-",IF(LanGlo2LevelDesired&lt;$B11,"-",$E11))</f>
        <v>-</v>
      </c>
      <c r="BH11" s="15" t="str">
        <f t="shared" ref="BH11" si="448">IF(LanBel2LevelCurrent&gt;=$B11,"-",IF(LanBel2LevelDesired&lt;$B11,"-",$C11))</f>
        <v>-</v>
      </c>
      <c r="BI11" s="1" t="str">
        <f t="shared" ref="BI11" si="449">IF(LanBel2LevelCurrent&gt;=$B11,"-",IF(LanBel2LevelDesired&lt;$B11,"-",$D11))</f>
        <v>-</v>
      </c>
      <c r="BJ11" s="21" t="str">
        <f t="shared" ref="BJ11" si="450">IF(LanBel2LevelCurrent&gt;=$B11,"-",IF(LanBel2LevelDesired&lt;$B11,"-",$E11))</f>
        <v>-</v>
      </c>
      <c r="BK11" s="15" t="str">
        <f t="shared" ref="BK11" si="451">IF(LanBoo2LevelCurrent&gt;=$B11,"-",IF(LanBoo2LevelDesired&lt;$B11,"-",$C11))</f>
        <v>-</v>
      </c>
      <c r="BL11" s="1" t="str">
        <f t="shared" ref="BL11" si="452">IF(LanBoo2LevelCurrent&gt;=$B11,"-",IF(LanBoo2LevelDesired&lt;$B11,"-",$D11))</f>
        <v>-</v>
      </c>
      <c r="BM11" s="21" t="str">
        <f t="shared" ref="BM11" si="453">IF(LanBoo2LevelCurrent&gt;=$B11,"-",IF(LanBoo2LevelDesired&lt;$B11,"-",$E11))</f>
        <v>-</v>
      </c>
      <c r="BN11" s="15" t="str">
        <f t="shared" ref="BN11" si="454">IF(MarGog2LevelCurrent&gt;=$B11,"-",IF(MarGog2LevelDesired&lt;$B11,"-",$C11))</f>
        <v>-</v>
      </c>
      <c r="BO11" s="1" t="str">
        <f t="shared" ref="BO11" si="455">IF(MarGog2LevelCurrent&gt;=$B11,"-",IF(MarGog2LevelDesired&lt;$B11,"-",$D11))</f>
        <v>-</v>
      </c>
      <c r="BP11" s="21" t="str">
        <f t="shared" ref="BP11" si="456">IF(MarGog2LevelCurrent&gt;=$B11,"-",IF(MarGog2LevelDesired&lt;$B11,"-",$E11))</f>
        <v>-</v>
      </c>
      <c r="BQ11" s="15" t="str">
        <f t="shared" ref="BQ11" si="457">IF(MarGlo2LevelCurrent&gt;=$B11,"-",IF(MarGlo2LevelDesired&lt;$B11,"-",$C11))</f>
        <v>-</v>
      </c>
      <c r="BR11" s="1" t="str">
        <f t="shared" ref="BR11" si="458">IF(MarGlo2LevelCurrent&gt;=$B11,"-",IF(MarGlo2LevelDesired&lt;$B11,"-",$D11))</f>
        <v>-</v>
      </c>
      <c r="BS11" s="21" t="str">
        <f t="shared" ref="BS11" si="459">IF(MarGlo2LevelCurrent&gt;=$B11,"-",IF(MarGlo2LevelDesired&lt;$B11,"-",$E11))</f>
        <v>-</v>
      </c>
      <c r="BT11" s="15" t="str">
        <f t="shared" ref="BT11" si="460">IF(MarBel2LevelCurrent&gt;=$B11,"-",IF(MarBel2LevelDesired&lt;$B11,"-",$C11))</f>
        <v>-</v>
      </c>
      <c r="BU11" s="1" t="str">
        <f t="shared" ref="BU11" si="461">IF(MarBel2LevelCurrent&gt;=$B11,"-",IF(MarBel2LevelDesired&lt;$B11,"-",$D11))</f>
        <v>-</v>
      </c>
      <c r="BV11" s="21" t="str">
        <f t="shared" ref="BV11" si="462">IF(MarBel2LevelCurrent&gt;=$B11,"-",IF(MarBel2LevelDesired&lt;$B11,"-",$E11))</f>
        <v>-</v>
      </c>
      <c r="BW11" s="15" t="str">
        <f t="shared" ref="BW11" si="463">IF(MarBoo2LevelCurrent&gt;=$B11,"-",IF(MarBoo2LevelDesired&lt;$B11,"-",$C11))</f>
        <v>-</v>
      </c>
      <c r="BX11" s="1" t="str">
        <f t="shared" ref="BX11" si="464">IF(MarBoo2LevelCurrent&gt;=$B11,"-",IF(MarBoo2LevelDesired&lt;$B11,"-",$D11))</f>
        <v>-</v>
      </c>
      <c r="BY11" s="21" t="str">
        <f t="shared" ref="BY11" si="465">IF(MarBoo2LevelCurrent&gt;=$B11,"-",IF(MarBoo2LevelDesired&lt;$B11,"-",$E11))</f>
        <v>-</v>
      </c>
      <c r="BZ11" s="15" t="str">
        <f t="shared" si="72"/>
        <v>-</v>
      </c>
      <c r="CA11" s="1" t="str" cm="1">
        <f t="array" ref="CA11">IF(InfGog3LevelCurrent&gt;=$B11,"-",IF(InfGog3LevelDesired&lt;$B11,"-",$D11))</f>
        <v>-</v>
      </c>
      <c r="CB11" s="21" t="str" cm="1">
        <f t="array" ref="CB11">IF(InfGog3LevelCurrent&gt;=$B11,"-",IF(InfGog3LevelDesired&lt;$B11,"-",$E11))</f>
        <v>-</v>
      </c>
      <c r="CC11" s="15" t="str">
        <f t="shared" si="73"/>
        <v>-</v>
      </c>
      <c r="CD11" s="1" t="str">
        <f t="shared" si="74"/>
        <v>-</v>
      </c>
      <c r="CE11" s="21" t="str">
        <f t="shared" si="75"/>
        <v>-</v>
      </c>
      <c r="CF11" s="15" t="str">
        <f t="shared" si="76"/>
        <v>-</v>
      </c>
      <c r="CG11" s="1" t="str">
        <f t="shared" si="77"/>
        <v>-</v>
      </c>
      <c r="CH11" s="21" t="str">
        <f t="shared" si="78"/>
        <v>-</v>
      </c>
      <c r="CI11" s="15" t="str">
        <f t="shared" si="79"/>
        <v>-</v>
      </c>
      <c r="CJ11" s="1" t="str">
        <f t="shared" si="80"/>
        <v>-</v>
      </c>
      <c r="CK11" s="21" t="str">
        <f t="shared" si="81"/>
        <v>-</v>
      </c>
      <c r="CL11" s="15" t="str">
        <f t="shared" si="82"/>
        <v>-</v>
      </c>
      <c r="CM11" s="1" t="str">
        <f t="shared" si="83"/>
        <v>-</v>
      </c>
      <c r="CN11" s="21" t="str">
        <f t="shared" si="84"/>
        <v>-</v>
      </c>
      <c r="CO11" s="15" t="str">
        <f t="shared" si="85"/>
        <v>-</v>
      </c>
      <c r="CP11" s="1" t="str">
        <f t="shared" si="86"/>
        <v>-</v>
      </c>
      <c r="CQ11" s="21" t="str">
        <f t="shared" si="87"/>
        <v>-</v>
      </c>
      <c r="CR11" s="15" t="str">
        <f t="shared" si="88"/>
        <v>-</v>
      </c>
      <c r="CS11" s="1" t="str">
        <f t="shared" si="89"/>
        <v>-</v>
      </c>
      <c r="CT11" s="21" t="str">
        <f t="shared" si="90"/>
        <v>-</v>
      </c>
      <c r="CU11" s="15" t="str">
        <f t="shared" si="91"/>
        <v>-</v>
      </c>
      <c r="CV11" s="1" t="str">
        <f t="shared" si="92"/>
        <v>-</v>
      </c>
      <c r="CW11" s="21" t="str">
        <f t="shared" si="93"/>
        <v>-</v>
      </c>
      <c r="CX11" s="15" t="str">
        <f t="shared" si="94"/>
        <v>-</v>
      </c>
      <c r="CY11" s="1" t="str">
        <f t="shared" si="95"/>
        <v>-</v>
      </c>
      <c r="CZ11" s="21" t="str">
        <f t="shared" si="96"/>
        <v>-</v>
      </c>
      <c r="DA11" s="15" t="str">
        <f t="shared" si="97"/>
        <v>-</v>
      </c>
      <c r="DB11" s="1" t="str">
        <f t="shared" si="98"/>
        <v>-</v>
      </c>
      <c r="DC11" s="21" t="str">
        <f t="shared" si="99"/>
        <v>-</v>
      </c>
      <c r="DD11" s="15" t="str">
        <f t="shared" si="100"/>
        <v>-</v>
      </c>
      <c r="DE11" s="1" t="str">
        <f t="shared" si="101"/>
        <v>-</v>
      </c>
      <c r="DF11" s="21" t="str">
        <f t="shared" si="102"/>
        <v>-</v>
      </c>
      <c r="DG11" s="15" t="str">
        <f t="shared" si="103"/>
        <v>-</v>
      </c>
      <c r="DH11" s="1" t="str">
        <f t="shared" si="104"/>
        <v>-</v>
      </c>
      <c r="DI11" s="21" t="str">
        <f t="shared" si="105"/>
        <v>-</v>
      </c>
    </row>
    <row r="12" spans="2:113" x14ac:dyDescent="0.3">
      <c r="B12" s="1">
        <v>7</v>
      </c>
      <c r="C12" s="67">
        <v>40</v>
      </c>
      <c r="D12" s="88" t="s">
        <v>27</v>
      </c>
      <c r="E12" s="21" t="s">
        <v>27</v>
      </c>
      <c r="F12" s="15" t="str">
        <f t="shared" ref="F12" si="466">IF(InfGog1LevelCurrent&gt;=$B12,"-",IF(InfGog1LevelDesired&lt;$B12,"-",$C12))</f>
        <v>-</v>
      </c>
      <c r="G12" s="1" t="str">
        <f t="shared" ref="G12" si="467">IF(InfGog1LevelCurrent&gt;=$B12,"-",IF(InfGog1LevelDesired&lt;$B12,"-",$D12))</f>
        <v>-</v>
      </c>
      <c r="H12" s="21" t="str">
        <f t="shared" ref="H12" si="468">IF(InfGog1LevelCurrent&gt;=$B12,"-",IF(InfGog1LevelDesired&lt;$B12,"-",$E12))</f>
        <v>-</v>
      </c>
      <c r="I12" s="15" t="str">
        <f t="shared" ref="I12" si="469">IF(InfGlo1LevelCurrent&gt;=$B12,"-",IF(InfGlo1LevelDesired&lt;$B12,"-",$C12))</f>
        <v>-</v>
      </c>
      <c r="J12" s="1" t="str">
        <f t="shared" ref="J12" si="470">IF(InfGlo1LevelCurrent&gt;=$B12,"-",IF(InfGlo1LevelDesired&lt;$B12,"-",$D12))</f>
        <v>-</v>
      </c>
      <c r="K12" s="21" t="str">
        <f t="shared" ref="K12" si="471">IF(InfGlo1LevelCurrent&gt;=$B12,"-",IF(InfGlo1LevelDesired&lt;$B12,"-",$E12))</f>
        <v>-</v>
      </c>
      <c r="L12" s="15" t="str">
        <f t="shared" ref="L12" si="472">IF(InfBel1LevelCurrent&gt;=$B12,"-",IF(InfBel1LevelDesired&lt;$B12,"-",$C12))</f>
        <v>-</v>
      </c>
      <c r="M12" s="1" t="str">
        <f t="shared" ref="M12" si="473">IF(InfBel1LevelCurrent&gt;=$B12,"-",IF(InfBel1LevelDesired&lt;$B12,"-",$D12))</f>
        <v>-</v>
      </c>
      <c r="N12" s="21" t="str">
        <f t="shared" ref="N12" si="474">IF(InfBel1LevelCurrent&gt;=$B12,"-",IF(InfBel1LevelDesired&lt;$B12,"-",$E12))</f>
        <v>-</v>
      </c>
      <c r="O12" s="15" t="str">
        <f t="shared" ref="O12" si="475">IF(InfBoo1LevelCurrent&gt;=$B12,"-",IF(InfBoo1LevelDesired&lt;$B12,"-",$C12))</f>
        <v>-</v>
      </c>
      <c r="P12" s="1" t="str">
        <f t="shared" ref="P12" si="476">IF(InfBoo1LevelCurrent&gt;=$B12,"-",IF(InfBoo1LevelDesired&lt;$B12,"-",$D12))</f>
        <v>-</v>
      </c>
      <c r="Q12" s="21" t="str">
        <f t="shared" ref="Q12" si="477">IF(InfBoo1LevelCurrent&gt;=$B12,"-",IF(InfBoo1LevelDesired&lt;$B12,"-",$E12))</f>
        <v>-</v>
      </c>
      <c r="R12" s="15" t="str">
        <f t="shared" ref="R12" si="478">IF(LanGog1LevelCurrent&gt;=$B12,"-",IF(LanGog1LevelDesired&lt;$B12,"-",$C12))</f>
        <v>-</v>
      </c>
      <c r="S12" s="1" t="str">
        <f t="shared" ref="S12" si="479">IF(LanGog1LevelCurrent&gt;=$B12,"-",IF(LanGog1LevelDesired&lt;$B12,"-",$D12))</f>
        <v>-</v>
      </c>
      <c r="T12" s="21" t="str">
        <f t="shared" ref="T12" si="480">IF(LanGog1LevelCurrent&gt;=$B12,"-",IF(LanGog1LevelDesired&lt;$B12,"-",$E12))</f>
        <v>-</v>
      </c>
      <c r="U12" s="15" t="str">
        <f t="shared" ref="U12" si="481">IF(LanGlo1LevelCurrent&gt;=$B12,"-",IF(LanGlo1LevelDesired&lt;$B12,"-",$C12))</f>
        <v>-</v>
      </c>
      <c r="V12" s="1" t="str">
        <f t="shared" ref="V12" si="482">IF(LanGlo1LevelCurrent&gt;=$B12,"-",IF(LanGlo1LevelDesired&lt;$B12,"-",$D12))</f>
        <v>-</v>
      </c>
      <c r="W12" s="21" t="str">
        <f t="shared" ref="W12" si="483">IF(LanGlo1LevelCurrent&gt;=$B12,"-",IF(LanGlo1LevelDesired&lt;$B12,"-",$E12))</f>
        <v>-</v>
      </c>
      <c r="X12" s="15" t="str">
        <f t="shared" ref="X12" si="484">IF(LanBel1LevelCurrent&gt;=$B12,"-",IF(LanBel1LevelDesired&lt;$B12,"-",$C12))</f>
        <v>-</v>
      </c>
      <c r="Y12" s="1" t="str">
        <f t="shared" ref="Y12" si="485">IF(LanBel1LevelCurrent&gt;=$B12,"-",IF(LanBel1LevelDesired&lt;$B12,"-",$D12))</f>
        <v>-</v>
      </c>
      <c r="Z12" s="21" t="str">
        <f t="shared" ref="Z12" si="486">IF(LanBel1LevelCurrent&gt;=$B12,"-",IF(LanBel1LevelDesired&lt;$B12,"-",$E12))</f>
        <v>-</v>
      </c>
      <c r="AA12" s="15" t="str">
        <f t="shared" ref="AA12" si="487">IF(LanBoo1LevelCurrent&gt;=$B12,"-",IF(LanBoo1LevelDesired&lt;$B12,"-",$C12))</f>
        <v>-</v>
      </c>
      <c r="AB12" s="1" t="str">
        <f t="shared" ref="AB12" si="488">IF(LanBoo1LevelCurrent&gt;=$B12,"-",IF(LanBoo1LevelDesired&lt;$B12,"-",$D12))</f>
        <v>-</v>
      </c>
      <c r="AC12" s="21" t="str">
        <f t="shared" ref="AC12" si="489">IF(LanBoo1LevelCurrent&gt;=$B12,"-",IF(LanBoo1LevelDesired&lt;$B12,"-",$E12))</f>
        <v>-</v>
      </c>
      <c r="AD12" s="15" t="str">
        <f t="shared" ref="AD12" si="490">IF(MarGog1LevelCurrent&gt;=$B12,"-",IF(MarGog1LevelDesired&lt;$B12,"-",$C12))</f>
        <v>-</v>
      </c>
      <c r="AE12" s="1" t="str">
        <f t="shared" ref="AE12" si="491">IF(MarGog1LevelCurrent&gt;=$B12,"-",IF(MarGog1LevelDesired&lt;$B12,"-",$D12))</f>
        <v>-</v>
      </c>
      <c r="AF12" s="21" t="str">
        <f t="shared" ref="AF12" si="492">IF(MarGog1LevelCurrent&gt;=$B12,"-",IF(MarGog1LevelDesired&lt;$B12,"-",$E12))</f>
        <v>-</v>
      </c>
      <c r="AG12" s="15" t="str">
        <f t="shared" ref="AG12" si="493">IF(MarGlo1LevelCurrent&gt;=$B12,"-",IF(MarGlo1LevelDesired&lt;$B12,"-",$C12))</f>
        <v>-</v>
      </c>
      <c r="AH12" s="1" t="str">
        <f t="shared" ref="AH12" si="494">IF(MarGlo1LevelCurrent&gt;=$B12,"-",IF(MarGlo1LevelDesired&lt;$B12,"-",$D12))</f>
        <v>-</v>
      </c>
      <c r="AI12" s="21" t="str">
        <f t="shared" ref="AI12" si="495">IF(MarGlo1LevelCurrent&gt;=$B12,"-",IF(MarGlo1LevelDesired&lt;$B12,"-",$E12))</f>
        <v>-</v>
      </c>
      <c r="AJ12" s="15" t="str">
        <f t="shared" ref="AJ12" si="496">IF(MarBel1LevelCurrent&gt;=$B12,"-",IF(MarBel1LevelDesired&lt;$B12,"-",$C12))</f>
        <v>-</v>
      </c>
      <c r="AK12" s="1" t="str">
        <f t="shared" ref="AK12" si="497">IF(MarBel1LevelCurrent&gt;=$B12,"-",IF(MarBel1LevelDesired&lt;$B12,"-",$D12))</f>
        <v>-</v>
      </c>
      <c r="AL12" s="21" t="str">
        <f t="shared" ref="AL12" si="498">IF(MarBel1LevelCurrent&gt;=$B12,"-",IF(MarBel1LevelDesired&lt;$B12,"-",$E12))</f>
        <v>-</v>
      </c>
      <c r="AM12" s="15" t="str">
        <f t="shared" ref="AM12" si="499">IF(MarBoo1LevelCurrent&gt;=$B12,"-",IF(MarBoo1LevelDesired&lt;$B12,"-",$C12))</f>
        <v>-</v>
      </c>
      <c r="AN12" s="1" t="str">
        <f t="shared" ref="AN12" si="500">IF(MarBoo1LevelCurrent&gt;=$B12,"-",IF(MarBoo1LevelDesired&lt;$B12,"-",$D12))</f>
        <v>-</v>
      </c>
      <c r="AO12" s="21" t="str">
        <f t="shared" ref="AO12" si="501">IF(MarBoo1LevelCurrent&gt;=$B12,"-",IF(MarBoo1LevelDesired&lt;$B12,"-",$E12))</f>
        <v>-</v>
      </c>
      <c r="AP12" s="15" t="str">
        <f t="shared" ref="AP12" si="502">IF(InfGog2LevelCurrent&gt;=$B12,"-",IF(InfGog2LevelDesired&lt;$B12,"-",$C12))</f>
        <v>-</v>
      </c>
      <c r="AQ12" s="1" t="str">
        <f t="shared" ref="AQ12" si="503">IF(InfGog2LevelCurrent&gt;=$B12,"-",IF(InfGog2LevelDesired&lt;$B12,"-",$D12))</f>
        <v>-</v>
      </c>
      <c r="AR12" s="21" t="str">
        <f t="shared" ref="AR12" si="504">IF(InfGog2LevelCurrent&gt;=$B12,"-",IF(InfGog2LevelDesired&lt;$B12,"-",$E12))</f>
        <v>-</v>
      </c>
      <c r="AS12" s="15" t="str">
        <f t="shared" ref="AS12" si="505">IF(InfGlo2LevelCurrent&gt;=$B12,"-",IF(InfGlo2LevelDesired&lt;$B12,"-",$C12))</f>
        <v>-</v>
      </c>
      <c r="AT12" s="1" t="str">
        <f t="shared" ref="AT12" si="506">IF(InfGlo2LevelCurrent&gt;=$B12,"-",IF(InfGlo2LevelDesired&lt;$B12,"-",$D12))</f>
        <v>-</v>
      </c>
      <c r="AU12" s="21" t="str">
        <f t="shared" ref="AU12" si="507">IF(InfGlo2LevelCurrent&gt;=$B12,"-",IF(InfGlo2LevelDesired&lt;$B12,"-",$E12))</f>
        <v>-</v>
      </c>
      <c r="AV12" s="15" t="str">
        <f t="shared" ref="AV12" si="508">IF(InfBel2LevelCurrent&gt;=$B12,"-",IF(InfBel2LevelDesired&lt;$B12,"-",$C12))</f>
        <v>-</v>
      </c>
      <c r="AW12" s="1" t="str">
        <f t="shared" ref="AW12" si="509">IF(InfBel2LevelCurrent&gt;=$B12,"-",IF(InfBel2LevelDesired&lt;$B12,"-",$D12))</f>
        <v>-</v>
      </c>
      <c r="AX12" s="21" t="str">
        <f t="shared" ref="AX12" si="510">IF(InfBel2LevelCurrent&gt;=$B12,"-",IF(InfBel2LevelDesired&lt;$B12,"-",$E12))</f>
        <v>-</v>
      </c>
      <c r="AY12" s="15" t="str">
        <f t="shared" ref="AY12" si="511">IF(InfBoo2LevelCurrent&gt;=$B12,"-",IF(InfBoo2LevelDesired&lt;$B12,"-",$C12))</f>
        <v>-</v>
      </c>
      <c r="AZ12" s="1" t="str">
        <f t="shared" ref="AZ12" si="512">IF(InfBoo2LevelCurrent&gt;=$B12,"-",IF(InfBoo2LevelDesired&lt;$B12,"-",$D12))</f>
        <v>-</v>
      </c>
      <c r="BA12" s="21" t="str">
        <f t="shared" ref="BA12" si="513">IF(InfBoo2LevelCurrent&gt;=$B12,"-",IF(InfBoo2LevelDesired&lt;$B12,"-",$E12))</f>
        <v>-</v>
      </c>
      <c r="BB12" s="15" t="str">
        <f t="shared" ref="BB12" si="514">IF(LanGog2LevelCurrent&gt;=$B12,"-",IF(LanGog2LevelDesired&lt;$B12,"-",$C12))</f>
        <v>-</v>
      </c>
      <c r="BC12" s="1" t="str">
        <f t="shared" ref="BC12" si="515">IF(LanGog2LevelCurrent&gt;=$B12,"-",IF(LanGog2LevelDesired&lt;$B12,"-",$D12))</f>
        <v>-</v>
      </c>
      <c r="BD12" s="21" t="str">
        <f t="shared" ref="BD12" si="516">IF(LanGog2LevelCurrent&gt;=$B12,"-",IF(LanGog2LevelDesired&lt;$B12,"-",$E12))</f>
        <v>-</v>
      </c>
      <c r="BE12" s="15" t="str">
        <f t="shared" ref="BE12" si="517">IF(LanGlo2LevelCurrent&gt;=$B12,"-",IF(LanGlo2LevelDesired&lt;$B12,"-",$C12))</f>
        <v>-</v>
      </c>
      <c r="BF12" s="1" t="str">
        <f t="shared" ref="BF12" si="518">IF(LanGlo2LevelCurrent&gt;=$B12,"-",IF(LanGlo2LevelDesired&lt;$B12,"-",$D12))</f>
        <v>-</v>
      </c>
      <c r="BG12" s="21" t="str">
        <f t="shared" ref="BG12" si="519">IF(LanGlo2LevelCurrent&gt;=$B12,"-",IF(LanGlo2LevelDesired&lt;$B12,"-",$E12))</f>
        <v>-</v>
      </c>
      <c r="BH12" s="15" t="str">
        <f t="shared" ref="BH12" si="520">IF(LanBel2LevelCurrent&gt;=$B12,"-",IF(LanBel2LevelDesired&lt;$B12,"-",$C12))</f>
        <v>-</v>
      </c>
      <c r="BI12" s="1" t="str">
        <f t="shared" ref="BI12" si="521">IF(LanBel2LevelCurrent&gt;=$B12,"-",IF(LanBel2LevelDesired&lt;$B12,"-",$D12))</f>
        <v>-</v>
      </c>
      <c r="BJ12" s="21" t="str">
        <f t="shared" ref="BJ12" si="522">IF(LanBel2LevelCurrent&gt;=$B12,"-",IF(LanBel2LevelDesired&lt;$B12,"-",$E12))</f>
        <v>-</v>
      </c>
      <c r="BK12" s="15" t="str">
        <f t="shared" ref="BK12" si="523">IF(LanBoo2LevelCurrent&gt;=$B12,"-",IF(LanBoo2LevelDesired&lt;$B12,"-",$C12))</f>
        <v>-</v>
      </c>
      <c r="BL12" s="1" t="str">
        <f t="shared" ref="BL12" si="524">IF(LanBoo2LevelCurrent&gt;=$B12,"-",IF(LanBoo2LevelDesired&lt;$B12,"-",$D12))</f>
        <v>-</v>
      </c>
      <c r="BM12" s="21" t="str">
        <f t="shared" ref="BM12" si="525">IF(LanBoo2LevelCurrent&gt;=$B12,"-",IF(LanBoo2LevelDesired&lt;$B12,"-",$E12))</f>
        <v>-</v>
      </c>
      <c r="BN12" s="15" t="str">
        <f t="shared" ref="BN12" si="526">IF(MarGog2LevelCurrent&gt;=$B12,"-",IF(MarGog2LevelDesired&lt;$B12,"-",$C12))</f>
        <v>-</v>
      </c>
      <c r="BO12" s="1" t="str">
        <f t="shared" ref="BO12" si="527">IF(MarGog2LevelCurrent&gt;=$B12,"-",IF(MarGog2LevelDesired&lt;$B12,"-",$D12))</f>
        <v>-</v>
      </c>
      <c r="BP12" s="21" t="str">
        <f t="shared" ref="BP12" si="528">IF(MarGog2LevelCurrent&gt;=$B12,"-",IF(MarGog2LevelDesired&lt;$B12,"-",$E12))</f>
        <v>-</v>
      </c>
      <c r="BQ12" s="15" t="str">
        <f t="shared" ref="BQ12" si="529">IF(MarGlo2LevelCurrent&gt;=$B12,"-",IF(MarGlo2LevelDesired&lt;$B12,"-",$C12))</f>
        <v>-</v>
      </c>
      <c r="BR12" s="1" t="str">
        <f t="shared" ref="BR12" si="530">IF(MarGlo2LevelCurrent&gt;=$B12,"-",IF(MarGlo2LevelDesired&lt;$B12,"-",$D12))</f>
        <v>-</v>
      </c>
      <c r="BS12" s="21" t="str">
        <f t="shared" ref="BS12" si="531">IF(MarGlo2LevelCurrent&gt;=$B12,"-",IF(MarGlo2LevelDesired&lt;$B12,"-",$E12))</f>
        <v>-</v>
      </c>
      <c r="BT12" s="15" t="str">
        <f t="shared" ref="BT12" si="532">IF(MarBel2LevelCurrent&gt;=$B12,"-",IF(MarBel2LevelDesired&lt;$B12,"-",$C12))</f>
        <v>-</v>
      </c>
      <c r="BU12" s="1" t="str">
        <f t="shared" ref="BU12" si="533">IF(MarBel2LevelCurrent&gt;=$B12,"-",IF(MarBel2LevelDesired&lt;$B12,"-",$D12))</f>
        <v>-</v>
      </c>
      <c r="BV12" s="21" t="str">
        <f t="shared" ref="BV12" si="534">IF(MarBel2LevelCurrent&gt;=$B12,"-",IF(MarBel2LevelDesired&lt;$B12,"-",$E12))</f>
        <v>-</v>
      </c>
      <c r="BW12" s="15" t="str">
        <f t="shared" ref="BW12" si="535">IF(MarBoo2LevelCurrent&gt;=$B12,"-",IF(MarBoo2LevelDesired&lt;$B12,"-",$C12))</f>
        <v>-</v>
      </c>
      <c r="BX12" s="1" t="str">
        <f t="shared" ref="BX12" si="536">IF(MarBoo2LevelCurrent&gt;=$B12,"-",IF(MarBoo2LevelDesired&lt;$B12,"-",$D12))</f>
        <v>-</v>
      </c>
      <c r="BY12" s="21" t="str">
        <f t="shared" ref="BY12" si="537">IF(MarBoo2LevelCurrent&gt;=$B12,"-",IF(MarBoo2LevelDesired&lt;$B12,"-",$E12))</f>
        <v>-</v>
      </c>
      <c r="BZ12" s="15" t="str">
        <f t="shared" si="72"/>
        <v>-</v>
      </c>
      <c r="CA12" s="1" t="str" cm="1">
        <f t="array" ref="CA12">IF(InfGog3LevelCurrent&gt;=$B12,"-",IF(InfGog3LevelDesired&lt;$B12,"-",$D12))</f>
        <v>-</v>
      </c>
      <c r="CB12" s="21" t="str" cm="1">
        <f t="array" ref="CB12">IF(InfGog3LevelCurrent&gt;=$B12,"-",IF(InfGog3LevelDesired&lt;$B12,"-",$E12))</f>
        <v>-</v>
      </c>
      <c r="CC12" s="15" t="str">
        <f t="shared" si="73"/>
        <v>-</v>
      </c>
      <c r="CD12" s="1" t="str">
        <f t="shared" si="74"/>
        <v>-</v>
      </c>
      <c r="CE12" s="21" t="str">
        <f t="shared" si="75"/>
        <v>-</v>
      </c>
      <c r="CF12" s="15" t="str">
        <f t="shared" si="76"/>
        <v>-</v>
      </c>
      <c r="CG12" s="1" t="str">
        <f t="shared" si="77"/>
        <v>-</v>
      </c>
      <c r="CH12" s="21" t="str">
        <f t="shared" si="78"/>
        <v>-</v>
      </c>
      <c r="CI12" s="15" t="str">
        <f t="shared" si="79"/>
        <v>-</v>
      </c>
      <c r="CJ12" s="1" t="str">
        <f t="shared" si="80"/>
        <v>-</v>
      </c>
      <c r="CK12" s="21" t="str">
        <f t="shared" si="81"/>
        <v>-</v>
      </c>
      <c r="CL12" s="15" t="str">
        <f t="shared" si="82"/>
        <v>-</v>
      </c>
      <c r="CM12" s="1" t="str">
        <f t="shared" si="83"/>
        <v>-</v>
      </c>
      <c r="CN12" s="21" t="str">
        <f t="shared" si="84"/>
        <v>-</v>
      </c>
      <c r="CO12" s="15" t="str">
        <f t="shared" si="85"/>
        <v>-</v>
      </c>
      <c r="CP12" s="1" t="str">
        <f t="shared" si="86"/>
        <v>-</v>
      </c>
      <c r="CQ12" s="21" t="str">
        <f t="shared" si="87"/>
        <v>-</v>
      </c>
      <c r="CR12" s="15" t="str">
        <f t="shared" si="88"/>
        <v>-</v>
      </c>
      <c r="CS12" s="1" t="str">
        <f t="shared" si="89"/>
        <v>-</v>
      </c>
      <c r="CT12" s="21" t="str">
        <f t="shared" si="90"/>
        <v>-</v>
      </c>
      <c r="CU12" s="15" t="str">
        <f t="shared" si="91"/>
        <v>-</v>
      </c>
      <c r="CV12" s="1" t="str">
        <f t="shared" si="92"/>
        <v>-</v>
      </c>
      <c r="CW12" s="21" t="str">
        <f t="shared" si="93"/>
        <v>-</v>
      </c>
      <c r="CX12" s="15" t="str">
        <f t="shared" si="94"/>
        <v>-</v>
      </c>
      <c r="CY12" s="1" t="str">
        <f t="shared" si="95"/>
        <v>-</v>
      </c>
      <c r="CZ12" s="21" t="str">
        <f t="shared" si="96"/>
        <v>-</v>
      </c>
      <c r="DA12" s="15" t="str">
        <f t="shared" si="97"/>
        <v>-</v>
      </c>
      <c r="DB12" s="1" t="str">
        <f t="shared" si="98"/>
        <v>-</v>
      </c>
      <c r="DC12" s="21" t="str">
        <f t="shared" si="99"/>
        <v>-</v>
      </c>
      <c r="DD12" s="15" t="str">
        <f t="shared" si="100"/>
        <v>-</v>
      </c>
      <c r="DE12" s="1" t="str">
        <f t="shared" si="101"/>
        <v>-</v>
      </c>
      <c r="DF12" s="21" t="str">
        <f t="shared" si="102"/>
        <v>-</v>
      </c>
      <c r="DG12" s="15" t="str">
        <f t="shared" si="103"/>
        <v>-</v>
      </c>
      <c r="DH12" s="1" t="str">
        <f t="shared" si="104"/>
        <v>-</v>
      </c>
      <c r="DI12" s="21" t="str">
        <f t="shared" si="105"/>
        <v>-</v>
      </c>
    </row>
    <row r="13" spans="2:113" x14ac:dyDescent="0.3">
      <c r="B13" s="1">
        <v>8</v>
      </c>
      <c r="C13" s="67">
        <v>45</v>
      </c>
      <c r="D13" s="88" t="s">
        <v>27</v>
      </c>
      <c r="E13" s="21" t="s">
        <v>27</v>
      </c>
      <c r="F13" s="15" t="str">
        <f t="shared" ref="F13" si="538">IF(InfGog1LevelCurrent&gt;=$B13,"-",IF(InfGog1LevelDesired&lt;$B13,"-",$C13))</f>
        <v>-</v>
      </c>
      <c r="G13" s="1" t="str">
        <f t="shared" ref="G13" si="539">IF(InfGog1LevelCurrent&gt;=$B13,"-",IF(InfGog1LevelDesired&lt;$B13,"-",$D13))</f>
        <v>-</v>
      </c>
      <c r="H13" s="21" t="str">
        <f t="shared" ref="H13" si="540">IF(InfGog1LevelCurrent&gt;=$B13,"-",IF(InfGog1LevelDesired&lt;$B13,"-",$E13))</f>
        <v>-</v>
      </c>
      <c r="I13" s="15" t="str">
        <f t="shared" ref="I13" si="541">IF(InfGlo1LevelCurrent&gt;=$B13,"-",IF(InfGlo1LevelDesired&lt;$B13,"-",$C13))</f>
        <v>-</v>
      </c>
      <c r="J13" s="1" t="str">
        <f t="shared" ref="J13" si="542">IF(InfGlo1LevelCurrent&gt;=$B13,"-",IF(InfGlo1LevelDesired&lt;$B13,"-",$D13))</f>
        <v>-</v>
      </c>
      <c r="K13" s="21" t="str">
        <f t="shared" ref="K13" si="543">IF(InfGlo1LevelCurrent&gt;=$B13,"-",IF(InfGlo1LevelDesired&lt;$B13,"-",$E13))</f>
        <v>-</v>
      </c>
      <c r="L13" s="15" t="str">
        <f t="shared" ref="L13" si="544">IF(InfBel1LevelCurrent&gt;=$B13,"-",IF(InfBel1LevelDesired&lt;$B13,"-",$C13))</f>
        <v>-</v>
      </c>
      <c r="M13" s="1" t="str">
        <f t="shared" ref="M13" si="545">IF(InfBel1LevelCurrent&gt;=$B13,"-",IF(InfBel1LevelDesired&lt;$B13,"-",$D13))</f>
        <v>-</v>
      </c>
      <c r="N13" s="21" t="str">
        <f t="shared" ref="N13" si="546">IF(InfBel1LevelCurrent&gt;=$B13,"-",IF(InfBel1LevelDesired&lt;$B13,"-",$E13))</f>
        <v>-</v>
      </c>
      <c r="O13" s="15" t="str">
        <f t="shared" ref="O13" si="547">IF(InfBoo1LevelCurrent&gt;=$B13,"-",IF(InfBoo1LevelDesired&lt;$B13,"-",$C13))</f>
        <v>-</v>
      </c>
      <c r="P13" s="1" t="str">
        <f t="shared" ref="P13" si="548">IF(InfBoo1LevelCurrent&gt;=$B13,"-",IF(InfBoo1LevelDesired&lt;$B13,"-",$D13))</f>
        <v>-</v>
      </c>
      <c r="Q13" s="21" t="str">
        <f t="shared" ref="Q13" si="549">IF(InfBoo1LevelCurrent&gt;=$B13,"-",IF(InfBoo1LevelDesired&lt;$B13,"-",$E13))</f>
        <v>-</v>
      </c>
      <c r="R13" s="15" t="str">
        <f t="shared" ref="R13" si="550">IF(LanGog1LevelCurrent&gt;=$B13,"-",IF(LanGog1LevelDesired&lt;$B13,"-",$C13))</f>
        <v>-</v>
      </c>
      <c r="S13" s="1" t="str">
        <f t="shared" ref="S13" si="551">IF(LanGog1LevelCurrent&gt;=$B13,"-",IF(LanGog1LevelDesired&lt;$B13,"-",$D13))</f>
        <v>-</v>
      </c>
      <c r="T13" s="21" t="str">
        <f t="shared" ref="T13" si="552">IF(LanGog1LevelCurrent&gt;=$B13,"-",IF(LanGog1LevelDesired&lt;$B13,"-",$E13))</f>
        <v>-</v>
      </c>
      <c r="U13" s="15" t="str">
        <f t="shared" ref="U13" si="553">IF(LanGlo1LevelCurrent&gt;=$B13,"-",IF(LanGlo1LevelDesired&lt;$B13,"-",$C13))</f>
        <v>-</v>
      </c>
      <c r="V13" s="1" t="str">
        <f t="shared" ref="V13" si="554">IF(LanGlo1LevelCurrent&gt;=$B13,"-",IF(LanGlo1LevelDesired&lt;$B13,"-",$D13))</f>
        <v>-</v>
      </c>
      <c r="W13" s="21" t="str">
        <f t="shared" ref="W13" si="555">IF(LanGlo1LevelCurrent&gt;=$B13,"-",IF(LanGlo1LevelDesired&lt;$B13,"-",$E13))</f>
        <v>-</v>
      </c>
      <c r="X13" s="15" t="str">
        <f t="shared" ref="X13" si="556">IF(LanBel1LevelCurrent&gt;=$B13,"-",IF(LanBel1LevelDesired&lt;$B13,"-",$C13))</f>
        <v>-</v>
      </c>
      <c r="Y13" s="1" t="str">
        <f t="shared" ref="Y13" si="557">IF(LanBel1LevelCurrent&gt;=$B13,"-",IF(LanBel1LevelDesired&lt;$B13,"-",$D13))</f>
        <v>-</v>
      </c>
      <c r="Z13" s="21" t="str">
        <f t="shared" ref="Z13" si="558">IF(LanBel1LevelCurrent&gt;=$B13,"-",IF(LanBel1LevelDesired&lt;$B13,"-",$E13))</f>
        <v>-</v>
      </c>
      <c r="AA13" s="15" t="str">
        <f t="shared" ref="AA13" si="559">IF(LanBoo1LevelCurrent&gt;=$B13,"-",IF(LanBoo1LevelDesired&lt;$B13,"-",$C13))</f>
        <v>-</v>
      </c>
      <c r="AB13" s="1" t="str">
        <f t="shared" ref="AB13" si="560">IF(LanBoo1LevelCurrent&gt;=$B13,"-",IF(LanBoo1LevelDesired&lt;$B13,"-",$D13))</f>
        <v>-</v>
      </c>
      <c r="AC13" s="21" t="str">
        <f t="shared" ref="AC13" si="561">IF(LanBoo1LevelCurrent&gt;=$B13,"-",IF(LanBoo1LevelDesired&lt;$B13,"-",$E13))</f>
        <v>-</v>
      </c>
      <c r="AD13" s="15" t="str">
        <f t="shared" ref="AD13" si="562">IF(MarGog1LevelCurrent&gt;=$B13,"-",IF(MarGog1LevelDesired&lt;$B13,"-",$C13))</f>
        <v>-</v>
      </c>
      <c r="AE13" s="1" t="str">
        <f t="shared" ref="AE13" si="563">IF(MarGog1LevelCurrent&gt;=$B13,"-",IF(MarGog1LevelDesired&lt;$B13,"-",$D13))</f>
        <v>-</v>
      </c>
      <c r="AF13" s="21" t="str">
        <f t="shared" ref="AF13" si="564">IF(MarGog1LevelCurrent&gt;=$B13,"-",IF(MarGog1LevelDesired&lt;$B13,"-",$E13))</f>
        <v>-</v>
      </c>
      <c r="AG13" s="15" t="str">
        <f t="shared" ref="AG13" si="565">IF(MarGlo1LevelCurrent&gt;=$B13,"-",IF(MarGlo1LevelDesired&lt;$B13,"-",$C13))</f>
        <v>-</v>
      </c>
      <c r="AH13" s="1" t="str">
        <f t="shared" ref="AH13" si="566">IF(MarGlo1LevelCurrent&gt;=$B13,"-",IF(MarGlo1LevelDesired&lt;$B13,"-",$D13))</f>
        <v>-</v>
      </c>
      <c r="AI13" s="21" t="str">
        <f t="shared" ref="AI13" si="567">IF(MarGlo1LevelCurrent&gt;=$B13,"-",IF(MarGlo1LevelDesired&lt;$B13,"-",$E13))</f>
        <v>-</v>
      </c>
      <c r="AJ13" s="15" t="str">
        <f t="shared" ref="AJ13" si="568">IF(MarBel1LevelCurrent&gt;=$B13,"-",IF(MarBel1LevelDesired&lt;$B13,"-",$C13))</f>
        <v>-</v>
      </c>
      <c r="AK13" s="1" t="str">
        <f t="shared" ref="AK13" si="569">IF(MarBel1LevelCurrent&gt;=$B13,"-",IF(MarBel1LevelDesired&lt;$B13,"-",$D13))</f>
        <v>-</v>
      </c>
      <c r="AL13" s="21" t="str">
        <f t="shared" ref="AL13" si="570">IF(MarBel1LevelCurrent&gt;=$B13,"-",IF(MarBel1LevelDesired&lt;$B13,"-",$E13))</f>
        <v>-</v>
      </c>
      <c r="AM13" s="15" t="str">
        <f t="shared" ref="AM13" si="571">IF(MarBoo1LevelCurrent&gt;=$B13,"-",IF(MarBoo1LevelDesired&lt;$B13,"-",$C13))</f>
        <v>-</v>
      </c>
      <c r="AN13" s="1" t="str">
        <f t="shared" ref="AN13" si="572">IF(MarBoo1LevelCurrent&gt;=$B13,"-",IF(MarBoo1LevelDesired&lt;$B13,"-",$D13))</f>
        <v>-</v>
      </c>
      <c r="AO13" s="21" t="str">
        <f t="shared" ref="AO13" si="573">IF(MarBoo1LevelCurrent&gt;=$B13,"-",IF(MarBoo1LevelDesired&lt;$B13,"-",$E13))</f>
        <v>-</v>
      </c>
      <c r="AP13" s="15" t="str">
        <f t="shared" ref="AP13" si="574">IF(InfGog2LevelCurrent&gt;=$B13,"-",IF(InfGog2LevelDesired&lt;$B13,"-",$C13))</f>
        <v>-</v>
      </c>
      <c r="AQ13" s="1" t="str">
        <f t="shared" ref="AQ13" si="575">IF(InfGog2LevelCurrent&gt;=$B13,"-",IF(InfGog2LevelDesired&lt;$B13,"-",$D13))</f>
        <v>-</v>
      </c>
      <c r="AR13" s="21" t="str">
        <f t="shared" ref="AR13" si="576">IF(InfGog2LevelCurrent&gt;=$B13,"-",IF(InfGog2LevelDesired&lt;$B13,"-",$E13))</f>
        <v>-</v>
      </c>
      <c r="AS13" s="15" t="str">
        <f t="shared" ref="AS13" si="577">IF(InfGlo2LevelCurrent&gt;=$B13,"-",IF(InfGlo2LevelDesired&lt;$B13,"-",$C13))</f>
        <v>-</v>
      </c>
      <c r="AT13" s="1" t="str">
        <f t="shared" ref="AT13" si="578">IF(InfGlo2LevelCurrent&gt;=$B13,"-",IF(InfGlo2LevelDesired&lt;$B13,"-",$D13))</f>
        <v>-</v>
      </c>
      <c r="AU13" s="21" t="str">
        <f t="shared" ref="AU13" si="579">IF(InfGlo2LevelCurrent&gt;=$B13,"-",IF(InfGlo2LevelDesired&lt;$B13,"-",$E13))</f>
        <v>-</v>
      </c>
      <c r="AV13" s="15" t="str">
        <f t="shared" ref="AV13" si="580">IF(InfBel2LevelCurrent&gt;=$B13,"-",IF(InfBel2LevelDesired&lt;$B13,"-",$C13))</f>
        <v>-</v>
      </c>
      <c r="AW13" s="1" t="str">
        <f t="shared" ref="AW13" si="581">IF(InfBel2LevelCurrent&gt;=$B13,"-",IF(InfBel2LevelDesired&lt;$B13,"-",$D13))</f>
        <v>-</v>
      </c>
      <c r="AX13" s="21" t="str">
        <f t="shared" ref="AX13" si="582">IF(InfBel2LevelCurrent&gt;=$B13,"-",IF(InfBel2LevelDesired&lt;$B13,"-",$E13))</f>
        <v>-</v>
      </c>
      <c r="AY13" s="15" t="str">
        <f t="shared" ref="AY13" si="583">IF(InfBoo2LevelCurrent&gt;=$B13,"-",IF(InfBoo2LevelDesired&lt;$B13,"-",$C13))</f>
        <v>-</v>
      </c>
      <c r="AZ13" s="1" t="str">
        <f t="shared" ref="AZ13" si="584">IF(InfBoo2LevelCurrent&gt;=$B13,"-",IF(InfBoo2LevelDesired&lt;$B13,"-",$D13))</f>
        <v>-</v>
      </c>
      <c r="BA13" s="21" t="str">
        <f t="shared" ref="BA13" si="585">IF(InfBoo2LevelCurrent&gt;=$B13,"-",IF(InfBoo2LevelDesired&lt;$B13,"-",$E13))</f>
        <v>-</v>
      </c>
      <c r="BB13" s="15" t="str">
        <f t="shared" ref="BB13" si="586">IF(LanGog2LevelCurrent&gt;=$B13,"-",IF(LanGog2LevelDesired&lt;$B13,"-",$C13))</f>
        <v>-</v>
      </c>
      <c r="BC13" s="1" t="str">
        <f t="shared" ref="BC13" si="587">IF(LanGog2LevelCurrent&gt;=$B13,"-",IF(LanGog2LevelDesired&lt;$B13,"-",$D13))</f>
        <v>-</v>
      </c>
      <c r="BD13" s="21" t="str">
        <f t="shared" ref="BD13" si="588">IF(LanGog2LevelCurrent&gt;=$B13,"-",IF(LanGog2LevelDesired&lt;$B13,"-",$E13))</f>
        <v>-</v>
      </c>
      <c r="BE13" s="15" t="str">
        <f t="shared" ref="BE13" si="589">IF(LanGlo2LevelCurrent&gt;=$B13,"-",IF(LanGlo2LevelDesired&lt;$B13,"-",$C13))</f>
        <v>-</v>
      </c>
      <c r="BF13" s="1" t="str">
        <f t="shared" ref="BF13" si="590">IF(LanGlo2LevelCurrent&gt;=$B13,"-",IF(LanGlo2LevelDesired&lt;$B13,"-",$D13))</f>
        <v>-</v>
      </c>
      <c r="BG13" s="21" t="str">
        <f t="shared" ref="BG13" si="591">IF(LanGlo2LevelCurrent&gt;=$B13,"-",IF(LanGlo2LevelDesired&lt;$B13,"-",$E13))</f>
        <v>-</v>
      </c>
      <c r="BH13" s="15" t="str">
        <f t="shared" ref="BH13" si="592">IF(LanBel2LevelCurrent&gt;=$B13,"-",IF(LanBel2LevelDesired&lt;$B13,"-",$C13))</f>
        <v>-</v>
      </c>
      <c r="BI13" s="1" t="str">
        <f t="shared" ref="BI13" si="593">IF(LanBel2LevelCurrent&gt;=$B13,"-",IF(LanBel2LevelDesired&lt;$B13,"-",$D13))</f>
        <v>-</v>
      </c>
      <c r="BJ13" s="21" t="str">
        <f t="shared" ref="BJ13" si="594">IF(LanBel2LevelCurrent&gt;=$B13,"-",IF(LanBel2LevelDesired&lt;$B13,"-",$E13))</f>
        <v>-</v>
      </c>
      <c r="BK13" s="15" t="str">
        <f t="shared" ref="BK13" si="595">IF(LanBoo2LevelCurrent&gt;=$B13,"-",IF(LanBoo2LevelDesired&lt;$B13,"-",$C13))</f>
        <v>-</v>
      </c>
      <c r="BL13" s="1" t="str">
        <f t="shared" ref="BL13" si="596">IF(LanBoo2LevelCurrent&gt;=$B13,"-",IF(LanBoo2LevelDesired&lt;$B13,"-",$D13))</f>
        <v>-</v>
      </c>
      <c r="BM13" s="21" t="str">
        <f t="shared" ref="BM13" si="597">IF(LanBoo2LevelCurrent&gt;=$B13,"-",IF(LanBoo2LevelDesired&lt;$B13,"-",$E13))</f>
        <v>-</v>
      </c>
      <c r="BN13" s="15" t="str">
        <f t="shared" ref="BN13" si="598">IF(MarGog2LevelCurrent&gt;=$B13,"-",IF(MarGog2LevelDesired&lt;$B13,"-",$C13))</f>
        <v>-</v>
      </c>
      <c r="BO13" s="1" t="str">
        <f t="shared" ref="BO13" si="599">IF(MarGog2LevelCurrent&gt;=$B13,"-",IF(MarGog2LevelDesired&lt;$B13,"-",$D13))</f>
        <v>-</v>
      </c>
      <c r="BP13" s="21" t="str">
        <f t="shared" ref="BP13" si="600">IF(MarGog2LevelCurrent&gt;=$B13,"-",IF(MarGog2LevelDesired&lt;$B13,"-",$E13))</f>
        <v>-</v>
      </c>
      <c r="BQ13" s="15" t="str">
        <f t="shared" ref="BQ13" si="601">IF(MarGlo2LevelCurrent&gt;=$B13,"-",IF(MarGlo2LevelDesired&lt;$B13,"-",$C13))</f>
        <v>-</v>
      </c>
      <c r="BR13" s="1" t="str">
        <f t="shared" ref="BR13" si="602">IF(MarGlo2LevelCurrent&gt;=$B13,"-",IF(MarGlo2LevelDesired&lt;$B13,"-",$D13))</f>
        <v>-</v>
      </c>
      <c r="BS13" s="21" t="str">
        <f t="shared" ref="BS13" si="603">IF(MarGlo2LevelCurrent&gt;=$B13,"-",IF(MarGlo2LevelDesired&lt;$B13,"-",$E13))</f>
        <v>-</v>
      </c>
      <c r="BT13" s="15" t="str">
        <f t="shared" ref="BT13" si="604">IF(MarBel2LevelCurrent&gt;=$B13,"-",IF(MarBel2LevelDesired&lt;$B13,"-",$C13))</f>
        <v>-</v>
      </c>
      <c r="BU13" s="1" t="str">
        <f t="shared" ref="BU13" si="605">IF(MarBel2LevelCurrent&gt;=$B13,"-",IF(MarBel2LevelDesired&lt;$B13,"-",$D13))</f>
        <v>-</v>
      </c>
      <c r="BV13" s="21" t="str">
        <f t="shared" ref="BV13" si="606">IF(MarBel2LevelCurrent&gt;=$B13,"-",IF(MarBel2LevelDesired&lt;$B13,"-",$E13))</f>
        <v>-</v>
      </c>
      <c r="BW13" s="15" t="str">
        <f t="shared" ref="BW13" si="607">IF(MarBoo2LevelCurrent&gt;=$B13,"-",IF(MarBoo2LevelDesired&lt;$B13,"-",$C13))</f>
        <v>-</v>
      </c>
      <c r="BX13" s="1" t="str">
        <f t="shared" ref="BX13" si="608">IF(MarBoo2LevelCurrent&gt;=$B13,"-",IF(MarBoo2LevelDesired&lt;$B13,"-",$D13))</f>
        <v>-</v>
      </c>
      <c r="BY13" s="21" t="str">
        <f t="shared" ref="BY13" si="609">IF(MarBoo2LevelCurrent&gt;=$B13,"-",IF(MarBoo2LevelDesired&lt;$B13,"-",$E13))</f>
        <v>-</v>
      </c>
      <c r="BZ13" s="15" t="str">
        <f t="shared" si="72"/>
        <v>-</v>
      </c>
      <c r="CA13" s="1" t="str" cm="1">
        <f t="array" ref="CA13">IF(InfGog3LevelCurrent&gt;=$B13,"-",IF(InfGog3LevelDesired&lt;$B13,"-",$D13))</f>
        <v>-</v>
      </c>
      <c r="CB13" s="21" t="str" cm="1">
        <f t="array" ref="CB13">IF(InfGog3LevelCurrent&gt;=$B13,"-",IF(InfGog3LevelDesired&lt;$B13,"-",$E13))</f>
        <v>-</v>
      </c>
      <c r="CC13" s="15" t="str">
        <f t="shared" si="73"/>
        <v>-</v>
      </c>
      <c r="CD13" s="1" t="str">
        <f t="shared" si="74"/>
        <v>-</v>
      </c>
      <c r="CE13" s="21" t="str">
        <f t="shared" si="75"/>
        <v>-</v>
      </c>
      <c r="CF13" s="15" t="str">
        <f t="shared" si="76"/>
        <v>-</v>
      </c>
      <c r="CG13" s="1" t="str">
        <f t="shared" si="77"/>
        <v>-</v>
      </c>
      <c r="CH13" s="21" t="str">
        <f t="shared" si="78"/>
        <v>-</v>
      </c>
      <c r="CI13" s="15" t="str">
        <f t="shared" si="79"/>
        <v>-</v>
      </c>
      <c r="CJ13" s="1" t="str">
        <f t="shared" si="80"/>
        <v>-</v>
      </c>
      <c r="CK13" s="21" t="str">
        <f t="shared" si="81"/>
        <v>-</v>
      </c>
      <c r="CL13" s="15" t="str">
        <f t="shared" si="82"/>
        <v>-</v>
      </c>
      <c r="CM13" s="1" t="str">
        <f t="shared" si="83"/>
        <v>-</v>
      </c>
      <c r="CN13" s="21" t="str">
        <f t="shared" si="84"/>
        <v>-</v>
      </c>
      <c r="CO13" s="15" t="str">
        <f t="shared" si="85"/>
        <v>-</v>
      </c>
      <c r="CP13" s="1" t="str">
        <f t="shared" si="86"/>
        <v>-</v>
      </c>
      <c r="CQ13" s="21" t="str">
        <f t="shared" si="87"/>
        <v>-</v>
      </c>
      <c r="CR13" s="15" t="str">
        <f t="shared" si="88"/>
        <v>-</v>
      </c>
      <c r="CS13" s="1" t="str">
        <f t="shared" si="89"/>
        <v>-</v>
      </c>
      <c r="CT13" s="21" t="str">
        <f t="shared" si="90"/>
        <v>-</v>
      </c>
      <c r="CU13" s="15" t="str">
        <f t="shared" si="91"/>
        <v>-</v>
      </c>
      <c r="CV13" s="1" t="str">
        <f t="shared" si="92"/>
        <v>-</v>
      </c>
      <c r="CW13" s="21" t="str">
        <f t="shared" si="93"/>
        <v>-</v>
      </c>
      <c r="CX13" s="15" t="str">
        <f t="shared" si="94"/>
        <v>-</v>
      </c>
      <c r="CY13" s="1" t="str">
        <f t="shared" si="95"/>
        <v>-</v>
      </c>
      <c r="CZ13" s="21" t="str">
        <f t="shared" si="96"/>
        <v>-</v>
      </c>
      <c r="DA13" s="15" t="str">
        <f t="shared" si="97"/>
        <v>-</v>
      </c>
      <c r="DB13" s="1" t="str">
        <f t="shared" si="98"/>
        <v>-</v>
      </c>
      <c r="DC13" s="21" t="str">
        <f t="shared" si="99"/>
        <v>-</v>
      </c>
      <c r="DD13" s="15" t="str">
        <f t="shared" si="100"/>
        <v>-</v>
      </c>
      <c r="DE13" s="1" t="str">
        <f t="shared" si="101"/>
        <v>-</v>
      </c>
      <c r="DF13" s="21" t="str">
        <f t="shared" si="102"/>
        <v>-</v>
      </c>
      <c r="DG13" s="15" t="str">
        <f t="shared" si="103"/>
        <v>-</v>
      </c>
      <c r="DH13" s="1" t="str">
        <f t="shared" si="104"/>
        <v>-</v>
      </c>
      <c r="DI13" s="21" t="str">
        <f t="shared" si="105"/>
        <v>-</v>
      </c>
    </row>
    <row r="14" spans="2:113" x14ac:dyDescent="0.3">
      <c r="B14" s="1">
        <v>9</v>
      </c>
      <c r="C14" s="67">
        <v>50</v>
      </c>
      <c r="D14" s="88" t="s">
        <v>27</v>
      </c>
      <c r="E14" s="21" t="s">
        <v>27</v>
      </c>
      <c r="F14" s="15" t="str">
        <f t="shared" ref="F14" si="610">IF(InfGog1LevelCurrent&gt;=$B14,"-",IF(InfGog1LevelDesired&lt;$B14,"-",$C14))</f>
        <v>-</v>
      </c>
      <c r="G14" s="1" t="str">
        <f t="shared" ref="G14" si="611">IF(InfGog1LevelCurrent&gt;=$B14,"-",IF(InfGog1LevelDesired&lt;$B14,"-",$D14))</f>
        <v>-</v>
      </c>
      <c r="H14" s="21" t="str">
        <f t="shared" ref="H14" si="612">IF(InfGog1LevelCurrent&gt;=$B14,"-",IF(InfGog1LevelDesired&lt;$B14,"-",$E14))</f>
        <v>-</v>
      </c>
      <c r="I14" s="15" t="str">
        <f t="shared" ref="I14" si="613">IF(InfGlo1LevelCurrent&gt;=$B14,"-",IF(InfGlo1LevelDesired&lt;$B14,"-",$C14))</f>
        <v>-</v>
      </c>
      <c r="J14" s="1" t="str">
        <f t="shared" ref="J14" si="614">IF(InfGlo1LevelCurrent&gt;=$B14,"-",IF(InfGlo1LevelDesired&lt;$B14,"-",$D14))</f>
        <v>-</v>
      </c>
      <c r="K14" s="21" t="str">
        <f t="shared" ref="K14" si="615">IF(InfGlo1LevelCurrent&gt;=$B14,"-",IF(InfGlo1LevelDesired&lt;$B14,"-",$E14))</f>
        <v>-</v>
      </c>
      <c r="L14" s="15" t="str">
        <f t="shared" ref="L14" si="616">IF(InfBel1LevelCurrent&gt;=$B14,"-",IF(InfBel1LevelDesired&lt;$B14,"-",$C14))</f>
        <v>-</v>
      </c>
      <c r="M14" s="1" t="str">
        <f t="shared" ref="M14" si="617">IF(InfBel1LevelCurrent&gt;=$B14,"-",IF(InfBel1LevelDesired&lt;$B14,"-",$D14))</f>
        <v>-</v>
      </c>
      <c r="N14" s="21" t="str">
        <f t="shared" ref="N14" si="618">IF(InfBel1LevelCurrent&gt;=$B14,"-",IF(InfBel1LevelDesired&lt;$B14,"-",$E14))</f>
        <v>-</v>
      </c>
      <c r="O14" s="15" t="str">
        <f t="shared" ref="O14" si="619">IF(InfBoo1LevelCurrent&gt;=$B14,"-",IF(InfBoo1LevelDesired&lt;$B14,"-",$C14))</f>
        <v>-</v>
      </c>
      <c r="P14" s="1" t="str">
        <f t="shared" ref="P14" si="620">IF(InfBoo1LevelCurrent&gt;=$B14,"-",IF(InfBoo1LevelDesired&lt;$B14,"-",$D14))</f>
        <v>-</v>
      </c>
      <c r="Q14" s="21" t="str">
        <f t="shared" ref="Q14" si="621">IF(InfBoo1LevelCurrent&gt;=$B14,"-",IF(InfBoo1LevelDesired&lt;$B14,"-",$E14))</f>
        <v>-</v>
      </c>
      <c r="R14" s="15" t="str">
        <f t="shared" ref="R14" si="622">IF(LanGog1LevelCurrent&gt;=$B14,"-",IF(LanGog1LevelDesired&lt;$B14,"-",$C14))</f>
        <v>-</v>
      </c>
      <c r="S14" s="1" t="str">
        <f t="shared" ref="S14" si="623">IF(LanGog1LevelCurrent&gt;=$B14,"-",IF(LanGog1LevelDesired&lt;$B14,"-",$D14))</f>
        <v>-</v>
      </c>
      <c r="T14" s="21" t="str">
        <f t="shared" ref="T14" si="624">IF(LanGog1LevelCurrent&gt;=$B14,"-",IF(LanGog1LevelDesired&lt;$B14,"-",$E14))</f>
        <v>-</v>
      </c>
      <c r="U14" s="15" t="str">
        <f t="shared" ref="U14" si="625">IF(LanGlo1LevelCurrent&gt;=$B14,"-",IF(LanGlo1LevelDesired&lt;$B14,"-",$C14))</f>
        <v>-</v>
      </c>
      <c r="V14" s="1" t="str">
        <f t="shared" ref="V14" si="626">IF(LanGlo1LevelCurrent&gt;=$B14,"-",IF(LanGlo1LevelDesired&lt;$B14,"-",$D14))</f>
        <v>-</v>
      </c>
      <c r="W14" s="21" t="str">
        <f t="shared" ref="W14" si="627">IF(LanGlo1LevelCurrent&gt;=$B14,"-",IF(LanGlo1LevelDesired&lt;$B14,"-",$E14))</f>
        <v>-</v>
      </c>
      <c r="X14" s="15" t="str">
        <f t="shared" ref="X14" si="628">IF(LanBel1LevelCurrent&gt;=$B14,"-",IF(LanBel1LevelDesired&lt;$B14,"-",$C14))</f>
        <v>-</v>
      </c>
      <c r="Y14" s="1" t="str">
        <f t="shared" ref="Y14" si="629">IF(LanBel1LevelCurrent&gt;=$B14,"-",IF(LanBel1LevelDesired&lt;$B14,"-",$D14))</f>
        <v>-</v>
      </c>
      <c r="Z14" s="21" t="str">
        <f t="shared" ref="Z14" si="630">IF(LanBel1LevelCurrent&gt;=$B14,"-",IF(LanBel1LevelDesired&lt;$B14,"-",$E14))</f>
        <v>-</v>
      </c>
      <c r="AA14" s="15" t="str">
        <f t="shared" ref="AA14" si="631">IF(LanBoo1LevelCurrent&gt;=$B14,"-",IF(LanBoo1LevelDesired&lt;$B14,"-",$C14))</f>
        <v>-</v>
      </c>
      <c r="AB14" s="1" t="str">
        <f t="shared" ref="AB14" si="632">IF(LanBoo1LevelCurrent&gt;=$B14,"-",IF(LanBoo1LevelDesired&lt;$B14,"-",$D14))</f>
        <v>-</v>
      </c>
      <c r="AC14" s="21" t="str">
        <f t="shared" ref="AC14" si="633">IF(LanBoo1LevelCurrent&gt;=$B14,"-",IF(LanBoo1LevelDesired&lt;$B14,"-",$E14))</f>
        <v>-</v>
      </c>
      <c r="AD14" s="15" t="str">
        <f t="shared" ref="AD14" si="634">IF(MarGog1LevelCurrent&gt;=$B14,"-",IF(MarGog1LevelDesired&lt;$B14,"-",$C14))</f>
        <v>-</v>
      </c>
      <c r="AE14" s="1" t="str">
        <f t="shared" ref="AE14" si="635">IF(MarGog1LevelCurrent&gt;=$B14,"-",IF(MarGog1LevelDesired&lt;$B14,"-",$D14))</f>
        <v>-</v>
      </c>
      <c r="AF14" s="21" t="str">
        <f t="shared" ref="AF14" si="636">IF(MarGog1LevelCurrent&gt;=$B14,"-",IF(MarGog1LevelDesired&lt;$B14,"-",$E14))</f>
        <v>-</v>
      </c>
      <c r="AG14" s="15" t="str">
        <f t="shared" ref="AG14" si="637">IF(MarGlo1LevelCurrent&gt;=$B14,"-",IF(MarGlo1LevelDesired&lt;$B14,"-",$C14))</f>
        <v>-</v>
      </c>
      <c r="AH14" s="1" t="str">
        <f t="shared" ref="AH14" si="638">IF(MarGlo1LevelCurrent&gt;=$B14,"-",IF(MarGlo1LevelDesired&lt;$B14,"-",$D14))</f>
        <v>-</v>
      </c>
      <c r="AI14" s="21" t="str">
        <f t="shared" ref="AI14" si="639">IF(MarGlo1LevelCurrent&gt;=$B14,"-",IF(MarGlo1LevelDesired&lt;$B14,"-",$E14))</f>
        <v>-</v>
      </c>
      <c r="AJ14" s="15" t="str">
        <f t="shared" ref="AJ14" si="640">IF(MarBel1LevelCurrent&gt;=$B14,"-",IF(MarBel1LevelDesired&lt;$B14,"-",$C14))</f>
        <v>-</v>
      </c>
      <c r="AK14" s="1" t="str">
        <f t="shared" ref="AK14" si="641">IF(MarBel1LevelCurrent&gt;=$B14,"-",IF(MarBel1LevelDesired&lt;$B14,"-",$D14))</f>
        <v>-</v>
      </c>
      <c r="AL14" s="21" t="str">
        <f t="shared" ref="AL14" si="642">IF(MarBel1LevelCurrent&gt;=$B14,"-",IF(MarBel1LevelDesired&lt;$B14,"-",$E14))</f>
        <v>-</v>
      </c>
      <c r="AM14" s="15" t="str">
        <f t="shared" ref="AM14" si="643">IF(MarBoo1LevelCurrent&gt;=$B14,"-",IF(MarBoo1LevelDesired&lt;$B14,"-",$C14))</f>
        <v>-</v>
      </c>
      <c r="AN14" s="1" t="str">
        <f t="shared" ref="AN14" si="644">IF(MarBoo1LevelCurrent&gt;=$B14,"-",IF(MarBoo1LevelDesired&lt;$B14,"-",$D14))</f>
        <v>-</v>
      </c>
      <c r="AO14" s="21" t="str">
        <f t="shared" ref="AO14" si="645">IF(MarBoo1LevelCurrent&gt;=$B14,"-",IF(MarBoo1LevelDesired&lt;$B14,"-",$E14))</f>
        <v>-</v>
      </c>
      <c r="AP14" s="15" t="str">
        <f t="shared" ref="AP14" si="646">IF(InfGog2LevelCurrent&gt;=$B14,"-",IF(InfGog2LevelDesired&lt;$B14,"-",$C14))</f>
        <v>-</v>
      </c>
      <c r="AQ14" s="1" t="str">
        <f t="shared" ref="AQ14" si="647">IF(InfGog2LevelCurrent&gt;=$B14,"-",IF(InfGog2LevelDesired&lt;$B14,"-",$D14))</f>
        <v>-</v>
      </c>
      <c r="AR14" s="21" t="str">
        <f t="shared" ref="AR14" si="648">IF(InfGog2LevelCurrent&gt;=$B14,"-",IF(InfGog2LevelDesired&lt;$B14,"-",$E14))</f>
        <v>-</v>
      </c>
      <c r="AS14" s="15" t="str">
        <f t="shared" ref="AS14" si="649">IF(InfGlo2LevelCurrent&gt;=$B14,"-",IF(InfGlo2LevelDesired&lt;$B14,"-",$C14))</f>
        <v>-</v>
      </c>
      <c r="AT14" s="1" t="str">
        <f t="shared" ref="AT14" si="650">IF(InfGlo2LevelCurrent&gt;=$B14,"-",IF(InfGlo2LevelDesired&lt;$B14,"-",$D14))</f>
        <v>-</v>
      </c>
      <c r="AU14" s="21" t="str">
        <f t="shared" ref="AU14" si="651">IF(InfGlo2LevelCurrent&gt;=$B14,"-",IF(InfGlo2LevelDesired&lt;$B14,"-",$E14))</f>
        <v>-</v>
      </c>
      <c r="AV14" s="15" t="str">
        <f t="shared" ref="AV14" si="652">IF(InfBel2LevelCurrent&gt;=$B14,"-",IF(InfBel2LevelDesired&lt;$B14,"-",$C14))</f>
        <v>-</v>
      </c>
      <c r="AW14" s="1" t="str">
        <f t="shared" ref="AW14" si="653">IF(InfBel2LevelCurrent&gt;=$B14,"-",IF(InfBel2LevelDesired&lt;$B14,"-",$D14))</f>
        <v>-</v>
      </c>
      <c r="AX14" s="21" t="str">
        <f t="shared" ref="AX14" si="654">IF(InfBel2LevelCurrent&gt;=$B14,"-",IF(InfBel2LevelDesired&lt;$B14,"-",$E14))</f>
        <v>-</v>
      </c>
      <c r="AY14" s="15" t="str">
        <f t="shared" ref="AY14" si="655">IF(InfBoo2LevelCurrent&gt;=$B14,"-",IF(InfBoo2LevelDesired&lt;$B14,"-",$C14))</f>
        <v>-</v>
      </c>
      <c r="AZ14" s="1" t="str">
        <f t="shared" ref="AZ14" si="656">IF(InfBoo2LevelCurrent&gt;=$B14,"-",IF(InfBoo2LevelDesired&lt;$B14,"-",$D14))</f>
        <v>-</v>
      </c>
      <c r="BA14" s="21" t="str">
        <f t="shared" ref="BA14" si="657">IF(InfBoo2LevelCurrent&gt;=$B14,"-",IF(InfBoo2LevelDesired&lt;$B14,"-",$E14))</f>
        <v>-</v>
      </c>
      <c r="BB14" s="15" t="str">
        <f t="shared" ref="BB14" si="658">IF(LanGog2LevelCurrent&gt;=$B14,"-",IF(LanGog2LevelDesired&lt;$B14,"-",$C14))</f>
        <v>-</v>
      </c>
      <c r="BC14" s="1" t="str">
        <f t="shared" ref="BC14" si="659">IF(LanGog2LevelCurrent&gt;=$B14,"-",IF(LanGog2LevelDesired&lt;$B14,"-",$D14))</f>
        <v>-</v>
      </c>
      <c r="BD14" s="21" t="str">
        <f t="shared" ref="BD14" si="660">IF(LanGog2LevelCurrent&gt;=$B14,"-",IF(LanGog2LevelDesired&lt;$B14,"-",$E14))</f>
        <v>-</v>
      </c>
      <c r="BE14" s="15" t="str">
        <f t="shared" ref="BE14" si="661">IF(LanGlo2LevelCurrent&gt;=$B14,"-",IF(LanGlo2LevelDesired&lt;$B14,"-",$C14))</f>
        <v>-</v>
      </c>
      <c r="BF14" s="1" t="str">
        <f t="shared" ref="BF14" si="662">IF(LanGlo2LevelCurrent&gt;=$B14,"-",IF(LanGlo2LevelDesired&lt;$B14,"-",$D14))</f>
        <v>-</v>
      </c>
      <c r="BG14" s="21" t="str">
        <f t="shared" ref="BG14" si="663">IF(LanGlo2LevelCurrent&gt;=$B14,"-",IF(LanGlo2LevelDesired&lt;$B14,"-",$E14))</f>
        <v>-</v>
      </c>
      <c r="BH14" s="15" t="str">
        <f t="shared" ref="BH14" si="664">IF(LanBel2LevelCurrent&gt;=$B14,"-",IF(LanBel2LevelDesired&lt;$B14,"-",$C14))</f>
        <v>-</v>
      </c>
      <c r="BI14" s="1" t="str">
        <f t="shared" ref="BI14" si="665">IF(LanBel2LevelCurrent&gt;=$B14,"-",IF(LanBel2LevelDesired&lt;$B14,"-",$D14))</f>
        <v>-</v>
      </c>
      <c r="BJ14" s="21" t="str">
        <f t="shared" ref="BJ14" si="666">IF(LanBel2LevelCurrent&gt;=$B14,"-",IF(LanBel2LevelDesired&lt;$B14,"-",$E14))</f>
        <v>-</v>
      </c>
      <c r="BK14" s="15" t="str">
        <f t="shared" ref="BK14" si="667">IF(LanBoo2LevelCurrent&gt;=$B14,"-",IF(LanBoo2LevelDesired&lt;$B14,"-",$C14))</f>
        <v>-</v>
      </c>
      <c r="BL14" s="1" t="str">
        <f t="shared" ref="BL14" si="668">IF(LanBoo2LevelCurrent&gt;=$B14,"-",IF(LanBoo2LevelDesired&lt;$B14,"-",$D14))</f>
        <v>-</v>
      </c>
      <c r="BM14" s="21" t="str">
        <f t="shared" ref="BM14" si="669">IF(LanBoo2LevelCurrent&gt;=$B14,"-",IF(LanBoo2LevelDesired&lt;$B14,"-",$E14))</f>
        <v>-</v>
      </c>
      <c r="BN14" s="15" t="str">
        <f t="shared" ref="BN14" si="670">IF(MarGog2LevelCurrent&gt;=$B14,"-",IF(MarGog2LevelDesired&lt;$B14,"-",$C14))</f>
        <v>-</v>
      </c>
      <c r="BO14" s="1" t="str">
        <f t="shared" ref="BO14" si="671">IF(MarGog2LevelCurrent&gt;=$B14,"-",IF(MarGog2LevelDesired&lt;$B14,"-",$D14))</f>
        <v>-</v>
      </c>
      <c r="BP14" s="21" t="str">
        <f t="shared" ref="BP14" si="672">IF(MarGog2LevelCurrent&gt;=$B14,"-",IF(MarGog2LevelDesired&lt;$B14,"-",$E14))</f>
        <v>-</v>
      </c>
      <c r="BQ14" s="15" t="str">
        <f t="shared" ref="BQ14" si="673">IF(MarGlo2LevelCurrent&gt;=$B14,"-",IF(MarGlo2LevelDesired&lt;$B14,"-",$C14))</f>
        <v>-</v>
      </c>
      <c r="BR14" s="1" t="str">
        <f t="shared" ref="BR14" si="674">IF(MarGlo2LevelCurrent&gt;=$B14,"-",IF(MarGlo2LevelDesired&lt;$B14,"-",$D14))</f>
        <v>-</v>
      </c>
      <c r="BS14" s="21" t="str">
        <f t="shared" ref="BS14" si="675">IF(MarGlo2LevelCurrent&gt;=$B14,"-",IF(MarGlo2LevelDesired&lt;$B14,"-",$E14))</f>
        <v>-</v>
      </c>
      <c r="BT14" s="15" t="str">
        <f t="shared" ref="BT14" si="676">IF(MarBel2LevelCurrent&gt;=$B14,"-",IF(MarBel2LevelDesired&lt;$B14,"-",$C14))</f>
        <v>-</v>
      </c>
      <c r="BU14" s="1" t="str">
        <f t="shared" ref="BU14" si="677">IF(MarBel2LevelCurrent&gt;=$B14,"-",IF(MarBel2LevelDesired&lt;$B14,"-",$D14))</f>
        <v>-</v>
      </c>
      <c r="BV14" s="21" t="str">
        <f t="shared" ref="BV14" si="678">IF(MarBel2LevelCurrent&gt;=$B14,"-",IF(MarBel2LevelDesired&lt;$B14,"-",$E14))</f>
        <v>-</v>
      </c>
      <c r="BW14" s="15" t="str">
        <f t="shared" ref="BW14" si="679">IF(MarBoo2LevelCurrent&gt;=$B14,"-",IF(MarBoo2LevelDesired&lt;$B14,"-",$C14))</f>
        <v>-</v>
      </c>
      <c r="BX14" s="1" t="str">
        <f t="shared" ref="BX14" si="680">IF(MarBoo2LevelCurrent&gt;=$B14,"-",IF(MarBoo2LevelDesired&lt;$B14,"-",$D14))</f>
        <v>-</v>
      </c>
      <c r="BY14" s="21" t="str">
        <f t="shared" ref="BY14" si="681">IF(MarBoo2LevelCurrent&gt;=$B14,"-",IF(MarBoo2LevelDesired&lt;$B14,"-",$E14))</f>
        <v>-</v>
      </c>
      <c r="BZ14" s="15" t="str">
        <f t="shared" si="72"/>
        <v>-</v>
      </c>
      <c r="CA14" s="1" t="str" cm="1">
        <f t="array" ref="CA14">IF(InfGog3LevelCurrent&gt;=$B14,"-",IF(InfGog3LevelDesired&lt;$B14,"-",$D14))</f>
        <v>-</v>
      </c>
      <c r="CB14" s="21" t="str" cm="1">
        <f t="array" ref="CB14">IF(InfGog3LevelCurrent&gt;=$B14,"-",IF(InfGog3LevelDesired&lt;$B14,"-",$E14))</f>
        <v>-</v>
      </c>
      <c r="CC14" s="15" t="str">
        <f t="shared" si="73"/>
        <v>-</v>
      </c>
      <c r="CD14" s="1" t="str">
        <f t="shared" si="74"/>
        <v>-</v>
      </c>
      <c r="CE14" s="21" t="str">
        <f t="shared" si="75"/>
        <v>-</v>
      </c>
      <c r="CF14" s="15" t="str">
        <f t="shared" si="76"/>
        <v>-</v>
      </c>
      <c r="CG14" s="1" t="str">
        <f t="shared" si="77"/>
        <v>-</v>
      </c>
      <c r="CH14" s="21" t="str">
        <f t="shared" si="78"/>
        <v>-</v>
      </c>
      <c r="CI14" s="15" t="str">
        <f t="shared" si="79"/>
        <v>-</v>
      </c>
      <c r="CJ14" s="1" t="str">
        <f t="shared" si="80"/>
        <v>-</v>
      </c>
      <c r="CK14" s="21" t="str">
        <f t="shared" si="81"/>
        <v>-</v>
      </c>
      <c r="CL14" s="15" t="str">
        <f t="shared" si="82"/>
        <v>-</v>
      </c>
      <c r="CM14" s="1" t="str">
        <f t="shared" si="83"/>
        <v>-</v>
      </c>
      <c r="CN14" s="21" t="str">
        <f t="shared" si="84"/>
        <v>-</v>
      </c>
      <c r="CO14" s="15" t="str">
        <f t="shared" si="85"/>
        <v>-</v>
      </c>
      <c r="CP14" s="1" t="str">
        <f t="shared" si="86"/>
        <v>-</v>
      </c>
      <c r="CQ14" s="21" t="str">
        <f t="shared" si="87"/>
        <v>-</v>
      </c>
      <c r="CR14" s="15" t="str">
        <f t="shared" si="88"/>
        <v>-</v>
      </c>
      <c r="CS14" s="1" t="str">
        <f t="shared" si="89"/>
        <v>-</v>
      </c>
      <c r="CT14" s="21" t="str">
        <f t="shared" si="90"/>
        <v>-</v>
      </c>
      <c r="CU14" s="15" t="str">
        <f t="shared" si="91"/>
        <v>-</v>
      </c>
      <c r="CV14" s="1" t="str">
        <f t="shared" si="92"/>
        <v>-</v>
      </c>
      <c r="CW14" s="21" t="str">
        <f t="shared" si="93"/>
        <v>-</v>
      </c>
      <c r="CX14" s="15" t="str">
        <f t="shared" si="94"/>
        <v>-</v>
      </c>
      <c r="CY14" s="1" t="str">
        <f t="shared" si="95"/>
        <v>-</v>
      </c>
      <c r="CZ14" s="21" t="str">
        <f t="shared" si="96"/>
        <v>-</v>
      </c>
      <c r="DA14" s="15" t="str">
        <f t="shared" si="97"/>
        <v>-</v>
      </c>
      <c r="DB14" s="1" t="str">
        <f t="shared" si="98"/>
        <v>-</v>
      </c>
      <c r="DC14" s="21" t="str">
        <f t="shared" si="99"/>
        <v>-</v>
      </c>
      <c r="DD14" s="15" t="str">
        <f t="shared" si="100"/>
        <v>-</v>
      </c>
      <c r="DE14" s="1" t="str">
        <f t="shared" si="101"/>
        <v>-</v>
      </c>
      <c r="DF14" s="21" t="str">
        <f t="shared" si="102"/>
        <v>-</v>
      </c>
      <c r="DG14" s="15" t="str">
        <f t="shared" si="103"/>
        <v>-</v>
      </c>
      <c r="DH14" s="1" t="str">
        <f t="shared" si="104"/>
        <v>-</v>
      </c>
      <c r="DI14" s="21" t="str">
        <f t="shared" si="105"/>
        <v>-</v>
      </c>
    </row>
    <row r="15" spans="2:113" x14ac:dyDescent="0.3">
      <c r="B15" s="1">
        <v>10</v>
      </c>
      <c r="C15" s="67">
        <v>55</v>
      </c>
      <c r="D15" s="88" t="s">
        <v>27</v>
      </c>
      <c r="E15" s="21" t="s">
        <v>27</v>
      </c>
      <c r="F15" s="15" t="str">
        <f t="shared" ref="F15" si="682">IF(InfGog1LevelCurrent&gt;=$B15,"-",IF(InfGog1LevelDesired&lt;$B15,"-",$C15))</f>
        <v>-</v>
      </c>
      <c r="G15" s="1" t="str">
        <f t="shared" ref="G15" si="683">IF(InfGog1LevelCurrent&gt;=$B15,"-",IF(InfGog1LevelDesired&lt;$B15,"-",$D15))</f>
        <v>-</v>
      </c>
      <c r="H15" s="21" t="str">
        <f t="shared" ref="H15" si="684">IF(InfGog1LevelCurrent&gt;=$B15,"-",IF(InfGog1LevelDesired&lt;$B15,"-",$E15))</f>
        <v>-</v>
      </c>
      <c r="I15" s="15" t="str">
        <f t="shared" ref="I15" si="685">IF(InfGlo1LevelCurrent&gt;=$B15,"-",IF(InfGlo1LevelDesired&lt;$B15,"-",$C15))</f>
        <v>-</v>
      </c>
      <c r="J15" s="1" t="str">
        <f t="shared" ref="J15" si="686">IF(InfGlo1LevelCurrent&gt;=$B15,"-",IF(InfGlo1LevelDesired&lt;$B15,"-",$D15))</f>
        <v>-</v>
      </c>
      <c r="K15" s="21" t="str">
        <f t="shared" ref="K15" si="687">IF(InfGlo1LevelCurrent&gt;=$B15,"-",IF(InfGlo1LevelDesired&lt;$B15,"-",$E15))</f>
        <v>-</v>
      </c>
      <c r="L15" s="15" t="str">
        <f t="shared" ref="L15" si="688">IF(InfBel1LevelCurrent&gt;=$B15,"-",IF(InfBel1LevelDesired&lt;$B15,"-",$C15))</f>
        <v>-</v>
      </c>
      <c r="M15" s="1" t="str">
        <f t="shared" ref="M15" si="689">IF(InfBel1LevelCurrent&gt;=$B15,"-",IF(InfBel1LevelDesired&lt;$B15,"-",$D15))</f>
        <v>-</v>
      </c>
      <c r="N15" s="21" t="str">
        <f t="shared" ref="N15" si="690">IF(InfBel1LevelCurrent&gt;=$B15,"-",IF(InfBel1LevelDesired&lt;$B15,"-",$E15))</f>
        <v>-</v>
      </c>
      <c r="O15" s="15" t="str">
        <f t="shared" ref="O15" si="691">IF(InfBoo1LevelCurrent&gt;=$B15,"-",IF(InfBoo1LevelDesired&lt;$B15,"-",$C15))</f>
        <v>-</v>
      </c>
      <c r="P15" s="1" t="str">
        <f t="shared" ref="P15" si="692">IF(InfBoo1LevelCurrent&gt;=$B15,"-",IF(InfBoo1LevelDesired&lt;$B15,"-",$D15))</f>
        <v>-</v>
      </c>
      <c r="Q15" s="21" t="str">
        <f t="shared" ref="Q15" si="693">IF(InfBoo1LevelCurrent&gt;=$B15,"-",IF(InfBoo1LevelDesired&lt;$B15,"-",$E15))</f>
        <v>-</v>
      </c>
      <c r="R15" s="15" t="str">
        <f t="shared" ref="R15" si="694">IF(LanGog1LevelCurrent&gt;=$B15,"-",IF(LanGog1LevelDesired&lt;$B15,"-",$C15))</f>
        <v>-</v>
      </c>
      <c r="S15" s="1" t="str">
        <f t="shared" ref="S15" si="695">IF(LanGog1LevelCurrent&gt;=$B15,"-",IF(LanGog1LevelDesired&lt;$B15,"-",$D15))</f>
        <v>-</v>
      </c>
      <c r="T15" s="21" t="str">
        <f t="shared" ref="T15" si="696">IF(LanGog1LevelCurrent&gt;=$B15,"-",IF(LanGog1LevelDesired&lt;$B15,"-",$E15))</f>
        <v>-</v>
      </c>
      <c r="U15" s="15" t="str">
        <f t="shared" ref="U15" si="697">IF(LanGlo1LevelCurrent&gt;=$B15,"-",IF(LanGlo1LevelDesired&lt;$B15,"-",$C15))</f>
        <v>-</v>
      </c>
      <c r="V15" s="1" t="str">
        <f t="shared" ref="V15" si="698">IF(LanGlo1LevelCurrent&gt;=$B15,"-",IF(LanGlo1LevelDesired&lt;$B15,"-",$D15))</f>
        <v>-</v>
      </c>
      <c r="W15" s="21" t="str">
        <f t="shared" ref="W15" si="699">IF(LanGlo1LevelCurrent&gt;=$B15,"-",IF(LanGlo1LevelDesired&lt;$B15,"-",$E15))</f>
        <v>-</v>
      </c>
      <c r="X15" s="15" t="str">
        <f t="shared" ref="X15" si="700">IF(LanBel1LevelCurrent&gt;=$B15,"-",IF(LanBel1LevelDesired&lt;$B15,"-",$C15))</f>
        <v>-</v>
      </c>
      <c r="Y15" s="1" t="str">
        <f t="shared" ref="Y15" si="701">IF(LanBel1LevelCurrent&gt;=$B15,"-",IF(LanBel1LevelDesired&lt;$B15,"-",$D15))</f>
        <v>-</v>
      </c>
      <c r="Z15" s="21" t="str">
        <f t="shared" ref="Z15" si="702">IF(LanBel1LevelCurrent&gt;=$B15,"-",IF(LanBel1LevelDesired&lt;$B15,"-",$E15))</f>
        <v>-</v>
      </c>
      <c r="AA15" s="15" t="str">
        <f t="shared" ref="AA15" si="703">IF(LanBoo1LevelCurrent&gt;=$B15,"-",IF(LanBoo1LevelDesired&lt;$B15,"-",$C15))</f>
        <v>-</v>
      </c>
      <c r="AB15" s="1" t="str">
        <f t="shared" ref="AB15" si="704">IF(LanBoo1LevelCurrent&gt;=$B15,"-",IF(LanBoo1LevelDesired&lt;$B15,"-",$D15))</f>
        <v>-</v>
      </c>
      <c r="AC15" s="21" t="str">
        <f t="shared" ref="AC15" si="705">IF(LanBoo1LevelCurrent&gt;=$B15,"-",IF(LanBoo1LevelDesired&lt;$B15,"-",$E15))</f>
        <v>-</v>
      </c>
      <c r="AD15" s="15" t="str">
        <f t="shared" ref="AD15" si="706">IF(MarGog1LevelCurrent&gt;=$B15,"-",IF(MarGog1LevelDesired&lt;$B15,"-",$C15))</f>
        <v>-</v>
      </c>
      <c r="AE15" s="1" t="str">
        <f t="shared" ref="AE15" si="707">IF(MarGog1LevelCurrent&gt;=$B15,"-",IF(MarGog1LevelDesired&lt;$B15,"-",$D15))</f>
        <v>-</v>
      </c>
      <c r="AF15" s="21" t="str">
        <f t="shared" ref="AF15" si="708">IF(MarGog1LevelCurrent&gt;=$B15,"-",IF(MarGog1LevelDesired&lt;$B15,"-",$E15))</f>
        <v>-</v>
      </c>
      <c r="AG15" s="15" t="str">
        <f t="shared" ref="AG15" si="709">IF(MarGlo1LevelCurrent&gt;=$B15,"-",IF(MarGlo1LevelDesired&lt;$B15,"-",$C15))</f>
        <v>-</v>
      </c>
      <c r="AH15" s="1" t="str">
        <f t="shared" ref="AH15" si="710">IF(MarGlo1LevelCurrent&gt;=$B15,"-",IF(MarGlo1LevelDesired&lt;$B15,"-",$D15))</f>
        <v>-</v>
      </c>
      <c r="AI15" s="21" t="str">
        <f t="shared" ref="AI15" si="711">IF(MarGlo1LevelCurrent&gt;=$B15,"-",IF(MarGlo1LevelDesired&lt;$B15,"-",$E15))</f>
        <v>-</v>
      </c>
      <c r="AJ15" s="15" t="str">
        <f t="shared" ref="AJ15" si="712">IF(MarBel1LevelCurrent&gt;=$B15,"-",IF(MarBel1LevelDesired&lt;$B15,"-",$C15))</f>
        <v>-</v>
      </c>
      <c r="AK15" s="1" t="str">
        <f t="shared" ref="AK15" si="713">IF(MarBel1LevelCurrent&gt;=$B15,"-",IF(MarBel1LevelDesired&lt;$B15,"-",$D15))</f>
        <v>-</v>
      </c>
      <c r="AL15" s="21" t="str">
        <f t="shared" ref="AL15" si="714">IF(MarBel1LevelCurrent&gt;=$B15,"-",IF(MarBel1LevelDesired&lt;$B15,"-",$E15))</f>
        <v>-</v>
      </c>
      <c r="AM15" s="15" t="str">
        <f t="shared" ref="AM15" si="715">IF(MarBoo1LevelCurrent&gt;=$B15,"-",IF(MarBoo1LevelDesired&lt;$B15,"-",$C15))</f>
        <v>-</v>
      </c>
      <c r="AN15" s="1" t="str">
        <f t="shared" ref="AN15" si="716">IF(MarBoo1LevelCurrent&gt;=$B15,"-",IF(MarBoo1LevelDesired&lt;$B15,"-",$D15))</f>
        <v>-</v>
      </c>
      <c r="AO15" s="21" t="str">
        <f t="shared" ref="AO15" si="717">IF(MarBoo1LevelCurrent&gt;=$B15,"-",IF(MarBoo1LevelDesired&lt;$B15,"-",$E15))</f>
        <v>-</v>
      </c>
      <c r="AP15" s="15" t="str">
        <f t="shared" ref="AP15" si="718">IF(InfGog2LevelCurrent&gt;=$B15,"-",IF(InfGog2LevelDesired&lt;$B15,"-",$C15))</f>
        <v>-</v>
      </c>
      <c r="AQ15" s="1" t="str">
        <f t="shared" ref="AQ15" si="719">IF(InfGog2LevelCurrent&gt;=$B15,"-",IF(InfGog2LevelDesired&lt;$B15,"-",$D15))</f>
        <v>-</v>
      </c>
      <c r="AR15" s="21" t="str">
        <f t="shared" ref="AR15" si="720">IF(InfGog2LevelCurrent&gt;=$B15,"-",IF(InfGog2LevelDesired&lt;$B15,"-",$E15))</f>
        <v>-</v>
      </c>
      <c r="AS15" s="15" t="str">
        <f t="shared" ref="AS15" si="721">IF(InfGlo2LevelCurrent&gt;=$B15,"-",IF(InfGlo2LevelDesired&lt;$B15,"-",$C15))</f>
        <v>-</v>
      </c>
      <c r="AT15" s="1" t="str">
        <f t="shared" ref="AT15" si="722">IF(InfGlo2LevelCurrent&gt;=$B15,"-",IF(InfGlo2LevelDesired&lt;$B15,"-",$D15))</f>
        <v>-</v>
      </c>
      <c r="AU15" s="21" t="str">
        <f t="shared" ref="AU15" si="723">IF(InfGlo2LevelCurrent&gt;=$B15,"-",IF(InfGlo2LevelDesired&lt;$B15,"-",$E15))</f>
        <v>-</v>
      </c>
      <c r="AV15" s="15" t="str">
        <f t="shared" ref="AV15" si="724">IF(InfBel2LevelCurrent&gt;=$B15,"-",IF(InfBel2LevelDesired&lt;$B15,"-",$C15))</f>
        <v>-</v>
      </c>
      <c r="AW15" s="1" t="str">
        <f t="shared" ref="AW15" si="725">IF(InfBel2LevelCurrent&gt;=$B15,"-",IF(InfBel2LevelDesired&lt;$B15,"-",$D15))</f>
        <v>-</v>
      </c>
      <c r="AX15" s="21" t="str">
        <f t="shared" ref="AX15" si="726">IF(InfBel2LevelCurrent&gt;=$B15,"-",IF(InfBel2LevelDesired&lt;$B15,"-",$E15))</f>
        <v>-</v>
      </c>
      <c r="AY15" s="15" t="str">
        <f t="shared" ref="AY15" si="727">IF(InfBoo2LevelCurrent&gt;=$B15,"-",IF(InfBoo2LevelDesired&lt;$B15,"-",$C15))</f>
        <v>-</v>
      </c>
      <c r="AZ15" s="1" t="str">
        <f t="shared" ref="AZ15" si="728">IF(InfBoo2LevelCurrent&gt;=$B15,"-",IF(InfBoo2LevelDesired&lt;$B15,"-",$D15))</f>
        <v>-</v>
      </c>
      <c r="BA15" s="21" t="str">
        <f t="shared" ref="BA15" si="729">IF(InfBoo2LevelCurrent&gt;=$B15,"-",IF(InfBoo2LevelDesired&lt;$B15,"-",$E15))</f>
        <v>-</v>
      </c>
      <c r="BB15" s="15" t="str">
        <f t="shared" ref="BB15" si="730">IF(LanGog2LevelCurrent&gt;=$B15,"-",IF(LanGog2LevelDesired&lt;$B15,"-",$C15))</f>
        <v>-</v>
      </c>
      <c r="BC15" s="1" t="str">
        <f t="shared" ref="BC15" si="731">IF(LanGog2LevelCurrent&gt;=$B15,"-",IF(LanGog2LevelDesired&lt;$B15,"-",$D15))</f>
        <v>-</v>
      </c>
      <c r="BD15" s="21" t="str">
        <f t="shared" ref="BD15" si="732">IF(LanGog2LevelCurrent&gt;=$B15,"-",IF(LanGog2LevelDesired&lt;$B15,"-",$E15))</f>
        <v>-</v>
      </c>
      <c r="BE15" s="15" t="str">
        <f t="shared" ref="BE15" si="733">IF(LanGlo2LevelCurrent&gt;=$B15,"-",IF(LanGlo2LevelDesired&lt;$B15,"-",$C15))</f>
        <v>-</v>
      </c>
      <c r="BF15" s="1" t="str">
        <f t="shared" ref="BF15" si="734">IF(LanGlo2LevelCurrent&gt;=$B15,"-",IF(LanGlo2LevelDesired&lt;$B15,"-",$D15))</f>
        <v>-</v>
      </c>
      <c r="BG15" s="21" t="str">
        <f t="shared" ref="BG15" si="735">IF(LanGlo2LevelCurrent&gt;=$B15,"-",IF(LanGlo2LevelDesired&lt;$B15,"-",$E15))</f>
        <v>-</v>
      </c>
      <c r="BH15" s="15" t="str">
        <f t="shared" ref="BH15" si="736">IF(LanBel2LevelCurrent&gt;=$B15,"-",IF(LanBel2LevelDesired&lt;$B15,"-",$C15))</f>
        <v>-</v>
      </c>
      <c r="BI15" s="1" t="str">
        <f t="shared" ref="BI15" si="737">IF(LanBel2LevelCurrent&gt;=$B15,"-",IF(LanBel2LevelDesired&lt;$B15,"-",$D15))</f>
        <v>-</v>
      </c>
      <c r="BJ15" s="21" t="str">
        <f t="shared" ref="BJ15" si="738">IF(LanBel2LevelCurrent&gt;=$B15,"-",IF(LanBel2LevelDesired&lt;$B15,"-",$E15))</f>
        <v>-</v>
      </c>
      <c r="BK15" s="15" t="str">
        <f t="shared" ref="BK15" si="739">IF(LanBoo2LevelCurrent&gt;=$B15,"-",IF(LanBoo2LevelDesired&lt;$B15,"-",$C15))</f>
        <v>-</v>
      </c>
      <c r="BL15" s="1" t="str">
        <f t="shared" ref="BL15" si="740">IF(LanBoo2LevelCurrent&gt;=$B15,"-",IF(LanBoo2LevelDesired&lt;$B15,"-",$D15))</f>
        <v>-</v>
      </c>
      <c r="BM15" s="21" t="str">
        <f t="shared" ref="BM15" si="741">IF(LanBoo2LevelCurrent&gt;=$B15,"-",IF(LanBoo2LevelDesired&lt;$B15,"-",$E15))</f>
        <v>-</v>
      </c>
      <c r="BN15" s="15" t="str">
        <f t="shared" ref="BN15" si="742">IF(MarGog2LevelCurrent&gt;=$B15,"-",IF(MarGog2LevelDesired&lt;$B15,"-",$C15))</f>
        <v>-</v>
      </c>
      <c r="BO15" s="1" t="str">
        <f t="shared" ref="BO15" si="743">IF(MarGog2LevelCurrent&gt;=$B15,"-",IF(MarGog2LevelDesired&lt;$B15,"-",$D15))</f>
        <v>-</v>
      </c>
      <c r="BP15" s="21" t="str">
        <f t="shared" ref="BP15" si="744">IF(MarGog2LevelCurrent&gt;=$B15,"-",IF(MarGog2LevelDesired&lt;$B15,"-",$E15))</f>
        <v>-</v>
      </c>
      <c r="BQ15" s="15" t="str">
        <f t="shared" ref="BQ15" si="745">IF(MarGlo2LevelCurrent&gt;=$B15,"-",IF(MarGlo2LevelDesired&lt;$B15,"-",$C15))</f>
        <v>-</v>
      </c>
      <c r="BR15" s="1" t="str">
        <f t="shared" ref="BR15" si="746">IF(MarGlo2LevelCurrent&gt;=$B15,"-",IF(MarGlo2LevelDesired&lt;$B15,"-",$D15))</f>
        <v>-</v>
      </c>
      <c r="BS15" s="21" t="str">
        <f t="shared" ref="BS15" si="747">IF(MarGlo2LevelCurrent&gt;=$B15,"-",IF(MarGlo2LevelDesired&lt;$B15,"-",$E15))</f>
        <v>-</v>
      </c>
      <c r="BT15" s="15" t="str">
        <f t="shared" ref="BT15" si="748">IF(MarBel2LevelCurrent&gt;=$B15,"-",IF(MarBel2LevelDesired&lt;$B15,"-",$C15))</f>
        <v>-</v>
      </c>
      <c r="BU15" s="1" t="str">
        <f t="shared" ref="BU15" si="749">IF(MarBel2LevelCurrent&gt;=$B15,"-",IF(MarBel2LevelDesired&lt;$B15,"-",$D15))</f>
        <v>-</v>
      </c>
      <c r="BV15" s="21" t="str">
        <f t="shared" ref="BV15" si="750">IF(MarBel2LevelCurrent&gt;=$B15,"-",IF(MarBel2LevelDesired&lt;$B15,"-",$E15))</f>
        <v>-</v>
      </c>
      <c r="BW15" s="15" t="str">
        <f t="shared" ref="BW15" si="751">IF(MarBoo2LevelCurrent&gt;=$B15,"-",IF(MarBoo2LevelDesired&lt;$B15,"-",$C15))</f>
        <v>-</v>
      </c>
      <c r="BX15" s="1" t="str">
        <f t="shared" ref="BX15" si="752">IF(MarBoo2LevelCurrent&gt;=$B15,"-",IF(MarBoo2LevelDesired&lt;$B15,"-",$D15))</f>
        <v>-</v>
      </c>
      <c r="BY15" s="21" t="str">
        <f t="shared" ref="BY15" si="753">IF(MarBoo2LevelCurrent&gt;=$B15,"-",IF(MarBoo2LevelDesired&lt;$B15,"-",$E15))</f>
        <v>-</v>
      </c>
      <c r="BZ15" s="15" t="str">
        <f t="shared" si="72"/>
        <v>-</v>
      </c>
      <c r="CA15" s="1" t="str" cm="1">
        <f t="array" ref="CA15">IF(InfGog3LevelCurrent&gt;=$B15,"-",IF(InfGog3LevelDesired&lt;$B15,"-",$D15))</f>
        <v>-</v>
      </c>
      <c r="CB15" s="21" t="str" cm="1">
        <f t="array" ref="CB15">IF(InfGog3LevelCurrent&gt;=$B15,"-",IF(InfGog3LevelDesired&lt;$B15,"-",$E15))</f>
        <v>-</v>
      </c>
      <c r="CC15" s="15" t="str">
        <f t="shared" si="73"/>
        <v>-</v>
      </c>
      <c r="CD15" s="1" t="str">
        <f t="shared" si="74"/>
        <v>-</v>
      </c>
      <c r="CE15" s="21" t="str">
        <f t="shared" si="75"/>
        <v>-</v>
      </c>
      <c r="CF15" s="15" t="str">
        <f t="shared" si="76"/>
        <v>-</v>
      </c>
      <c r="CG15" s="1" t="str">
        <f t="shared" si="77"/>
        <v>-</v>
      </c>
      <c r="CH15" s="21" t="str">
        <f t="shared" si="78"/>
        <v>-</v>
      </c>
      <c r="CI15" s="15" t="str">
        <f t="shared" si="79"/>
        <v>-</v>
      </c>
      <c r="CJ15" s="1" t="str">
        <f t="shared" si="80"/>
        <v>-</v>
      </c>
      <c r="CK15" s="21" t="str">
        <f t="shared" si="81"/>
        <v>-</v>
      </c>
      <c r="CL15" s="15" t="str">
        <f t="shared" si="82"/>
        <v>-</v>
      </c>
      <c r="CM15" s="1" t="str">
        <f t="shared" si="83"/>
        <v>-</v>
      </c>
      <c r="CN15" s="21" t="str">
        <f t="shared" si="84"/>
        <v>-</v>
      </c>
      <c r="CO15" s="15" t="str">
        <f t="shared" si="85"/>
        <v>-</v>
      </c>
      <c r="CP15" s="1" t="str">
        <f t="shared" si="86"/>
        <v>-</v>
      </c>
      <c r="CQ15" s="21" t="str">
        <f t="shared" si="87"/>
        <v>-</v>
      </c>
      <c r="CR15" s="15" t="str">
        <f t="shared" si="88"/>
        <v>-</v>
      </c>
      <c r="CS15" s="1" t="str">
        <f t="shared" si="89"/>
        <v>-</v>
      </c>
      <c r="CT15" s="21" t="str">
        <f t="shared" si="90"/>
        <v>-</v>
      </c>
      <c r="CU15" s="15" t="str">
        <f t="shared" si="91"/>
        <v>-</v>
      </c>
      <c r="CV15" s="1" t="str">
        <f t="shared" si="92"/>
        <v>-</v>
      </c>
      <c r="CW15" s="21" t="str">
        <f t="shared" si="93"/>
        <v>-</v>
      </c>
      <c r="CX15" s="15" t="str">
        <f t="shared" si="94"/>
        <v>-</v>
      </c>
      <c r="CY15" s="1" t="str">
        <f t="shared" si="95"/>
        <v>-</v>
      </c>
      <c r="CZ15" s="21" t="str">
        <f t="shared" si="96"/>
        <v>-</v>
      </c>
      <c r="DA15" s="15" t="str">
        <f t="shared" si="97"/>
        <v>-</v>
      </c>
      <c r="DB15" s="1" t="str">
        <f t="shared" si="98"/>
        <v>-</v>
      </c>
      <c r="DC15" s="21" t="str">
        <f t="shared" si="99"/>
        <v>-</v>
      </c>
      <c r="DD15" s="15" t="str">
        <f t="shared" si="100"/>
        <v>-</v>
      </c>
      <c r="DE15" s="1" t="str">
        <f t="shared" si="101"/>
        <v>-</v>
      </c>
      <c r="DF15" s="21" t="str">
        <f t="shared" si="102"/>
        <v>-</v>
      </c>
      <c r="DG15" s="15" t="str">
        <f t="shared" si="103"/>
        <v>-</v>
      </c>
      <c r="DH15" s="1" t="str">
        <f t="shared" si="104"/>
        <v>-</v>
      </c>
      <c r="DI15" s="21" t="str">
        <f t="shared" si="105"/>
        <v>-</v>
      </c>
    </row>
    <row r="16" spans="2:113" x14ac:dyDescent="0.3">
      <c r="B16" s="1">
        <v>11</v>
      </c>
      <c r="C16" s="67">
        <v>60</v>
      </c>
      <c r="D16" s="88" t="s">
        <v>27</v>
      </c>
      <c r="E16" s="21" t="s">
        <v>27</v>
      </c>
      <c r="F16" s="15" t="str">
        <f t="shared" ref="F16" si="754">IF(InfGog1LevelCurrent&gt;=$B16,"-",IF(InfGog1LevelDesired&lt;$B16,"-",$C16))</f>
        <v>-</v>
      </c>
      <c r="G16" s="1" t="str">
        <f t="shared" ref="G16" si="755">IF(InfGog1LevelCurrent&gt;=$B16,"-",IF(InfGog1LevelDesired&lt;$B16,"-",$D16))</f>
        <v>-</v>
      </c>
      <c r="H16" s="21" t="str">
        <f t="shared" ref="H16" si="756">IF(InfGog1LevelCurrent&gt;=$B16,"-",IF(InfGog1LevelDesired&lt;$B16,"-",$E16))</f>
        <v>-</v>
      </c>
      <c r="I16" s="15" t="str">
        <f t="shared" ref="I16" si="757">IF(InfGlo1LevelCurrent&gt;=$B16,"-",IF(InfGlo1LevelDesired&lt;$B16,"-",$C16))</f>
        <v>-</v>
      </c>
      <c r="J16" s="1" t="str">
        <f t="shared" ref="J16" si="758">IF(InfGlo1LevelCurrent&gt;=$B16,"-",IF(InfGlo1LevelDesired&lt;$B16,"-",$D16))</f>
        <v>-</v>
      </c>
      <c r="K16" s="21" t="str">
        <f t="shared" ref="K16" si="759">IF(InfGlo1LevelCurrent&gt;=$B16,"-",IF(InfGlo1LevelDesired&lt;$B16,"-",$E16))</f>
        <v>-</v>
      </c>
      <c r="L16" s="15" t="str">
        <f t="shared" ref="L16" si="760">IF(InfBel1LevelCurrent&gt;=$B16,"-",IF(InfBel1LevelDesired&lt;$B16,"-",$C16))</f>
        <v>-</v>
      </c>
      <c r="M16" s="1" t="str">
        <f t="shared" ref="M16" si="761">IF(InfBel1LevelCurrent&gt;=$B16,"-",IF(InfBel1LevelDesired&lt;$B16,"-",$D16))</f>
        <v>-</v>
      </c>
      <c r="N16" s="21" t="str">
        <f t="shared" ref="N16" si="762">IF(InfBel1LevelCurrent&gt;=$B16,"-",IF(InfBel1LevelDesired&lt;$B16,"-",$E16))</f>
        <v>-</v>
      </c>
      <c r="O16" s="15" t="str">
        <f t="shared" ref="O16" si="763">IF(InfBoo1LevelCurrent&gt;=$B16,"-",IF(InfBoo1LevelDesired&lt;$B16,"-",$C16))</f>
        <v>-</v>
      </c>
      <c r="P16" s="1" t="str">
        <f t="shared" ref="P16" si="764">IF(InfBoo1LevelCurrent&gt;=$B16,"-",IF(InfBoo1LevelDesired&lt;$B16,"-",$D16))</f>
        <v>-</v>
      </c>
      <c r="Q16" s="21" t="str">
        <f t="shared" ref="Q16" si="765">IF(InfBoo1LevelCurrent&gt;=$B16,"-",IF(InfBoo1LevelDesired&lt;$B16,"-",$E16))</f>
        <v>-</v>
      </c>
      <c r="R16" s="15" t="str">
        <f t="shared" ref="R16" si="766">IF(LanGog1LevelCurrent&gt;=$B16,"-",IF(LanGog1LevelDesired&lt;$B16,"-",$C16))</f>
        <v>-</v>
      </c>
      <c r="S16" s="1" t="str">
        <f t="shared" ref="S16" si="767">IF(LanGog1LevelCurrent&gt;=$B16,"-",IF(LanGog1LevelDesired&lt;$B16,"-",$D16))</f>
        <v>-</v>
      </c>
      <c r="T16" s="21" t="str">
        <f t="shared" ref="T16" si="768">IF(LanGog1LevelCurrent&gt;=$B16,"-",IF(LanGog1LevelDesired&lt;$B16,"-",$E16))</f>
        <v>-</v>
      </c>
      <c r="U16" s="15" t="str">
        <f t="shared" ref="U16" si="769">IF(LanGlo1LevelCurrent&gt;=$B16,"-",IF(LanGlo1LevelDesired&lt;$B16,"-",$C16))</f>
        <v>-</v>
      </c>
      <c r="V16" s="1" t="str">
        <f t="shared" ref="V16" si="770">IF(LanGlo1LevelCurrent&gt;=$B16,"-",IF(LanGlo1LevelDesired&lt;$B16,"-",$D16))</f>
        <v>-</v>
      </c>
      <c r="W16" s="21" t="str">
        <f t="shared" ref="W16" si="771">IF(LanGlo1LevelCurrent&gt;=$B16,"-",IF(LanGlo1LevelDesired&lt;$B16,"-",$E16))</f>
        <v>-</v>
      </c>
      <c r="X16" s="15" t="str">
        <f t="shared" ref="X16" si="772">IF(LanBel1LevelCurrent&gt;=$B16,"-",IF(LanBel1LevelDesired&lt;$B16,"-",$C16))</f>
        <v>-</v>
      </c>
      <c r="Y16" s="1" t="str">
        <f t="shared" ref="Y16" si="773">IF(LanBel1LevelCurrent&gt;=$B16,"-",IF(LanBel1LevelDesired&lt;$B16,"-",$D16))</f>
        <v>-</v>
      </c>
      <c r="Z16" s="21" t="str">
        <f t="shared" ref="Z16" si="774">IF(LanBel1LevelCurrent&gt;=$B16,"-",IF(LanBel1LevelDesired&lt;$B16,"-",$E16))</f>
        <v>-</v>
      </c>
      <c r="AA16" s="15" t="str">
        <f t="shared" ref="AA16" si="775">IF(LanBoo1LevelCurrent&gt;=$B16,"-",IF(LanBoo1LevelDesired&lt;$B16,"-",$C16))</f>
        <v>-</v>
      </c>
      <c r="AB16" s="1" t="str">
        <f t="shared" ref="AB16" si="776">IF(LanBoo1LevelCurrent&gt;=$B16,"-",IF(LanBoo1LevelDesired&lt;$B16,"-",$D16))</f>
        <v>-</v>
      </c>
      <c r="AC16" s="21" t="str">
        <f t="shared" ref="AC16" si="777">IF(LanBoo1LevelCurrent&gt;=$B16,"-",IF(LanBoo1LevelDesired&lt;$B16,"-",$E16))</f>
        <v>-</v>
      </c>
      <c r="AD16" s="15" t="str">
        <f t="shared" ref="AD16" si="778">IF(MarGog1LevelCurrent&gt;=$B16,"-",IF(MarGog1LevelDesired&lt;$B16,"-",$C16))</f>
        <v>-</v>
      </c>
      <c r="AE16" s="1" t="str">
        <f t="shared" ref="AE16" si="779">IF(MarGog1LevelCurrent&gt;=$B16,"-",IF(MarGog1LevelDesired&lt;$B16,"-",$D16))</f>
        <v>-</v>
      </c>
      <c r="AF16" s="21" t="str">
        <f t="shared" ref="AF16" si="780">IF(MarGog1LevelCurrent&gt;=$B16,"-",IF(MarGog1LevelDesired&lt;$B16,"-",$E16))</f>
        <v>-</v>
      </c>
      <c r="AG16" s="15" t="str">
        <f t="shared" ref="AG16" si="781">IF(MarGlo1LevelCurrent&gt;=$B16,"-",IF(MarGlo1LevelDesired&lt;$B16,"-",$C16))</f>
        <v>-</v>
      </c>
      <c r="AH16" s="1" t="str">
        <f t="shared" ref="AH16" si="782">IF(MarGlo1LevelCurrent&gt;=$B16,"-",IF(MarGlo1LevelDesired&lt;$B16,"-",$D16))</f>
        <v>-</v>
      </c>
      <c r="AI16" s="21" t="str">
        <f t="shared" ref="AI16" si="783">IF(MarGlo1LevelCurrent&gt;=$B16,"-",IF(MarGlo1LevelDesired&lt;$B16,"-",$E16))</f>
        <v>-</v>
      </c>
      <c r="AJ16" s="15" t="str">
        <f t="shared" ref="AJ16" si="784">IF(MarBel1LevelCurrent&gt;=$B16,"-",IF(MarBel1LevelDesired&lt;$B16,"-",$C16))</f>
        <v>-</v>
      </c>
      <c r="AK16" s="1" t="str">
        <f t="shared" ref="AK16" si="785">IF(MarBel1LevelCurrent&gt;=$B16,"-",IF(MarBel1LevelDesired&lt;$B16,"-",$D16))</f>
        <v>-</v>
      </c>
      <c r="AL16" s="21" t="str">
        <f t="shared" ref="AL16" si="786">IF(MarBel1LevelCurrent&gt;=$B16,"-",IF(MarBel1LevelDesired&lt;$B16,"-",$E16))</f>
        <v>-</v>
      </c>
      <c r="AM16" s="15" t="str">
        <f t="shared" ref="AM16" si="787">IF(MarBoo1LevelCurrent&gt;=$B16,"-",IF(MarBoo1LevelDesired&lt;$B16,"-",$C16))</f>
        <v>-</v>
      </c>
      <c r="AN16" s="1" t="str">
        <f t="shared" ref="AN16" si="788">IF(MarBoo1LevelCurrent&gt;=$B16,"-",IF(MarBoo1LevelDesired&lt;$B16,"-",$D16))</f>
        <v>-</v>
      </c>
      <c r="AO16" s="21" t="str">
        <f t="shared" ref="AO16" si="789">IF(MarBoo1LevelCurrent&gt;=$B16,"-",IF(MarBoo1LevelDesired&lt;$B16,"-",$E16))</f>
        <v>-</v>
      </c>
      <c r="AP16" s="15" t="str">
        <f t="shared" ref="AP16" si="790">IF(InfGog2LevelCurrent&gt;=$B16,"-",IF(InfGog2LevelDesired&lt;$B16,"-",$C16))</f>
        <v>-</v>
      </c>
      <c r="AQ16" s="1" t="str">
        <f t="shared" ref="AQ16" si="791">IF(InfGog2LevelCurrent&gt;=$B16,"-",IF(InfGog2LevelDesired&lt;$B16,"-",$D16))</f>
        <v>-</v>
      </c>
      <c r="AR16" s="21" t="str">
        <f t="shared" ref="AR16" si="792">IF(InfGog2LevelCurrent&gt;=$B16,"-",IF(InfGog2LevelDesired&lt;$B16,"-",$E16))</f>
        <v>-</v>
      </c>
      <c r="AS16" s="15" t="str">
        <f t="shared" ref="AS16" si="793">IF(InfGlo2LevelCurrent&gt;=$B16,"-",IF(InfGlo2LevelDesired&lt;$B16,"-",$C16))</f>
        <v>-</v>
      </c>
      <c r="AT16" s="1" t="str">
        <f t="shared" ref="AT16" si="794">IF(InfGlo2LevelCurrent&gt;=$B16,"-",IF(InfGlo2LevelDesired&lt;$B16,"-",$D16))</f>
        <v>-</v>
      </c>
      <c r="AU16" s="21" t="str">
        <f t="shared" ref="AU16" si="795">IF(InfGlo2LevelCurrent&gt;=$B16,"-",IF(InfGlo2LevelDesired&lt;$B16,"-",$E16))</f>
        <v>-</v>
      </c>
      <c r="AV16" s="15" t="str">
        <f t="shared" ref="AV16" si="796">IF(InfBel2LevelCurrent&gt;=$B16,"-",IF(InfBel2LevelDesired&lt;$B16,"-",$C16))</f>
        <v>-</v>
      </c>
      <c r="AW16" s="1" t="str">
        <f t="shared" ref="AW16" si="797">IF(InfBel2LevelCurrent&gt;=$B16,"-",IF(InfBel2LevelDesired&lt;$B16,"-",$D16))</f>
        <v>-</v>
      </c>
      <c r="AX16" s="21" t="str">
        <f t="shared" ref="AX16" si="798">IF(InfBel2LevelCurrent&gt;=$B16,"-",IF(InfBel2LevelDesired&lt;$B16,"-",$E16))</f>
        <v>-</v>
      </c>
      <c r="AY16" s="15" t="str">
        <f t="shared" ref="AY16" si="799">IF(InfBoo2LevelCurrent&gt;=$B16,"-",IF(InfBoo2LevelDesired&lt;$B16,"-",$C16))</f>
        <v>-</v>
      </c>
      <c r="AZ16" s="1" t="str">
        <f t="shared" ref="AZ16" si="800">IF(InfBoo2LevelCurrent&gt;=$B16,"-",IF(InfBoo2LevelDesired&lt;$B16,"-",$D16))</f>
        <v>-</v>
      </c>
      <c r="BA16" s="21" t="str">
        <f t="shared" ref="BA16" si="801">IF(InfBoo2LevelCurrent&gt;=$B16,"-",IF(InfBoo2LevelDesired&lt;$B16,"-",$E16))</f>
        <v>-</v>
      </c>
      <c r="BB16" s="15" t="str">
        <f t="shared" ref="BB16" si="802">IF(LanGog2LevelCurrent&gt;=$B16,"-",IF(LanGog2LevelDesired&lt;$B16,"-",$C16))</f>
        <v>-</v>
      </c>
      <c r="BC16" s="1" t="str">
        <f t="shared" ref="BC16" si="803">IF(LanGog2LevelCurrent&gt;=$B16,"-",IF(LanGog2LevelDesired&lt;$B16,"-",$D16))</f>
        <v>-</v>
      </c>
      <c r="BD16" s="21" t="str">
        <f t="shared" ref="BD16" si="804">IF(LanGog2LevelCurrent&gt;=$B16,"-",IF(LanGog2LevelDesired&lt;$B16,"-",$E16))</f>
        <v>-</v>
      </c>
      <c r="BE16" s="15" t="str">
        <f t="shared" ref="BE16" si="805">IF(LanGlo2LevelCurrent&gt;=$B16,"-",IF(LanGlo2LevelDesired&lt;$B16,"-",$C16))</f>
        <v>-</v>
      </c>
      <c r="BF16" s="1" t="str">
        <f t="shared" ref="BF16" si="806">IF(LanGlo2LevelCurrent&gt;=$B16,"-",IF(LanGlo2LevelDesired&lt;$B16,"-",$D16))</f>
        <v>-</v>
      </c>
      <c r="BG16" s="21" t="str">
        <f t="shared" ref="BG16" si="807">IF(LanGlo2LevelCurrent&gt;=$B16,"-",IF(LanGlo2LevelDesired&lt;$B16,"-",$E16))</f>
        <v>-</v>
      </c>
      <c r="BH16" s="15" t="str">
        <f t="shared" ref="BH16" si="808">IF(LanBel2LevelCurrent&gt;=$B16,"-",IF(LanBel2LevelDesired&lt;$B16,"-",$C16))</f>
        <v>-</v>
      </c>
      <c r="BI16" s="1" t="str">
        <f t="shared" ref="BI16" si="809">IF(LanBel2LevelCurrent&gt;=$B16,"-",IF(LanBel2LevelDesired&lt;$B16,"-",$D16))</f>
        <v>-</v>
      </c>
      <c r="BJ16" s="21" t="str">
        <f t="shared" ref="BJ16" si="810">IF(LanBel2LevelCurrent&gt;=$B16,"-",IF(LanBel2LevelDesired&lt;$B16,"-",$E16))</f>
        <v>-</v>
      </c>
      <c r="BK16" s="15" t="str">
        <f t="shared" ref="BK16" si="811">IF(LanBoo2LevelCurrent&gt;=$B16,"-",IF(LanBoo2LevelDesired&lt;$B16,"-",$C16))</f>
        <v>-</v>
      </c>
      <c r="BL16" s="1" t="str">
        <f t="shared" ref="BL16" si="812">IF(LanBoo2LevelCurrent&gt;=$B16,"-",IF(LanBoo2LevelDesired&lt;$B16,"-",$D16))</f>
        <v>-</v>
      </c>
      <c r="BM16" s="21" t="str">
        <f t="shared" ref="BM16" si="813">IF(LanBoo2LevelCurrent&gt;=$B16,"-",IF(LanBoo2LevelDesired&lt;$B16,"-",$E16))</f>
        <v>-</v>
      </c>
      <c r="BN16" s="15" t="str">
        <f t="shared" ref="BN16" si="814">IF(MarGog2LevelCurrent&gt;=$B16,"-",IF(MarGog2LevelDesired&lt;$B16,"-",$C16))</f>
        <v>-</v>
      </c>
      <c r="BO16" s="1" t="str">
        <f t="shared" ref="BO16" si="815">IF(MarGog2LevelCurrent&gt;=$B16,"-",IF(MarGog2LevelDesired&lt;$B16,"-",$D16))</f>
        <v>-</v>
      </c>
      <c r="BP16" s="21" t="str">
        <f t="shared" ref="BP16" si="816">IF(MarGog2LevelCurrent&gt;=$B16,"-",IF(MarGog2LevelDesired&lt;$B16,"-",$E16))</f>
        <v>-</v>
      </c>
      <c r="BQ16" s="15" t="str">
        <f t="shared" ref="BQ16" si="817">IF(MarGlo2LevelCurrent&gt;=$B16,"-",IF(MarGlo2LevelDesired&lt;$B16,"-",$C16))</f>
        <v>-</v>
      </c>
      <c r="BR16" s="1" t="str">
        <f t="shared" ref="BR16" si="818">IF(MarGlo2LevelCurrent&gt;=$B16,"-",IF(MarGlo2LevelDesired&lt;$B16,"-",$D16))</f>
        <v>-</v>
      </c>
      <c r="BS16" s="21" t="str">
        <f t="shared" ref="BS16" si="819">IF(MarGlo2LevelCurrent&gt;=$B16,"-",IF(MarGlo2LevelDesired&lt;$B16,"-",$E16))</f>
        <v>-</v>
      </c>
      <c r="BT16" s="15" t="str">
        <f t="shared" ref="BT16" si="820">IF(MarBel2LevelCurrent&gt;=$B16,"-",IF(MarBel2LevelDesired&lt;$B16,"-",$C16))</f>
        <v>-</v>
      </c>
      <c r="BU16" s="1" t="str">
        <f t="shared" ref="BU16" si="821">IF(MarBel2LevelCurrent&gt;=$B16,"-",IF(MarBel2LevelDesired&lt;$B16,"-",$D16))</f>
        <v>-</v>
      </c>
      <c r="BV16" s="21" t="str">
        <f t="shared" ref="BV16" si="822">IF(MarBel2LevelCurrent&gt;=$B16,"-",IF(MarBel2LevelDesired&lt;$B16,"-",$E16))</f>
        <v>-</v>
      </c>
      <c r="BW16" s="15" t="str">
        <f t="shared" ref="BW16" si="823">IF(MarBoo2LevelCurrent&gt;=$B16,"-",IF(MarBoo2LevelDesired&lt;$B16,"-",$C16))</f>
        <v>-</v>
      </c>
      <c r="BX16" s="1" t="str">
        <f t="shared" ref="BX16" si="824">IF(MarBoo2LevelCurrent&gt;=$B16,"-",IF(MarBoo2LevelDesired&lt;$B16,"-",$D16))</f>
        <v>-</v>
      </c>
      <c r="BY16" s="21" t="str">
        <f t="shared" ref="BY16" si="825">IF(MarBoo2LevelCurrent&gt;=$B16,"-",IF(MarBoo2LevelDesired&lt;$B16,"-",$E16))</f>
        <v>-</v>
      </c>
      <c r="BZ16" s="15" t="str">
        <f t="shared" si="72"/>
        <v>-</v>
      </c>
      <c r="CA16" s="1" t="str" cm="1">
        <f t="array" ref="CA16">IF(InfGog3LevelCurrent&gt;=$B16,"-",IF(InfGog3LevelDesired&lt;$B16,"-",$D16))</f>
        <v>-</v>
      </c>
      <c r="CB16" s="21" t="str" cm="1">
        <f t="array" ref="CB16">IF(InfGog3LevelCurrent&gt;=$B16,"-",IF(InfGog3LevelDesired&lt;$B16,"-",$E16))</f>
        <v>-</v>
      </c>
      <c r="CC16" s="15" t="str">
        <f t="shared" si="73"/>
        <v>-</v>
      </c>
      <c r="CD16" s="1" t="str">
        <f t="shared" si="74"/>
        <v>-</v>
      </c>
      <c r="CE16" s="21" t="str">
        <f t="shared" si="75"/>
        <v>-</v>
      </c>
      <c r="CF16" s="15" t="str">
        <f t="shared" si="76"/>
        <v>-</v>
      </c>
      <c r="CG16" s="1" t="str">
        <f t="shared" si="77"/>
        <v>-</v>
      </c>
      <c r="CH16" s="21" t="str">
        <f t="shared" si="78"/>
        <v>-</v>
      </c>
      <c r="CI16" s="15" t="str">
        <f t="shared" si="79"/>
        <v>-</v>
      </c>
      <c r="CJ16" s="1" t="str">
        <f t="shared" si="80"/>
        <v>-</v>
      </c>
      <c r="CK16" s="21" t="str">
        <f t="shared" si="81"/>
        <v>-</v>
      </c>
      <c r="CL16" s="15" t="str">
        <f t="shared" si="82"/>
        <v>-</v>
      </c>
      <c r="CM16" s="1" t="str">
        <f t="shared" si="83"/>
        <v>-</v>
      </c>
      <c r="CN16" s="21" t="str">
        <f t="shared" si="84"/>
        <v>-</v>
      </c>
      <c r="CO16" s="15" t="str">
        <f t="shared" si="85"/>
        <v>-</v>
      </c>
      <c r="CP16" s="1" t="str">
        <f t="shared" si="86"/>
        <v>-</v>
      </c>
      <c r="CQ16" s="21" t="str">
        <f t="shared" si="87"/>
        <v>-</v>
      </c>
      <c r="CR16" s="15" t="str">
        <f t="shared" si="88"/>
        <v>-</v>
      </c>
      <c r="CS16" s="1" t="str">
        <f t="shared" si="89"/>
        <v>-</v>
      </c>
      <c r="CT16" s="21" t="str">
        <f t="shared" si="90"/>
        <v>-</v>
      </c>
      <c r="CU16" s="15" t="str">
        <f t="shared" si="91"/>
        <v>-</v>
      </c>
      <c r="CV16" s="1" t="str">
        <f t="shared" si="92"/>
        <v>-</v>
      </c>
      <c r="CW16" s="21" t="str">
        <f t="shared" si="93"/>
        <v>-</v>
      </c>
      <c r="CX16" s="15" t="str">
        <f t="shared" si="94"/>
        <v>-</v>
      </c>
      <c r="CY16" s="1" t="str">
        <f t="shared" si="95"/>
        <v>-</v>
      </c>
      <c r="CZ16" s="21" t="str">
        <f t="shared" si="96"/>
        <v>-</v>
      </c>
      <c r="DA16" s="15" t="str">
        <f t="shared" si="97"/>
        <v>-</v>
      </c>
      <c r="DB16" s="1" t="str">
        <f t="shared" si="98"/>
        <v>-</v>
      </c>
      <c r="DC16" s="21" t="str">
        <f t="shared" si="99"/>
        <v>-</v>
      </c>
      <c r="DD16" s="15" t="str">
        <f t="shared" si="100"/>
        <v>-</v>
      </c>
      <c r="DE16" s="1" t="str">
        <f t="shared" si="101"/>
        <v>-</v>
      </c>
      <c r="DF16" s="21" t="str">
        <f t="shared" si="102"/>
        <v>-</v>
      </c>
      <c r="DG16" s="15" t="str">
        <f t="shared" si="103"/>
        <v>-</v>
      </c>
      <c r="DH16" s="1" t="str">
        <f t="shared" si="104"/>
        <v>-</v>
      </c>
      <c r="DI16" s="21" t="str">
        <f t="shared" si="105"/>
        <v>-</v>
      </c>
    </row>
    <row r="17" spans="2:113" x14ac:dyDescent="0.3">
      <c r="B17" s="1">
        <v>12</v>
      </c>
      <c r="C17" s="67">
        <v>65</v>
      </c>
      <c r="D17" s="88" t="s">
        <v>27</v>
      </c>
      <c r="E17" s="21" t="s">
        <v>27</v>
      </c>
      <c r="F17" s="15" t="str">
        <f t="shared" ref="F17" si="826">IF(InfGog1LevelCurrent&gt;=$B17,"-",IF(InfGog1LevelDesired&lt;$B17,"-",$C17))</f>
        <v>-</v>
      </c>
      <c r="G17" s="1" t="str">
        <f t="shared" ref="G17" si="827">IF(InfGog1LevelCurrent&gt;=$B17,"-",IF(InfGog1LevelDesired&lt;$B17,"-",$D17))</f>
        <v>-</v>
      </c>
      <c r="H17" s="21" t="str">
        <f t="shared" ref="H17" si="828">IF(InfGog1LevelCurrent&gt;=$B17,"-",IF(InfGog1LevelDesired&lt;$B17,"-",$E17))</f>
        <v>-</v>
      </c>
      <c r="I17" s="15" t="str">
        <f t="shared" ref="I17" si="829">IF(InfGlo1LevelCurrent&gt;=$B17,"-",IF(InfGlo1LevelDesired&lt;$B17,"-",$C17))</f>
        <v>-</v>
      </c>
      <c r="J17" s="1" t="str">
        <f t="shared" ref="J17" si="830">IF(InfGlo1LevelCurrent&gt;=$B17,"-",IF(InfGlo1LevelDesired&lt;$B17,"-",$D17))</f>
        <v>-</v>
      </c>
      <c r="K17" s="21" t="str">
        <f t="shared" ref="K17" si="831">IF(InfGlo1LevelCurrent&gt;=$B17,"-",IF(InfGlo1LevelDesired&lt;$B17,"-",$E17))</f>
        <v>-</v>
      </c>
      <c r="L17" s="15" t="str">
        <f t="shared" ref="L17" si="832">IF(InfBel1LevelCurrent&gt;=$B17,"-",IF(InfBel1LevelDesired&lt;$B17,"-",$C17))</f>
        <v>-</v>
      </c>
      <c r="M17" s="1" t="str">
        <f t="shared" ref="M17" si="833">IF(InfBel1LevelCurrent&gt;=$B17,"-",IF(InfBel1LevelDesired&lt;$B17,"-",$D17))</f>
        <v>-</v>
      </c>
      <c r="N17" s="21" t="str">
        <f t="shared" ref="N17" si="834">IF(InfBel1LevelCurrent&gt;=$B17,"-",IF(InfBel1LevelDesired&lt;$B17,"-",$E17))</f>
        <v>-</v>
      </c>
      <c r="O17" s="15" t="str">
        <f t="shared" ref="O17" si="835">IF(InfBoo1LevelCurrent&gt;=$B17,"-",IF(InfBoo1LevelDesired&lt;$B17,"-",$C17))</f>
        <v>-</v>
      </c>
      <c r="P17" s="1" t="str">
        <f t="shared" ref="P17" si="836">IF(InfBoo1LevelCurrent&gt;=$B17,"-",IF(InfBoo1LevelDesired&lt;$B17,"-",$D17))</f>
        <v>-</v>
      </c>
      <c r="Q17" s="21" t="str">
        <f t="shared" ref="Q17" si="837">IF(InfBoo1LevelCurrent&gt;=$B17,"-",IF(InfBoo1LevelDesired&lt;$B17,"-",$E17))</f>
        <v>-</v>
      </c>
      <c r="R17" s="15" t="str">
        <f t="shared" ref="R17" si="838">IF(LanGog1LevelCurrent&gt;=$B17,"-",IF(LanGog1LevelDesired&lt;$B17,"-",$C17))</f>
        <v>-</v>
      </c>
      <c r="S17" s="1" t="str">
        <f t="shared" ref="S17" si="839">IF(LanGog1LevelCurrent&gt;=$B17,"-",IF(LanGog1LevelDesired&lt;$B17,"-",$D17))</f>
        <v>-</v>
      </c>
      <c r="T17" s="21" t="str">
        <f t="shared" ref="T17" si="840">IF(LanGog1LevelCurrent&gt;=$B17,"-",IF(LanGog1LevelDesired&lt;$B17,"-",$E17))</f>
        <v>-</v>
      </c>
      <c r="U17" s="15" t="str">
        <f t="shared" ref="U17" si="841">IF(LanGlo1LevelCurrent&gt;=$B17,"-",IF(LanGlo1LevelDesired&lt;$B17,"-",$C17))</f>
        <v>-</v>
      </c>
      <c r="V17" s="1" t="str">
        <f t="shared" ref="V17" si="842">IF(LanGlo1LevelCurrent&gt;=$B17,"-",IF(LanGlo1LevelDesired&lt;$B17,"-",$D17))</f>
        <v>-</v>
      </c>
      <c r="W17" s="21" t="str">
        <f t="shared" ref="W17" si="843">IF(LanGlo1LevelCurrent&gt;=$B17,"-",IF(LanGlo1LevelDesired&lt;$B17,"-",$E17))</f>
        <v>-</v>
      </c>
      <c r="X17" s="15" t="str">
        <f t="shared" ref="X17" si="844">IF(LanBel1LevelCurrent&gt;=$B17,"-",IF(LanBel1LevelDesired&lt;$B17,"-",$C17))</f>
        <v>-</v>
      </c>
      <c r="Y17" s="1" t="str">
        <f t="shared" ref="Y17" si="845">IF(LanBel1LevelCurrent&gt;=$B17,"-",IF(LanBel1LevelDesired&lt;$B17,"-",$D17))</f>
        <v>-</v>
      </c>
      <c r="Z17" s="21" t="str">
        <f t="shared" ref="Z17" si="846">IF(LanBel1LevelCurrent&gt;=$B17,"-",IF(LanBel1LevelDesired&lt;$B17,"-",$E17))</f>
        <v>-</v>
      </c>
      <c r="AA17" s="15" t="str">
        <f t="shared" ref="AA17" si="847">IF(LanBoo1LevelCurrent&gt;=$B17,"-",IF(LanBoo1LevelDesired&lt;$B17,"-",$C17))</f>
        <v>-</v>
      </c>
      <c r="AB17" s="1" t="str">
        <f t="shared" ref="AB17" si="848">IF(LanBoo1LevelCurrent&gt;=$B17,"-",IF(LanBoo1LevelDesired&lt;$B17,"-",$D17))</f>
        <v>-</v>
      </c>
      <c r="AC17" s="21" t="str">
        <f t="shared" ref="AC17" si="849">IF(LanBoo1LevelCurrent&gt;=$B17,"-",IF(LanBoo1LevelDesired&lt;$B17,"-",$E17))</f>
        <v>-</v>
      </c>
      <c r="AD17" s="15" t="str">
        <f t="shared" ref="AD17" si="850">IF(MarGog1LevelCurrent&gt;=$B17,"-",IF(MarGog1LevelDesired&lt;$B17,"-",$C17))</f>
        <v>-</v>
      </c>
      <c r="AE17" s="1" t="str">
        <f t="shared" ref="AE17" si="851">IF(MarGog1LevelCurrent&gt;=$B17,"-",IF(MarGog1LevelDesired&lt;$B17,"-",$D17))</f>
        <v>-</v>
      </c>
      <c r="AF17" s="21" t="str">
        <f t="shared" ref="AF17" si="852">IF(MarGog1LevelCurrent&gt;=$B17,"-",IF(MarGog1LevelDesired&lt;$B17,"-",$E17))</f>
        <v>-</v>
      </c>
      <c r="AG17" s="15" t="str">
        <f t="shared" ref="AG17" si="853">IF(MarGlo1LevelCurrent&gt;=$B17,"-",IF(MarGlo1LevelDesired&lt;$B17,"-",$C17))</f>
        <v>-</v>
      </c>
      <c r="AH17" s="1" t="str">
        <f t="shared" ref="AH17" si="854">IF(MarGlo1LevelCurrent&gt;=$B17,"-",IF(MarGlo1LevelDesired&lt;$B17,"-",$D17))</f>
        <v>-</v>
      </c>
      <c r="AI17" s="21" t="str">
        <f t="shared" ref="AI17" si="855">IF(MarGlo1LevelCurrent&gt;=$B17,"-",IF(MarGlo1LevelDesired&lt;$B17,"-",$E17))</f>
        <v>-</v>
      </c>
      <c r="AJ17" s="15" t="str">
        <f t="shared" ref="AJ17" si="856">IF(MarBel1LevelCurrent&gt;=$B17,"-",IF(MarBel1LevelDesired&lt;$B17,"-",$C17))</f>
        <v>-</v>
      </c>
      <c r="AK17" s="1" t="str">
        <f t="shared" ref="AK17" si="857">IF(MarBel1LevelCurrent&gt;=$B17,"-",IF(MarBel1LevelDesired&lt;$B17,"-",$D17))</f>
        <v>-</v>
      </c>
      <c r="AL17" s="21" t="str">
        <f t="shared" ref="AL17" si="858">IF(MarBel1LevelCurrent&gt;=$B17,"-",IF(MarBel1LevelDesired&lt;$B17,"-",$E17))</f>
        <v>-</v>
      </c>
      <c r="AM17" s="15" t="str">
        <f t="shared" ref="AM17" si="859">IF(MarBoo1LevelCurrent&gt;=$B17,"-",IF(MarBoo1LevelDesired&lt;$B17,"-",$C17))</f>
        <v>-</v>
      </c>
      <c r="AN17" s="1" t="str">
        <f t="shared" ref="AN17" si="860">IF(MarBoo1LevelCurrent&gt;=$B17,"-",IF(MarBoo1LevelDesired&lt;$B17,"-",$D17))</f>
        <v>-</v>
      </c>
      <c r="AO17" s="21" t="str">
        <f t="shared" ref="AO17" si="861">IF(MarBoo1LevelCurrent&gt;=$B17,"-",IF(MarBoo1LevelDesired&lt;$B17,"-",$E17))</f>
        <v>-</v>
      </c>
      <c r="AP17" s="15" t="str">
        <f t="shared" ref="AP17" si="862">IF(InfGog2LevelCurrent&gt;=$B17,"-",IF(InfGog2LevelDesired&lt;$B17,"-",$C17))</f>
        <v>-</v>
      </c>
      <c r="AQ17" s="1" t="str">
        <f t="shared" ref="AQ17" si="863">IF(InfGog2LevelCurrent&gt;=$B17,"-",IF(InfGog2LevelDesired&lt;$B17,"-",$D17))</f>
        <v>-</v>
      </c>
      <c r="AR17" s="21" t="str">
        <f t="shared" ref="AR17" si="864">IF(InfGog2LevelCurrent&gt;=$B17,"-",IF(InfGog2LevelDesired&lt;$B17,"-",$E17))</f>
        <v>-</v>
      </c>
      <c r="AS17" s="15" t="str">
        <f t="shared" ref="AS17" si="865">IF(InfGlo2LevelCurrent&gt;=$B17,"-",IF(InfGlo2LevelDesired&lt;$B17,"-",$C17))</f>
        <v>-</v>
      </c>
      <c r="AT17" s="1" t="str">
        <f t="shared" ref="AT17" si="866">IF(InfGlo2LevelCurrent&gt;=$B17,"-",IF(InfGlo2LevelDesired&lt;$B17,"-",$D17))</f>
        <v>-</v>
      </c>
      <c r="AU17" s="21" t="str">
        <f t="shared" ref="AU17" si="867">IF(InfGlo2LevelCurrent&gt;=$B17,"-",IF(InfGlo2LevelDesired&lt;$B17,"-",$E17))</f>
        <v>-</v>
      </c>
      <c r="AV17" s="15" t="str">
        <f t="shared" ref="AV17" si="868">IF(InfBel2LevelCurrent&gt;=$B17,"-",IF(InfBel2LevelDesired&lt;$B17,"-",$C17))</f>
        <v>-</v>
      </c>
      <c r="AW17" s="1" t="str">
        <f t="shared" ref="AW17" si="869">IF(InfBel2LevelCurrent&gt;=$B17,"-",IF(InfBel2LevelDesired&lt;$B17,"-",$D17))</f>
        <v>-</v>
      </c>
      <c r="AX17" s="21" t="str">
        <f t="shared" ref="AX17" si="870">IF(InfBel2LevelCurrent&gt;=$B17,"-",IF(InfBel2LevelDesired&lt;$B17,"-",$E17))</f>
        <v>-</v>
      </c>
      <c r="AY17" s="15" t="str">
        <f t="shared" ref="AY17" si="871">IF(InfBoo2LevelCurrent&gt;=$B17,"-",IF(InfBoo2LevelDesired&lt;$B17,"-",$C17))</f>
        <v>-</v>
      </c>
      <c r="AZ17" s="1" t="str">
        <f t="shared" ref="AZ17" si="872">IF(InfBoo2LevelCurrent&gt;=$B17,"-",IF(InfBoo2LevelDesired&lt;$B17,"-",$D17))</f>
        <v>-</v>
      </c>
      <c r="BA17" s="21" t="str">
        <f t="shared" ref="BA17" si="873">IF(InfBoo2LevelCurrent&gt;=$B17,"-",IF(InfBoo2LevelDesired&lt;$B17,"-",$E17))</f>
        <v>-</v>
      </c>
      <c r="BB17" s="15" t="str">
        <f t="shared" ref="BB17" si="874">IF(LanGog2LevelCurrent&gt;=$B17,"-",IF(LanGog2LevelDesired&lt;$B17,"-",$C17))</f>
        <v>-</v>
      </c>
      <c r="BC17" s="1" t="str">
        <f t="shared" ref="BC17" si="875">IF(LanGog2LevelCurrent&gt;=$B17,"-",IF(LanGog2LevelDesired&lt;$B17,"-",$D17))</f>
        <v>-</v>
      </c>
      <c r="BD17" s="21" t="str">
        <f t="shared" ref="BD17" si="876">IF(LanGog2LevelCurrent&gt;=$B17,"-",IF(LanGog2LevelDesired&lt;$B17,"-",$E17))</f>
        <v>-</v>
      </c>
      <c r="BE17" s="15" t="str">
        <f t="shared" ref="BE17" si="877">IF(LanGlo2LevelCurrent&gt;=$B17,"-",IF(LanGlo2LevelDesired&lt;$B17,"-",$C17))</f>
        <v>-</v>
      </c>
      <c r="BF17" s="1" t="str">
        <f t="shared" ref="BF17" si="878">IF(LanGlo2LevelCurrent&gt;=$B17,"-",IF(LanGlo2LevelDesired&lt;$B17,"-",$D17))</f>
        <v>-</v>
      </c>
      <c r="BG17" s="21" t="str">
        <f t="shared" ref="BG17" si="879">IF(LanGlo2LevelCurrent&gt;=$B17,"-",IF(LanGlo2LevelDesired&lt;$B17,"-",$E17))</f>
        <v>-</v>
      </c>
      <c r="BH17" s="15" t="str">
        <f t="shared" ref="BH17" si="880">IF(LanBel2LevelCurrent&gt;=$B17,"-",IF(LanBel2LevelDesired&lt;$B17,"-",$C17))</f>
        <v>-</v>
      </c>
      <c r="BI17" s="1" t="str">
        <f t="shared" ref="BI17" si="881">IF(LanBel2LevelCurrent&gt;=$B17,"-",IF(LanBel2LevelDesired&lt;$B17,"-",$D17))</f>
        <v>-</v>
      </c>
      <c r="BJ17" s="21" t="str">
        <f t="shared" ref="BJ17" si="882">IF(LanBel2LevelCurrent&gt;=$B17,"-",IF(LanBel2LevelDesired&lt;$B17,"-",$E17))</f>
        <v>-</v>
      </c>
      <c r="BK17" s="15" t="str">
        <f t="shared" ref="BK17" si="883">IF(LanBoo2LevelCurrent&gt;=$B17,"-",IF(LanBoo2LevelDesired&lt;$B17,"-",$C17))</f>
        <v>-</v>
      </c>
      <c r="BL17" s="1" t="str">
        <f t="shared" ref="BL17" si="884">IF(LanBoo2LevelCurrent&gt;=$B17,"-",IF(LanBoo2LevelDesired&lt;$B17,"-",$D17))</f>
        <v>-</v>
      </c>
      <c r="BM17" s="21" t="str">
        <f t="shared" ref="BM17" si="885">IF(LanBoo2LevelCurrent&gt;=$B17,"-",IF(LanBoo2LevelDesired&lt;$B17,"-",$E17))</f>
        <v>-</v>
      </c>
      <c r="BN17" s="15" t="str">
        <f t="shared" ref="BN17" si="886">IF(MarGog2LevelCurrent&gt;=$B17,"-",IF(MarGog2LevelDesired&lt;$B17,"-",$C17))</f>
        <v>-</v>
      </c>
      <c r="BO17" s="1" t="str">
        <f t="shared" ref="BO17" si="887">IF(MarGog2LevelCurrent&gt;=$B17,"-",IF(MarGog2LevelDesired&lt;$B17,"-",$D17))</f>
        <v>-</v>
      </c>
      <c r="BP17" s="21" t="str">
        <f t="shared" ref="BP17" si="888">IF(MarGog2LevelCurrent&gt;=$B17,"-",IF(MarGog2LevelDesired&lt;$B17,"-",$E17))</f>
        <v>-</v>
      </c>
      <c r="BQ17" s="15" t="str">
        <f t="shared" ref="BQ17" si="889">IF(MarGlo2LevelCurrent&gt;=$B17,"-",IF(MarGlo2LevelDesired&lt;$B17,"-",$C17))</f>
        <v>-</v>
      </c>
      <c r="BR17" s="1" t="str">
        <f t="shared" ref="BR17" si="890">IF(MarGlo2LevelCurrent&gt;=$B17,"-",IF(MarGlo2LevelDesired&lt;$B17,"-",$D17))</f>
        <v>-</v>
      </c>
      <c r="BS17" s="21" t="str">
        <f t="shared" ref="BS17" si="891">IF(MarGlo2LevelCurrent&gt;=$B17,"-",IF(MarGlo2LevelDesired&lt;$B17,"-",$E17))</f>
        <v>-</v>
      </c>
      <c r="BT17" s="15" t="str">
        <f t="shared" ref="BT17" si="892">IF(MarBel2LevelCurrent&gt;=$B17,"-",IF(MarBel2LevelDesired&lt;$B17,"-",$C17))</f>
        <v>-</v>
      </c>
      <c r="BU17" s="1" t="str">
        <f t="shared" ref="BU17" si="893">IF(MarBel2LevelCurrent&gt;=$B17,"-",IF(MarBel2LevelDesired&lt;$B17,"-",$D17))</f>
        <v>-</v>
      </c>
      <c r="BV17" s="21" t="str">
        <f t="shared" ref="BV17" si="894">IF(MarBel2LevelCurrent&gt;=$B17,"-",IF(MarBel2LevelDesired&lt;$B17,"-",$E17))</f>
        <v>-</v>
      </c>
      <c r="BW17" s="15" t="str">
        <f t="shared" ref="BW17" si="895">IF(MarBoo2LevelCurrent&gt;=$B17,"-",IF(MarBoo2LevelDesired&lt;$B17,"-",$C17))</f>
        <v>-</v>
      </c>
      <c r="BX17" s="1" t="str">
        <f t="shared" ref="BX17" si="896">IF(MarBoo2LevelCurrent&gt;=$B17,"-",IF(MarBoo2LevelDesired&lt;$B17,"-",$D17))</f>
        <v>-</v>
      </c>
      <c r="BY17" s="21" t="str">
        <f t="shared" ref="BY17" si="897">IF(MarBoo2LevelCurrent&gt;=$B17,"-",IF(MarBoo2LevelDesired&lt;$B17,"-",$E17))</f>
        <v>-</v>
      </c>
      <c r="BZ17" s="15" t="str">
        <f t="shared" si="72"/>
        <v>-</v>
      </c>
      <c r="CA17" s="1" t="str" cm="1">
        <f t="array" ref="CA17">IF(InfGog3LevelCurrent&gt;=$B17,"-",IF(InfGog3LevelDesired&lt;$B17,"-",$D17))</f>
        <v>-</v>
      </c>
      <c r="CB17" s="21" t="str" cm="1">
        <f t="array" ref="CB17">IF(InfGog3LevelCurrent&gt;=$B17,"-",IF(InfGog3LevelDesired&lt;$B17,"-",$E17))</f>
        <v>-</v>
      </c>
      <c r="CC17" s="15" t="str">
        <f t="shared" si="73"/>
        <v>-</v>
      </c>
      <c r="CD17" s="1" t="str">
        <f t="shared" si="74"/>
        <v>-</v>
      </c>
      <c r="CE17" s="21" t="str">
        <f t="shared" si="75"/>
        <v>-</v>
      </c>
      <c r="CF17" s="15" t="str">
        <f t="shared" si="76"/>
        <v>-</v>
      </c>
      <c r="CG17" s="1" t="str">
        <f t="shared" si="77"/>
        <v>-</v>
      </c>
      <c r="CH17" s="21" t="str">
        <f t="shared" si="78"/>
        <v>-</v>
      </c>
      <c r="CI17" s="15" t="str">
        <f t="shared" si="79"/>
        <v>-</v>
      </c>
      <c r="CJ17" s="1" t="str">
        <f t="shared" si="80"/>
        <v>-</v>
      </c>
      <c r="CK17" s="21" t="str">
        <f t="shared" si="81"/>
        <v>-</v>
      </c>
      <c r="CL17" s="15" t="str">
        <f t="shared" si="82"/>
        <v>-</v>
      </c>
      <c r="CM17" s="1" t="str">
        <f t="shared" si="83"/>
        <v>-</v>
      </c>
      <c r="CN17" s="21" t="str">
        <f t="shared" si="84"/>
        <v>-</v>
      </c>
      <c r="CO17" s="15" t="str">
        <f t="shared" si="85"/>
        <v>-</v>
      </c>
      <c r="CP17" s="1" t="str">
        <f t="shared" si="86"/>
        <v>-</v>
      </c>
      <c r="CQ17" s="21" t="str">
        <f t="shared" si="87"/>
        <v>-</v>
      </c>
      <c r="CR17" s="15" t="str">
        <f t="shared" si="88"/>
        <v>-</v>
      </c>
      <c r="CS17" s="1" t="str">
        <f t="shared" si="89"/>
        <v>-</v>
      </c>
      <c r="CT17" s="21" t="str">
        <f t="shared" si="90"/>
        <v>-</v>
      </c>
      <c r="CU17" s="15" t="str">
        <f t="shared" si="91"/>
        <v>-</v>
      </c>
      <c r="CV17" s="1" t="str">
        <f t="shared" si="92"/>
        <v>-</v>
      </c>
      <c r="CW17" s="21" t="str">
        <f t="shared" si="93"/>
        <v>-</v>
      </c>
      <c r="CX17" s="15" t="str">
        <f t="shared" si="94"/>
        <v>-</v>
      </c>
      <c r="CY17" s="1" t="str">
        <f t="shared" si="95"/>
        <v>-</v>
      </c>
      <c r="CZ17" s="21" t="str">
        <f t="shared" si="96"/>
        <v>-</v>
      </c>
      <c r="DA17" s="15" t="str">
        <f t="shared" si="97"/>
        <v>-</v>
      </c>
      <c r="DB17" s="1" t="str">
        <f t="shared" si="98"/>
        <v>-</v>
      </c>
      <c r="DC17" s="21" t="str">
        <f t="shared" si="99"/>
        <v>-</v>
      </c>
      <c r="DD17" s="15" t="str">
        <f t="shared" si="100"/>
        <v>-</v>
      </c>
      <c r="DE17" s="1" t="str">
        <f t="shared" si="101"/>
        <v>-</v>
      </c>
      <c r="DF17" s="21" t="str">
        <f t="shared" si="102"/>
        <v>-</v>
      </c>
      <c r="DG17" s="15" t="str">
        <f t="shared" si="103"/>
        <v>-</v>
      </c>
      <c r="DH17" s="1" t="str">
        <f t="shared" si="104"/>
        <v>-</v>
      </c>
      <c r="DI17" s="21" t="str">
        <f t="shared" si="105"/>
        <v>-</v>
      </c>
    </row>
    <row r="18" spans="2:113" x14ac:dyDescent="0.3">
      <c r="B18" s="1">
        <v>13</v>
      </c>
      <c r="C18" s="67">
        <v>70</v>
      </c>
      <c r="D18" s="88" t="s">
        <v>27</v>
      </c>
      <c r="E18" s="21" t="s">
        <v>27</v>
      </c>
      <c r="F18" s="15" t="str">
        <f t="shared" ref="F18" si="898">IF(InfGog1LevelCurrent&gt;=$B18,"-",IF(InfGog1LevelDesired&lt;$B18,"-",$C18))</f>
        <v>-</v>
      </c>
      <c r="G18" s="1" t="str">
        <f t="shared" ref="G18" si="899">IF(InfGog1LevelCurrent&gt;=$B18,"-",IF(InfGog1LevelDesired&lt;$B18,"-",$D18))</f>
        <v>-</v>
      </c>
      <c r="H18" s="21" t="str">
        <f t="shared" ref="H18" si="900">IF(InfGog1LevelCurrent&gt;=$B18,"-",IF(InfGog1LevelDesired&lt;$B18,"-",$E18))</f>
        <v>-</v>
      </c>
      <c r="I18" s="15" t="str">
        <f t="shared" ref="I18" si="901">IF(InfGlo1LevelCurrent&gt;=$B18,"-",IF(InfGlo1LevelDesired&lt;$B18,"-",$C18))</f>
        <v>-</v>
      </c>
      <c r="J18" s="1" t="str">
        <f t="shared" ref="J18" si="902">IF(InfGlo1LevelCurrent&gt;=$B18,"-",IF(InfGlo1LevelDesired&lt;$B18,"-",$D18))</f>
        <v>-</v>
      </c>
      <c r="K18" s="21" t="str">
        <f t="shared" ref="K18" si="903">IF(InfGlo1LevelCurrent&gt;=$B18,"-",IF(InfGlo1LevelDesired&lt;$B18,"-",$E18))</f>
        <v>-</v>
      </c>
      <c r="L18" s="15" t="str">
        <f t="shared" ref="L18" si="904">IF(InfBel1LevelCurrent&gt;=$B18,"-",IF(InfBel1LevelDesired&lt;$B18,"-",$C18))</f>
        <v>-</v>
      </c>
      <c r="M18" s="1" t="str">
        <f t="shared" ref="M18" si="905">IF(InfBel1LevelCurrent&gt;=$B18,"-",IF(InfBel1LevelDesired&lt;$B18,"-",$D18))</f>
        <v>-</v>
      </c>
      <c r="N18" s="21" t="str">
        <f t="shared" ref="N18" si="906">IF(InfBel1LevelCurrent&gt;=$B18,"-",IF(InfBel1LevelDesired&lt;$B18,"-",$E18))</f>
        <v>-</v>
      </c>
      <c r="O18" s="15" t="str">
        <f t="shared" ref="O18" si="907">IF(InfBoo1LevelCurrent&gt;=$B18,"-",IF(InfBoo1LevelDesired&lt;$B18,"-",$C18))</f>
        <v>-</v>
      </c>
      <c r="P18" s="1" t="str">
        <f t="shared" ref="P18" si="908">IF(InfBoo1LevelCurrent&gt;=$B18,"-",IF(InfBoo1LevelDesired&lt;$B18,"-",$D18))</f>
        <v>-</v>
      </c>
      <c r="Q18" s="21" t="str">
        <f t="shared" ref="Q18" si="909">IF(InfBoo1LevelCurrent&gt;=$B18,"-",IF(InfBoo1LevelDesired&lt;$B18,"-",$E18))</f>
        <v>-</v>
      </c>
      <c r="R18" s="15" t="str">
        <f t="shared" ref="R18" si="910">IF(LanGog1LevelCurrent&gt;=$B18,"-",IF(LanGog1LevelDesired&lt;$B18,"-",$C18))</f>
        <v>-</v>
      </c>
      <c r="S18" s="1" t="str">
        <f t="shared" ref="S18" si="911">IF(LanGog1LevelCurrent&gt;=$B18,"-",IF(LanGog1LevelDesired&lt;$B18,"-",$D18))</f>
        <v>-</v>
      </c>
      <c r="T18" s="21" t="str">
        <f t="shared" ref="T18" si="912">IF(LanGog1LevelCurrent&gt;=$B18,"-",IF(LanGog1LevelDesired&lt;$B18,"-",$E18))</f>
        <v>-</v>
      </c>
      <c r="U18" s="15" t="str">
        <f t="shared" ref="U18" si="913">IF(LanGlo1LevelCurrent&gt;=$B18,"-",IF(LanGlo1LevelDesired&lt;$B18,"-",$C18))</f>
        <v>-</v>
      </c>
      <c r="V18" s="1" t="str">
        <f t="shared" ref="V18" si="914">IF(LanGlo1LevelCurrent&gt;=$B18,"-",IF(LanGlo1LevelDesired&lt;$B18,"-",$D18))</f>
        <v>-</v>
      </c>
      <c r="W18" s="21" t="str">
        <f t="shared" ref="W18" si="915">IF(LanGlo1LevelCurrent&gt;=$B18,"-",IF(LanGlo1LevelDesired&lt;$B18,"-",$E18))</f>
        <v>-</v>
      </c>
      <c r="X18" s="15" t="str">
        <f t="shared" ref="X18" si="916">IF(LanBel1LevelCurrent&gt;=$B18,"-",IF(LanBel1LevelDesired&lt;$B18,"-",$C18))</f>
        <v>-</v>
      </c>
      <c r="Y18" s="1" t="str">
        <f t="shared" ref="Y18" si="917">IF(LanBel1LevelCurrent&gt;=$B18,"-",IF(LanBel1LevelDesired&lt;$B18,"-",$D18))</f>
        <v>-</v>
      </c>
      <c r="Z18" s="21" t="str">
        <f t="shared" ref="Z18" si="918">IF(LanBel1LevelCurrent&gt;=$B18,"-",IF(LanBel1LevelDesired&lt;$B18,"-",$E18))</f>
        <v>-</v>
      </c>
      <c r="AA18" s="15" t="str">
        <f t="shared" ref="AA18" si="919">IF(LanBoo1LevelCurrent&gt;=$B18,"-",IF(LanBoo1LevelDesired&lt;$B18,"-",$C18))</f>
        <v>-</v>
      </c>
      <c r="AB18" s="1" t="str">
        <f t="shared" ref="AB18" si="920">IF(LanBoo1LevelCurrent&gt;=$B18,"-",IF(LanBoo1LevelDesired&lt;$B18,"-",$D18))</f>
        <v>-</v>
      </c>
      <c r="AC18" s="21" t="str">
        <f t="shared" ref="AC18" si="921">IF(LanBoo1LevelCurrent&gt;=$B18,"-",IF(LanBoo1LevelDesired&lt;$B18,"-",$E18))</f>
        <v>-</v>
      </c>
      <c r="AD18" s="15" t="str">
        <f t="shared" ref="AD18" si="922">IF(MarGog1LevelCurrent&gt;=$B18,"-",IF(MarGog1LevelDesired&lt;$B18,"-",$C18))</f>
        <v>-</v>
      </c>
      <c r="AE18" s="1" t="str">
        <f t="shared" ref="AE18" si="923">IF(MarGog1LevelCurrent&gt;=$B18,"-",IF(MarGog1LevelDesired&lt;$B18,"-",$D18))</f>
        <v>-</v>
      </c>
      <c r="AF18" s="21" t="str">
        <f t="shared" ref="AF18" si="924">IF(MarGog1LevelCurrent&gt;=$B18,"-",IF(MarGog1LevelDesired&lt;$B18,"-",$E18))</f>
        <v>-</v>
      </c>
      <c r="AG18" s="15" t="str">
        <f t="shared" ref="AG18" si="925">IF(MarGlo1LevelCurrent&gt;=$B18,"-",IF(MarGlo1LevelDesired&lt;$B18,"-",$C18))</f>
        <v>-</v>
      </c>
      <c r="AH18" s="1" t="str">
        <f t="shared" ref="AH18" si="926">IF(MarGlo1LevelCurrent&gt;=$B18,"-",IF(MarGlo1LevelDesired&lt;$B18,"-",$D18))</f>
        <v>-</v>
      </c>
      <c r="AI18" s="21" t="str">
        <f t="shared" ref="AI18" si="927">IF(MarGlo1LevelCurrent&gt;=$B18,"-",IF(MarGlo1LevelDesired&lt;$B18,"-",$E18))</f>
        <v>-</v>
      </c>
      <c r="AJ18" s="15" t="str">
        <f t="shared" ref="AJ18" si="928">IF(MarBel1LevelCurrent&gt;=$B18,"-",IF(MarBel1LevelDesired&lt;$B18,"-",$C18))</f>
        <v>-</v>
      </c>
      <c r="AK18" s="1" t="str">
        <f t="shared" ref="AK18" si="929">IF(MarBel1LevelCurrent&gt;=$B18,"-",IF(MarBel1LevelDesired&lt;$B18,"-",$D18))</f>
        <v>-</v>
      </c>
      <c r="AL18" s="21" t="str">
        <f t="shared" ref="AL18" si="930">IF(MarBel1LevelCurrent&gt;=$B18,"-",IF(MarBel1LevelDesired&lt;$B18,"-",$E18))</f>
        <v>-</v>
      </c>
      <c r="AM18" s="15" t="str">
        <f t="shared" ref="AM18" si="931">IF(MarBoo1LevelCurrent&gt;=$B18,"-",IF(MarBoo1LevelDesired&lt;$B18,"-",$C18))</f>
        <v>-</v>
      </c>
      <c r="AN18" s="1" t="str">
        <f t="shared" ref="AN18" si="932">IF(MarBoo1LevelCurrent&gt;=$B18,"-",IF(MarBoo1LevelDesired&lt;$B18,"-",$D18))</f>
        <v>-</v>
      </c>
      <c r="AO18" s="21" t="str">
        <f t="shared" ref="AO18" si="933">IF(MarBoo1LevelCurrent&gt;=$B18,"-",IF(MarBoo1LevelDesired&lt;$B18,"-",$E18))</f>
        <v>-</v>
      </c>
      <c r="AP18" s="15" t="str">
        <f t="shared" ref="AP18" si="934">IF(InfGog2LevelCurrent&gt;=$B18,"-",IF(InfGog2LevelDesired&lt;$B18,"-",$C18))</f>
        <v>-</v>
      </c>
      <c r="AQ18" s="1" t="str">
        <f t="shared" ref="AQ18" si="935">IF(InfGog2LevelCurrent&gt;=$B18,"-",IF(InfGog2LevelDesired&lt;$B18,"-",$D18))</f>
        <v>-</v>
      </c>
      <c r="AR18" s="21" t="str">
        <f t="shared" ref="AR18" si="936">IF(InfGog2LevelCurrent&gt;=$B18,"-",IF(InfGog2LevelDesired&lt;$B18,"-",$E18))</f>
        <v>-</v>
      </c>
      <c r="AS18" s="15" t="str">
        <f t="shared" ref="AS18" si="937">IF(InfGlo2LevelCurrent&gt;=$B18,"-",IF(InfGlo2LevelDesired&lt;$B18,"-",$C18))</f>
        <v>-</v>
      </c>
      <c r="AT18" s="1" t="str">
        <f t="shared" ref="AT18" si="938">IF(InfGlo2LevelCurrent&gt;=$B18,"-",IF(InfGlo2LevelDesired&lt;$B18,"-",$D18))</f>
        <v>-</v>
      </c>
      <c r="AU18" s="21" t="str">
        <f t="shared" ref="AU18" si="939">IF(InfGlo2LevelCurrent&gt;=$B18,"-",IF(InfGlo2LevelDesired&lt;$B18,"-",$E18))</f>
        <v>-</v>
      </c>
      <c r="AV18" s="15" t="str">
        <f t="shared" ref="AV18" si="940">IF(InfBel2LevelCurrent&gt;=$B18,"-",IF(InfBel2LevelDesired&lt;$B18,"-",$C18))</f>
        <v>-</v>
      </c>
      <c r="AW18" s="1" t="str">
        <f t="shared" ref="AW18" si="941">IF(InfBel2LevelCurrent&gt;=$B18,"-",IF(InfBel2LevelDesired&lt;$B18,"-",$D18))</f>
        <v>-</v>
      </c>
      <c r="AX18" s="21" t="str">
        <f t="shared" ref="AX18" si="942">IF(InfBel2LevelCurrent&gt;=$B18,"-",IF(InfBel2LevelDesired&lt;$B18,"-",$E18))</f>
        <v>-</v>
      </c>
      <c r="AY18" s="15" t="str">
        <f t="shared" ref="AY18" si="943">IF(InfBoo2LevelCurrent&gt;=$B18,"-",IF(InfBoo2LevelDesired&lt;$B18,"-",$C18))</f>
        <v>-</v>
      </c>
      <c r="AZ18" s="1" t="str">
        <f t="shared" ref="AZ18" si="944">IF(InfBoo2LevelCurrent&gt;=$B18,"-",IF(InfBoo2LevelDesired&lt;$B18,"-",$D18))</f>
        <v>-</v>
      </c>
      <c r="BA18" s="21" t="str">
        <f t="shared" ref="BA18" si="945">IF(InfBoo2LevelCurrent&gt;=$B18,"-",IF(InfBoo2LevelDesired&lt;$B18,"-",$E18))</f>
        <v>-</v>
      </c>
      <c r="BB18" s="15" t="str">
        <f t="shared" ref="BB18" si="946">IF(LanGog2LevelCurrent&gt;=$B18,"-",IF(LanGog2LevelDesired&lt;$B18,"-",$C18))</f>
        <v>-</v>
      </c>
      <c r="BC18" s="1" t="str">
        <f t="shared" ref="BC18" si="947">IF(LanGog2LevelCurrent&gt;=$B18,"-",IF(LanGog2LevelDesired&lt;$B18,"-",$D18))</f>
        <v>-</v>
      </c>
      <c r="BD18" s="21" t="str">
        <f t="shared" ref="BD18" si="948">IF(LanGog2LevelCurrent&gt;=$B18,"-",IF(LanGog2LevelDesired&lt;$B18,"-",$E18))</f>
        <v>-</v>
      </c>
      <c r="BE18" s="15" t="str">
        <f t="shared" ref="BE18" si="949">IF(LanGlo2LevelCurrent&gt;=$B18,"-",IF(LanGlo2LevelDesired&lt;$B18,"-",$C18))</f>
        <v>-</v>
      </c>
      <c r="BF18" s="1" t="str">
        <f t="shared" ref="BF18" si="950">IF(LanGlo2LevelCurrent&gt;=$B18,"-",IF(LanGlo2LevelDesired&lt;$B18,"-",$D18))</f>
        <v>-</v>
      </c>
      <c r="BG18" s="21" t="str">
        <f t="shared" ref="BG18" si="951">IF(LanGlo2LevelCurrent&gt;=$B18,"-",IF(LanGlo2LevelDesired&lt;$B18,"-",$E18))</f>
        <v>-</v>
      </c>
      <c r="BH18" s="15" t="str">
        <f t="shared" ref="BH18" si="952">IF(LanBel2LevelCurrent&gt;=$B18,"-",IF(LanBel2LevelDesired&lt;$B18,"-",$C18))</f>
        <v>-</v>
      </c>
      <c r="BI18" s="1" t="str">
        <f t="shared" ref="BI18" si="953">IF(LanBel2LevelCurrent&gt;=$B18,"-",IF(LanBel2LevelDesired&lt;$B18,"-",$D18))</f>
        <v>-</v>
      </c>
      <c r="BJ18" s="21" t="str">
        <f t="shared" ref="BJ18" si="954">IF(LanBel2LevelCurrent&gt;=$B18,"-",IF(LanBel2LevelDesired&lt;$B18,"-",$E18))</f>
        <v>-</v>
      </c>
      <c r="BK18" s="15" t="str">
        <f t="shared" ref="BK18" si="955">IF(LanBoo2LevelCurrent&gt;=$B18,"-",IF(LanBoo2LevelDesired&lt;$B18,"-",$C18))</f>
        <v>-</v>
      </c>
      <c r="BL18" s="1" t="str">
        <f t="shared" ref="BL18" si="956">IF(LanBoo2LevelCurrent&gt;=$B18,"-",IF(LanBoo2LevelDesired&lt;$B18,"-",$D18))</f>
        <v>-</v>
      </c>
      <c r="BM18" s="21" t="str">
        <f t="shared" ref="BM18" si="957">IF(LanBoo2LevelCurrent&gt;=$B18,"-",IF(LanBoo2LevelDesired&lt;$B18,"-",$E18))</f>
        <v>-</v>
      </c>
      <c r="BN18" s="15" t="str">
        <f t="shared" ref="BN18" si="958">IF(MarGog2LevelCurrent&gt;=$B18,"-",IF(MarGog2LevelDesired&lt;$B18,"-",$C18))</f>
        <v>-</v>
      </c>
      <c r="BO18" s="1" t="str">
        <f t="shared" ref="BO18" si="959">IF(MarGog2LevelCurrent&gt;=$B18,"-",IF(MarGog2LevelDesired&lt;$B18,"-",$D18))</f>
        <v>-</v>
      </c>
      <c r="BP18" s="21" t="str">
        <f t="shared" ref="BP18" si="960">IF(MarGog2LevelCurrent&gt;=$B18,"-",IF(MarGog2LevelDesired&lt;$B18,"-",$E18))</f>
        <v>-</v>
      </c>
      <c r="BQ18" s="15" t="str">
        <f t="shared" ref="BQ18" si="961">IF(MarGlo2LevelCurrent&gt;=$B18,"-",IF(MarGlo2LevelDesired&lt;$B18,"-",$C18))</f>
        <v>-</v>
      </c>
      <c r="BR18" s="1" t="str">
        <f t="shared" ref="BR18" si="962">IF(MarGlo2LevelCurrent&gt;=$B18,"-",IF(MarGlo2LevelDesired&lt;$B18,"-",$D18))</f>
        <v>-</v>
      </c>
      <c r="BS18" s="21" t="str">
        <f t="shared" ref="BS18" si="963">IF(MarGlo2LevelCurrent&gt;=$B18,"-",IF(MarGlo2LevelDesired&lt;$B18,"-",$E18))</f>
        <v>-</v>
      </c>
      <c r="BT18" s="15" t="str">
        <f t="shared" ref="BT18" si="964">IF(MarBel2LevelCurrent&gt;=$B18,"-",IF(MarBel2LevelDesired&lt;$B18,"-",$C18))</f>
        <v>-</v>
      </c>
      <c r="BU18" s="1" t="str">
        <f t="shared" ref="BU18" si="965">IF(MarBel2LevelCurrent&gt;=$B18,"-",IF(MarBel2LevelDesired&lt;$B18,"-",$D18))</f>
        <v>-</v>
      </c>
      <c r="BV18" s="21" t="str">
        <f t="shared" ref="BV18" si="966">IF(MarBel2LevelCurrent&gt;=$B18,"-",IF(MarBel2LevelDesired&lt;$B18,"-",$E18))</f>
        <v>-</v>
      </c>
      <c r="BW18" s="15" t="str">
        <f t="shared" ref="BW18" si="967">IF(MarBoo2LevelCurrent&gt;=$B18,"-",IF(MarBoo2LevelDesired&lt;$B18,"-",$C18))</f>
        <v>-</v>
      </c>
      <c r="BX18" s="1" t="str">
        <f t="shared" ref="BX18" si="968">IF(MarBoo2LevelCurrent&gt;=$B18,"-",IF(MarBoo2LevelDesired&lt;$B18,"-",$D18))</f>
        <v>-</v>
      </c>
      <c r="BY18" s="21" t="str">
        <f t="shared" ref="BY18" si="969">IF(MarBoo2LevelCurrent&gt;=$B18,"-",IF(MarBoo2LevelDesired&lt;$B18,"-",$E18))</f>
        <v>-</v>
      </c>
      <c r="BZ18" s="15" t="str">
        <f t="shared" si="72"/>
        <v>-</v>
      </c>
      <c r="CA18" s="1" t="str" cm="1">
        <f t="array" ref="CA18">IF(InfGog3LevelCurrent&gt;=$B18,"-",IF(InfGog3LevelDesired&lt;$B18,"-",$D18))</f>
        <v>-</v>
      </c>
      <c r="CB18" s="21" t="str" cm="1">
        <f t="array" ref="CB18">IF(InfGog3LevelCurrent&gt;=$B18,"-",IF(InfGog3LevelDesired&lt;$B18,"-",$E18))</f>
        <v>-</v>
      </c>
      <c r="CC18" s="15" t="str">
        <f t="shared" si="73"/>
        <v>-</v>
      </c>
      <c r="CD18" s="1" t="str">
        <f t="shared" si="74"/>
        <v>-</v>
      </c>
      <c r="CE18" s="21" t="str">
        <f t="shared" si="75"/>
        <v>-</v>
      </c>
      <c r="CF18" s="15" t="str">
        <f t="shared" si="76"/>
        <v>-</v>
      </c>
      <c r="CG18" s="1" t="str">
        <f t="shared" si="77"/>
        <v>-</v>
      </c>
      <c r="CH18" s="21" t="str">
        <f t="shared" si="78"/>
        <v>-</v>
      </c>
      <c r="CI18" s="15" t="str">
        <f t="shared" si="79"/>
        <v>-</v>
      </c>
      <c r="CJ18" s="1" t="str">
        <f t="shared" si="80"/>
        <v>-</v>
      </c>
      <c r="CK18" s="21" t="str">
        <f t="shared" si="81"/>
        <v>-</v>
      </c>
      <c r="CL18" s="15" t="str">
        <f t="shared" si="82"/>
        <v>-</v>
      </c>
      <c r="CM18" s="1" t="str">
        <f t="shared" si="83"/>
        <v>-</v>
      </c>
      <c r="CN18" s="21" t="str">
        <f t="shared" si="84"/>
        <v>-</v>
      </c>
      <c r="CO18" s="15" t="str">
        <f t="shared" si="85"/>
        <v>-</v>
      </c>
      <c r="CP18" s="1" t="str">
        <f t="shared" si="86"/>
        <v>-</v>
      </c>
      <c r="CQ18" s="21" t="str">
        <f t="shared" si="87"/>
        <v>-</v>
      </c>
      <c r="CR18" s="15" t="str">
        <f t="shared" si="88"/>
        <v>-</v>
      </c>
      <c r="CS18" s="1" t="str">
        <f t="shared" si="89"/>
        <v>-</v>
      </c>
      <c r="CT18" s="21" t="str">
        <f t="shared" si="90"/>
        <v>-</v>
      </c>
      <c r="CU18" s="15" t="str">
        <f t="shared" si="91"/>
        <v>-</v>
      </c>
      <c r="CV18" s="1" t="str">
        <f t="shared" si="92"/>
        <v>-</v>
      </c>
      <c r="CW18" s="21" t="str">
        <f t="shared" si="93"/>
        <v>-</v>
      </c>
      <c r="CX18" s="15" t="str">
        <f t="shared" si="94"/>
        <v>-</v>
      </c>
      <c r="CY18" s="1" t="str">
        <f t="shared" si="95"/>
        <v>-</v>
      </c>
      <c r="CZ18" s="21" t="str">
        <f t="shared" si="96"/>
        <v>-</v>
      </c>
      <c r="DA18" s="15" t="str">
        <f t="shared" si="97"/>
        <v>-</v>
      </c>
      <c r="DB18" s="1" t="str">
        <f t="shared" si="98"/>
        <v>-</v>
      </c>
      <c r="DC18" s="21" t="str">
        <f t="shared" si="99"/>
        <v>-</v>
      </c>
      <c r="DD18" s="15" t="str">
        <f t="shared" si="100"/>
        <v>-</v>
      </c>
      <c r="DE18" s="1" t="str">
        <f t="shared" si="101"/>
        <v>-</v>
      </c>
      <c r="DF18" s="21" t="str">
        <f t="shared" si="102"/>
        <v>-</v>
      </c>
      <c r="DG18" s="15" t="str">
        <f t="shared" si="103"/>
        <v>-</v>
      </c>
      <c r="DH18" s="1" t="str">
        <f t="shared" si="104"/>
        <v>-</v>
      </c>
      <c r="DI18" s="21" t="str">
        <f t="shared" si="105"/>
        <v>-</v>
      </c>
    </row>
    <row r="19" spans="2:113" x14ac:dyDescent="0.3">
      <c r="B19" s="1">
        <v>14</v>
      </c>
      <c r="C19" s="67">
        <v>75</v>
      </c>
      <c r="D19" s="88" t="s">
        <v>27</v>
      </c>
      <c r="E19" s="21" t="s">
        <v>27</v>
      </c>
      <c r="F19" s="15" t="str">
        <f t="shared" ref="F19" si="970">IF(InfGog1LevelCurrent&gt;=$B19,"-",IF(InfGog1LevelDesired&lt;$B19,"-",$C19))</f>
        <v>-</v>
      </c>
      <c r="G19" s="1" t="str">
        <f t="shared" ref="G19" si="971">IF(InfGog1LevelCurrent&gt;=$B19,"-",IF(InfGog1LevelDesired&lt;$B19,"-",$D19))</f>
        <v>-</v>
      </c>
      <c r="H19" s="21" t="str">
        <f t="shared" ref="H19" si="972">IF(InfGog1LevelCurrent&gt;=$B19,"-",IF(InfGog1LevelDesired&lt;$B19,"-",$E19))</f>
        <v>-</v>
      </c>
      <c r="I19" s="15" t="str">
        <f t="shared" ref="I19" si="973">IF(InfGlo1LevelCurrent&gt;=$B19,"-",IF(InfGlo1LevelDesired&lt;$B19,"-",$C19))</f>
        <v>-</v>
      </c>
      <c r="J19" s="1" t="str">
        <f t="shared" ref="J19" si="974">IF(InfGlo1LevelCurrent&gt;=$B19,"-",IF(InfGlo1LevelDesired&lt;$B19,"-",$D19))</f>
        <v>-</v>
      </c>
      <c r="K19" s="21" t="str">
        <f t="shared" ref="K19" si="975">IF(InfGlo1LevelCurrent&gt;=$B19,"-",IF(InfGlo1LevelDesired&lt;$B19,"-",$E19))</f>
        <v>-</v>
      </c>
      <c r="L19" s="15" t="str">
        <f t="shared" ref="L19" si="976">IF(InfBel1LevelCurrent&gt;=$B19,"-",IF(InfBel1LevelDesired&lt;$B19,"-",$C19))</f>
        <v>-</v>
      </c>
      <c r="M19" s="1" t="str">
        <f t="shared" ref="M19" si="977">IF(InfBel1LevelCurrent&gt;=$B19,"-",IF(InfBel1LevelDesired&lt;$B19,"-",$D19))</f>
        <v>-</v>
      </c>
      <c r="N19" s="21" t="str">
        <f t="shared" ref="N19" si="978">IF(InfBel1LevelCurrent&gt;=$B19,"-",IF(InfBel1LevelDesired&lt;$B19,"-",$E19))</f>
        <v>-</v>
      </c>
      <c r="O19" s="15" t="str">
        <f t="shared" ref="O19" si="979">IF(InfBoo1LevelCurrent&gt;=$B19,"-",IF(InfBoo1LevelDesired&lt;$B19,"-",$C19))</f>
        <v>-</v>
      </c>
      <c r="P19" s="1" t="str">
        <f t="shared" ref="P19" si="980">IF(InfBoo1LevelCurrent&gt;=$B19,"-",IF(InfBoo1LevelDesired&lt;$B19,"-",$D19))</f>
        <v>-</v>
      </c>
      <c r="Q19" s="21" t="str">
        <f t="shared" ref="Q19" si="981">IF(InfBoo1LevelCurrent&gt;=$B19,"-",IF(InfBoo1LevelDesired&lt;$B19,"-",$E19))</f>
        <v>-</v>
      </c>
      <c r="R19" s="15" t="str">
        <f t="shared" ref="R19" si="982">IF(LanGog1LevelCurrent&gt;=$B19,"-",IF(LanGog1LevelDesired&lt;$B19,"-",$C19))</f>
        <v>-</v>
      </c>
      <c r="S19" s="1" t="str">
        <f t="shared" ref="S19" si="983">IF(LanGog1LevelCurrent&gt;=$B19,"-",IF(LanGog1LevelDesired&lt;$B19,"-",$D19))</f>
        <v>-</v>
      </c>
      <c r="T19" s="21" t="str">
        <f t="shared" ref="T19" si="984">IF(LanGog1LevelCurrent&gt;=$B19,"-",IF(LanGog1LevelDesired&lt;$B19,"-",$E19))</f>
        <v>-</v>
      </c>
      <c r="U19" s="15" t="str">
        <f t="shared" ref="U19" si="985">IF(LanGlo1LevelCurrent&gt;=$B19,"-",IF(LanGlo1LevelDesired&lt;$B19,"-",$C19))</f>
        <v>-</v>
      </c>
      <c r="V19" s="1" t="str">
        <f t="shared" ref="V19" si="986">IF(LanGlo1LevelCurrent&gt;=$B19,"-",IF(LanGlo1LevelDesired&lt;$B19,"-",$D19))</f>
        <v>-</v>
      </c>
      <c r="W19" s="21" t="str">
        <f t="shared" ref="W19" si="987">IF(LanGlo1LevelCurrent&gt;=$B19,"-",IF(LanGlo1LevelDesired&lt;$B19,"-",$E19))</f>
        <v>-</v>
      </c>
      <c r="X19" s="15" t="str">
        <f t="shared" ref="X19" si="988">IF(LanBel1LevelCurrent&gt;=$B19,"-",IF(LanBel1LevelDesired&lt;$B19,"-",$C19))</f>
        <v>-</v>
      </c>
      <c r="Y19" s="1" t="str">
        <f t="shared" ref="Y19" si="989">IF(LanBel1LevelCurrent&gt;=$B19,"-",IF(LanBel1LevelDesired&lt;$B19,"-",$D19))</f>
        <v>-</v>
      </c>
      <c r="Z19" s="21" t="str">
        <f t="shared" ref="Z19" si="990">IF(LanBel1LevelCurrent&gt;=$B19,"-",IF(LanBel1LevelDesired&lt;$B19,"-",$E19))</f>
        <v>-</v>
      </c>
      <c r="AA19" s="15" t="str">
        <f t="shared" ref="AA19" si="991">IF(LanBoo1LevelCurrent&gt;=$B19,"-",IF(LanBoo1LevelDesired&lt;$B19,"-",$C19))</f>
        <v>-</v>
      </c>
      <c r="AB19" s="1" t="str">
        <f t="shared" ref="AB19" si="992">IF(LanBoo1LevelCurrent&gt;=$B19,"-",IF(LanBoo1LevelDesired&lt;$B19,"-",$D19))</f>
        <v>-</v>
      </c>
      <c r="AC19" s="21" t="str">
        <f t="shared" ref="AC19" si="993">IF(LanBoo1LevelCurrent&gt;=$B19,"-",IF(LanBoo1LevelDesired&lt;$B19,"-",$E19))</f>
        <v>-</v>
      </c>
      <c r="AD19" s="15" t="str">
        <f t="shared" ref="AD19" si="994">IF(MarGog1LevelCurrent&gt;=$B19,"-",IF(MarGog1LevelDesired&lt;$B19,"-",$C19))</f>
        <v>-</v>
      </c>
      <c r="AE19" s="1" t="str">
        <f t="shared" ref="AE19" si="995">IF(MarGog1LevelCurrent&gt;=$B19,"-",IF(MarGog1LevelDesired&lt;$B19,"-",$D19))</f>
        <v>-</v>
      </c>
      <c r="AF19" s="21" t="str">
        <f t="shared" ref="AF19" si="996">IF(MarGog1LevelCurrent&gt;=$B19,"-",IF(MarGog1LevelDesired&lt;$B19,"-",$E19))</f>
        <v>-</v>
      </c>
      <c r="AG19" s="15" t="str">
        <f t="shared" ref="AG19" si="997">IF(MarGlo1LevelCurrent&gt;=$B19,"-",IF(MarGlo1LevelDesired&lt;$B19,"-",$C19))</f>
        <v>-</v>
      </c>
      <c r="AH19" s="1" t="str">
        <f t="shared" ref="AH19" si="998">IF(MarGlo1LevelCurrent&gt;=$B19,"-",IF(MarGlo1LevelDesired&lt;$B19,"-",$D19))</f>
        <v>-</v>
      </c>
      <c r="AI19" s="21" t="str">
        <f t="shared" ref="AI19" si="999">IF(MarGlo1LevelCurrent&gt;=$B19,"-",IF(MarGlo1LevelDesired&lt;$B19,"-",$E19))</f>
        <v>-</v>
      </c>
      <c r="AJ19" s="15" t="str">
        <f t="shared" ref="AJ19" si="1000">IF(MarBel1LevelCurrent&gt;=$B19,"-",IF(MarBel1LevelDesired&lt;$B19,"-",$C19))</f>
        <v>-</v>
      </c>
      <c r="AK19" s="1" t="str">
        <f t="shared" ref="AK19" si="1001">IF(MarBel1LevelCurrent&gt;=$B19,"-",IF(MarBel1LevelDesired&lt;$B19,"-",$D19))</f>
        <v>-</v>
      </c>
      <c r="AL19" s="21" t="str">
        <f t="shared" ref="AL19" si="1002">IF(MarBel1LevelCurrent&gt;=$B19,"-",IF(MarBel1LevelDesired&lt;$B19,"-",$E19))</f>
        <v>-</v>
      </c>
      <c r="AM19" s="15" t="str">
        <f t="shared" ref="AM19" si="1003">IF(MarBoo1LevelCurrent&gt;=$B19,"-",IF(MarBoo1LevelDesired&lt;$B19,"-",$C19))</f>
        <v>-</v>
      </c>
      <c r="AN19" s="1" t="str">
        <f t="shared" ref="AN19" si="1004">IF(MarBoo1LevelCurrent&gt;=$B19,"-",IF(MarBoo1LevelDesired&lt;$B19,"-",$D19))</f>
        <v>-</v>
      </c>
      <c r="AO19" s="21" t="str">
        <f t="shared" ref="AO19" si="1005">IF(MarBoo1LevelCurrent&gt;=$B19,"-",IF(MarBoo1LevelDesired&lt;$B19,"-",$E19))</f>
        <v>-</v>
      </c>
      <c r="AP19" s="15" t="str">
        <f t="shared" ref="AP19" si="1006">IF(InfGog2LevelCurrent&gt;=$B19,"-",IF(InfGog2LevelDesired&lt;$B19,"-",$C19))</f>
        <v>-</v>
      </c>
      <c r="AQ19" s="1" t="str">
        <f t="shared" ref="AQ19" si="1007">IF(InfGog2LevelCurrent&gt;=$B19,"-",IF(InfGog2LevelDesired&lt;$B19,"-",$D19))</f>
        <v>-</v>
      </c>
      <c r="AR19" s="21" t="str">
        <f t="shared" ref="AR19" si="1008">IF(InfGog2LevelCurrent&gt;=$B19,"-",IF(InfGog2LevelDesired&lt;$B19,"-",$E19))</f>
        <v>-</v>
      </c>
      <c r="AS19" s="15" t="str">
        <f t="shared" ref="AS19" si="1009">IF(InfGlo2LevelCurrent&gt;=$B19,"-",IF(InfGlo2LevelDesired&lt;$B19,"-",$C19))</f>
        <v>-</v>
      </c>
      <c r="AT19" s="1" t="str">
        <f t="shared" ref="AT19" si="1010">IF(InfGlo2LevelCurrent&gt;=$B19,"-",IF(InfGlo2LevelDesired&lt;$B19,"-",$D19))</f>
        <v>-</v>
      </c>
      <c r="AU19" s="21" t="str">
        <f t="shared" ref="AU19" si="1011">IF(InfGlo2LevelCurrent&gt;=$B19,"-",IF(InfGlo2LevelDesired&lt;$B19,"-",$E19))</f>
        <v>-</v>
      </c>
      <c r="AV19" s="15" t="str">
        <f t="shared" ref="AV19" si="1012">IF(InfBel2LevelCurrent&gt;=$B19,"-",IF(InfBel2LevelDesired&lt;$B19,"-",$C19))</f>
        <v>-</v>
      </c>
      <c r="AW19" s="1" t="str">
        <f t="shared" ref="AW19" si="1013">IF(InfBel2LevelCurrent&gt;=$B19,"-",IF(InfBel2LevelDesired&lt;$B19,"-",$D19))</f>
        <v>-</v>
      </c>
      <c r="AX19" s="21" t="str">
        <f t="shared" ref="AX19" si="1014">IF(InfBel2LevelCurrent&gt;=$B19,"-",IF(InfBel2LevelDesired&lt;$B19,"-",$E19))</f>
        <v>-</v>
      </c>
      <c r="AY19" s="15" t="str">
        <f t="shared" ref="AY19" si="1015">IF(InfBoo2LevelCurrent&gt;=$B19,"-",IF(InfBoo2LevelDesired&lt;$B19,"-",$C19))</f>
        <v>-</v>
      </c>
      <c r="AZ19" s="1" t="str">
        <f t="shared" ref="AZ19" si="1016">IF(InfBoo2LevelCurrent&gt;=$B19,"-",IF(InfBoo2LevelDesired&lt;$B19,"-",$D19))</f>
        <v>-</v>
      </c>
      <c r="BA19" s="21" t="str">
        <f t="shared" ref="BA19" si="1017">IF(InfBoo2LevelCurrent&gt;=$B19,"-",IF(InfBoo2LevelDesired&lt;$B19,"-",$E19))</f>
        <v>-</v>
      </c>
      <c r="BB19" s="15" t="str">
        <f t="shared" ref="BB19" si="1018">IF(LanGog2LevelCurrent&gt;=$B19,"-",IF(LanGog2LevelDesired&lt;$B19,"-",$C19))</f>
        <v>-</v>
      </c>
      <c r="BC19" s="1" t="str">
        <f t="shared" ref="BC19" si="1019">IF(LanGog2LevelCurrent&gt;=$B19,"-",IF(LanGog2LevelDesired&lt;$B19,"-",$D19))</f>
        <v>-</v>
      </c>
      <c r="BD19" s="21" t="str">
        <f t="shared" ref="BD19" si="1020">IF(LanGog2LevelCurrent&gt;=$B19,"-",IF(LanGog2LevelDesired&lt;$B19,"-",$E19))</f>
        <v>-</v>
      </c>
      <c r="BE19" s="15" t="str">
        <f t="shared" ref="BE19" si="1021">IF(LanGlo2LevelCurrent&gt;=$B19,"-",IF(LanGlo2LevelDesired&lt;$B19,"-",$C19))</f>
        <v>-</v>
      </c>
      <c r="BF19" s="1" t="str">
        <f t="shared" ref="BF19" si="1022">IF(LanGlo2LevelCurrent&gt;=$B19,"-",IF(LanGlo2LevelDesired&lt;$B19,"-",$D19))</f>
        <v>-</v>
      </c>
      <c r="BG19" s="21" t="str">
        <f t="shared" ref="BG19" si="1023">IF(LanGlo2LevelCurrent&gt;=$B19,"-",IF(LanGlo2LevelDesired&lt;$B19,"-",$E19))</f>
        <v>-</v>
      </c>
      <c r="BH19" s="15" t="str">
        <f t="shared" ref="BH19" si="1024">IF(LanBel2LevelCurrent&gt;=$B19,"-",IF(LanBel2LevelDesired&lt;$B19,"-",$C19))</f>
        <v>-</v>
      </c>
      <c r="BI19" s="1" t="str">
        <f t="shared" ref="BI19" si="1025">IF(LanBel2LevelCurrent&gt;=$B19,"-",IF(LanBel2LevelDesired&lt;$B19,"-",$D19))</f>
        <v>-</v>
      </c>
      <c r="BJ19" s="21" t="str">
        <f t="shared" ref="BJ19" si="1026">IF(LanBel2LevelCurrent&gt;=$B19,"-",IF(LanBel2LevelDesired&lt;$B19,"-",$E19))</f>
        <v>-</v>
      </c>
      <c r="BK19" s="15" t="str">
        <f t="shared" ref="BK19" si="1027">IF(LanBoo2LevelCurrent&gt;=$B19,"-",IF(LanBoo2LevelDesired&lt;$B19,"-",$C19))</f>
        <v>-</v>
      </c>
      <c r="BL19" s="1" t="str">
        <f t="shared" ref="BL19" si="1028">IF(LanBoo2LevelCurrent&gt;=$B19,"-",IF(LanBoo2LevelDesired&lt;$B19,"-",$D19))</f>
        <v>-</v>
      </c>
      <c r="BM19" s="21" t="str">
        <f t="shared" ref="BM19" si="1029">IF(LanBoo2LevelCurrent&gt;=$B19,"-",IF(LanBoo2LevelDesired&lt;$B19,"-",$E19))</f>
        <v>-</v>
      </c>
      <c r="BN19" s="15" t="str">
        <f t="shared" ref="BN19" si="1030">IF(MarGog2LevelCurrent&gt;=$B19,"-",IF(MarGog2LevelDesired&lt;$B19,"-",$C19))</f>
        <v>-</v>
      </c>
      <c r="BO19" s="1" t="str">
        <f t="shared" ref="BO19" si="1031">IF(MarGog2LevelCurrent&gt;=$B19,"-",IF(MarGog2LevelDesired&lt;$B19,"-",$D19))</f>
        <v>-</v>
      </c>
      <c r="BP19" s="21" t="str">
        <f t="shared" ref="BP19" si="1032">IF(MarGog2LevelCurrent&gt;=$B19,"-",IF(MarGog2LevelDesired&lt;$B19,"-",$E19))</f>
        <v>-</v>
      </c>
      <c r="BQ19" s="15" t="str">
        <f t="shared" ref="BQ19" si="1033">IF(MarGlo2LevelCurrent&gt;=$B19,"-",IF(MarGlo2LevelDesired&lt;$B19,"-",$C19))</f>
        <v>-</v>
      </c>
      <c r="BR19" s="1" t="str">
        <f t="shared" ref="BR19" si="1034">IF(MarGlo2LevelCurrent&gt;=$B19,"-",IF(MarGlo2LevelDesired&lt;$B19,"-",$D19))</f>
        <v>-</v>
      </c>
      <c r="BS19" s="21" t="str">
        <f t="shared" ref="BS19" si="1035">IF(MarGlo2LevelCurrent&gt;=$B19,"-",IF(MarGlo2LevelDesired&lt;$B19,"-",$E19))</f>
        <v>-</v>
      </c>
      <c r="BT19" s="15" t="str">
        <f t="shared" ref="BT19" si="1036">IF(MarBel2LevelCurrent&gt;=$B19,"-",IF(MarBel2LevelDesired&lt;$B19,"-",$C19))</f>
        <v>-</v>
      </c>
      <c r="BU19" s="1" t="str">
        <f t="shared" ref="BU19" si="1037">IF(MarBel2LevelCurrent&gt;=$B19,"-",IF(MarBel2LevelDesired&lt;$B19,"-",$D19))</f>
        <v>-</v>
      </c>
      <c r="BV19" s="21" t="str">
        <f t="shared" ref="BV19" si="1038">IF(MarBel2LevelCurrent&gt;=$B19,"-",IF(MarBel2LevelDesired&lt;$B19,"-",$E19))</f>
        <v>-</v>
      </c>
      <c r="BW19" s="15" t="str">
        <f t="shared" ref="BW19" si="1039">IF(MarBoo2LevelCurrent&gt;=$B19,"-",IF(MarBoo2LevelDesired&lt;$B19,"-",$C19))</f>
        <v>-</v>
      </c>
      <c r="BX19" s="1" t="str">
        <f t="shared" ref="BX19" si="1040">IF(MarBoo2LevelCurrent&gt;=$B19,"-",IF(MarBoo2LevelDesired&lt;$B19,"-",$D19))</f>
        <v>-</v>
      </c>
      <c r="BY19" s="21" t="str">
        <f t="shared" ref="BY19" si="1041">IF(MarBoo2LevelCurrent&gt;=$B19,"-",IF(MarBoo2LevelDesired&lt;$B19,"-",$E19))</f>
        <v>-</v>
      </c>
      <c r="BZ19" s="15" t="str">
        <f t="shared" si="72"/>
        <v>-</v>
      </c>
      <c r="CA19" s="1" t="str" cm="1">
        <f t="array" ref="CA19">IF(InfGog3LevelCurrent&gt;=$B19,"-",IF(InfGog3LevelDesired&lt;$B19,"-",$D19))</f>
        <v>-</v>
      </c>
      <c r="CB19" s="21" t="str" cm="1">
        <f t="array" ref="CB19">IF(InfGog3LevelCurrent&gt;=$B19,"-",IF(InfGog3LevelDesired&lt;$B19,"-",$E19))</f>
        <v>-</v>
      </c>
      <c r="CC19" s="15" t="str">
        <f t="shared" si="73"/>
        <v>-</v>
      </c>
      <c r="CD19" s="1" t="str">
        <f t="shared" si="74"/>
        <v>-</v>
      </c>
      <c r="CE19" s="21" t="str">
        <f t="shared" si="75"/>
        <v>-</v>
      </c>
      <c r="CF19" s="15" t="str">
        <f t="shared" si="76"/>
        <v>-</v>
      </c>
      <c r="CG19" s="1" t="str">
        <f t="shared" si="77"/>
        <v>-</v>
      </c>
      <c r="CH19" s="21" t="str">
        <f t="shared" si="78"/>
        <v>-</v>
      </c>
      <c r="CI19" s="15" t="str">
        <f t="shared" si="79"/>
        <v>-</v>
      </c>
      <c r="CJ19" s="1" t="str">
        <f t="shared" si="80"/>
        <v>-</v>
      </c>
      <c r="CK19" s="21" t="str">
        <f t="shared" si="81"/>
        <v>-</v>
      </c>
      <c r="CL19" s="15" t="str">
        <f t="shared" si="82"/>
        <v>-</v>
      </c>
      <c r="CM19" s="1" t="str">
        <f t="shared" si="83"/>
        <v>-</v>
      </c>
      <c r="CN19" s="21" t="str">
        <f t="shared" si="84"/>
        <v>-</v>
      </c>
      <c r="CO19" s="15" t="str">
        <f t="shared" si="85"/>
        <v>-</v>
      </c>
      <c r="CP19" s="1" t="str">
        <f t="shared" si="86"/>
        <v>-</v>
      </c>
      <c r="CQ19" s="21" t="str">
        <f t="shared" si="87"/>
        <v>-</v>
      </c>
      <c r="CR19" s="15" t="str">
        <f t="shared" si="88"/>
        <v>-</v>
      </c>
      <c r="CS19" s="1" t="str">
        <f t="shared" si="89"/>
        <v>-</v>
      </c>
      <c r="CT19" s="21" t="str">
        <f t="shared" si="90"/>
        <v>-</v>
      </c>
      <c r="CU19" s="15" t="str">
        <f t="shared" si="91"/>
        <v>-</v>
      </c>
      <c r="CV19" s="1" t="str">
        <f t="shared" si="92"/>
        <v>-</v>
      </c>
      <c r="CW19" s="21" t="str">
        <f t="shared" si="93"/>
        <v>-</v>
      </c>
      <c r="CX19" s="15" t="str">
        <f t="shared" si="94"/>
        <v>-</v>
      </c>
      <c r="CY19" s="1" t="str">
        <f t="shared" si="95"/>
        <v>-</v>
      </c>
      <c r="CZ19" s="21" t="str">
        <f t="shared" si="96"/>
        <v>-</v>
      </c>
      <c r="DA19" s="15" t="str">
        <f t="shared" si="97"/>
        <v>-</v>
      </c>
      <c r="DB19" s="1" t="str">
        <f t="shared" si="98"/>
        <v>-</v>
      </c>
      <c r="DC19" s="21" t="str">
        <f t="shared" si="99"/>
        <v>-</v>
      </c>
      <c r="DD19" s="15" t="str">
        <f t="shared" si="100"/>
        <v>-</v>
      </c>
      <c r="DE19" s="1" t="str">
        <f t="shared" si="101"/>
        <v>-</v>
      </c>
      <c r="DF19" s="21" t="str">
        <f t="shared" si="102"/>
        <v>-</v>
      </c>
      <c r="DG19" s="15" t="str">
        <f t="shared" si="103"/>
        <v>-</v>
      </c>
      <c r="DH19" s="1" t="str">
        <f t="shared" si="104"/>
        <v>-</v>
      </c>
      <c r="DI19" s="21" t="str">
        <f t="shared" si="105"/>
        <v>-</v>
      </c>
    </row>
    <row r="20" spans="2:113" x14ac:dyDescent="0.3">
      <c r="B20" s="1">
        <v>15</v>
      </c>
      <c r="C20" s="67">
        <v>80</v>
      </c>
      <c r="D20" s="88" t="s">
        <v>27</v>
      </c>
      <c r="E20" s="21" t="s">
        <v>27</v>
      </c>
      <c r="F20" s="15" t="str">
        <f t="shared" ref="F20" si="1042">IF(InfGog1LevelCurrent&gt;=$B20,"-",IF(InfGog1LevelDesired&lt;$B20,"-",$C20))</f>
        <v>-</v>
      </c>
      <c r="G20" s="1" t="str">
        <f t="shared" ref="G20" si="1043">IF(InfGog1LevelCurrent&gt;=$B20,"-",IF(InfGog1LevelDesired&lt;$B20,"-",$D20))</f>
        <v>-</v>
      </c>
      <c r="H20" s="21" t="str">
        <f t="shared" ref="H20" si="1044">IF(InfGog1LevelCurrent&gt;=$B20,"-",IF(InfGog1LevelDesired&lt;$B20,"-",$E20))</f>
        <v>-</v>
      </c>
      <c r="I20" s="15" t="str">
        <f t="shared" ref="I20" si="1045">IF(InfGlo1LevelCurrent&gt;=$B20,"-",IF(InfGlo1LevelDesired&lt;$B20,"-",$C20))</f>
        <v>-</v>
      </c>
      <c r="J20" s="1" t="str">
        <f t="shared" ref="J20" si="1046">IF(InfGlo1LevelCurrent&gt;=$B20,"-",IF(InfGlo1LevelDesired&lt;$B20,"-",$D20))</f>
        <v>-</v>
      </c>
      <c r="K20" s="21" t="str">
        <f t="shared" ref="K20" si="1047">IF(InfGlo1LevelCurrent&gt;=$B20,"-",IF(InfGlo1LevelDesired&lt;$B20,"-",$E20))</f>
        <v>-</v>
      </c>
      <c r="L20" s="15" t="str">
        <f t="shared" ref="L20" si="1048">IF(InfBel1LevelCurrent&gt;=$B20,"-",IF(InfBel1LevelDesired&lt;$B20,"-",$C20))</f>
        <v>-</v>
      </c>
      <c r="M20" s="1" t="str">
        <f t="shared" ref="M20" si="1049">IF(InfBel1LevelCurrent&gt;=$B20,"-",IF(InfBel1LevelDesired&lt;$B20,"-",$D20))</f>
        <v>-</v>
      </c>
      <c r="N20" s="21" t="str">
        <f t="shared" ref="N20" si="1050">IF(InfBel1LevelCurrent&gt;=$B20,"-",IF(InfBel1LevelDesired&lt;$B20,"-",$E20))</f>
        <v>-</v>
      </c>
      <c r="O20" s="15" t="str">
        <f t="shared" ref="O20" si="1051">IF(InfBoo1LevelCurrent&gt;=$B20,"-",IF(InfBoo1LevelDesired&lt;$B20,"-",$C20))</f>
        <v>-</v>
      </c>
      <c r="P20" s="1" t="str">
        <f t="shared" ref="P20" si="1052">IF(InfBoo1LevelCurrent&gt;=$B20,"-",IF(InfBoo1LevelDesired&lt;$B20,"-",$D20))</f>
        <v>-</v>
      </c>
      <c r="Q20" s="21" t="str">
        <f t="shared" ref="Q20" si="1053">IF(InfBoo1LevelCurrent&gt;=$B20,"-",IF(InfBoo1LevelDesired&lt;$B20,"-",$E20))</f>
        <v>-</v>
      </c>
      <c r="R20" s="15" t="str">
        <f t="shared" ref="R20" si="1054">IF(LanGog1LevelCurrent&gt;=$B20,"-",IF(LanGog1LevelDesired&lt;$B20,"-",$C20))</f>
        <v>-</v>
      </c>
      <c r="S20" s="1" t="str">
        <f t="shared" ref="S20" si="1055">IF(LanGog1LevelCurrent&gt;=$B20,"-",IF(LanGog1LevelDesired&lt;$B20,"-",$D20))</f>
        <v>-</v>
      </c>
      <c r="T20" s="21" t="str">
        <f t="shared" ref="T20" si="1056">IF(LanGog1LevelCurrent&gt;=$B20,"-",IF(LanGog1LevelDesired&lt;$B20,"-",$E20))</f>
        <v>-</v>
      </c>
      <c r="U20" s="15" t="str">
        <f t="shared" ref="U20" si="1057">IF(LanGlo1LevelCurrent&gt;=$B20,"-",IF(LanGlo1LevelDesired&lt;$B20,"-",$C20))</f>
        <v>-</v>
      </c>
      <c r="V20" s="1" t="str">
        <f t="shared" ref="V20" si="1058">IF(LanGlo1LevelCurrent&gt;=$B20,"-",IF(LanGlo1LevelDesired&lt;$B20,"-",$D20))</f>
        <v>-</v>
      </c>
      <c r="W20" s="21" t="str">
        <f t="shared" ref="W20" si="1059">IF(LanGlo1LevelCurrent&gt;=$B20,"-",IF(LanGlo1LevelDesired&lt;$B20,"-",$E20))</f>
        <v>-</v>
      </c>
      <c r="X20" s="15" t="str">
        <f t="shared" ref="X20" si="1060">IF(LanBel1LevelCurrent&gt;=$B20,"-",IF(LanBel1LevelDesired&lt;$B20,"-",$C20))</f>
        <v>-</v>
      </c>
      <c r="Y20" s="1" t="str">
        <f t="shared" ref="Y20" si="1061">IF(LanBel1LevelCurrent&gt;=$B20,"-",IF(LanBel1LevelDesired&lt;$B20,"-",$D20))</f>
        <v>-</v>
      </c>
      <c r="Z20" s="21" t="str">
        <f t="shared" ref="Z20" si="1062">IF(LanBel1LevelCurrent&gt;=$B20,"-",IF(LanBel1LevelDesired&lt;$B20,"-",$E20))</f>
        <v>-</v>
      </c>
      <c r="AA20" s="15" t="str">
        <f t="shared" ref="AA20" si="1063">IF(LanBoo1LevelCurrent&gt;=$B20,"-",IF(LanBoo1LevelDesired&lt;$B20,"-",$C20))</f>
        <v>-</v>
      </c>
      <c r="AB20" s="1" t="str">
        <f t="shared" ref="AB20" si="1064">IF(LanBoo1LevelCurrent&gt;=$B20,"-",IF(LanBoo1LevelDesired&lt;$B20,"-",$D20))</f>
        <v>-</v>
      </c>
      <c r="AC20" s="21" t="str">
        <f t="shared" ref="AC20" si="1065">IF(LanBoo1LevelCurrent&gt;=$B20,"-",IF(LanBoo1LevelDesired&lt;$B20,"-",$E20))</f>
        <v>-</v>
      </c>
      <c r="AD20" s="15" t="str">
        <f t="shared" ref="AD20" si="1066">IF(MarGog1LevelCurrent&gt;=$B20,"-",IF(MarGog1LevelDesired&lt;$B20,"-",$C20))</f>
        <v>-</v>
      </c>
      <c r="AE20" s="1" t="str">
        <f t="shared" ref="AE20" si="1067">IF(MarGog1LevelCurrent&gt;=$B20,"-",IF(MarGog1LevelDesired&lt;$B20,"-",$D20))</f>
        <v>-</v>
      </c>
      <c r="AF20" s="21" t="str">
        <f t="shared" ref="AF20" si="1068">IF(MarGog1LevelCurrent&gt;=$B20,"-",IF(MarGog1LevelDesired&lt;$B20,"-",$E20))</f>
        <v>-</v>
      </c>
      <c r="AG20" s="15" t="str">
        <f t="shared" ref="AG20" si="1069">IF(MarGlo1LevelCurrent&gt;=$B20,"-",IF(MarGlo1LevelDesired&lt;$B20,"-",$C20))</f>
        <v>-</v>
      </c>
      <c r="AH20" s="1" t="str">
        <f t="shared" ref="AH20" si="1070">IF(MarGlo1LevelCurrent&gt;=$B20,"-",IF(MarGlo1LevelDesired&lt;$B20,"-",$D20))</f>
        <v>-</v>
      </c>
      <c r="AI20" s="21" t="str">
        <f t="shared" ref="AI20" si="1071">IF(MarGlo1LevelCurrent&gt;=$B20,"-",IF(MarGlo1LevelDesired&lt;$B20,"-",$E20))</f>
        <v>-</v>
      </c>
      <c r="AJ20" s="15" t="str">
        <f t="shared" ref="AJ20" si="1072">IF(MarBel1LevelCurrent&gt;=$B20,"-",IF(MarBel1LevelDesired&lt;$B20,"-",$C20))</f>
        <v>-</v>
      </c>
      <c r="AK20" s="1" t="str">
        <f t="shared" ref="AK20" si="1073">IF(MarBel1LevelCurrent&gt;=$B20,"-",IF(MarBel1LevelDesired&lt;$B20,"-",$D20))</f>
        <v>-</v>
      </c>
      <c r="AL20" s="21" t="str">
        <f t="shared" ref="AL20" si="1074">IF(MarBel1LevelCurrent&gt;=$B20,"-",IF(MarBel1LevelDesired&lt;$B20,"-",$E20))</f>
        <v>-</v>
      </c>
      <c r="AM20" s="15" t="str">
        <f t="shared" ref="AM20" si="1075">IF(MarBoo1LevelCurrent&gt;=$B20,"-",IF(MarBoo1LevelDesired&lt;$B20,"-",$C20))</f>
        <v>-</v>
      </c>
      <c r="AN20" s="1" t="str">
        <f t="shared" ref="AN20" si="1076">IF(MarBoo1LevelCurrent&gt;=$B20,"-",IF(MarBoo1LevelDesired&lt;$B20,"-",$D20))</f>
        <v>-</v>
      </c>
      <c r="AO20" s="21" t="str">
        <f t="shared" ref="AO20" si="1077">IF(MarBoo1LevelCurrent&gt;=$B20,"-",IF(MarBoo1LevelDesired&lt;$B20,"-",$E20))</f>
        <v>-</v>
      </c>
      <c r="AP20" s="15" t="str">
        <f t="shared" ref="AP20" si="1078">IF(InfGog2LevelCurrent&gt;=$B20,"-",IF(InfGog2LevelDesired&lt;$B20,"-",$C20))</f>
        <v>-</v>
      </c>
      <c r="AQ20" s="1" t="str">
        <f t="shared" ref="AQ20" si="1079">IF(InfGog2LevelCurrent&gt;=$B20,"-",IF(InfGog2LevelDesired&lt;$B20,"-",$D20))</f>
        <v>-</v>
      </c>
      <c r="AR20" s="21" t="str">
        <f t="shared" ref="AR20" si="1080">IF(InfGog2LevelCurrent&gt;=$B20,"-",IF(InfGog2LevelDesired&lt;$B20,"-",$E20))</f>
        <v>-</v>
      </c>
      <c r="AS20" s="15" t="str">
        <f t="shared" ref="AS20" si="1081">IF(InfGlo2LevelCurrent&gt;=$B20,"-",IF(InfGlo2LevelDesired&lt;$B20,"-",$C20))</f>
        <v>-</v>
      </c>
      <c r="AT20" s="1" t="str">
        <f t="shared" ref="AT20" si="1082">IF(InfGlo2LevelCurrent&gt;=$B20,"-",IF(InfGlo2LevelDesired&lt;$B20,"-",$D20))</f>
        <v>-</v>
      </c>
      <c r="AU20" s="21" t="str">
        <f t="shared" ref="AU20" si="1083">IF(InfGlo2LevelCurrent&gt;=$B20,"-",IF(InfGlo2LevelDesired&lt;$B20,"-",$E20))</f>
        <v>-</v>
      </c>
      <c r="AV20" s="15" t="str">
        <f t="shared" ref="AV20" si="1084">IF(InfBel2LevelCurrent&gt;=$B20,"-",IF(InfBel2LevelDesired&lt;$B20,"-",$C20))</f>
        <v>-</v>
      </c>
      <c r="AW20" s="1" t="str">
        <f t="shared" ref="AW20" si="1085">IF(InfBel2LevelCurrent&gt;=$B20,"-",IF(InfBel2LevelDesired&lt;$B20,"-",$D20))</f>
        <v>-</v>
      </c>
      <c r="AX20" s="21" t="str">
        <f t="shared" ref="AX20" si="1086">IF(InfBel2LevelCurrent&gt;=$B20,"-",IF(InfBel2LevelDesired&lt;$B20,"-",$E20))</f>
        <v>-</v>
      </c>
      <c r="AY20" s="15" t="str">
        <f t="shared" ref="AY20" si="1087">IF(InfBoo2LevelCurrent&gt;=$B20,"-",IF(InfBoo2LevelDesired&lt;$B20,"-",$C20))</f>
        <v>-</v>
      </c>
      <c r="AZ20" s="1" t="str">
        <f t="shared" ref="AZ20" si="1088">IF(InfBoo2LevelCurrent&gt;=$B20,"-",IF(InfBoo2LevelDesired&lt;$B20,"-",$D20))</f>
        <v>-</v>
      </c>
      <c r="BA20" s="21" t="str">
        <f t="shared" ref="BA20" si="1089">IF(InfBoo2LevelCurrent&gt;=$B20,"-",IF(InfBoo2LevelDesired&lt;$B20,"-",$E20))</f>
        <v>-</v>
      </c>
      <c r="BB20" s="15" t="str">
        <f t="shared" ref="BB20" si="1090">IF(LanGog2LevelCurrent&gt;=$B20,"-",IF(LanGog2LevelDesired&lt;$B20,"-",$C20))</f>
        <v>-</v>
      </c>
      <c r="BC20" s="1" t="str">
        <f t="shared" ref="BC20" si="1091">IF(LanGog2LevelCurrent&gt;=$B20,"-",IF(LanGog2LevelDesired&lt;$B20,"-",$D20))</f>
        <v>-</v>
      </c>
      <c r="BD20" s="21" t="str">
        <f t="shared" ref="BD20" si="1092">IF(LanGog2LevelCurrent&gt;=$B20,"-",IF(LanGog2LevelDesired&lt;$B20,"-",$E20))</f>
        <v>-</v>
      </c>
      <c r="BE20" s="15" t="str">
        <f t="shared" ref="BE20" si="1093">IF(LanGlo2LevelCurrent&gt;=$B20,"-",IF(LanGlo2LevelDesired&lt;$B20,"-",$C20))</f>
        <v>-</v>
      </c>
      <c r="BF20" s="1" t="str">
        <f t="shared" ref="BF20" si="1094">IF(LanGlo2LevelCurrent&gt;=$B20,"-",IF(LanGlo2LevelDesired&lt;$B20,"-",$D20))</f>
        <v>-</v>
      </c>
      <c r="BG20" s="21" t="str">
        <f t="shared" ref="BG20" si="1095">IF(LanGlo2LevelCurrent&gt;=$B20,"-",IF(LanGlo2LevelDesired&lt;$B20,"-",$E20))</f>
        <v>-</v>
      </c>
      <c r="BH20" s="15" t="str">
        <f t="shared" ref="BH20" si="1096">IF(LanBel2LevelCurrent&gt;=$B20,"-",IF(LanBel2LevelDesired&lt;$B20,"-",$C20))</f>
        <v>-</v>
      </c>
      <c r="BI20" s="1" t="str">
        <f t="shared" ref="BI20" si="1097">IF(LanBel2LevelCurrent&gt;=$B20,"-",IF(LanBel2LevelDesired&lt;$B20,"-",$D20))</f>
        <v>-</v>
      </c>
      <c r="BJ20" s="21" t="str">
        <f t="shared" ref="BJ20" si="1098">IF(LanBel2LevelCurrent&gt;=$B20,"-",IF(LanBel2LevelDesired&lt;$B20,"-",$E20))</f>
        <v>-</v>
      </c>
      <c r="BK20" s="15" t="str">
        <f t="shared" ref="BK20" si="1099">IF(LanBoo2LevelCurrent&gt;=$B20,"-",IF(LanBoo2LevelDesired&lt;$B20,"-",$C20))</f>
        <v>-</v>
      </c>
      <c r="BL20" s="1" t="str">
        <f t="shared" ref="BL20" si="1100">IF(LanBoo2LevelCurrent&gt;=$B20,"-",IF(LanBoo2LevelDesired&lt;$B20,"-",$D20))</f>
        <v>-</v>
      </c>
      <c r="BM20" s="21" t="str">
        <f t="shared" ref="BM20" si="1101">IF(LanBoo2LevelCurrent&gt;=$B20,"-",IF(LanBoo2LevelDesired&lt;$B20,"-",$E20))</f>
        <v>-</v>
      </c>
      <c r="BN20" s="15" t="str">
        <f t="shared" ref="BN20" si="1102">IF(MarGog2LevelCurrent&gt;=$B20,"-",IF(MarGog2LevelDesired&lt;$B20,"-",$C20))</f>
        <v>-</v>
      </c>
      <c r="BO20" s="1" t="str">
        <f t="shared" ref="BO20" si="1103">IF(MarGog2LevelCurrent&gt;=$B20,"-",IF(MarGog2LevelDesired&lt;$B20,"-",$D20))</f>
        <v>-</v>
      </c>
      <c r="BP20" s="21" t="str">
        <f t="shared" ref="BP20" si="1104">IF(MarGog2LevelCurrent&gt;=$B20,"-",IF(MarGog2LevelDesired&lt;$B20,"-",$E20))</f>
        <v>-</v>
      </c>
      <c r="BQ20" s="15" t="str">
        <f t="shared" ref="BQ20" si="1105">IF(MarGlo2LevelCurrent&gt;=$B20,"-",IF(MarGlo2LevelDesired&lt;$B20,"-",$C20))</f>
        <v>-</v>
      </c>
      <c r="BR20" s="1" t="str">
        <f t="shared" ref="BR20" si="1106">IF(MarGlo2LevelCurrent&gt;=$B20,"-",IF(MarGlo2LevelDesired&lt;$B20,"-",$D20))</f>
        <v>-</v>
      </c>
      <c r="BS20" s="21" t="str">
        <f t="shared" ref="BS20" si="1107">IF(MarGlo2LevelCurrent&gt;=$B20,"-",IF(MarGlo2LevelDesired&lt;$B20,"-",$E20))</f>
        <v>-</v>
      </c>
      <c r="BT20" s="15" t="str">
        <f t="shared" ref="BT20" si="1108">IF(MarBel2LevelCurrent&gt;=$B20,"-",IF(MarBel2LevelDesired&lt;$B20,"-",$C20))</f>
        <v>-</v>
      </c>
      <c r="BU20" s="1" t="str">
        <f t="shared" ref="BU20" si="1109">IF(MarBel2LevelCurrent&gt;=$B20,"-",IF(MarBel2LevelDesired&lt;$B20,"-",$D20))</f>
        <v>-</v>
      </c>
      <c r="BV20" s="21" t="str">
        <f t="shared" ref="BV20" si="1110">IF(MarBel2LevelCurrent&gt;=$B20,"-",IF(MarBel2LevelDesired&lt;$B20,"-",$E20))</f>
        <v>-</v>
      </c>
      <c r="BW20" s="15" t="str">
        <f t="shared" ref="BW20" si="1111">IF(MarBoo2LevelCurrent&gt;=$B20,"-",IF(MarBoo2LevelDesired&lt;$B20,"-",$C20))</f>
        <v>-</v>
      </c>
      <c r="BX20" s="1" t="str">
        <f t="shared" ref="BX20" si="1112">IF(MarBoo2LevelCurrent&gt;=$B20,"-",IF(MarBoo2LevelDesired&lt;$B20,"-",$D20))</f>
        <v>-</v>
      </c>
      <c r="BY20" s="21" t="str">
        <f t="shared" ref="BY20" si="1113">IF(MarBoo2LevelCurrent&gt;=$B20,"-",IF(MarBoo2LevelDesired&lt;$B20,"-",$E20))</f>
        <v>-</v>
      </c>
      <c r="BZ20" s="15" t="str">
        <f t="shared" si="72"/>
        <v>-</v>
      </c>
      <c r="CA20" s="1" t="str" cm="1">
        <f t="array" ref="CA20">IF(InfGog3LevelCurrent&gt;=$B20,"-",IF(InfGog3LevelDesired&lt;$B20,"-",$D20))</f>
        <v>-</v>
      </c>
      <c r="CB20" s="21" t="str" cm="1">
        <f t="array" ref="CB20">IF(InfGog3LevelCurrent&gt;=$B20,"-",IF(InfGog3LevelDesired&lt;$B20,"-",$E20))</f>
        <v>-</v>
      </c>
      <c r="CC20" s="15" t="str">
        <f t="shared" si="73"/>
        <v>-</v>
      </c>
      <c r="CD20" s="1" t="str">
        <f t="shared" si="74"/>
        <v>-</v>
      </c>
      <c r="CE20" s="21" t="str">
        <f t="shared" si="75"/>
        <v>-</v>
      </c>
      <c r="CF20" s="15" t="str">
        <f t="shared" si="76"/>
        <v>-</v>
      </c>
      <c r="CG20" s="1" t="str">
        <f t="shared" si="77"/>
        <v>-</v>
      </c>
      <c r="CH20" s="21" t="str">
        <f t="shared" si="78"/>
        <v>-</v>
      </c>
      <c r="CI20" s="15" t="str">
        <f t="shared" si="79"/>
        <v>-</v>
      </c>
      <c r="CJ20" s="1" t="str">
        <f t="shared" si="80"/>
        <v>-</v>
      </c>
      <c r="CK20" s="21" t="str">
        <f t="shared" si="81"/>
        <v>-</v>
      </c>
      <c r="CL20" s="15" t="str">
        <f t="shared" si="82"/>
        <v>-</v>
      </c>
      <c r="CM20" s="1" t="str">
        <f t="shared" si="83"/>
        <v>-</v>
      </c>
      <c r="CN20" s="21" t="str">
        <f t="shared" si="84"/>
        <v>-</v>
      </c>
      <c r="CO20" s="15" t="str">
        <f t="shared" si="85"/>
        <v>-</v>
      </c>
      <c r="CP20" s="1" t="str">
        <f t="shared" si="86"/>
        <v>-</v>
      </c>
      <c r="CQ20" s="21" t="str">
        <f t="shared" si="87"/>
        <v>-</v>
      </c>
      <c r="CR20" s="15" t="str">
        <f t="shared" si="88"/>
        <v>-</v>
      </c>
      <c r="CS20" s="1" t="str">
        <f t="shared" si="89"/>
        <v>-</v>
      </c>
      <c r="CT20" s="21" t="str">
        <f t="shared" si="90"/>
        <v>-</v>
      </c>
      <c r="CU20" s="15" t="str">
        <f t="shared" si="91"/>
        <v>-</v>
      </c>
      <c r="CV20" s="1" t="str">
        <f t="shared" si="92"/>
        <v>-</v>
      </c>
      <c r="CW20" s="21" t="str">
        <f t="shared" si="93"/>
        <v>-</v>
      </c>
      <c r="CX20" s="15" t="str">
        <f t="shared" si="94"/>
        <v>-</v>
      </c>
      <c r="CY20" s="1" t="str">
        <f t="shared" si="95"/>
        <v>-</v>
      </c>
      <c r="CZ20" s="21" t="str">
        <f t="shared" si="96"/>
        <v>-</v>
      </c>
      <c r="DA20" s="15" t="str">
        <f t="shared" si="97"/>
        <v>-</v>
      </c>
      <c r="DB20" s="1" t="str">
        <f t="shared" si="98"/>
        <v>-</v>
      </c>
      <c r="DC20" s="21" t="str">
        <f t="shared" si="99"/>
        <v>-</v>
      </c>
      <c r="DD20" s="15" t="str">
        <f t="shared" si="100"/>
        <v>-</v>
      </c>
      <c r="DE20" s="1" t="str">
        <f t="shared" si="101"/>
        <v>-</v>
      </c>
      <c r="DF20" s="21" t="str">
        <f t="shared" si="102"/>
        <v>-</v>
      </c>
      <c r="DG20" s="15" t="str">
        <f t="shared" si="103"/>
        <v>-</v>
      </c>
      <c r="DH20" s="1" t="str">
        <f t="shared" si="104"/>
        <v>-</v>
      </c>
      <c r="DI20" s="21" t="str">
        <f t="shared" si="105"/>
        <v>-</v>
      </c>
    </row>
    <row r="21" spans="2:113" x14ac:dyDescent="0.3">
      <c r="B21" s="1">
        <v>16</v>
      </c>
      <c r="C21" s="67">
        <v>85</v>
      </c>
      <c r="D21" s="88" t="s">
        <v>27</v>
      </c>
      <c r="E21" s="21" t="s">
        <v>27</v>
      </c>
      <c r="F21" s="15" t="str">
        <f t="shared" ref="F21" si="1114">IF(InfGog1LevelCurrent&gt;=$B21,"-",IF(InfGog1LevelDesired&lt;$B21,"-",$C21))</f>
        <v>-</v>
      </c>
      <c r="G21" s="1" t="str">
        <f t="shared" ref="G21" si="1115">IF(InfGog1LevelCurrent&gt;=$B21,"-",IF(InfGog1LevelDesired&lt;$B21,"-",$D21))</f>
        <v>-</v>
      </c>
      <c r="H21" s="21" t="str">
        <f t="shared" ref="H21" si="1116">IF(InfGog1LevelCurrent&gt;=$B21,"-",IF(InfGog1LevelDesired&lt;$B21,"-",$E21))</f>
        <v>-</v>
      </c>
      <c r="I21" s="15" t="str">
        <f t="shared" ref="I21" si="1117">IF(InfGlo1LevelCurrent&gt;=$B21,"-",IF(InfGlo1LevelDesired&lt;$B21,"-",$C21))</f>
        <v>-</v>
      </c>
      <c r="J21" s="1" t="str">
        <f t="shared" ref="J21" si="1118">IF(InfGlo1LevelCurrent&gt;=$B21,"-",IF(InfGlo1LevelDesired&lt;$B21,"-",$D21))</f>
        <v>-</v>
      </c>
      <c r="K21" s="21" t="str">
        <f t="shared" ref="K21" si="1119">IF(InfGlo1LevelCurrent&gt;=$B21,"-",IF(InfGlo1LevelDesired&lt;$B21,"-",$E21))</f>
        <v>-</v>
      </c>
      <c r="L21" s="15" t="str">
        <f t="shared" ref="L21" si="1120">IF(InfBel1LevelCurrent&gt;=$B21,"-",IF(InfBel1LevelDesired&lt;$B21,"-",$C21))</f>
        <v>-</v>
      </c>
      <c r="M21" s="1" t="str">
        <f t="shared" ref="M21" si="1121">IF(InfBel1LevelCurrent&gt;=$B21,"-",IF(InfBel1LevelDesired&lt;$B21,"-",$D21))</f>
        <v>-</v>
      </c>
      <c r="N21" s="21" t="str">
        <f t="shared" ref="N21" si="1122">IF(InfBel1LevelCurrent&gt;=$B21,"-",IF(InfBel1LevelDesired&lt;$B21,"-",$E21))</f>
        <v>-</v>
      </c>
      <c r="O21" s="15" t="str">
        <f t="shared" ref="O21" si="1123">IF(InfBoo1LevelCurrent&gt;=$B21,"-",IF(InfBoo1LevelDesired&lt;$B21,"-",$C21))</f>
        <v>-</v>
      </c>
      <c r="P21" s="1" t="str">
        <f t="shared" ref="P21" si="1124">IF(InfBoo1LevelCurrent&gt;=$B21,"-",IF(InfBoo1LevelDesired&lt;$B21,"-",$D21))</f>
        <v>-</v>
      </c>
      <c r="Q21" s="21" t="str">
        <f t="shared" ref="Q21" si="1125">IF(InfBoo1LevelCurrent&gt;=$B21,"-",IF(InfBoo1LevelDesired&lt;$B21,"-",$E21))</f>
        <v>-</v>
      </c>
      <c r="R21" s="15" t="str">
        <f t="shared" ref="R21" si="1126">IF(LanGog1LevelCurrent&gt;=$B21,"-",IF(LanGog1LevelDesired&lt;$B21,"-",$C21))</f>
        <v>-</v>
      </c>
      <c r="S21" s="1" t="str">
        <f t="shared" ref="S21" si="1127">IF(LanGog1LevelCurrent&gt;=$B21,"-",IF(LanGog1LevelDesired&lt;$B21,"-",$D21))</f>
        <v>-</v>
      </c>
      <c r="T21" s="21" t="str">
        <f t="shared" ref="T21" si="1128">IF(LanGog1LevelCurrent&gt;=$B21,"-",IF(LanGog1LevelDesired&lt;$B21,"-",$E21))</f>
        <v>-</v>
      </c>
      <c r="U21" s="15" t="str">
        <f t="shared" ref="U21" si="1129">IF(LanGlo1LevelCurrent&gt;=$B21,"-",IF(LanGlo1LevelDesired&lt;$B21,"-",$C21))</f>
        <v>-</v>
      </c>
      <c r="V21" s="1" t="str">
        <f t="shared" ref="V21" si="1130">IF(LanGlo1LevelCurrent&gt;=$B21,"-",IF(LanGlo1LevelDesired&lt;$B21,"-",$D21))</f>
        <v>-</v>
      </c>
      <c r="W21" s="21" t="str">
        <f t="shared" ref="W21" si="1131">IF(LanGlo1LevelCurrent&gt;=$B21,"-",IF(LanGlo1LevelDesired&lt;$B21,"-",$E21))</f>
        <v>-</v>
      </c>
      <c r="X21" s="15" t="str">
        <f t="shared" ref="X21" si="1132">IF(LanBel1LevelCurrent&gt;=$B21,"-",IF(LanBel1LevelDesired&lt;$B21,"-",$C21))</f>
        <v>-</v>
      </c>
      <c r="Y21" s="1" t="str">
        <f t="shared" ref="Y21" si="1133">IF(LanBel1LevelCurrent&gt;=$B21,"-",IF(LanBel1LevelDesired&lt;$B21,"-",$D21))</f>
        <v>-</v>
      </c>
      <c r="Z21" s="21" t="str">
        <f t="shared" ref="Z21" si="1134">IF(LanBel1LevelCurrent&gt;=$B21,"-",IF(LanBel1LevelDesired&lt;$B21,"-",$E21))</f>
        <v>-</v>
      </c>
      <c r="AA21" s="15" t="str">
        <f t="shared" ref="AA21" si="1135">IF(LanBoo1LevelCurrent&gt;=$B21,"-",IF(LanBoo1LevelDesired&lt;$B21,"-",$C21))</f>
        <v>-</v>
      </c>
      <c r="AB21" s="1" t="str">
        <f t="shared" ref="AB21" si="1136">IF(LanBoo1LevelCurrent&gt;=$B21,"-",IF(LanBoo1LevelDesired&lt;$B21,"-",$D21))</f>
        <v>-</v>
      </c>
      <c r="AC21" s="21" t="str">
        <f t="shared" ref="AC21" si="1137">IF(LanBoo1LevelCurrent&gt;=$B21,"-",IF(LanBoo1LevelDesired&lt;$B21,"-",$E21))</f>
        <v>-</v>
      </c>
      <c r="AD21" s="15" t="str">
        <f t="shared" ref="AD21" si="1138">IF(MarGog1LevelCurrent&gt;=$B21,"-",IF(MarGog1LevelDesired&lt;$B21,"-",$C21))</f>
        <v>-</v>
      </c>
      <c r="AE21" s="1" t="str">
        <f t="shared" ref="AE21" si="1139">IF(MarGog1LevelCurrent&gt;=$B21,"-",IF(MarGog1LevelDesired&lt;$B21,"-",$D21))</f>
        <v>-</v>
      </c>
      <c r="AF21" s="21" t="str">
        <f t="shared" ref="AF21" si="1140">IF(MarGog1LevelCurrent&gt;=$B21,"-",IF(MarGog1LevelDesired&lt;$B21,"-",$E21))</f>
        <v>-</v>
      </c>
      <c r="AG21" s="15" t="str">
        <f t="shared" ref="AG21" si="1141">IF(MarGlo1LevelCurrent&gt;=$B21,"-",IF(MarGlo1LevelDesired&lt;$B21,"-",$C21))</f>
        <v>-</v>
      </c>
      <c r="AH21" s="1" t="str">
        <f t="shared" ref="AH21" si="1142">IF(MarGlo1LevelCurrent&gt;=$B21,"-",IF(MarGlo1LevelDesired&lt;$B21,"-",$D21))</f>
        <v>-</v>
      </c>
      <c r="AI21" s="21" t="str">
        <f t="shared" ref="AI21" si="1143">IF(MarGlo1LevelCurrent&gt;=$B21,"-",IF(MarGlo1LevelDesired&lt;$B21,"-",$E21))</f>
        <v>-</v>
      </c>
      <c r="AJ21" s="15" t="str">
        <f t="shared" ref="AJ21" si="1144">IF(MarBel1LevelCurrent&gt;=$B21,"-",IF(MarBel1LevelDesired&lt;$B21,"-",$C21))</f>
        <v>-</v>
      </c>
      <c r="AK21" s="1" t="str">
        <f t="shared" ref="AK21" si="1145">IF(MarBel1LevelCurrent&gt;=$B21,"-",IF(MarBel1LevelDesired&lt;$B21,"-",$D21))</f>
        <v>-</v>
      </c>
      <c r="AL21" s="21" t="str">
        <f t="shared" ref="AL21" si="1146">IF(MarBel1LevelCurrent&gt;=$B21,"-",IF(MarBel1LevelDesired&lt;$B21,"-",$E21))</f>
        <v>-</v>
      </c>
      <c r="AM21" s="15" t="str">
        <f t="shared" ref="AM21" si="1147">IF(MarBoo1LevelCurrent&gt;=$B21,"-",IF(MarBoo1LevelDesired&lt;$B21,"-",$C21))</f>
        <v>-</v>
      </c>
      <c r="AN21" s="1" t="str">
        <f t="shared" ref="AN21" si="1148">IF(MarBoo1LevelCurrent&gt;=$B21,"-",IF(MarBoo1LevelDesired&lt;$B21,"-",$D21))</f>
        <v>-</v>
      </c>
      <c r="AO21" s="21" t="str">
        <f t="shared" ref="AO21" si="1149">IF(MarBoo1LevelCurrent&gt;=$B21,"-",IF(MarBoo1LevelDesired&lt;$B21,"-",$E21))</f>
        <v>-</v>
      </c>
      <c r="AP21" s="15" t="str">
        <f t="shared" ref="AP21" si="1150">IF(InfGog2LevelCurrent&gt;=$B21,"-",IF(InfGog2LevelDesired&lt;$B21,"-",$C21))</f>
        <v>-</v>
      </c>
      <c r="AQ21" s="1" t="str">
        <f t="shared" ref="AQ21" si="1151">IF(InfGog2LevelCurrent&gt;=$B21,"-",IF(InfGog2LevelDesired&lt;$B21,"-",$D21))</f>
        <v>-</v>
      </c>
      <c r="AR21" s="21" t="str">
        <f t="shared" ref="AR21" si="1152">IF(InfGog2LevelCurrent&gt;=$B21,"-",IF(InfGog2LevelDesired&lt;$B21,"-",$E21))</f>
        <v>-</v>
      </c>
      <c r="AS21" s="15" t="str">
        <f t="shared" ref="AS21" si="1153">IF(InfGlo2LevelCurrent&gt;=$B21,"-",IF(InfGlo2LevelDesired&lt;$B21,"-",$C21))</f>
        <v>-</v>
      </c>
      <c r="AT21" s="1" t="str">
        <f t="shared" ref="AT21" si="1154">IF(InfGlo2LevelCurrent&gt;=$B21,"-",IF(InfGlo2LevelDesired&lt;$B21,"-",$D21))</f>
        <v>-</v>
      </c>
      <c r="AU21" s="21" t="str">
        <f t="shared" ref="AU21" si="1155">IF(InfGlo2LevelCurrent&gt;=$B21,"-",IF(InfGlo2LevelDesired&lt;$B21,"-",$E21))</f>
        <v>-</v>
      </c>
      <c r="AV21" s="15" t="str">
        <f t="shared" ref="AV21" si="1156">IF(InfBel2LevelCurrent&gt;=$B21,"-",IF(InfBel2LevelDesired&lt;$B21,"-",$C21))</f>
        <v>-</v>
      </c>
      <c r="AW21" s="1" t="str">
        <f t="shared" ref="AW21" si="1157">IF(InfBel2LevelCurrent&gt;=$B21,"-",IF(InfBel2LevelDesired&lt;$B21,"-",$D21))</f>
        <v>-</v>
      </c>
      <c r="AX21" s="21" t="str">
        <f t="shared" ref="AX21" si="1158">IF(InfBel2LevelCurrent&gt;=$B21,"-",IF(InfBel2LevelDesired&lt;$B21,"-",$E21))</f>
        <v>-</v>
      </c>
      <c r="AY21" s="15" t="str">
        <f t="shared" ref="AY21" si="1159">IF(InfBoo2LevelCurrent&gt;=$B21,"-",IF(InfBoo2LevelDesired&lt;$B21,"-",$C21))</f>
        <v>-</v>
      </c>
      <c r="AZ21" s="1" t="str">
        <f t="shared" ref="AZ21" si="1160">IF(InfBoo2LevelCurrent&gt;=$B21,"-",IF(InfBoo2LevelDesired&lt;$B21,"-",$D21))</f>
        <v>-</v>
      </c>
      <c r="BA21" s="21" t="str">
        <f t="shared" ref="BA21" si="1161">IF(InfBoo2LevelCurrent&gt;=$B21,"-",IF(InfBoo2LevelDesired&lt;$B21,"-",$E21))</f>
        <v>-</v>
      </c>
      <c r="BB21" s="15" t="str">
        <f t="shared" ref="BB21" si="1162">IF(LanGog2LevelCurrent&gt;=$B21,"-",IF(LanGog2LevelDesired&lt;$B21,"-",$C21))</f>
        <v>-</v>
      </c>
      <c r="BC21" s="1" t="str">
        <f t="shared" ref="BC21" si="1163">IF(LanGog2LevelCurrent&gt;=$B21,"-",IF(LanGog2LevelDesired&lt;$B21,"-",$D21))</f>
        <v>-</v>
      </c>
      <c r="BD21" s="21" t="str">
        <f t="shared" ref="BD21" si="1164">IF(LanGog2LevelCurrent&gt;=$B21,"-",IF(LanGog2LevelDesired&lt;$B21,"-",$E21))</f>
        <v>-</v>
      </c>
      <c r="BE21" s="15" t="str">
        <f t="shared" ref="BE21" si="1165">IF(LanGlo2LevelCurrent&gt;=$B21,"-",IF(LanGlo2LevelDesired&lt;$B21,"-",$C21))</f>
        <v>-</v>
      </c>
      <c r="BF21" s="1" t="str">
        <f t="shared" ref="BF21" si="1166">IF(LanGlo2LevelCurrent&gt;=$B21,"-",IF(LanGlo2LevelDesired&lt;$B21,"-",$D21))</f>
        <v>-</v>
      </c>
      <c r="BG21" s="21" t="str">
        <f t="shared" ref="BG21" si="1167">IF(LanGlo2LevelCurrent&gt;=$B21,"-",IF(LanGlo2LevelDesired&lt;$B21,"-",$E21))</f>
        <v>-</v>
      </c>
      <c r="BH21" s="15" t="str">
        <f t="shared" ref="BH21" si="1168">IF(LanBel2LevelCurrent&gt;=$B21,"-",IF(LanBel2LevelDesired&lt;$B21,"-",$C21))</f>
        <v>-</v>
      </c>
      <c r="BI21" s="1" t="str">
        <f t="shared" ref="BI21" si="1169">IF(LanBel2LevelCurrent&gt;=$B21,"-",IF(LanBel2LevelDesired&lt;$B21,"-",$D21))</f>
        <v>-</v>
      </c>
      <c r="BJ21" s="21" t="str">
        <f t="shared" ref="BJ21" si="1170">IF(LanBel2LevelCurrent&gt;=$B21,"-",IF(LanBel2LevelDesired&lt;$B21,"-",$E21))</f>
        <v>-</v>
      </c>
      <c r="BK21" s="15" t="str">
        <f t="shared" ref="BK21" si="1171">IF(LanBoo2LevelCurrent&gt;=$B21,"-",IF(LanBoo2LevelDesired&lt;$B21,"-",$C21))</f>
        <v>-</v>
      </c>
      <c r="BL21" s="1" t="str">
        <f t="shared" ref="BL21" si="1172">IF(LanBoo2LevelCurrent&gt;=$B21,"-",IF(LanBoo2LevelDesired&lt;$B21,"-",$D21))</f>
        <v>-</v>
      </c>
      <c r="BM21" s="21" t="str">
        <f t="shared" ref="BM21" si="1173">IF(LanBoo2LevelCurrent&gt;=$B21,"-",IF(LanBoo2LevelDesired&lt;$B21,"-",$E21))</f>
        <v>-</v>
      </c>
      <c r="BN21" s="15" t="str">
        <f t="shared" ref="BN21" si="1174">IF(MarGog2LevelCurrent&gt;=$B21,"-",IF(MarGog2LevelDesired&lt;$B21,"-",$C21))</f>
        <v>-</v>
      </c>
      <c r="BO21" s="1" t="str">
        <f t="shared" ref="BO21" si="1175">IF(MarGog2LevelCurrent&gt;=$B21,"-",IF(MarGog2LevelDesired&lt;$B21,"-",$D21))</f>
        <v>-</v>
      </c>
      <c r="BP21" s="21" t="str">
        <f t="shared" ref="BP21" si="1176">IF(MarGog2LevelCurrent&gt;=$B21,"-",IF(MarGog2LevelDesired&lt;$B21,"-",$E21))</f>
        <v>-</v>
      </c>
      <c r="BQ21" s="15" t="str">
        <f t="shared" ref="BQ21" si="1177">IF(MarGlo2LevelCurrent&gt;=$B21,"-",IF(MarGlo2LevelDesired&lt;$B21,"-",$C21))</f>
        <v>-</v>
      </c>
      <c r="BR21" s="1" t="str">
        <f t="shared" ref="BR21" si="1178">IF(MarGlo2LevelCurrent&gt;=$B21,"-",IF(MarGlo2LevelDesired&lt;$B21,"-",$D21))</f>
        <v>-</v>
      </c>
      <c r="BS21" s="21" t="str">
        <f t="shared" ref="BS21" si="1179">IF(MarGlo2LevelCurrent&gt;=$B21,"-",IF(MarGlo2LevelDesired&lt;$B21,"-",$E21))</f>
        <v>-</v>
      </c>
      <c r="BT21" s="15" t="str">
        <f t="shared" ref="BT21" si="1180">IF(MarBel2LevelCurrent&gt;=$B21,"-",IF(MarBel2LevelDesired&lt;$B21,"-",$C21))</f>
        <v>-</v>
      </c>
      <c r="BU21" s="1" t="str">
        <f t="shared" ref="BU21" si="1181">IF(MarBel2LevelCurrent&gt;=$B21,"-",IF(MarBel2LevelDesired&lt;$B21,"-",$D21))</f>
        <v>-</v>
      </c>
      <c r="BV21" s="21" t="str">
        <f t="shared" ref="BV21" si="1182">IF(MarBel2LevelCurrent&gt;=$B21,"-",IF(MarBel2LevelDesired&lt;$B21,"-",$E21))</f>
        <v>-</v>
      </c>
      <c r="BW21" s="15" t="str">
        <f t="shared" ref="BW21" si="1183">IF(MarBoo2LevelCurrent&gt;=$B21,"-",IF(MarBoo2LevelDesired&lt;$B21,"-",$C21))</f>
        <v>-</v>
      </c>
      <c r="BX21" s="1" t="str">
        <f t="shared" ref="BX21" si="1184">IF(MarBoo2LevelCurrent&gt;=$B21,"-",IF(MarBoo2LevelDesired&lt;$B21,"-",$D21))</f>
        <v>-</v>
      </c>
      <c r="BY21" s="21" t="str">
        <f t="shared" ref="BY21" si="1185">IF(MarBoo2LevelCurrent&gt;=$B21,"-",IF(MarBoo2LevelDesired&lt;$B21,"-",$E21))</f>
        <v>-</v>
      </c>
      <c r="BZ21" s="15" t="str">
        <f t="shared" si="72"/>
        <v>-</v>
      </c>
      <c r="CA21" s="1" t="str" cm="1">
        <f t="array" ref="CA21">IF(InfGog3LevelCurrent&gt;=$B21,"-",IF(InfGog3LevelDesired&lt;$B21,"-",$D21))</f>
        <v>-</v>
      </c>
      <c r="CB21" s="21" t="str" cm="1">
        <f t="array" ref="CB21">IF(InfGog3LevelCurrent&gt;=$B21,"-",IF(InfGog3LevelDesired&lt;$B21,"-",$E21))</f>
        <v>-</v>
      </c>
      <c r="CC21" s="15" t="str">
        <f t="shared" si="73"/>
        <v>-</v>
      </c>
      <c r="CD21" s="1" t="str">
        <f t="shared" si="74"/>
        <v>-</v>
      </c>
      <c r="CE21" s="21" t="str">
        <f t="shared" si="75"/>
        <v>-</v>
      </c>
      <c r="CF21" s="15" t="str">
        <f t="shared" si="76"/>
        <v>-</v>
      </c>
      <c r="CG21" s="1" t="str">
        <f t="shared" si="77"/>
        <v>-</v>
      </c>
      <c r="CH21" s="21" t="str">
        <f t="shared" si="78"/>
        <v>-</v>
      </c>
      <c r="CI21" s="15" t="str">
        <f t="shared" si="79"/>
        <v>-</v>
      </c>
      <c r="CJ21" s="1" t="str">
        <f t="shared" si="80"/>
        <v>-</v>
      </c>
      <c r="CK21" s="21" t="str">
        <f t="shared" si="81"/>
        <v>-</v>
      </c>
      <c r="CL21" s="15" t="str">
        <f t="shared" si="82"/>
        <v>-</v>
      </c>
      <c r="CM21" s="1" t="str">
        <f t="shared" si="83"/>
        <v>-</v>
      </c>
      <c r="CN21" s="21" t="str">
        <f t="shared" si="84"/>
        <v>-</v>
      </c>
      <c r="CO21" s="15" t="str">
        <f t="shared" si="85"/>
        <v>-</v>
      </c>
      <c r="CP21" s="1" t="str">
        <f t="shared" si="86"/>
        <v>-</v>
      </c>
      <c r="CQ21" s="21" t="str">
        <f t="shared" si="87"/>
        <v>-</v>
      </c>
      <c r="CR21" s="15" t="str">
        <f t="shared" si="88"/>
        <v>-</v>
      </c>
      <c r="CS21" s="1" t="str">
        <f t="shared" si="89"/>
        <v>-</v>
      </c>
      <c r="CT21" s="21" t="str">
        <f t="shared" si="90"/>
        <v>-</v>
      </c>
      <c r="CU21" s="15" t="str">
        <f t="shared" si="91"/>
        <v>-</v>
      </c>
      <c r="CV21" s="1" t="str">
        <f t="shared" si="92"/>
        <v>-</v>
      </c>
      <c r="CW21" s="21" t="str">
        <f t="shared" si="93"/>
        <v>-</v>
      </c>
      <c r="CX21" s="15" t="str">
        <f t="shared" si="94"/>
        <v>-</v>
      </c>
      <c r="CY21" s="1" t="str">
        <f t="shared" si="95"/>
        <v>-</v>
      </c>
      <c r="CZ21" s="21" t="str">
        <f t="shared" si="96"/>
        <v>-</v>
      </c>
      <c r="DA21" s="15" t="str">
        <f t="shared" si="97"/>
        <v>-</v>
      </c>
      <c r="DB21" s="1" t="str">
        <f t="shared" si="98"/>
        <v>-</v>
      </c>
      <c r="DC21" s="21" t="str">
        <f t="shared" si="99"/>
        <v>-</v>
      </c>
      <c r="DD21" s="15" t="str">
        <f t="shared" si="100"/>
        <v>-</v>
      </c>
      <c r="DE21" s="1" t="str">
        <f t="shared" si="101"/>
        <v>-</v>
      </c>
      <c r="DF21" s="21" t="str">
        <f t="shared" si="102"/>
        <v>-</v>
      </c>
      <c r="DG21" s="15" t="str">
        <f t="shared" si="103"/>
        <v>-</v>
      </c>
      <c r="DH21" s="1" t="str">
        <f t="shared" si="104"/>
        <v>-</v>
      </c>
      <c r="DI21" s="21" t="str">
        <f t="shared" si="105"/>
        <v>-</v>
      </c>
    </row>
    <row r="22" spans="2:113" x14ac:dyDescent="0.3">
      <c r="B22" s="1">
        <v>17</v>
      </c>
      <c r="C22" s="67">
        <v>90</v>
      </c>
      <c r="D22" s="88" t="s">
        <v>27</v>
      </c>
      <c r="E22" s="21" t="s">
        <v>27</v>
      </c>
      <c r="F22" s="15" t="str">
        <f t="shared" ref="F22" si="1186">IF(InfGog1LevelCurrent&gt;=$B22,"-",IF(InfGog1LevelDesired&lt;$B22,"-",$C22))</f>
        <v>-</v>
      </c>
      <c r="G22" s="1" t="str">
        <f t="shared" ref="G22" si="1187">IF(InfGog1LevelCurrent&gt;=$B22,"-",IF(InfGog1LevelDesired&lt;$B22,"-",$D22))</f>
        <v>-</v>
      </c>
      <c r="H22" s="21" t="str">
        <f t="shared" ref="H22" si="1188">IF(InfGog1LevelCurrent&gt;=$B22,"-",IF(InfGog1LevelDesired&lt;$B22,"-",$E22))</f>
        <v>-</v>
      </c>
      <c r="I22" s="15" t="str">
        <f t="shared" ref="I22" si="1189">IF(InfGlo1LevelCurrent&gt;=$B22,"-",IF(InfGlo1LevelDesired&lt;$B22,"-",$C22))</f>
        <v>-</v>
      </c>
      <c r="J22" s="1" t="str">
        <f t="shared" ref="J22" si="1190">IF(InfGlo1LevelCurrent&gt;=$B22,"-",IF(InfGlo1LevelDesired&lt;$B22,"-",$D22))</f>
        <v>-</v>
      </c>
      <c r="K22" s="21" t="str">
        <f t="shared" ref="K22" si="1191">IF(InfGlo1LevelCurrent&gt;=$B22,"-",IF(InfGlo1LevelDesired&lt;$B22,"-",$E22))</f>
        <v>-</v>
      </c>
      <c r="L22" s="15" t="str">
        <f t="shared" ref="L22" si="1192">IF(InfBel1LevelCurrent&gt;=$B22,"-",IF(InfBel1LevelDesired&lt;$B22,"-",$C22))</f>
        <v>-</v>
      </c>
      <c r="M22" s="1" t="str">
        <f t="shared" ref="M22" si="1193">IF(InfBel1LevelCurrent&gt;=$B22,"-",IF(InfBel1LevelDesired&lt;$B22,"-",$D22))</f>
        <v>-</v>
      </c>
      <c r="N22" s="21" t="str">
        <f t="shared" ref="N22" si="1194">IF(InfBel1LevelCurrent&gt;=$B22,"-",IF(InfBel1LevelDesired&lt;$B22,"-",$E22))</f>
        <v>-</v>
      </c>
      <c r="O22" s="15" t="str">
        <f t="shared" ref="O22" si="1195">IF(InfBoo1LevelCurrent&gt;=$B22,"-",IF(InfBoo1LevelDesired&lt;$B22,"-",$C22))</f>
        <v>-</v>
      </c>
      <c r="P22" s="1" t="str">
        <f t="shared" ref="P22" si="1196">IF(InfBoo1LevelCurrent&gt;=$B22,"-",IF(InfBoo1LevelDesired&lt;$B22,"-",$D22))</f>
        <v>-</v>
      </c>
      <c r="Q22" s="21" t="str">
        <f t="shared" ref="Q22" si="1197">IF(InfBoo1LevelCurrent&gt;=$B22,"-",IF(InfBoo1LevelDesired&lt;$B22,"-",$E22))</f>
        <v>-</v>
      </c>
      <c r="R22" s="15" t="str">
        <f t="shared" ref="R22" si="1198">IF(LanGog1LevelCurrent&gt;=$B22,"-",IF(LanGog1LevelDesired&lt;$B22,"-",$C22))</f>
        <v>-</v>
      </c>
      <c r="S22" s="1" t="str">
        <f t="shared" ref="S22" si="1199">IF(LanGog1LevelCurrent&gt;=$B22,"-",IF(LanGog1LevelDesired&lt;$B22,"-",$D22))</f>
        <v>-</v>
      </c>
      <c r="T22" s="21" t="str">
        <f t="shared" ref="T22" si="1200">IF(LanGog1LevelCurrent&gt;=$B22,"-",IF(LanGog1LevelDesired&lt;$B22,"-",$E22))</f>
        <v>-</v>
      </c>
      <c r="U22" s="15" t="str">
        <f t="shared" ref="U22" si="1201">IF(LanGlo1LevelCurrent&gt;=$B22,"-",IF(LanGlo1LevelDesired&lt;$B22,"-",$C22))</f>
        <v>-</v>
      </c>
      <c r="V22" s="1" t="str">
        <f t="shared" ref="V22" si="1202">IF(LanGlo1LevelCurrent&gt;=$B22,"-",IF(LanGlo1LevelDesired&lt;$B22,"-",$D22))</f>
        <v>-</v>
      </c>
      <c r="W22" s="21" t="str">
        <f t="shared" ref="W22" si="1203">IF(LanGlo1LevelCurrent&gt;=$B22,"-",IF(LanGlo1LevelDesired&lt;$B22,"-",$E22))</f>
        <v>-</v>
      </c>
      <c r="X22" s="15" t="str">
        <f t="shared" ref="X22" si="1204">IF(LanBel1LevelCurrent&gt;=$B22,"-",IF(LanBel1LevelDesired&lt;$B22,"-",$C22))</f>
        <v>-</v>
      </c>
      <c r="Y22" s="1" t="str">
        <f t="shared" ref="Y22" si="1205">IF(LanBel1LevelCurrent&gt;=$B22,"-",IF(LanBel1LevelDesired&lt;$B22,"-",$D22))</f>
        <v>-</v>
      </c>
      <c r="Z22" s="21" t="str">
        <f t="shared" ref="Z22" si="1206">IF(LanBel1LevelCurrent&gt;=$B22,"-",IF(LanBel1LevelDesired&lt;$B22,"-",$E22))</f>
        <v>-</v>
      </c>
      <c r="AA22" s="15" t="str">
        <f t="shared" ref="AA22" si="1207">IF(LanBoo1LevelCurrent&gt;=$B22,"-",IF(LanBoo1LevelDesired&lt;$B22,"-",$C22))</f>
        <v>-</v>
      </c>
      <c r="AB22" s="1" t="str">
        <f t="shared" ref="AB22" si="1208">IF(LanBoo1LevelCurrent&gt;=$B22,"-",IF(LanBoo1LevelDesired&lt;$B22,"-",$D22))</f>
        <v>-</v>
      </c>
      <c r="AC22" s="21" t="str">
        <f t="shared" ref="AC22" si="1209">IF(LanBoo1LevelCurrent&gt;=$B22,"-",IF(LanBoo1LevelDesired&lt;$B22,"-",$E22))</f>
        <v>-</v>
      </c>
      <c r="AD22" s="15" t="str">
        <f t="shared" ref="AD22" si="1210">IF(MarGog1LevelCurrent&gt;=$B22,"-",IF(MarGog1LevelDesired&lt;$B22,"-",$C22))</f>
        <v>-</v>
      </c>
      <c r="AE22" s="1" t="str">
        <f t="shared" ref="AE22" si="1211">IF(MarGog1LevelCurrent&gt;=$B22,"-",IF(MarGog1LevelDesired&lt;$B22,"-",$D22))</f>
        <v>-</v>
      </c>
      <c r="AF22" s="21" t="str">
        <f t="shared" ref="AF22" si="1212">IF(MarGog1LevelCurrent&gt;=$B22,"-",IF(MarGog1LevelDesired&lt;$B22,"-",$E22))</f>
        <v>-</v>
      </c>
      <c r="AG22" s="15" t="str">
        <f t="shared" ref="AG22" si="1213">IF(MarGlo1LevelCurrent&gt;=$B22,"-",IF(MarGlo1LevelDesired&lt;$B22,"-",$C22))</f>
        <v>-</v>
      </c>
      <c r="AH22" s="1" t="str">
        <f t="shared" ref="AH22" si="1214">IF(MarGlo1LevelCurrent&gt;=$B22,"-",IF(MarGlo1LevelDesired&lt;$B22,"-",$D22))</f>
        <v>-</v>
      </c>
      <c r="AI22" s="21" t="str">
        <f t="shared" ref="AI22" si="1215">IF(MarGlo1LevelCurrent&gt;=$B22,"-",IF(MarGlo1LevelDesired&lt;$B22,"-",$E22))</f>
        <v>-</v>
      </c>
      <c r="AJ22" s="15" t="str">
        <f t="shared" ref="AJ22" si="1216">IF(MarBel1LevelCurrent&gt;=$B22,"-",IF(MarBel1LevelDesired&lt;$B22,"-",$C22))</f>
        <v>-</v>
      </c>
      <c r="AK22" s="1" t="str">
        <f t="shared" ref="AK22" si="1217">IF(MarBel1LevelCurrent&gt;=$B22,"-",IF(MarBel1LevelDesired&lt;$B22,"-",$D22))</f>
        <v>-</v>
      </c>
      <c r="AL22" s="21" t="str">
        <f t="shared" ref="AL22" si="1218">IF(MarBel1LevelCurrent&gt;=$B22,"-",IF(MarBel1LevelDesired&lt;$B22,"-",$E22))</f>
        <v>-</v>
      </c>
      <c r="AM22" s="15" t="str">
        <f t="shared" ref="AM22" si="1219">IF(MarBoo1LevelCurrent&gt;=$B22,"-",IF(MarBoo1LevelDesired&lt;$B22,"-",$C22))</f>
        <v>-</v>
      </c>
      <c r="AN22" s="1" t="str">
        <f t="shared" ref="AN22" si="1220">IF(MarBoo1LevelCurrent&gt;=$B22,"-",IF(MarBoo1LevelDesired&lt;$B22,"-",$D22))</f>
        <v>-</v>
      </c>
      <c r="AO22" s="21" t="str">
        <f t="shared" ref="AO22" si="1221">IF(MarBoo1LevelCurrent&gt;=$B22,"-",IF(MarBoo1LevelDesired&lt;$B22,"-",$E22))</f>
        <v>-</v>
      </c>
      <c r="AP22" s="15" t="str">
        <f t="shared" ref="AP22" si="1222">IF(InfGog2LevelCurrent&gt;=$B22,"-",IF(InfGog2LevelDesired&lt;$B22,"-",$C22))</f>
        <v>-</v>
      </c>
      <c r="AQ22" s="1" t="str">
        <f t="shared" ref="AQ22" si="1223">IF(InfGog2LevelCurrent&gt;=$B22,"-",IF(InfGog2LevelDesired&lt;$B22,"-",$D22))</f>
        <v>-</v>
      </c>
      <c r="AR22" s="21" t="str">
        <f t="shared" ref="AR22" si="1224">IF(InfGog2LevelCurrent&gt;=$B22,"-",IF(InfGog2LevelDesired&lt;$B22,"-",$E22))</f>
        <v>-</v>
      </c>
      <c r="AS22" s="15" t="str">
        <f t="shared" ref="AS22" si="1225">IF(InfGlo2LevelCurrent&gt;=$B22,"-",IF(InfGlo2LevelDesired&lt;$B22,"-",$C22))</f>
        <v>-</v>
      </c>
      <c r="AT22" s="1" t="str">
        <f t="shared" ref="AT22" si="1226">IF(InfGlo2LevelCurrent&gt;=$B22,"-",IF(InfGlo2LevelDesired&lt;$B22,"-",$D22))</f>
        <v>-</v>
      </c>
      <c r="AU22" s="21" t="str">
        <f t="shared" ref="AU22" si="1227">IF(InfGlo2LevelCurrent&gt;=$B22,"-",IF(InfGlo2LevelDesired&lt;$B22,"-",$E22))</f>
        <v>-</v>
      </c>
      <c r="AV22" s="15" t="str">
        <f t="shared" ref="AV22" si="1228">IF(InfBel2LevelCurrent&gt;=$B22,"-",IF(InfBel2LevelDesired&lt;$B22,"-",$C22))</f>
        <v>-</v>
      </c>
      <c r="AW22" s="1" t="str">
        <f t="shared" ref="AW22" si="1229">IF(InfBel2LevelCurrent&gt;=$B22,"-",IF(InfBel2LevelDesired&lt;$B22,"-",$D22))</f>
        <v>-</v>
      </c>
      <c r="AX22" s="21" t="str">
        <f t="shared" ref="AX22" si="1230">IF(InfBel2LevelCurrent&gt;=$B22,"-",IF(InfBel2LevelDesired&lt;$B22,"-",$E22))</f>
        <v>-</v>
      </c>
      <c r="AY22" s="15" t="str">
        <f t="shared" ref="AY22" si="1231">IF(InfBoo2LevelCurrent&gt;=$B22,"-",IF(InfBoo2LevelDesired&lt;$B22,"-",$C22))</f>
        <v>-</v>
      </c>
      <c r="AZ22" s="1" t="str">
        <f t="shared" ref="AZ22" si="1232">IF(InfBoo2LevelCurrent&gt;=$B22,"-",IF(InfBoo2LevelDesired&lt;$B22,"-",$D22))</f>
        <v>-</v>
      </c>
      <c r="BA22" s="21" t="str">
        <f t="shared" ref="BA22" si="1233">IF(InfBoo2LevelCurrent&gt;=$B22,"-",IF(InfBoo2LevelDesired&lt;$B22,"-",$E22))</f>
        <v>-</v>
      </c>
      <c r="BB22" s="15" t="str">
        <f t="shared" ref="BB22" si="1234">IF(LanGog2LevelCurrent&gt;=$B22,"-",IF(LanGog2LevelDesired&lt;$B22,"-",$C22))</f>
        <v>-</v>
      </c>
      <c r="BC22" s="1" t="str">
        <f t="shared" ref="BC22" si="1235">IF(LanGog2LevelCurrent&gt;=$B22,"-",IF(LanGog2LevelDesired&lt;$B22,"-",$D22))</f>
        <v>-</v>
      </c>
      <c r="BD22" s="21" t="str">
        <f t="shared" ref="BD22" si="1236">IF(LanGog2LevelCurrent&gt;=$B22,"-",IF(LanGog2LevelDesired&lt;$B22,"-",$E22))</f>
        <v>-</v>
      </c>
      <c r="BE22" s="15" t="str">
        <f t="shared" ref="BE22" si="1237">IF(LanGlo2LevelCurrent&gt;=$B22,"-",IF(LanGlo2LevelDesired&lt;$B22,"-",$C22))</f>
        <v>-</v>
      </c>
      <c r="BF22" s="1" t="str">
        <f t="shared" ref="BF22" si="1238">IF(LanGlo2LevelCurrent&gt;=$B22,"-",IF(LanGlo2LevelDesired&lt;$B22,"-",$D22))</f>
        <v>-</v>
      </c>
      <c r="BG22" s="21" t="str">
        <f t="shared" ref="BG22" si="1239">IF(LanGlo2LevelCurrent&gt;=$B22,"-",IF(LanGlo2LevelDesired&lt;$B22,"-",$E22))</f>
        <v>-</v>
      </c>
      <c r="BH22" s="15" t="str">
        <f t="shared" ref="BH22" si="1240">IF(LanBel2LevelCurrent&gt;=$B22,"-",IF(LanBel2LevelDesired&lt;$B22,"-",$C22))</f>
        <v>-</v>
      </c>
      <c r="BI22" s="1" t="str">
        <f t="shared" ref="BI22" si="1241">IF(LanBel2LevelCurrent&gt;=$B22,"-",IF(LanBel2LevelDesired&lt;$B22,"-",$D22))</f>
        <v>-</v>
      </c>
      <c r="BJ22" s="21" t="str">
        <f t="shared" ref="BJ22" si="1242">IF(LanBel2LevelCurrent&gt;=$B22,"-",IF(LanBel2LevelDesired&lt;$B22,"-",$E22))</f>
        <v>-</v>
      </c>
      <c r="BK22" s="15" t="str">
        <f t="shared" ref="BK22" si="1243">IF(LanBoo2LevelCurrent&gt;=$B22,"-",IF(LanBoo2LevelDesired&lt;$B22,"-",$C22))</f>
        <v>-</v>
      </c>
      <c r="BL22" s="1" t="str">
        <f t="shared" ref="BL22" si="1244">IF(LanBoo2LevelCurrent&gt;=$B22,"-",IF(LanBoo2LevelDesired&lt;$B22,"-",$D22))</f>
        <v>-</v>
      </c>
      <c r="BM22" s="21" t="str">
        <f t="shared" ref="BM22" si="1245">IF(LanBoo2LevelCurrent&gt;=$B22,"-",IF(LanBoo2LevelDesired&lt;$B22,"-",$E22))</f>
        <v>-</v>
      </c>
      <c r="BN22" s="15" t="str">
        <f t="shared" ref="BN22" si="1246">IF(MarGog2LevelCurrent&gt;=$B22,"-",IF(MarGog2LevelDesired&lt;$B22,"-",$C22))</f>
        <v>-</v>
      </c>
      <c r="BO22" s="1" t="str">
        <f t="shared" ref="BO22" si="1247">IF(MarGog2LevelCurrent&gt;=$B22,"-",IF(MarGog2LevelDesired&lt;$B22,"-",$D22))</f>
        <v>-</v>
      </c>
      <c r="BP22" s="21" t="str">
        <f t="shared" ref="BP22" si="1248">IF(MarGog2LevelCurrent&gt;=$B22,"-",IF(MarGog2LevelDesired&lt;$B22,"-",$E22))</f>
        <v>-</v>
      </c>
      <c r="BQ22" s="15" t="str">
        <f t="shared" ref="BQ22" si="1249">IF(MarGlo2LevelCurrent&gt;=$B22,"-",IF(MarGlo2LevelDesired&lt;$B22,"-",$C22))</f>
        <v>-</v>
      </c>
      <c r="BR22" s="1" t="str">
        <f t="shared" ref="BR22" si="1250">IF(MarGlo2LevelCurrent&gt;=$B22,"-",IF(MarGlo2LevelDesired&lt;$B22,"-",$D22))</f>
        <v>-</v>
      </c>
      <c r="BS22" s="21" t="str">
        <f t="shared" ref="BS22" si="1251">IF(MarGlo2LevelCurrent&gt;=$B22,"-",IF(MarGlo2LevelDesired&lt;$B22,"-",$E22))</f>
        <v>-</v>
      </c>
      <c r="BT22" s="15" t="str">
        <f t="shared" ref="BT22" si="1252">IF(MarBel2LevelCurrent&gt;=$B22,"-",IF(MarBel2LevelDesired&lt;$B22,"-",$C22))</f>
        <v>-</v>
      </c>
      <c r="BU22" s="1" t="str">
        <f t="shared" ref="BU22" si="1253">IF(MarBel2LevelCurrent&gt;=$B22,"-",IF(MarBel2LevelDesired&lt;$B22,"-",$D22))</f>
        <v>-</v>
      </c>
      <c r="BV22" s="21" t="str">
        <f t="shared" ref="BV22" si="1254">IF(MarBel2LevelCurrent&gt;=$B22,"-",IF(MarBel2LevelDesired&lt;$B22,"-",$E22))</f>
        <v>-</v>
      </c>
      <c r="BW22" s="15" t="str">
        <f t="shared" ref="BW22" si="1255">IF(MarBoo2LevelCurrent&gt;=$B22,"-",IF(MarBoo2LevelDesired&lt;$B22,"-",$C22))</f>
        <v>-</v>
      </c>
      <c r="BX22" s="1" t="str">
        <f t="shared" ref="BX22" si="1256">IF(MarBoo2LevelCurrent&gt;=$B22,"-",IF(MarBoo2LevelDesired&lt;$B22,"-",$D22))</f>
        <v>-</v>
      </c>
      <c r="BY22" s="21" t="str">
        <f t="shared" ref="BY22" si="1257">IF(MarBoo2LevelCurrent&gt;=$B22,"-",IF(MarBoo2LevelDesired&lt;$B22,"-",$E22))</f>
        <v>-</v>
      </c>
      <c r="BZ22" s="15" t="str">
        <f t="shared" si="72"/>
        <v>-</v>
      </c>
      <c r="CA22" s="1" t="str" cm="1">
        <f t="array" ref="CA22">IF(InfGog3LevelCurrent&gt;=$B22,"-",IF(InfGog3LevelDesired&lt;$B22,"-",$D22))</f>
        <v>-</v>
      </c>
      <c r="CB22" s="21" t="str" cm="1">
        <f t="array" ref="CB22">IF(InfGog3LevelCurrent&gt;=$B22,"-",IF(InfGog3LevelDesired&lt;$B22,"-",$E22))</f>
        <v>-</v>
      </c>
      <c r="CC22" s="15" t="str">
        <f t="shared" si="73"/>
        <v>-</v>
      </c>
      <c r="CD22" s="1" t="str">
        <f t="shared" si="74"/>
        <v>-</v>
      </c>
      <c r="CE22" s="21" t="str">
        <f t="shared" si="75"/>
        <v>-</v>
      </c>
      <c r="CF22" s="15" t="str">
        <f t="shared" si="76"/>
        <v>-</v>
      </c>
      <c r="CG22" s="1" t="str">
        <f t="shared" si="77"/>
        <v>-</v>
      </c>
      <c r="CH22" s="21" t="str">
        <f t="shared" si="78"/>
        <v>-</v>
      </c>
      <c r="CI22" s="15" t="str">
        <f t="shared" si="79"/>
        <v>-</v>
      </c>
      <c r="CJ22" s="1" t="str">
        <f t="shared" si="80"/>
        <v>-</v>
      </c>
      <c r="CK22" s="21" t="str">
        <f t="shared" si="81"/>
        <v>-</v>
      </c>
      <c r="CL22" s="15" t="str">
        <f t="shared" si="82"/>
        <v>-</v>
      </c>
      <c r="CM22" s="1" t="str">
        <f t="shared" si="83"/>
        <v>-</v>
      </c>
      <c r="CN22" s="21" t="str">
        <f t="shared" si="84"/>
        <v>-</v>
      </c>
      <c r="CO22" s="15" t="str">
        <f t="shared" si="85"/>
        <v>-</v>
      </c>
      <c r="CP22" s="1" t="str">
        <f t="shared" si="86"/>
        <v>-</v>
      </c>
      <c r="CQ22" s="21" t="str">
        <f t="shared" si="87"/>
        <v>-</v>
      </c>
      <c r="CR22" s="15" t="str">
        <f t="shared" si="88"/>
        <v>-</v>
      </c>
      <c r="CS22" s="1" t="str">
        <f t="shared" si="89"/>
        <v>-</v>
      </c>
      <c r="CT22" s="21" t="str">
        <f t="shared" si="90"/>
        <v>-</v>
      </c>
      <c r="CU22" s="15" t="str">
        <f t="shared" si="91"/>
        <v>-</v>
      </c>
      <c r="CV22" s="1" t="str">
        <f t="shared" si="92"/>
        <v>-</v>
      </c>
      <c r="CW22" s="21" t="str">
        <f t="shared" si="93"/>
        <v>-</v>
      </c>
      <c r="CX22" s="15" t="str">
        <f t="shared" si="94"/>
        <v>-</v>
      </c>
      <c r="CY22" s="1" t="str">
        <f t="shared" si="95"/>
        <v>-</v>
      </c>
      <c r="CZ22" s="21" t="str">
        <f t="shared" si="96"/>
        <v>-</v>
      </c>
      <c r="DA22" s="15" t="str">
        <f t="shared" si="97"/>
        <v>-</v>
      </c>
      <c r="DB22" s="1" t="str">
        <f t="shared" si="98"/>
        <v>-</v>
      </c>
      <c r="DC22" s="21" t="str">
        <f t="shared" si="99"/>
        <v>-</v>
      </c>
      <c r="DD22" s="15" t="str">
        <f t="shared" si="100"/>
        <v>-</v>
      </c>
      <c r="DE22" s="1" t="str">
        <f t="shared" si="101"/>
        <v>-</v>
      </c>
      <c r="DF22" s="21" t="str">
        <f t="shared" si="102"/>
        <v>-</v>
      </c>
      <c r="DG22" s="15" t="str">
        <f t="shared" si="103"/>
        <v>-</v>
      </c>
      <c r="DH22" s="1" t="str">
        <f t="shared" si="104"/>
        <v>-</v>
      </c>
      <c r="DI22" s="21" t="str">
        <f t="shared" si="105"/>
        <v>-</v>
      </c>
    </row>
    <row r="23" spans="2:113" x14ac:dyDescent="0.3">
      <c r="B23" s="1">
        <v>18</v>
      </c>
      <c r="C23" s="67">
        <v>95</v>
      </c>
      <c r="D23" s="88" t="s">
        <v>27</v>
      </c>
      <c r="E23" s="21" t="s">
        <v>27</v>
      </c>
      <c r="F23" s="15" t="str">
        <f t="shared" ref="F23" si="1258">IF(InfGog1LevelCurrent&gt;=$B23,"-",IF(InfGog1LevelDesired&lt;$B23,"-",$C23))</f>
        <v>-</v>
      </c>
      <c r="G23" s="1" t="str">
        <f t="shared" ref="G23" si="1259">IF(InfGog1LevelCurrent&gt;=$B23,"-",IF(InfGog1LevelDesired&lt;$B23,"-",$D23))</f>
        <v>-</v>
      </c>
      <c r="H23" s="21" t="str">
        <f t="shared" ref="H23" si="1260">IF(InfGog1LevelCurrent&gt;=$B23,"-",IF(InfGog1LevelDesired&lt;$B23,"-",$E23))</f>
        <v>-</v>
      </c>
      <c r="I23" s="15" t="str">
        <f t="shared" ref="I23" si="1261">IF(InfGlo1LevelCurrent&gt;=$B23,"-",IF(InfGlo1LevelDesired&lt;$B23,"-",$C23))</f>
        <v>-</v>
      </c>
      <c r="J23" s="1" t="str">
        <f t="shared" ref="J23" si="1262">IF(InfGlo1LevelCurrent&gt;=$B23,"-",IF(InfGlo1LevelDesired&lt;$B23,"-",$D23))</f>
        <v>-</v>
      </c>
      <c r="K23" s="21" t="str">
        <f t="shared" ref="K23" si="1263">IF(InfGlo1LevelCurrent&gt;=$B23,"-",IF(InfGlo1LevelDesired&lt;$B23,"-",$E23))</f>
        <v>-</v>
      </c>
      <c r="L23" s="15" t="str">
        <f t="shared" ref="L23" si="1264">IF(InfBel1LevelCurrent&gt;=$B23,"-",IF(InfBel1LevelDesired&lt;$B23,"-",$C23))</f>
        <v>-</v>
      </c>
      <c r="M23" s="1" t="str">
        <f t="shared" ref="M23" si="1265">IF(InfBel1LevelCurrent&gt;=$B23,"-",IF(InfBel1LevelDesired&lt;$B23,"-",$D23))</f>
        <v>-</v>
      </c>
      <c r="N23" s="21" t="str">
        <f t="shared" ref="N23" si="1266">IF(InfBel1LevelCurrent&gt;=$B23,"-",IF(InfBel1LevelDesired&lt;$B23,"-",$E23))</f>
        <v>-</v>
      </c>
      <c r="O23" s="15" t="str">
        <f t="shared" ref="O23" si="1267">IF(InfBoo1LevelCurrent&gt;=$B23,"-",IF(InfBoo1LevelDesired&lt;$B23,"-",$C23))</f>
        <v>-</v>
      </c>
      <c r="P23" s="1" t="str">
        <f t="shared" ref="P23" si="1268">IF(InfBoo1LevelCurrent&gt;=$B23,"-",IF(InfBoo1LevelDesired&lt;$B23,"-",$D23))</f>
        <v>-</v>
      </c>
      <c r="Q23" s="21" t="str">
        <f t="shared" ref="Q23" si="1269">IF(InfBoo1LevelCurrent&gt;=$B23,"-",IF(InfBoo1LevelDesired&lt;$B23,"-",$E23))</f>
        <v>-</v>
      </c>
      <c r="R23" s="15" t="str">
        <f t="shared" ref="R23" si="1270">IF(LanGog1LevelCurrent&gt;=$B23,"-",IF(LanGog1LevelDesired&lt;$B23,"-",$C23))</f>
        <v>-</v>
      </c>
      <c r="S23" s="1" t="str">
        <f t="shared" ref="S23" si="1271">IF(LanGog1LevelCurrent&gt;=$B23,"-",IF(LanGog1LevelDesired&lt;$B23,"-",$D23))</f>
        <v>-</v>
      </c>
      <c r="T23" s="21" t="str">
        <f t="shared" ref="T23" si="1272">IF(LanGog1LevelCurrent&gt;=$B23,"-",IF(LanGog1LevelDesired&lt;$B23,"-",$E23))</f>
        <v>-</v>
      </c>
      <c r="U23" s="15" t="str">
        <f t="shared" ref="U23" si="1273">IF(LanGlo1LevelCurrent&gt;=$B23,"-",IF(LanGlo1LevelDesired&lt;$B23,"-",$C23))</f>
        <v>-</v>
      </c>
      <c r="V23" s="1" t="str">
        <f t="shared" ref="V23" si="1274">IF(LanGlo1LevelCurrent&gt;=$B23,"-",IF(LanGlo1LevelDesired&lt;$B23,"-",$D23))</f>
        <v>-</v>
      </c>
      <c r="W23" s="21" t="str">
        <f t="shared" ref="W23" si="1275">IF(LanGlo1LevelCurrent&gt;=$B23,"-",IF(LanGlo1LevelDesired&lt;$B23,"-",$E23))</f>
        <v>-</v>
      </c>
      <c r="X23" s="15" t="str">
        <f t="shared" ref="X23" si="1276">IF(LanBel1LevelCurrent&gt;=$B23,"-",IF(LanBel1LevelDesired&lt;$B23,"-",$C23))</f>
        <v>-</v>
      </c>
      <c r="Y23" s="1" t="str">
        <f t="shared" ref="Y23" si="1277">IF(LanBel1LevelCurrent&gt;=$B23,"-",IF(LanBel1LevelDesired&lt;$B23,"-",$D23))</f>
        <v>-</v>
      </c>
      <c r="Z23" s="21" t="str">
        <f t="shared" ref="Z23" si="1278">IF(LanBel1LevelCurrent&gt;=$B23,"-",IF(LanBel1LevelDesired&lt;$B23,"-",$E23))</f>
        <v>-</v>
      </c>
      <c r="AA23" s="15" t="str">
        <f t="shared" ref="AA23" si="1279">IF(LanBoo1LevelCurrent&gt;=$B23,"-",IF(LanBoo1LevelDesired&lt;$B23,"-",$C23))</f>
        <v>-</v>
      </c>
      <c r="AB23" s="1" t="str">
        <f t="shared" ref="AB23" si="1280">IF(LanBoo1LevelCurrent&gt;=$B23,"-",IF(LanBoo1LevelDesired&lt;$B23,"-",$D23))</f>
        <v>-</v>
      </c>
      <c r="AC23" s="21" t="str">
        <f t="shared" ref="AC23" si="1281">IF(LanBoo1LevelCurrent&gt;=$B23,"-",IF(LanBoo1LevelDesired&lt;$B23,"-",$E23))</f>
        <v>-</v>
      </c>
      <c r="AD23" s="15" t="str">
        <f t="shared" ref="AD23" si="1282">IF(MarGog1LevelCurrent&gt;=$B23,"-",IF(MarGog1LevelDesired&lt;$B23,"-",$C23))</f>
        <v>-</v>
      </c>
      <c r="AE23" s="1" t="str">
        <f t="shared" ref="AE23" si="1283">IF(MarGog1LevelCurrent&gt;=$B23,"-",IF(MarGog1LevelDesired&lt;$B23,"-",$D23))</f>
        <v>-</v>
      </c>
      <c r="AF23" s="21" t="str">
        <f t="shared" ref="AF23" si="1284">IF(MarGog1LevelCurrent&gt;=$B23,"-",IF(MarGog1LevelDesired&lt;$B23,"-",$E23))</f>
        <v>-</v>
      </c>
      <c r="AG23" s="15" t="str">
        <f t="shared" ref="AG23" si="1285">IF(MarGlo1LevelCurrent&gt;=$B23,"-",IF(MarGlo1LevelDesired&lt;$B23,"-",$C23))</f>
        <v>-</v>
      </c>
      <c r="AH23" s="1" t="str">
        <f t="shared" ref="AH23" si="1286">IF(MarGlo1LevelCurrent&gt;=$B23,"-",IF(MarGlo1LevelDesired&lt;$B23,"-",$D23))</f>
        <v>-</v>
      </c>
      <c r="AI23" s="21" t="str">
        <f t="shared" ref="AI23" si="1287">IF(MarGlo1LevelCurrent&gt;=$B23,"-",IF(MarGlo1LevelDesired&lt;$B23,"-",$E23))</f>
        <v>-</v>
      </c>
      <c r="AJ23" s="15" t="str">
        <f t="shared" ref="AJ23" si="1288">IF(MarBel1LevelCurrent&gt;=$B23,"-",IF(MarBel1LevelDesired&lt;$B23,"-",$C23))</f>
        <v>-</v>
      </c>
      <c r="AK23" s="1" t="str">
        <f t="shared" ref="AK23" si="1289">IF(MarBel1LevelCurrent&gt;=$B23,"-",IF(MarBel1LevelDesired&lt;$B23,"-",$D23))</f>
        <v>-</v>
      </c>
      <c r="AL23" s="21" t="str">
        <f t="shared" ref="AL23" si="1290">IF(MarBel1LevelCurrent&gt;=$B23,"-",IF(MarBel1LevelDesired&lt;$B23,"-",$E23))</f>
        <v>-</v>
      </c>
      <c r="AM23" s="15" t="str">
        <f t="shared" ref="AM23" si="1291">IF(MarBoo1LevelCurrent&gt;=$B23,"-",IF(MarBoo1LevelDesired&lt;$B23,"-",$C23))</f>
        <v>-</v>
      </c>
      <c r="AN23" s="1" t="str">
        <f t="shared" ref="AN23" si="1292">IF(MarBoo1LevelCurrent&gt;=$B23,"-",IF(MarBoo1LevelDesired&lt;$B23,"-",$D23))</f>
        <v>-</v>
      </c>
      <c r="AO23" s="21" t="str">
        <f t="shared" ref="AO23" si="1293">IF(MarBoo1LevelCurrent&gt;=$B23,"-",IF(MarBoo1LevelDesired&lt;$B23,"-",$E23))</f>
        <v>-</v>
      </c>
      <c r="AP23" s="15" t="str">
        <f t="shared" ref="AP23" si="1294">IF(InfGog2LevelCurrent&gt;=$B23,"-",IF(InfGog2LevelDesired&lt;$B23,"-",$C23))</f>
        <v>-</v>
      </c>
      <c r="AQ23" s="1" t="str">
        <f t="shared" ref="AQ23" si="1295">IF(InfGog2LevelCurrent&gt;=$B23,"-",IF(InfGog2LevelDesired&lt;$B23,"-",$D23))</f>
        <v>-</v>
      </c>
      <c r="AR23" s="21" t="str">
        <f t="shared" ref="AR23" si="1296">IF(InfGog2LevelCurrent&gt;=$B23,"-",IF(InfGog2LevelDesired&lt;$B23,"-",$E23))</f>
        <v>-</v>
      </c>
      <c r="AS23" s="15" t="str">
        <f t="shared" ref="AS23" si="1297">IF(InfGlo2LevelCurrent&gt;=$B23,"-",IF(InfGlo2LevelDesired&lt;$B23,"-",$C23))</f>
        <v>-</v>
      </c>
      <c r="AT23" s="1" t="str">
        <f t="shared" ref="AT23" si="1298">IF(InfGlo2LevelCurrent&gt;=$B23,"-",IF(InfGlo2LevelDesired&lt;$B23,"-",$D23))</f>
        <v>-</v>
      </c>
      <c r="AU23" s="21" t="str">
        <f t="shared" ref="AU23" si="1299">IF(InfGlo2LevelCurrent&gt;=$B23,"-",IF(InfGlo2LevelDesired&lt;$B23,"-",$E23))</f>
        <v>-</v>
      </c>
      <c r="AV23" s="15" t="str">
        <f t="shared" ref="AV23" si="1300">IF(InfBel2LevelCurrent&gt;=$B23,"-",IF(InfBel2LevelDesired&lt;$B23,"-",$C23))</f>
        <v>-</v>
      </c>
      <c r="AW23" s="1" t="str">
        <f t="shared" ref="AW23" si="1301">IF(InfBel2LevelCurrent&gt;=$B23,"-",IF(InfBel2LevelDesired&lt;$B23,"-",$D23))</f>
        <v>-</v>
      </c>
      <c r="AX23" s="21" t="str">
        <f t="shared" ref="AX23" si="1302">IF(InfBel2LevelCurrent&gt;=$B23,"-",IF(InfBel2LevelDesired&lt;$B23,"-",$E23))</f>
        <v>-</v>
      </c>
      <c r="AY23" s="15" t="str">
        <f t="shared" ref="AY23" si="1303">IF(InfBoo2LevelCurrent&gt;=$B23,"-",IF(InfBoo2LevelDesired&lt;$B23,"-",$C23))</f>
        <v>-</v>
      </c>
      <c r="AZ23" s="1" t="str">
        <f t="shared" ref="AZ23" si="1304">IF(InfBoo2LevelCurrent&gt;=$B23,"-",IF(InfBoo2LevelDesired&lt;$B23,"-",$D23))</f>
        <v>-</v>
      </c>
      <c r="BA23" s="21" t="str">
        <f t="shared" ref="BA23" si="1305">IF(InfBoo2LevelCurrent&gt;=$B23,"-",IF(InfBoo2LevelDesired&lt;$B23,"-",$E23))</f>
        <v>-</v>
      </c>
      <c r="BB23" s="15" t="str">
        <f t="shared" ref="BB23" si="1306">IF(LanGog2LevelCurrent&gt;=$B23,"-",IF(LanGog2LevelDesired&lt;$B23,"-",$C23))</f>
        <v>-</v>
      </c>
      <c r="BC23" s="1" t="str">
        <f t="shared" ref="BC23" si="1307">IF(LanGog2LevelCurrent&gt;=$B23,"-",IF(LanGog2LevelDesired&lt;$B23,"-",$D23))</f>
        <v>-</v>
      </c>
      <c r="BD23" s="21" t="str">
        <f t="shared" ref="BD23" si="1308">IF(LanGog2LevelCurrent&gt;=$B23,"-",IF(LanGog2LevelDesired&lt;$B23,"-",$E23))</f>
        <v>-</v>
      </c>
      <c r="BE23" s="15" t="str">
        <f t="shared" ref="BE23" si="1309">IF(LanGlo2LevelCurrent&gt;=$B23,"-",IF(LanGlo2LevelDesired&lt;$B23,"-",$C23))</f>
        <v>-</v>
      </c>
      <c r="BF23" s="1" t="str">
        <f t="shared" ref="BF23" si="1310">IF(LanGlo2LevelCurrent&gt;=$B23,"-",IF(LanGlo2LevelDesired&lt;$B23,"-",$D23))</f>
        <v>-</v>
      </c>
      <c r="BG23" s="21" t="str">
        <f t="shared" ref="BG23" si="1311">IF(LanGlo2LevelCurrent&gt;=$B23,"-",IF(LanGlo2LevelDesired&lt;$B23,"-",$E23))</f>
        <v>-</v>
      </c>
      <c r="BH23" s="15" t="str">
        <f t="shared" ref="BH23" si="1312">IF(LanBel2LevelCurrent&gt;=$B23,"-",IF(LanBel2LevelDesired&lt;$B23,"-",$C23))</f>
        <v>-</v>
      </c>
      <c r="BI23" s="1" t="str">
        <f t="shared" ref="BI23" si="1313">IF(LanBel2LevelCurrent&gt;=$B23,"-",IF(LanBel2LevelDesired&lt;$B23,"-",$D23))</f>
        <v>-</v>
      </c>
      <c r="BJ23" s="21" t="str">
        <f t="shared" ref="BJ23" si="1314">IF(LanBel2LevelCurrent&gt;=$B23,"-",IF(LanBel2LevelDesired&lt;$B23,"-",$E23))</f>
        <v>-</v>
      </c>
      <c r="BK23" s="15" t="str">
        <f t="shared" ref="BK23" si="1315">IF(LanBoo2LevelCurrent&gt;=$B23,"-",IF(LanBoo2LevelDesired&lt;$B23,"-",$C23))</f>
        <v>-</v>
      </c>
      <c r="BL23" s="1" t="str">
        <f t="shared" ref="BL23" si="1316">IF(LanBoo2LevelCurrent&gt;=$B23,"-",IF(LanBoo2LevelDesired&lt;$B23,"-",$D23))</f>
        <v>-</v>
      </c>
      <c r="BM23" s="21" t="str">
        <f t="shared" ref="BM23" si="1317">IF(LanBoo2LevelCurrent&gt;=$B23,"-",IF(LanBoo2LevelDesired&lt;$B23,"-",$E23))</f>
        <v>-</v>
      </c>
      <c r="BN23" s="15" t="str">
        <f t="shared" ref="BN23" si="1318">IF(MarGog2LevelCurrent&gt;=$B23,"-",IF(MarGog2LevelDesired&lt;$B23,"-",$C23))</f>
        <v>-</v>
      </c>
      <c r="BO23" s="1" t="str">
        <f t="shared" ref="BO23" si="1319">IF(MarGog2LevelCurrent&gt;=$B23,"-",IF(MarGog2LevelDesired&lt;$B23,"-",$D23))</f>
        <v>-</v>
      </c>
      <c r="BP23" s="21" t="str">
        <f t="shared" ref="BP23" si="1320">IF(MarGog2LevelCurrent&gt;=$B23,"-",IF(MarGog2LevelDesired&lt;$B23,"-",$E23))</f>
        <v>-</v>
      </c>
      <c r="BQ23" s="15" t="str">
        <f t="shared" ref="BQ23" si="1321">IF(MarGlo2LevelCurrent&gt;=$B23,"-",IF(MarGlo2LevelDesired&lt;$B23,"-",$C23))</f>
        <v>-</v>
      </c>
      <c r="BR23" s="1" t="str">
        <f t="shared" ref="BR23" si="1322">IF(MarGlo2LevelCurrent&gt;=$B23,"-",IF(MarGlo2LevelDesired&lt;$B23,"-",$D23))</f>
        <v>-</v>
      </c>
      <c r="BS23" s="21" t="str">
        <f t="shared" ref="BS23" si="1323">IF(MarGlo2LevelCurrent&gt;=$B23,"-",IF(MarGlo2LevelDesired&lt;$B23,"-",$E23))</f>
        <v>-</v>
      </c>
      <c r="BT23" s="15" t="str">
        <f t="shared" ref="BT23" si="1324">IF(MarBel2LevelCurrent&gt;=$B23,"-",IF(MarBel2LevelDesired&lt;$B23,"-",$C23))</f>
        <v>-</v>
      </c>
      <c r="BU23" s="1" t="str">
        <f t="shared" ref="BU23" si="1325">IF(MarBel2LevelCurrent&gt;=$B23,"-",IF(MarBel2LevelDesired&lt;$B23,"-",$D23))</f>
        <v>-</v>
      </c>
      <c r="BV23" s="21" t="str">
        <f t="shared" ref="BV23" si="1326">IF(MarBel2LevelCurrent&gt;=$B23,"-",IF(MarBel2LevelDesired&lt;$B23,"-",$E23))</f>
        <v>-</v>
      </c>
      <c r="BW23" s="15" t="str">
        <f t="shared" ref="BW23" si="1327">IF(MarBoo2LevelCurrent&gt;=$B23,"-",IF(MarBoo2LevelDesired&lt;$B23,"-",$C23))</f>
        <v>-</v>
      </c>
      <c r="BX23" s="1" t="str">
        <f t="shared" ref="BX23" si="1328">IF(MarBoo2LevelCurrent&gt;=$B23,"-",IF(MarBoo2LevelDesired&lt;$B23,"-",$D23))</f>
        <v>-</v>
      </c>
      <c r="BY23" s="21" t="str">
        <f t="shared" ref="BY23" si="1329">IF(MarBoo2LevelCurrent&gt;=$B23,"-",IF(MarBoo2LevelDesired&lt;$B23,"-",$E23))</f>
        <v>-</v>
      </c>
      <c r="BZ23" s="15" t="str">
        <f t="shared" si="72"/>
        <v>-</v>
      </c>
      <c r="CA23" s="1" t="str" cm="1">
        <f t="array" ref="CA23">IF(InfGog3LevelCurrent&gt;=$B23,"-",IF(InfGog3LevelDesired&lt;$B23,"-",$D23))</f>
        <v>-</v>
      </c>
      <c r="CB23" s="21" t="str" cm="1">
        <f t="array" ref="CB23">IF(InfGog3LevelCurrent&gt;=$B23,"-",IF(InfGog3LevelDesired&lt;$B23,"-",$E23))</f>
        <v>-</v>
      </c>
      <c r="CC23" s="15" t="str">
        <f t="shared" si="73"/>
        <v>-</v>
      </c>
      <c r="CD23" s="1" t="str">
        <f t="shared" si="74"/>
        <v>-</v>
      </c>
      <c r="CE23" s="21" t="str">
        <f t="shared" si="75"/>
        <v>-</v>
      </c>
      <c r="CF23" s="15" t="str">
        <f t="shared" si="76"/>
        <v>-</v>
      </c>
      <c r="CG23" s="1" t="str">
        <f t="shared" si="77"/>
        <v>-</v>
      </c>
      <c r="CH23" s="21" t="str">
        <f t="shared" si="78"/>
        <v>-</v>
      </c>
      <c r="CI23" s="15" t="str">
        <f t="shared" si="79"/>
        <v>-</v>
      </c>
      <c r="CJ23" s="1" t="str">
        <f t="shared" si="80"/>
        <v>-</v>
      </c>
      <c r="CK23" s="21" t="str">
        <f t="shared" si="81"/>
        <v>-</v>
      </c>
      <c r="CL23" s="15" t="str">
        <f t="shared" si="82"/>
        <v>-</v>
      </c>
      <c r="CM23" s="1" t="str">
        <f t="shared" si="83"/>
        <v>-</v>
      </c>
      <c r="CN23" s="21" t="str">
        <f t="shared" si="84"/>
        <v>-</v>
      </c>
      <c r="CO23" s="15" t="str">
        <f t="shared" si="85"/>
        <v>-</v>
      </c>
      <c r="CP23" s="1" t="str">
        <f t="shared" si="86"/>
        <v>-</v>
      </c>
      <c r="CQ23" s="21" t="str">
        <f t="shared" si="87"/>
        <v>-</v>
      </c>
      <c r="CR23" s="15" t="str">
        <f t="shared" si="88"/>
        <v>-</v>
      </c>
      <c r="CS23" s="1" t="str">
        <f t="shared" si="89"/>
        <v>-</v>
      </c>
      <c r="CT23" s="21" t="str">
        <f t="shared" si="90"/>
        <v>-</v>
      </c>
      <c r="CU23" s="15" t="str">
        <f t="shared" si="91"/>
        <v>-</v>
      </c>
      <c r="CV23" s="1" t="str">
        <f t="shared" si="92"/>
        <v>-</v>
      </c>
      <c r="CW23" s="21" t="str">
        <f t="shared" si="93"/>
        <v>-</v>
      </c>
      <c r="CX23" s="15" t="str">
        <f t="shared" si="94"/>
        <v>-</v>
      </c>
      <c r="CY23" s="1" t="str">
        <f t="shared" si="95"/>
        <v>-</v>
      </c>
      <c r="CZ23" s="21" t="str">
        <f t="shared" si="96"/>
        <v>-</v>
      </c>
      <c r="DA23" s="15" t="str">
        <f t="shared" si="97"/>
        <v>-</v>
      </c>
      <c r="DB23" s="1" t="str">
        <f t="shared" si="98"/>
        <v>-</v>
      </c>
      <c r="DC23" s="21" t="str">
        <f t="shared" si="99"/>
        <v>-</v>
      </c>
      <c r="DD23" s="15" t="str">
        <f t="shared" si="100"/>
        <v>-</v>
      </c>
      <c r="DE23" s="1" t="str">
        <f t="shared" si="101"/>
        <v>-</v>
      </c>
      <c r="DF23" s="21" t="str">
        <f t="shared" si="102"/>
        <v>-</v>
      </c>
      <c r="DG23" s="15" t="str">
        <f t="shared" si="103"/>
        <v>-</v>
      </c>
      <c r="DH23" s="1" t="str">
        <f t="shared" si="104"/>
        <v>-</v>
      </c>
      <c r="DI23" s="21" t="str">
        <f t="shared" si="105"/>
        <v>-</v>
      </c>
    </row>
    <row r="24" spans="2:113" x14ac:dyDescent="0.3">
      <c r="B24" s="1">
        <v>19</v>
      </c>
      <c r="C24" s="67">
        <v>100</v>
      </c>
      <c r="D24" s="88" t="s">
        <v>27</v>
      </c>
      <c r="E24" s="21" t="s">
        <v>27</v>
      </c>
      <c r="F24" s="15" t="str">
        <f t="shared" ref="F24" si="1330">IF(InfGog1LevelCurrent&gt;=$B24,"-",IF(InfGog1LevelDesired&lt;$B24,"-",$C24))</f>
        <v>-</v>
      </c>
      <c r="G24" s="1" t="str">
        <f t="shared" ref="G24" si="1331">IF(InfGog1LevelCurrent&gt;=$B24,"-",IF(InfGog1LevelDesired&lt;$B24,"-",$D24))</f>
        <v>-</v>
      </c>
      <c r="H24" s="21" t="str">
        <f t="shared" ref="H24" si="1332">IF(InfGog1LevelCurrent&gt;=$B24,"-",IF(InfGog1LevelDesired&lt;$B24,"-",$E24))</f>
        <v>-</v>
      </c>
      <c r="I24" s="15" t="str">
        <f t="shared" ref="I24" si="1333">IF(InfGlo1LevelCurrent&gt;=$B24,"-",IF(InfGlo1LevelDesired&lt;$B24,"-",$C24))</f>
        <v>-</v>
      </c>
      <c r="J24" s="1" t="str">
        <f t="shared" ref="J24" si="1334">IF(InfGlo1LevelCurrent&gt;=$B24,"-",IF(InfGlo1LevelDesired&lt;$B24,"-",$D24))</f>
        <v>-</v>
      </c>
      <c r="K24" s="21" t="str">
        <f t="shared" ref="K24" si="1335">IF(InfGlo1LevelCurrent&gt;=$B24,"-",IF(InfGlo1LevelDesired&lt;$B24,"-",$E24))</f>
        <v>-</v>
      </c>
      <c r="L24" s="15" t="str">
        <f t="shared" ref="L24" si="1336">IF(InfBel1LevelCurrent&gt;=$B24,"-",IF(InfBel1LevelDesired&lt;$B24,"-",$C24))</f>
        <v>-</v>
      </c>
      <c r="M24" s="1" t="str">
        <f t="shared" ref="M24" si="1337">IF(InfBel1LevelCurrent&gt;=$B24,"-",IF(InfBel1LevelDesired&lt;$B24,"-",$D24))</f>
        <v>-</v>
      </c>
      <c r="N24" s="21" t="str">
        <f t="shared" ref="N24" si="1338">IF(InfBel1LevelCurrent&gt;=$B24,"-",IF(InfBel1LevelDesired&lt;$B24,"-",$E24))</f>
        <v>-</v>
      </c>
      <c r="O24" s="15" t="str">
        <f t="shared" ref="O24" si="1339">IF(InfBoo1LevelCurrent&gt;=$B24,"-",IF(InfBoo1LevelDesired&lt;$B24,"-",$C24))</f>
        <v>-</v>
      </c>
      <c r="P24" s="1" t="str">
        <f t="shared" ref="P24" si="1340">IF(InfBoo1LevelCurrent&gt;=$B24,"-",IF(InfBoo1LevelDesired&lt;$B24,"-",$D24))</f>
        <v>-</v>
      </c>
      <c r="Q24" s="21" t="str">
        <f t="shared" ref="Q24" si="1341">IF(InfBoo1LevelCurrent&gt;=$B24,"-",IF(InfBoo1LevelDesired&lt;$B24,"-",$E24))</f>
        <v>-</v>
      </c>
      <c r="R24" s="15" t="str">
        <f t="shared" ref="R24" si="1342">IF(LanGog1LevelCurrent&gt;=$B24,"-",IF(LanGog1LevelDesired&lt;$B24,"-",$C24))</f>
        <v>-</v>
      </c>
      <c r="S24" s="1" t="str">
        <f t="shared" ref="S24" si="1343">IF(LanGog1LevelCurrent&gt;=$B24,"-",IF(LanGog1LevelDesired&lt;$B24,"-",$D24))</f>
        <v>-</v>
      </c>
      <c r="T24" s="21" t="str">
        <f t="shared" ref="T24" si="1344">IF(LanGog1LevelCurrent&gt;=$B24,"-",IF(LanGog1LevelDesired&lt;$B24,"-",$E24))</f>
        <v>-</v>
      </c>
      <c r="U24" s="15" t="str">
        <f t="shared" ref="U24" si="1345">IF(LanGlo1LevelCurrent&gt;=$B24,"-",IF(LanGlo1LevelDesired&lt;$B24,"-",$C24))</f>
        <v>-</v>
      </c>
      <c r="V24" s="1" t="str">
        <f t="shared" ref="V24" si="1346">IF(LanGlo1LevelCurrent&gt;=$B24,"-",IF(LanGlo1LevelDesired&lt;$B24,"-",$D24))</f>
        <v>-</v>
      </c>
      <c r="W24" s="21" t="str">
        <f t="shared" ref="W24" si="1347">IF(LanGlo1LevelCurrent&gt;=$B24,"-",IF(LanGlo1LevelDesired&lt;$B24,"-",$E24))</f>
        <v>-</v>
      </c>
      <c r="X24" s="15" t="str">
        <f t="shared" ref="X24" si="1348">IF(LanBel1LevelCurrent&gt;=$B24,"-",IF(LanBel1LevelDesired&lt;$B24,"-",$C24))</f>
        <v>-</v>
      </c>
      <c r="Y24" s="1" t="str">
        <f t="shared" ref="Y24" si="1349">IF(LanBel1LevelCurrent&gt;=$B24,"-",IF(LanBel1LevelDesired&lt;$B24,"-",$D24))</f>
        <v>-</v>
      </c>
      <c r="Z24" s="21" t="str">
        <f t="shared" ref="Z24" si="1350">IF(LanBel1LevelCurrent&gt;=$B24,"-",IF(LanBel1LevelDesired&lt;$B24,"-",$E24))</f>
        <v>-</v>
      </c>
      <c r="AA24" s="15" t="str">
        <f t="shared" ref="AA24" si="1351">IF(LanBoo1LevelCurrent&gt;=$B24,"-",IF(LanBoo1LevelDesired&lt;$B24,"-",$C24))</f>
        <v>-</v>
      </c>
      <c r="AB24" s="1" t="str">
        <f t="shared" ref="AB24" si="1352">IF(LanBoo1LevelCurrent&gt;=$B24,"-",IF(LanBoo1LevelDesired&lt;$B24,"-",$D24))</f>
        <v>-</v>
      </c>
      <c r="AC24" s="21" t="str">
        <f t="shared" ref="AC24" si="1353">IF(LanBoo1LevelCurrent&gt;=$B24,"-",IF(LanBoo1LevelDesired&lt;$B24,"-",$E24))</f>
        <v>-</v>
      </c>
      <c r="AD24" s="15" t="str">
        <f t="shared" ref="AD24" si="1354">IF(MarGog1LevelCurrent&gt;=$B24,"-",IF(MarGog1LevelDesired&lt;$B24,"-",$C24))</f>
        <v>-</v>
      </c>
      <c r="AE24" s="1" t="str">
        <f t="shared" ref="AE24" si="1355">IF(MarGog1LevelCurrent&gt;=$B24,"-",IF(MarGog1LevelDesired&lt;$B24,"-",$D24))</f>
        <v>-</v>
      </c>
      <c r="AF24" s="21" t="str">
        <f t="shared" ref="AF24" si="1356">IF(MarGog1LevelCurrent&gt;=$B24,"-",IF(MarGog1LevelDesired&lt;$B24,"-",$E24))</f>
        <v>-</v>
      </c>
      <c r="AG24" s="15" t="str">
        <f t="shared" ref="AG24" si="1357">IF(MarGlo1LevelCurrent&gt;=$B24,"-",IF(MarGlo1LevelDesired&lt;$B24,"-",$C24))</f>
        <v>-</v>
      </c>
      <c r="AH24" s="1" t="str">
        <f t="shared" ref="AH24" si="1358">IF(MarGlo1LevelCurrent&gt;=$B24,"-",IF(MarGlo1LevelDesired&lt;$B24,"-",$D24))</f>
        <v>-</v>
      </c>
      <c r="AI24" s="21" t="str">
        <f t="shared" ref="AI24" si="1359">IF(MarGlo1LevelCurrent&gt;=$B24,"-",IF(MarGlo1LevelDesired&lt;$B24,"-",$E24))</f>
        <v>-</v>
      </c>
      <c r="AJ24" s="15" t="str">
        <f t="shared" ref="AJ24" si="1360">IF(MarBel1LevelCurrent&gt;=$B24,"-",IF(MarBel1LevelDesired&lt;$B24,"-",$C24))</f>
        <v>-</v>
      </c>
      <c r="AK24" s="1" t="str">
        <f t="shared" ref="AK24" si="1361">IF(MarBel1LevelCurrent&gt;=$B24,"-",IF(MarBel1LevelDesired&lt;$B24,"-",$D24))</f>
        <v>-</v>
      </c>
      <c r="AL24" s="21" t="str">
        <f t="shared" ref="AL24" si="1362">IF(MarBel1LevelCurrent&gt;=$B24,"-",IF(MarBel1LevelDesired&lt;$B24,"-",$E24))</f>
        <v>-</v>
      </c>
      <c r="AM24" s="15" t="str">
        <f t="shared" ref="AM24" si="1363">IF(MarBoo1LevelCurrent&gt;=$B24,"-",IF(MarBoo1LevelDesired&lt;$B24,"-",$C24))</f>
        <v>-</v>
      </c>
      <c r="AN24" s="1" t="str">
        <f t="shared" ref="AN24" si="1364">IF(MarBoo1LevelCurrent&gt;=$B24,"-",IF(MarBoo1LevelDesired&lt;$B24,"-",$D24))</f>
        <v>-</v>
      </c>
      <c r="AO24" s="21" t="str">
        <f t="shared" ref="AO24" si="1365">IF(MarBoo1LevelCurrent&gt;=$B24,"-",IF(MarBoo1LevelDesired&lt;$B24,"-",$E24))</f>
        <v>-</v>
      </c>
      <c r="AP24" s="15" t="str">
        <f t="shared" ref="AP24" si="1366">IF(InfGog2LevelCurrent&gt;=$B24,"-",IF(InfGog2LevelDesired&lt;$B24,"-",$C24))</f>
        <v>-</v>
      </c>
      <c r="AQ24" s="1" t="str">
        <f t="shared" ref="AQ24" si="1367">IF(InfGog2LevelCurrent&gt;=$B24,"-",IF(InfGog2LevelDesired&lt;$B24,"-",$D24))</f>
        <v>-</v>
      </c>
      <c r="AR24" s="21" t="str">
        <f t="shared" ref="AR24" si="1368">IF(InfGog2LevelCurrent&gt;=$B24,"-",IF(InfGog2LevelDesired&lt;$B24,"-",$E24))</f>
        <v>-</v>
      </c>
      <c r="AS24" s="15" t="str">
        <f t="shared" ref="AS24" si="1369">IF(InfGlo2LevelCurrent&gt;=$B24,"-",IF(InfGlo2LevelDesired&lt;$B24,"-",$C24))</f>
        <v>-</v>
      </c>
      <c r="AT24" s="1" t="str">
        <f t="shared" ref="AT24" si="1370">IF(InfGlo2LevelCurrent&gt;=$B24,"-",IF(InfGlo2LevelDesired&lt;$B24,"-",$D24))</f>
        <v>-</v>
      </c>
      <c r="AU24" s="21" t="str">
        <f t="shared" ref="AU24" si="1371">IF(InfGlo2LevelCurrent&gt;=$B24,"-",IF(InfGlo2LevelDesired&lt;$B24,"-",$E24))</f>
        <v>-</v>
      </c>
      <c r="AV24" s="15" t="str">
        <f t="shared" ref="AV24" si="1372">IF(InfBel2LevelCurrent&gt;=$B24,"-",IF(InfBel2LevelDesired&lt;$B24,"-",$C24))</f>
        <v>-</v>
      </c>
      <c r="AW24" s="1" t="str">
        <f t="shared" ref="AW24" si="1373">IF(InfBel2LevelCurrent&gt;=$B24,"-",IF(InfBel2LevelDesired&lt;$B24,"-",$D24))</f>
        <v>-</v>
      </c>
      <c r="AX24" s="21" t="str">
        <f t="shared" ref="AX24" si="1374">IF(InfBel2LevelCurrent&gt;=$B24,"-",IF(InfBel2LevelDesired&lt;$B24,"-",$E24))</f>
        <v>-</v>
      </c>
      <c r="AY24" s="15" t="str">
        <f t="shared" ref="AY24" si="1375">IF(InfBoo2LevelCurrent&gt;=$B24,"-",IF(InfBoo2LevelDesired&lt;$B24,"-",$C24))</f>
        <v>-</v>
      </c>
      <c r="AZ24" s="1" t="str">
        <f t="shared" ref="AZ24" si="1376">IF(InfBoo2LevelCurrent&gt;=$B24,"-",IF(InfBoo2LevelDesired&lt;$B24,"-",$D24))</f>
        <v>-</v>
      </c>
      <c r="BA24" s="21" t="str">
        <f t="shared" ref="BA24" si="1377">IF(InfBoo2LevelCurrent&gt;=$B24,"-",IF(InfBoo2LevelDesired&lt;$B24,"-",$E24))</f>
        <v>-</v>
      </c>
      <c r="BB24" s="15" t="str">
        <f t="shared" ref="BB24" si="1378">IF(LanGog2LevelCurrent&gt;=$B24,"-",IF(LanGog2LevelDesired&lt;$B24,"-",$C24))</f>
        <v>-</v>
      </c>
      <c r="BC24" s="1" t="str">
        <f t="shared" ref="BC24" si="1379">IF(LanGog2LevelCurrent&gt;=$B24,"-",IF(LanGog2LevelDesired&lt;$B24,"-",$D24))</f>
        <v>-</v>
      </c>
      <c r="BD24" s="21" t="str">
        <f t="shared" ref="BD24" si="1380">IF(LanGog2LevelCurrent&gt;=$B24,"-",IF(LanGog2LevelDesired&lt;$B24,"-",$E24))</f>
        <v>-</v>
      </c>
      <c r="BE24" s="15" t="str">
        <f t="shared" ref="BE24" si="1381">IF(LanGlo2LevelCurrent&gt;=$B24,"-",IF(LanGlo2LevelDesired&lt;$B24,"-",$C24))</f>
        <v>-</v>
      </c>
      <c r="BF24" s="1" t="str">
        <f t="shared" ref="BF24" si="1382">IF(LanGlo2LevelCurrent&gt;=$B24,"-",IF(LanGlo2LevelDesired&lt;$B24,"-",$D24))</f>
        <v>-</v>
      </c>
      <c r="BG24" s="21" t="str">
        <f t="shared" ref="BG24" si="1383">IF(LanGlo2LevelCurrent&gt;=$B24,"-",IF(LanGlo2LevelDesired&lt;$B24,"-",$E24))</f>
        <v>-</v>
      </c>
      <c r="BH24" s="15" t="str">
        <f t="shared" ref="BH24" si="1384">IF(LanBel2LevelCurrent&gt;=$B24,"-",IF(LanBel2LevelDesired&lt;$B24,"-",$C24))</f>
        <v>-</v>
      </c>
      <c r="BI24" s="1" t="str">
        <f t="shared" ref="BI24" si="1385">IF(LanBel2LevelCurrent&gt;=$B24,"-",IF(LanBel2LevelDesired&lt;$B24,"-",$D24))</f>
        <v>-</v>
      </c>
      <c r="BJ24" s="21" t="str">
        <f t="shared" ref="BJ24" si="1386">IF(LanBel2LevelCurrent&gt;=$B24,"-",IF(LanBel2LevelDesired&lt;$B24,"-",$E24))</f>
        <v>-</v>
      </c>
      <c r="BK24" s="15" t="str">
        <f t="shared" ref="BK24" si="1387">IF(LanBoo2LevelCurrent&gt;=$B24,"-",IF(LanBoo2LevelDesired&lt;$B24,"-",$C24))</f>
        <v>-</v>
      </c>
      <c r="BL24" s="1" t="str">
        <f t="shared" ref="BL24" si="1388">IF(LanBoo2LevelCurrent&gt;=$B24,"-",IF(LanBoo2LevelDesired&lt;$B24,"-",$D24))</f>
        <v>-</v>
      </c>
      <c r="BM24" s="21" t="str">
        <f t="shared" ref="BM24" si="1389">IF(LanBoo2LevelCurrent&gt;=$B24,"-",IF(LanBoo2LevelDesired&lt;$B24,"-",$E24))</f>
        <v>-</v>
      </c>
      <c r="BN24" s="15" t="str">
        <f t="shared" ref="BN24" si="1390">IF(MarGog2LevelCurrent&gt;=$B24,"-",IF(MarGog2LevelDesired&lt;$B24,"-",$C24))</f>
        <v>-</v>
      </c>
      <c r="BO24" s="1" t="str">
        <f t="shared" ref="BO24" si="1391">IF(MarGog2LevelCurrent&gt;=$B24,"-",IF(MarGog2LevelDesired&lt;$B24,"-",$D24))</f>
        <v>-</v>
      </c>
      <c r="BP24" s="21" t="str">
        <f t="shared" ref="BP24" si="1392">IF(MarGog2LevelCurrent&gt;=$B24,"-",IF(MarGog2LevelDesired&lt;$B24,"-",$E24))</f>
        <v>-</v>
      </c>
      <c r="BQ24" s="15" t="str">
        <f t="shared" ref="BQ24" si="1393">IF(MarGlo2LevelCurrent&gt;=$B24,"-",IF(MarGlo2LevelDesired&lt;$B24,"-",$C24))</f>
        <v>-</v>
      </c>
      <c r="BR24" s="1" t="str">
        <f t="shared" ref="BR24" si="1394">IF(MarGlo2LevelCurrent&gt;=$B24,"-",IF(MarGlo2LevelDesired&lt;$B24,"-",$D24))</f>
        <v>-</v>
      </c>
      <c r="BS24" s="21" t="str">
        <f t="shared" ref="BS24" si="1395">IF(MarGlo2LevelCurrent&gt;=$B24,"-",IF(MarGlo2LevelDesired&lt;$B24,"-",$E24))</f>
        <v>-</v>
      </c>
      <c r="BT24" s="15" t="str">
        <f t="shared" ref="BT24" si="1396">IF(MarBel2LevelCurrent&gt;=$B24,"-",IF(MarBel2LevelDesired&lt;$B24,"-",$C24))</f>
        <v>-</v>
      </c>
      <c r="BU24" s="1" t="str">
        <f t="shared" ref="BU24" si="1397">IF(MarBel2LevelCurrent&gt;=$B24,"-",IF(MarBel2LevelDesired&lt;$B24,"-",$D24))</f>
        <v>-</v>
      </c>
      <c r="BV24" s="21" t="str">
        <f t="shared" ref="BV24" si="1398">IF(MarBel2LevelCurrent&gt;=$B24,"-",IF(MarBel2LevelDesired&lt;$B24,"-",$E24))</f>
        <v>-</v>
      </c>
      <c r="BW24" s="15" t="str">
        <f t="shared" ref="BW24" si="1399">IF(MarBoo2LevelCurrent&gt;=$B24,"-",IF(MarBoo2LevelDesired&lt;$B24,"-",$C24))</f>
        <v>-</v>
      </c>
      <c r="BX24" s="1" t="str">
        <f t="shared" ref="BX24" si="1400">IF(MarBoo2LevelCurrent&gt;=$B24,"-",IF(MarBoo2LevelDesired&lt;$B24,"-",$D24))</f>
        <v>-</v>
      </c>
      <c r="BY24" s="21" t="str">
        <f t="shared" ref="BY24" si="1401">IF(MarBoo2LevelCurrent&gt;=$B24,"-",IF(MarBoo2LevelDesired&lt;$B24,"-",$E24))</f>
        <v>-</v>
      </c>
      <c r="BZ24" s="15" t="str">
        <f t="shared" si="72"/>
        <v>-</v>
      </c>
      <c r="CA24" s="1" t="str" cm="1">
        <f t="array" ref="CA24">IF(InfGog3LevelCurrent&gt;=$B24,"-",IF(InfGog3LevelDesired&lt;$B24,"-",$D24))</f>
        <v>-</v>
      </c>
      <c r="CB24" s="21" t="str" cm="1">
        <f t="array" ref="CB24">IF(InfGog3LevelCurrent&gt;=$B24,"-",IF(InfGog3LevelDesired&lt;$B24,"-",$E24))</f>
        <v>-</v>
      </c>
      <c r="CC24" s="15" t="str">
        <f t="shared" si="73"/>
        <v>-</v>
      </c>
      <c r="CD24" s="1" t="str">
        <f t="shared" si="74"/>
        <v>-</v>
      </c>
      <c r="CE24" s="21" t="str">
        <f t="shared" si="75"/>
        <v>-</v>
      </c>
      <c r="CF24" s="15" t="str">
        <f t="shared" si="76"/>
        <v>-</v>
      </c>
      <c r="CG24" s="1" t="str">
        <f t="shared" si="77"/>
        <v>-</v>
      </c>
      <c r="CH24" s="21" t="str">
        <f t="shared" si="78"/>
        <v>-</v>
      </c>
      <c r="CI24" s="15" t="str">
        <f t="shared" si="79"/>
        <v>-</v>
      </c>
      <c r="CJ24" s="1" t="str">
        <f t="shared" si="80"/>
        <v>-</v>
      </c>
      <c r="CK24" s="21" t="str">
        <f t="shared" si="81"/>
        <v>-</v>
      </c>
      <c r="CL24" s="15" t="str">
        <f t="shared" si="82"/>
        <v>-</v>
      </c>
      <c r="CM24" s="1" t="str">
        <f t="shared" si="83"/>
        <v>-</v>
      </c>
      <c r="CN24" s="21" t="str">
        <f t="shared" si="84"/>
        <v>-</v>
      </c>
      <c r="CO24" s="15" t="str">
        <f t="shared" si="85"/>
        <v>-</v>
      </c>
      <c r="CP24" s="1" t="str">
        <f t="shared" si="86"/>
        <v>-</v>
      </c>
      <c r="CQ24" s="21" t="str">
        <f t="shared" si="87"/>
        <v>-</v>
      </c>
      <c r="CR24" s="15" t="str">
        <f t="shared" si="88"/>
        <v>-</v>
      </c>
      <c r="CS24" s="1" t="str">
        <f t="shared" si="89"/>
        <v>-</v>
      </c>
      <c r="CT24" s="21" t="str">
        <f t="shared" si="90"/>
        <v>-</v>
      </c>
      <c r="CU24" s="15" t="str">
        <f t="shared" si="91"/>
        <v>-</v>
      </c>
      <c r="CV24" s="1" t="str">
        <f t="shared" si="92"/>
        <v>-</v>
      </c>
      <c r="CW24" s="21" t="str">
        <f t="shared" si="93"/>
        <v>-</v>
      </c>
      <c r="CX24" s="15" t="str">
        <f t="shared" si="94"/>
        <v>-</v>
      </c>
      <c r="CY24" s="1" t="str">
        <f t="shared" si="95"/>
        <v>-</v>
      </c>
      <c r="CZ24" s="21" t="str">
        <f t="shared" si="96"/>
        <v>-</v>
      </c>
      <c r="DA24" s="15" t="str">
        <f t="shared" si="97"/>
        <v>-</v>
      </c>
      <c r="DB24" s="1" t="str">
        <f t="shared" si="98"/>
        <v>-</v>
      </c>
      <c r="DC24" s="21" t="str">
        <f t="shared" si="99"/>
        <v>-</v>
      </c>
      <c r="DD24" s="15" t="str">
        <f t="shared" si="100"/>
        <v>-</v>
      </c>
      <c r="DE24" s="1" t="str">
        <f t="shared" si="101"/>
        <v>-</v>
      </c>
      <c r="DF24" s="21" t="str">
        <f t="shared" si="102"/>
        <v>-</v>
      </c>
      <c r="DG24" s="15" t="str">
        <f t="shared" si="103"/>
        <v>-</v>
      </c>
      <c r="DH24" s="1" t="str">
        <f t="shared" si="104"/>
        <v>-</v>
      </c>
      <c r="DI24" s="21" t="str">
        <f t="shared" si="105"/>
        <v>-</v>
      </c>
    </row>
    <row r="25" spans="2:113" x14ac:dyDescent="0.3">
      <c r="B25" s="1">
        <v>20</v>
      </c>
      <c r="C25" s="67">
        <v>105</v>
      </c>
      <c r="D25" s="88" t="s">
        <v>27</v>
      </c>
      <c r="E25" s="21" t="s">
        <v>27</v>
      </c>
      <c r="F25" s="15" t="str">
        <f t="shared" ref="F25" si="1402">IF(InfGog1LevelCurrent&gt;=$B25,"-",IF(InfGog1LevelDesired&lt;$B25,"-",$C25))</f>
        <v>-</v>
      </c>
      <c r="G25" s="1" t="str">
        <f t="shared" ref="G25" si="1403">IF(InfGog1LevelCurrent&gt;=$B25,"-",IF(InfGog1LevelDesired&lt;$B25,"-",$D25))</f>
        <v>-</v>
      </c>
      <c r="H25" s="21" t="str">
        <f t="shared" ref="H25" si="1404">IF(InfGog1LevelCurrent&gt;=$B25,"-",IF(InfGog1LevelDesired&lt;$B25,"-",$E25))</f>
        <v>-</v>
      </c>
      <c r="I25" s="15" t="str">
        <f t="shared" ref="I25" si="1405">IF(InfGlo1LevelCurrent&gt;=$B25,"-",IF(InfGlo1LevelDesired&lt;$B25,"-",$C25))</f>
        <v>-</v>
      </c>
      <c r="J25" s="1" t="str">
        <f t="shared" ref="J25" si="1406">IF(InfGlo1LevelCurrent&gt;=$B25,"-",IF(InfGlo1LevelDesired&lt;$B25,"-",$D25))</f>
        <v>-</v>
      </c>
      <c r="K25" s="21" t="str">
        <f t="shared" ref="K25" si="1407">IF(InfGlo1LevelCurrent&gt;=$B25,"-",IF(InfGlo1LevelDesired&lt;$B25,"-",$E25))</f>
        <v>-</v>
      </c>
      <c r="L25" s="15" t="str">
        <f t="shared" ref="L25" si="1408">IF(InfBel1LevelCurrent&gt;=$B25,"-",IF(InfBel1LevelDesired&lt;$B25,"-",$C25))</f>
        <v>-</v>
      </c>
      <c r="M25" s="1" t="str">
        <f t="shared" ref="M25" si="1409">IF(InfBel1LevelCurrent&gt;=$B25,"-",IF(InfBel1LevelDesired&lt;$B25,"-",$D25))</f>
        <v>-</v>
      </c>
      <c r="N25" s="21" t="str">
        <f t="shared" ref="N25" si="1410">IF(InfBel1LevelCurrent&gt;=$B25,"-",IF(InfBel1LevelDesired&lt;$B25,"-",$E25))</f>
        <v>-</v>
      </c>
      <c r="O25" s="15" t="str">
        <f t="shared" ref="O25" si="1411">IF(InfBoo1LevelCurrent&gt;=$B25,"-",IF(InfBoo1LevelDesired&lt;$B25,"-",$C25))</f>
        <v>-</v>
      </c>
      <c r="P25" s="1" t="str">
        <f t="shared" ref="P25" si="1412">IF(InfBoo1LevelCurrent&gt;=$B25,"-",IF(InfBoo1LevelDesired&lt;$B25,"-",$D25))</f>
        <v>-</v>
      </c>
      <c r="Q25" s="21" t="str">
        <f t="shared" ref="Q25" si="1413">IF(InfBoo1LevelCurrent&gt;=$B25,"-",IF(InfBoo1LevelDesired&lt;$B25,"-",$E25))</f>
        <v>-</v>
      </c>
      <c r="R25" s="15" t="str">
        <f t="shared" ref="R25" si="1414">IF(LanGog1LevelCurrent&gt;=$B25,"-",IF(LanGog1LevelDesired&lt;$B25,"-",$C25))</f>
        <v>-</v>
      </c>
      <c r="S25" s="1" t="str">
        <f t="shared" ref="S25" si="1415">IF(LanGog1LevelCurrent&gt;=$B25,"-",IF(LanGog1LevelDesired&lt;$B25,"-",$D25))</f>
        <v>-</v>
      </c>
      <c r="T25" s="21" t="str">
        <f t="shared" ref="T25" si="1416">IF(LanGog1LevelCurrent&gt;=$B25,"-",IF(LanGog1LevelDesired&lt;$B25,"-",$E25))</f>
        <v>-</v>
      </c>
      <c r="U25" s="15" t="str">
        <f t="shared" ref="U25" si="1417">IF(LanGlo1LevelCurrent&gt;=$B25,"-",IF(LanGlo1LevelDesired&lt;$B25,"-",$C25))</f>
        <v>-</v>
      </c>
      <c r="V25" s="1" t="str">
        <f t="shared" ref="V25" si="1418">IF(LanGlo1LevelCurrent&gt;=$B25,"-",IF(LanGlo1LevelDesired&lt;$B25,"-",$D25))</f>
        <v>-</v>
      </c>
      <c r="W25" s="21" t="str">
        <f t="shared" ref="W25" si="1419">IF(LanGlo1LevelCurrent&gt;=$B25,"-",IF(LanGlo1LevelDesired&lt;$B25,"-",$E25))</f>
        <v>-</v>
      </c>
      <c r="X25" s="15" t="str">
        <f t="shared" ref="X25" si="1420">IF(LanBel1LevelCurrent&gt;=$B25,"-",IF(LanBel1LevelDesired&lt;$B25,"-",$C25))</f>
        <v>-</v>
      </c>
      <c r="Y25" s="1" t="str">
        <f t="shared" ref="Y25" si="1421">IF(LanBel1LevelCurrent&gt;=$B25,"-",IF(LanBel1LevelDesired&lt;$B25,"-",$D25))</f>
        <v>-</v>
      </c>
      <c r="Z25" s="21" t="str">
        <f t="shared" ref="Z25" si="1422">IF(LanBel1LevelCurrent&gt;=$B25,"-",IF(LanBel1LevelDesired&lt;$B25,"-",$E25))</f>
        <v>-</v>
      </c>
      <c r="AA25" s="15" t="str">
        <f t="shared" ref="AA25" si="1423">IF(LanBoo1LevelCurrent&gt;=$B25,"-",IF(LanBoo1LevelDesired&lt;$B25,"-",$C25))</f>
        <v>-</v>
      </c>
      <c r="AB25" s="1" t="str">
        <f t="shared" ref="AB25" si="1424">IF(LanBoo1LevelCurrent&gt;=$B25,"-",IF(LanBoo1LevelDesired&lt;$B25,"-",$D25))</f>
        <v>-</v>
      </c>
      <c r="AC25" s="21" t="str">
        <f t="shared" ref="AC25" si="1425">IF(LanBoo1LevelCurrent&gt;=$B25,"-",IF(LanBoo1LevelDesired&lt;$B25,"-",$E25))</f>
        <v>-</v>
      </c>
      <c r="AD25" s="15" t="str">
        <f t="shared" ref="AD25" si="1426">IF(MarGog1LevelCurrent&gt;=$B25,"-",IF(MarGog1LevelDesired&lt;$B25,"-",$C25))</f>
        <v>-</v>
      </c>
      <c r="AE25" s="1" t="str">
        <f t="shared" ref="AE25" si="1427">IF(MarGog1LevelCurrent&gt;=$B25,"-",IF(MarGog1LevelDesired&lt;$B25,"-",$D25))</f>
        <v>-</v>
      </c>
      <c r="AF25" s="21" t="str">
        <f t="shared" ref="AF25" si="1428">IF(MarGog1LevelCurrent&gt;=$B25,"-",IF(MarGog1LevelDesired&lt;$B25,"-",$E25))</f>
        <v>-</v>
      </c>
      <c r="AG25" s="15" t="str">
        <f t="shared" ref="AG25" si="1429">IF(MarGlo1LevelCurrent&gt;=$B25,"-",IF(MarGlo1LevelDesired&lt;$B25,"-",$C25))</f>
        <v>-</v>
      </c>
      <c r="AH25" s="1" t="str">
        <f t="shared" ref="AH25" si="1430">IF(MarGlo1LevelCurrent&gt;=$B25,"-",IF(MarGlo1LevelDesired&lt;$B25,"-",$D25))</f>
        <v>-</v>
      </c>
      <c r="AI25" s="21" t="str">
        <f t="shared" ref="AI25" si="1431">IF(MarGlo1LevelCurrent&gt;=$B25,"-",IF(MarGlo1LevelDesired&lt;$B25,"-",$E25))</f>
        <v>-</v>
      </c>
      <c r="AJ25" s="15" t="str">
        <f t="shared" ref="AJ25" si="1432">IF(MarBel1LevelCurrent&gt;=$B25,"-",IF(MarBel1LevelDesired&lt;$B25,"-",$C25))</f>
        <v>-</v>
      </c>
      <c r="AK25" s="1" t="str">
        <f t="shared" ref="AK25" si="1433">IF(MarBel1LevelCurrent&gt;=$B25,"-",IF(MarBel1LevelDesired&lt;$B25,"-",$D25))</f>
        <v>-</v>
      </c>
      <c r="AL25" s="21" t="str">
        <f t="shared" ref="AL25" si="1434">IF(MarBel1LevelCurrent&gt;=$B25,"-",IF(MarBel1LevelDesired&lt;$B25,"-",$E25))</f>
        <v>-</v>
      </c>
      <c r="AM25" s="15" t="str">
        <f t="shared" ref="AM25" si="1435">IF(MarBoo1LevelCurrent&gt;=$B25,"-",IF(MarBoo1LevelDesired&lt;$B25,"-",$C25))</f>
        <v>-</v>
      </c>
      <c r="AN25" s="1" t="str">
        <f t="shared" ref="AN25" si="1436">IF(MarBoo1LevelCurrent&gt;=$B25,"-",IF(MarBoo1LevelDesired&lt;$B25,"-",$D25))</f>
        <v>-</v>
      </c>
      <c r="AO25" s="21" t="str">
        <f t="shared" ref="AO25" si="1437">IF(MarBoo1LevelCurrent&gt;=$B25,"-",IF(MarBoo1LevelDesired&lt;$B25,"-",$E25))</f>
        <v>-</v>
      </c>
      <c r="AP25" s="15" t="str">
        <f t="shared" ref="AP25" si="1438">IF(InfGog2LevelCurrent&gt;=$B25,"-",IF(InfGog2LevelDesired&lt;$B25,"-",$C25))</f>
        <v>-</v>
      </c>
      <c r="AQ25" s="1" t="str">
        <f t="shared" ref="AQ25" si="1439">IF(InfGog2LevelCurrent&gt;=$B25,"-",IF(InfGog2LevelDesired&lt;$B25,"-",$D25))</f>
        <v>-</v>
      </c>
      <c r="AR25" s="21" t="str">
        <f t="shared" ref="AR25" si="1440">IF(InfGog2LevelCurrent&gt;=$B25,"-",IF(InfGog2LevelDesired&lt;$B25,"-",$E25))</f>
        <v>-</v>
      </c>
      <c r="AS25" s="15" t="str">
        <f t="shared" ref="AS25" si="1441">IF(InfGlo2LevelCurrent&gt;=$B25,"-",IF(InfGlo2LevelDesired&lt;$B25,"-",$C25))</f>
        <v>-</v>
      </c>
      <c r="AT25" s="1" t="str">
        <f t="shared" ref="AT25" si="1442">IF(InfGlo2LevelCurrent&gt;=$B25,"-",IF(InfGlo2LevelDesired&lt;$B25,"-",$D25))</f>
        <v>-</v>
      </c>
      <c r="AU25" s="21" t="str">
        <f t="shared" ref="AU25" si="1443">IF(InfGlo2LevelCurrent&gt;=$B25,"-",IF(InfGlo2LevelDesired&lt;$B25,"-",$E25))</f>
        <v>-</v>
      </c>
      <c r="AV25" s="15" t="str">
        <f t="shared" ref="AV25" si="1444">IF(InfBel2LevelCurrent&gt;=$B25,"-",IF(InfBel2LevelDesired&lt;$B25,"-",$C25))</f>
        <v>-</v>
      </c>
      <c r="AW25" s="1" t="str">
        <f t="shared" ref="AW25" si="1445">IF(InfBel2LevelCurrent&gt;=$B25,"-",IF(InfBel2LevelDesired&lt;$B25,"-",$D25))</f>
        <v>-</v>
      </c>
      <c r="AX25" s="21" t="str">
        <f t="shared" ref="AX25" si="1446">IF(InfBel2LevelCurrent&gt;=$B25,"-",IF(InfBel2LevelDesired&lt;$B25,"-",$E25))</f>
        <v>-</v>
      </c>
      <c r="AY25" s="15" t="str">
        <f t="shared" ref="AY25" si="1447">IF(InfBoo2LevelCurrent&gt;=$B25,"-",IF(InfBoo2LevelDesired&lt;$B25,"-",$C25))</f>
        <v>-</v>
      </c>
      <c r="AZ25" s="1" t="str">
        <f t="shared" ref="AZ25" si="1448">IF(InfBoo2LevelCurrent&gt;=$B25,"-",IF(InfBoo2LevelDesired&lt;$B25,"-",$D25))</f>
        <v>-</v>
      </c>
      <c r="BA25" s="21" t="str">
        <f t="shared" ref="BA25" si="1449">IF(InfBoo2LevelCurrent&gt;=$B25,"-",IF(InfBoo2LevelDesired&lt;$B25,"-",$E25))</f>
        <v>-</v>
      </c>
      <c r="BB25" s="15" t="str">
        <f t="shared" ref="BB25" si="1450">IF(LanGog2LevelCurrent&gt;=$B25,"-",IF(LanGog2LevelDesired&lt;$B25,"-",$C25))</f>
        <v>-</v>
      </c>
      <c r="BC25" s="1" t="str">
        <f t="shared" ref="BC25" si="1451">IF(LanGog2LevelCurrent&gt;=$B25,"-",IF(LanGog2LevelDesired&lt;$B25,"-",$D25))</f>
        <v>-</v>
      </c>
      <c r="BD25" s="21" t="str">
        <f t="shared" ref="BD25" si="1452">IF(LanGog2LevelCurrent&gt;=$B25,"-",IF(LanGog2LevelDesired&lt;$B25,"-",$E25))</f>
        <v>-</v>
      </c>
      <c r="BE25" s="15" t="str">
        <f t="shared" ref="BE25" si="1453">IF(LanGlo2LevelCurrent&gt;=$B25,"-",IF(LanGlo2LevelDesired&lt;$B25,"-",$C25))</f>
        <v>-</v>
      </c>
      <c r="BF25" s="1" t="str">
        <f t="shared" ref="BF25" si="1454">IF(LanGlo2LevelCurrent&gt;=$B25,"-",IF(LanGlo2LevelDesired&lt;$B25,"-",$D25))</f>
        <v>-</v>
      </c>
      <c r="BG25" s="21" t="str">
        <f t="shared" ref="BG25" si="1455">IF(LanGlo2LevelCurrent&gt;=$B25,"-",IF(LanGlo2LevelDesired&lt;$B25,"-",$E25))</f>
        <v>-</v>
      </c>
      <c r="BH25" s="15" t="str">
        <f t="shared" ref="BH25" si="1456">IF(LanBel2LevelCurrent&gt;=$B25,"-",IF(LanBel2LevelDesired&lt;$B25,"-",$C25))</f>
        <v>-</v>
      </c>
      <c r="BI25" s="1" t="str">
        <f t="shared" ref="BI25" si="1457">IF(LanBel2LevelCurrent&gt;=$B25,"-",IF(LanBel2LevelDesired&lt;$B25,"-",$D25))</f>
        <v>-</v>
      </c>
      <c r="BJ25" s="21" t="str">
        <f t="shared" ref="BJ25" si="1458">IF(LanBel2LevelCurrent&gt;=$B25,"-",IF(LanBel2LevelDesired&lt;$B25,"-",$E25))</f>
        <v>-</v>
      </c>
      <c r="BK25" s="15" t="str">
        <f t="shared" ref="BK25" si="1459">IF(LanBoo2LevelCurrent&gt;=$B25,"-",IF(LanBoo2LevelDesired&lt;$B25,"-",$C25))</f>
        <v>-</v>
      </c>
      <c r="BL25" s="1" t="str">
        <f t="shared" ref="BL25" si="1460">IF(LanBoo2LevelCurrent&gt;=$B25,"-",IF(LanBoo2LevelDesired&lt;$B25,"-",$D25))</f>
        <v>-</v>
      </c>
      <c r="BM25" s="21" t="str">
        <f t="shared" ref="BM25" si="1461">IF(LanBoo2LevelCurrent&gt;=$B25,"-",IF(LanBoo2LevelDesired&lt;$B25,"-",$E25))</f>
        <v>-</v>
      </c>
      <c r="BN25" s="15" t="str">
        <f t="shared" ref="BN25" si="1462">IF(MarGog2LevelCurrent&gt;=$B25,"-",IF(MarGog2LevelDesired&lt;$B25,"-",$C25))</f>
        <v>-</v>
      </c>
      <c r="BO25" s="1" t="str">
        <f t="shared" ref="BO25" si="1463">IF(MarGog2LevelCurrent&gt;=$B25,"-",IF(MarGog2LevelDesired&lt;$B25,"-",$D25))</f>
        <v>-</v>
      </c>
      <c r="BP25" s="21" t="str">
        <f t="shared" ref="BP25" si="1464">IF(MarGog2LevelCurrent&gt;=$B25,"-",IF(MarGog2LevelDesired&lt;$B25,"-",$E25))</f>
        <v>-</v>
      </c>
      <c r="BQ25" s="15" t="str">
        <f t="shared" ref="BQ25" si="1465">IF(MarGlo2LevelCurrent&gt;=$B25,"-",IF(MarGlo2LevelDesired&lt;$B25,"-",$C25))</f>
        <v>-</v>
      </c>
      <c r="BR25" s="1" t="str">
        <f t="shared" ref="BR25" si="1466">IF(MarGlo2LevelCurrent&gt;=$B25,"-",IF(MarGlo2LevelDesired&lt;$B25,"-",$D25))</f>
        <v>-</v>
      </c>
      <c r="BS25" s="21" t="str">
        <f t="shared" ref="BS25" si="1467">IF(MarGlo2LevelCurrent&gt;=$B25,"-",IF(MarGlo2LevelDesired&lt;$B25,"-",$E25))</f>
        <v>-</v>
      </c>
      <c r="BT25" s="15" t="str">
        <f t="shared" ref="BT25" si="1468">IF(MarBel2LevelCurrent&gt;=$B25,"-",IF(MarBel2LevelDesired&lt;$B25,"-",$C25))</f>
        <v>-</v>
      </c>
      <c r="BU25" s="1" t="str">
        <f t="shared" ref="BU25" si="1469">IF(MarBel2LevelCurrent&gt;=$B25,"-",IF(MarBel2LevelDesired&lt;$B25,"-",$D25))</f>
        <v>-</v>
      </c>
      <c r="BV25" s="21" t="str">
        <f t="shared" ref="BV25" si="1470">IF(MarBel2LevelCurrent&gt;=$B25,"-",IF(MarBel2LevelDesired&lt;$B25,"-",$E25))</f>
        <v>-</v>
      </c>
      <c r="BW25" s="15" t="str">
        <f t="shared" ref="BW25" si="1471">IF(MarBoo2LevelCurrent&gt;=$B25,"-",IF(MarBoo2LevelDesired&lt;$B25,"-",$C25))</f>
        <v>-</v>
      </c>
      <c r="BX25" s="1" t="str">
        <f t="shared" ref="BX25" si="1472">IF(MarBoo2LevelCurrent&gt;=$B25,"-",IF(MarBoo2LevelDesired&lt;$B25,"-",$D25))</f>
        <v>-</v>
      </c>
      <c r="BY25" s="21" t="str">
        <f t="shared" ref="BY25" si="1473">IF(MarBoo2LevelCurrent&gt;=$B25,"-",IF(MarBoo2LevelDesired&lt;$B25,"-",$E25))</f>
        <v>-</v>
      </c>
      <c r="BZ25" s="15" t="str">
        <f t="shared" si="72"/>
        <v>-</v>
      </c>
      <c r="CA25" s="1" t="str" cm="1">
        <f t="array" ref="CA25">IF(InfGog3LevelCurrent&gt;=$B25,"-",IF(InfGog3LevelDesired&lt;$B25,"-",$D25))</f>
        <v>-</v>
      </c>
      <c r="CB25" s="21" t="str" cm="1">
        <f t="array" ref="CB25">IF(InfGog3LevelCurrent&gt;=$B25,"-",IF(InfGog3LevelDesired&lt;$B25,"-",$E25))</f>
        <v>-</v>
      </c>
      <c r="CC25" s="15" t="str">
        <f t="shared" si="73"/>
        <v>-</v>
      </c>
      <c r="CD25" s="1" t="str">
        <f t="shared" si="74"/>
        <v>-</v>
      </c>
      <c r="CE25" s="21" t="str">
        <f t="shared" si="75"/>
        <v>-</v>
      </c>
      <c r="CF25" s="15" t="str">
        <f t="shared" si="76"/>
        <v>-</v>
      </c>
      <c r="CG25" s="1" t="str">
        <f t="shared" si="77"/>
        <v>-</v>
      </c>
      <c r="CH25" s="21" t="str">
        <f t="shared" si="78"/>
        <v>-</v>
      </c>
      <c r="CI25" s="15" t="str">
        <f t="shared" si="79"/>
        <v>-</v>
      </c>
      <c r="CJ25" s="1" t="str">
        <f t="shared" si="80"/>
        <v>-</v>
      </c>
      <c r="CK25" s="21" t="str">
        <f t="shared" si="81"/>
        <v>-</v>
      </c>
      <c r="CL25" s="15" t="str">
        <f t="shared" si="82"/>
        <v>-</v>
      </c>
      <c r="CM25" s="1" t="str">
        <f t="shared" si="83"/>
        <v>-</v>
      </c>
      <c r="CN25" s="21" t="str">
        <f t="shared" si="84"/>
        <v>-</v>
      </c>
      <c r="CO25" s="15" t="str">
        <f t="shared" si="85"/>
        <v>-</v>
      </c>
      <c r="CP25" s="1" t="str">
        <f t="shared" si="86"/>
        <v>-</v>
      </c>
      <c r="CQ25" s="21" t="str">
        <f t="shared" si="87"/>
        <v>-</v>
      </c>
      <c r="CR25" s="15" t="str">
        <f t="shared" si="88"/>
        <v>-</v>
      </c>
      <c r="CS25" s="1" t="str">
        <f t="shared" si="89"/>
        <v>-</v>
      </c>
      <c r="CT25" s="21" t="str">
        <f t="shared" si="90"/>
        <v>-</v>
      </c>
      <c r="CU25" s="15" t="str">
        <f t="shared" si="91"/>
        <v>-</v>
      </c>
      <c r="CV25" s="1" t="str">
        <f t="shared" si="92"/>
        <v>-</v>
      </c>
      <c r="CW25" s="21" t="str">
        <f t="shared" si="93"/>
        <v>-</v>
      </c>
      <c r="CX25" s="15" t="str">
        <f t="shared" si="94"/>
        <v>-</v>
      </c>
      <c r="CY25" s="1" t="str">
        <f t="shared" si="95"/>
        <v>-</v>
      </c>
      <c r="CZ25" s="21" t="str">
        <f t="shared" si="96"/>
        <v>-</v>
      </c>
      <c r="DA25" s="15" t="str">
        <f t="shared" si="97"/>
        <v>-</v>
      </c>
      <c r="DB25" s="1" t="str">
        <f t="shared" si="98"/>
        <v>-</v>
      </c>
      <c r="DC25" s="21" t="str">
        <f t="shared" si="99"/>
        <v>-</v>
      </c>
      <c r="DD25" s="15" t="str">
        <f t="shared" si="100"/>
        <v>-</v>
      </c>
      <c r="DE25" s="1" t="str">
        <f t="shared" si="101"/>
        <v>-</v>
      </c>
      <c r="DF25" s="21" t="str">
        <f t="shared" si="102"/>
        <v>-</v>
      </c>
      <c r="DG25" s="15" t="str">
        <f t="shared" si="103"/>
        <v>-</v>
      </c>
      <c r="DH25" s="1" t="str">
        <f t="shared" si="104"/>
        <v>-</v>
      </c>
      <c r="DI25" s="21" t="str">
        <f t="shared" si="105"/>
        <v>-</v>
      </c>
    </row>
    <row r="26" spans="2:113" x14ac:dyDescent="0.3">
      <c r="B26" s="1">
        <v>21</v>
      </c>
      <c r="C26" s="67">
        <v>110</v>
      </c>
      <c r="D26" s="88" t="s">
        <v>27</v>
      </c>
      <c r="E26" s="21" t="s">
        <v>27</v>
      </c>
      <c r="F26" s="15" t="str">
        <f t="shared" ref="F26" si="1474">IF(InfGog1LevelCurrent&gt;=$B26,"-",IF(InfGog1LevelDesired&lt;$B26,"-",$C26))</f>
        <v>-</v>
      </c>
      <c r="G26" s="1" t="str">
        <f t="shared" ref="G26" si="1475">IF(InfGog1LevelCurrent&gt;=$B26,"-",IF(InfGog1LevelDesired&lt;$B26,"-",$D26))</f>
        <v>-</v>
      </c>
      <c r="H26" s="21" t="str">
        <f t="shared" ref="H26" si="1476">IF(InfGog1LevelCurrent&gt;=$B26,"-",IF(InfGog1LevelDesired&lt;$B26,"-",$E26))</f>
        <v>-</v>
      </c>
      <c r="I26" s="15" t="str">
        <f t="shared" ref="I26" si="1477">IF(InfGlo1LevelCurrent&gt;=$B26,"-",IF(InfGlo1LevelDesired&lt;$B26,"-",$C26))</f>
        <v>-</v>
      </c>
      <c r="J26" s="1" t="str">
        <f t="shared" ref="J26" si="1478">IF(InfGlo1LevelCurrent&gt;=$B26,"-",IF(InfGlo1LevelDesired&lt;$B26,"-",$D26))</f>
        <v>-</v>
      </c>
      <c r="K26" s="21" t="str">
        <f t="shared" ref="K26" si="1479">IF(InfGlo1LevelCurrent&gt;=$B26,"-",IF(InfGlo1LevelDesired&lt;$B26,"-",$E26))</f>
        <v>-</v>
      </c>
      <c r="L26" s="15" t="str">
        <f t="shared" ref="L26" si="1480">IF(InfBel1LevelCurrent&gt;=$B26,"-",IF(InfBel1LevelDesired&lt;$B26,"-",$C26))</f>
        <v>-</v>
      </c>
      <c r="M26" s="1" t="str">
        <f t="shared" ref="M26" si="1481">IF(InfBel1LevelCurrent&gt;=$B26,"-",IF(InfBel1LevelDesired&lt;$B26,"-",$D26))</f>
        <v>-</v>
      </c>
      <c r="N26" s="21" t="str">
        <f t="shared" ref="N26" si="1482">IF(InfBel1LevelCurrent&gt;=$B26,"-",IF(InfBel1LevelDesired&lt;$B26,"-",$E26))</f>
        <v>-</v>
      </c>
      <c r="O26" s="15" t="str">
        <f t="shared" ref="O26" si="1483">IF(InfBoo1LevelCurrent&gt;=$B26,"-",IF(InfBoo1LevelDesired&lt;$B26,"-",$C26))</f>
        <v>-</v>
      </c>
      <c r="P26" s="1" t="str">
        <f t="shared" ref="P26" si="1484">IF(InfBoo1LevelCurrent&gt;=$B26,"-",IF(InfBoo1LevelDesired&lt;$B26,"-",$D26))</f>
        <v>-</v>
      </c>
      <c r="Q26" s="21" t="str">
        <f t="shared" ref="Q26" si="1485">IF(InfBoo1LevelCurrent&gt;=$B26,"-",IF(InfBoo1LevelDesired&lt;$B26,"-",$E26))</f>
        <v>-</v>
      </c>
      <c r="R26" s="15" t="str">
        <f t="shared" ref="R26" si="1486">IF(LanGog1LevelCurrent&gt;=$B26,"-",IF(LanGog1LevelDesired&lt;$B26,"-",$C26))</f>
        <v>-</v>
      </c>
      <c r="S26" s="1" t="str">
        <f t="shared" ref="S26" si="1487">IF(LanGog1LevelCurrent&gt;=$B26,"-",IF(LanGog1LevelDesired&lt;$B26,"-",$D26))</f>
        <v>-</v>
      </c>
      <c r="T26" s="21" t="str">
        <f t="shared" ref="T26" si="1488">IF(LanGog1LevelCurrent&gt;=$B26,"-",IF(LanGog1LevelDesired&lt;$B26,"-",$E26))</f>
        <v>-</v>
      </c>
      <c r="U26" s="15" t="str">
        <f t="shared" ref="U26" si="1489">IF(LanGlo1LevelCurrent&gt;=$B26,"-",IF(LanGlo1LevelDesired&lt;$B26,"-",$C26))</f>
        <v>-</v>
      </c>
      <c r="V26" s="1" t="str">
        <f t="shared" ref="V26" si="1490">IF(LanGlo1LevelCurrent&gt;=$B26,"-",IF(LanGlo1LevelDesired&lt;$B26,"-",$D26))</f>
        <v>-</v>
      </c>
      <c r="W26" s="21" t="str">
        <f t="shared" ref="W26" si="1491">IF(LanGlo1LevelCurrent&gt;=$B26,"-",IF(LanGlo1LevelDesired&lt;$B26,"-",$E26))</f>
        <v>-</v>
      </c>
      <c r="X26" s="15" t="str">
        <f t="shared" ref="X26" si="1492">IF(LanBel1LevelCurrent&gt;=$B26,"-",IF(LanBel1LevelDesired&lt;$B26,"-",$C26))</f>
        <v>-</v>
      </c>
      <c r="Y26" s="1" t="str">
        <f t="shared" ref="Y26" si="1493">IF(LanBel1LevelCurrent&gt;=$B26,"-",IF(LanBel1LevelDesired&lt;$B26,"-",$D26))</f>
        <v>-</v>
      </c>
      <c r="Z26" s="21" t="str">
        <f t="shared" ref="Z26" si="1494">IF(LanBel1LevelCurrent&gt;=$B26,"-",IF(LanBel1LevelDesired&lt;$B26,"-",$E26))</f>
        <v>-</v>
      </c>
      <c r="AA26" s="15" t="str">
        <f t="shared" ref="AA26" si="1495">IF(LanBoo1LevelCurrent&gt;=$B26,"-",IF(LanBoo1LevelDesired&lt;$B26,"-",$C26))</f>
        <v>-</v>
      </c>
      <c r="AB26" s="1" t="str">
        <f t="shared" ref="AB26" si="1496">IF(LanBoo1LevelCurrent&gt;=$B26,"-",IF(LanBoo1LevelDesired&lt;$B26,"-",$D26))</f>
        <v>-</v>
      </c>
      <c r="AC26" s="21" t="str">
        <f t="shared" ref="AC26" si="1497">IF(LanBoo1LevelCurrent&gt;=$B26,"-",IF(LanBoo1LevelDesired&lt;$B26,"-",$E26))</f>
        <v>-</v>
      </c>
      <c r="AD26" s="15" t="str">
        <f t="shared" ref="AD26" si="1498">IF(MarGog1LevelCurrent&gt;=$B26,"-",IF(MarGog1LevelDesired&lt;$B26,"-",$C26))</f>
        <v>-</v>
      </c>
      <c r="AE26" s="1" t="str">
        <f t="shared" ref="AE26" si="1499">IF(MarGog1LevelCurrent&gt;=$B26,"-",IF(MarGog1LevelDesired&lt;$B26,"-",$D26))</f>
        <v>-</v>
      </c>
      <c r="AF26" s="21" t="str">
        <f t="shared" ref="AF26" si="1500">IF(MarGog1LevelCurrent&gt;=$B26,"-",IF(MarGog1LevelDesired&lt;$B26,"-",$E26))</f>
        <v>-</v>
      </c>
      <c r="AG26" s="15" t="str">
        <f t="shared" ref="AG26" si="1501">IF(MarGlo1LevelCurrent&gt;=$B26,"-",IF(MarGlo1LevelDesired&lt;$B26,"-",$C26))</f>
        <v>-</v>
      </c>
      <c r="AH26" s="1" t="str">
        <f t="shared" ref="AH26" si="1502">IF(MarGlo1LevelCurrent&gt;=$B26,"-",IF(MarGlo1LevelDesired&lt;$B26,"-",$D26))</f>
        <v>-</v>
      </c>
      <c r="AI26" s="21" t="str">
        <f t="shared" ref="AI26" si="1503">IF(MarGlo1LevelCurrent&gt;=$B26,"-",IF(MarGlo1LevelDesired&lt;$B26,"-",$E26))</f>
        <v>-</v>
      </c>
      <c r="AJ26" s="15" t="str">
        <f t="shared" ref="AJ26" si="1504">IF(MarBel1LevelCurrent&gt;=$B26,"-",IF(MarBel1LevelDesired&lt;$B26,"-",$C26))</f>
        <v>-</v>
      </c>
      <c r="AK26" s="1" t="str">
        <f t="shared" ref="AK26" si="1505">IF(MarBel1LevelCurrent&gt;=$B26,"-",IF(MarBel1LevelDesired&lt;$B26,"-",$D26))</f>
        <v>-</v>
      </c>
      <c r="AL26" s="21" t="str">
        <f t="shared" ref="AL26" si="1506">IF(MarBel1LevelCurrent&gt;=$B26,"-",IF(MarBel1LevelDesired&lt;$B26,"-",$E26))</f>
        <v>-</v>
      </c>
      <c r="AM26" s="15" t="str">
        <f t="shared" ref="AM26" si="1507">IF(MarBoo1LevelCurrent&gt;=$B26,"-",IF(MarBoo1LevelDesired&lt;$B26,"-",$C26))</f>
        <v>-</v>
      </c>
      <c r="AN26" s="1" t="str">
        <f t="shared" ref="AN26" si="1508">IF(MarBoo1LevelCurrent&gt;=$B26,"-",IF(MarBoo1LevelDesired&lt;$B26,"-",$D26))</f>
        <v>-</v>
      </c>
      <c r="AO26" s="21" t="str">
        <f t="shared" ref="AO26" si="1509">IF(MarBoo1LevelCurrent&gt;=$B26,"-",IF(MarBoo1LevelDesired&lt;$B26,"-",$E26))</f>
        <v>-</v>
      </c>
      <c r="AP26" s="15" t="str">
        <f t="shared" ref="AP26" si="1510">IF(InfGog2LevelCurrent&gt;=$B26,"-",IF(InfGog2LevelDesired&lt;$B26,"-",$C26))</f>
        <v>-</v>
      </c>
      <c r="AQ26" s="1" t="str">
        <f t="shared" ref="AQ26" si="1511">IF(InfGog2LevelCurrent&gt;=$B26,"-",IF(InfGog2LevelDesired&lt;$B26,"-",$D26))</f>
        <v>-</v>
      </c>
      <c r="AR26" s="21" t="str">
        <f t="shared" ref="AR26" si="1512">IF(InfGog2LevelCurrent&gt;=$B26,"-",IF(InfGog2LevelDesired&lt;$B26,"-",$E26))</f>
        <v>-</v>
      </c>
      <c r="AS26" s="15" t="str">
        <f t="shared" ref="AS26" si="1513">IF(InfGlo2LevelCurrent&gt;=$B26,"-",IF(InfGlo2LevelDesired&lt;$B26,"-",$C26))</f>
        <v>-</v>
      </c>
      <c r="AT26" s="1" t="str">
        <f t="shared" ref="AT26" si="1514">IF(InfGlo2LevelCurrent&gt;=$B26,"-",IF(InfGlo2LevelDesired&lt;$B26,"-",$D26))</f>
        <v>-</v>
      </c>
      <c r="AU26" s="21" t="str">
        <f t="shared" ref="AU26" si="1515">IF(InfGlo2LevelCurrent&gt;=$B26,"-",IF(InfGlo2LevelDesired&lt;$B26,"-",$E26))</f>
        <v>-</v>
      </c>
      <c r="AV26" s="15" t="str">
        <f t="shared" ref="AV26" si="1516">IF(InfBel2LevelCurrent&gt;=$B26,"-",IF(InfBel2LevelDesired&lt;$B26,"-",$C26))</f>
        <v>-</v>
      </c>
      <c r="AW26" s="1" t="str">
        <f t="shared" ref="AW26" si="1517">IF(InfBel2LevelCurrent&gt;=$B26,"-",IF(InfBel2LevelDesired&lt;$B26,"-",$D26))</f>
        <v>-</v>
      </c>
      <c r="AX26" s="21" t="str">
        <f t="shared" ref="AX26" si="1518">IF(InfBel2LevelCurrent&gt;=$B26,"-",IF(InfBel2LevelDesired&lt;$B26,"-",$E26))</f>
        <v>-</v>
      </c>
      <c r="AY26" s="15" t="str">
        <f t="shared" ref="AY26" si="1519">IF(InfBoo2LevelCurrent&gt;=$B26,"-",IF(InfBoo2LevelDesired&lt;$B26,"-",$C26))</f>
        <v>-</v>
      </c>
      <c r="AZ26" s="1" t="str">
        <f t="shared" ref="AZ26" si="1520">IF(InfBoo2LevelCurrent&gt;=$B26,"-",IF(InfBoo2LevelDesired&lt;$B26,"-",$D26))</f>
        <v>-</v>
      </c>
      <c r="BA26" s="21" t="str">
        <f t="shared" ref="BA26" si="1521">IF(InfBoo2LevelCurrent&gt;=$B26,"-",IF(InfBoo2LevelDesired&lt;$B26,"-",$E26))</f>
        <v>-</v>
      </c>
      <c r="BB26" s="15" t="str">
        <f t="shared" ref="BB26" si="1522">IF(LanGog2LevelCurrent&gt;=$B26,"-",IF(LanGog2LevelDesired&lt;$B26,"-",$C26))</f>
        <v>-</v>
      </c>
      <c r="BC26" s="1" t="str">
        <f t="shared" ref="BC26" si="1523">IF(LanGog2LevelCurrent&gt;=$B26,"-",IF(LanGog2LevelDesired&lt;$B26,"-",$D26))</f>
        <v>-</v>
      </c>
      <c r="BD26" s="21" t="str">
        <f t="shared" ref="BD26" si="1524">IF(LanGog2LevelCurrent&gt;=$B26,"-",IF(LanGog2LevelDesired&lt;$B26,"-",$E26))</f>
        <v>-</v>
      </c>
      <c r="BE26" s="15" t="str">
        <f t="shared" ref="BE26" si="1525">IF(LanGlo2LevelCurrent&gt;=$B26,"-",IF(LanGlo2LevelDesired&lt;$B26,"-",$C26))</f>
        <v>-</v>
      </c>
      <c r="BF26" s="1" t="str">
        <f t="shared" ref="BF26" si="1526">IF(LanGlo2LevelCurrent&gt;=$B26,"-",IF(LanGlo2LevelDesired&lt;$B26,"-",$D26))</f>
        <v>-</v>
      </c>
      <c r="BG26" s="21" t="str">
        <f t="shared" ref="BG26" si="1527">IF(LanGlo2LevelCurrent&gt;=$B26,"-",IF(LanGlo2LevelDesired&lt;$B26,"-",$E26))</f>
        <v>-</v>
      </c>
      <c r="BH26" s="15" t="str">
        <f t="shared" ref="BH26" si="1528">IF(LanBel2LevelCurrent&gt;=$B26,"-",IF(LanBel2LevelDesired&lt;$B26,"-",$C26))</f>
        <v>-</v>
      </c>
      <c r="BI26" s="1" t="str">
        <f t="shared" ref="BI26" si="1529">IF(LanBel2LevelCurrent&gt;=$B26,"-",IF(LanBel2LevelDesired&lt;$B26,"-",$D26))</f>
        <v>-</v>
      </c>
      <c r="BJ26" s="21" t="str">
        <f t="shared" ref="BJ26" si="1530">IF(LanBel2LevelCurrent&gt;=$B26,"-",IF(LanBel2LevelDesired&lt;$B26,"-",$E26))</f>
        <v>-</v>
      </c>
      <c r="BK26" s="15" t="str">
        <f t="shared" ref="BK26" si="1531">IF(LanBoo2LevelCurrent&gt;=$B26,"-",IF(LanBoo2LevelDesired&lt;$B26,"-",$C26))</f>
        <v>-</v>
      </c>
      <c r="BL26" s="1" t="str">
        <f t="shared" ref="BL26" si="1532">IF(LanBoo2LevelCurrent&gt;=$B26,"-",IF(LanBoo2LevelDesired&lt;$B26,"-",$D26))</f>
        <v>-</v>
      </c>
      <c r="BM26" s="21" t="str">
        <f t="shared" ref="BM26" si="1533">IF(LanBoo2LevelCurrent&gt;=$B26,"-",IF(LanBoo2LevelDesired&lt;$B26,"-",$E26))</f>
        <v>-</v>
      </c>
      <c r="BN26" s="15" t="str">
        <f t="shared" ref="BN26" si="1534">IF(MarGog2LevelCurrent&gt;=$B26,"-",IF(MarGog2LevelDesired&lt;$B26,"-",$C26))</f>
        <v>-</v>
      </c>
      <c r="BO26" s="1" t="str">
        <f t="shared" ref="BO26" si="1535">IF(MarGog2LevelCurrent&gt;=$B26,"-",IF(MarGog2LevelDesired&lt;$B26,"-",$D26))</f>
        <v>-</v>
      </c>
      <c r="BP26" s="21" t="str">
        <f t="shared" ref="BP26" si="1536">IF(MarGog2LevelCurrent&gt;=$B26,"-",IF(MarGog2LevelDesired&lt;$B26,"-",$E26))</f>
        <v>-</v>
      </c>
      <c r="BQ26" s="15" t="str">
        <f t="shared" ref="BQ26" si="1537">IF(MarGlo2LevelCurrent&gt;=$B26,"-",IF(MarGlo2LevelDesired&lt;$B26,"-",$C26))</f>
        <v>-</v>
      </c>
      <c r="BR26" s="1" t="str">
        <f t="shared" ref="BR26" si="1538">IF(MarGlo2LevelCurrent&gt;=$B26,"-",IF(MarGlo2LevelDesired&lt;$B26,"-",$D26))</f>
        <v>-</v>
      </c>
      <c r="BS26" s="21" t="str">
        <f t="shared" ref="BS26" si="1539">IF(MarGlo2LevelCurrent&gt;=$B26,"-",IF(MarGlo2LevelDesired&lt;$B26,"-",$E26))</f>
        <v>-</v>
      </c>
      <c r="BT26" s="15" t="str">
        <f t="shared" ref="BT26" si="1540">IF(MarBel2LevelCurrent&gt;=$B26,"-",IF(MarBel2LevelDesired&lt;$B26,"-",$C26))</f>
        <v>-</v>
      </c>
      <c r="BU26" s="1" t="str">
        <f t="shared" ref="BU26" si="1541">IF(MarBel2LevelCurrent&gt;=$B26,"-",IF(MarBel2LevelDesired&lt;$B26,"-",$D26))</f>
        <v>-</v>
      </c>
      <c r="BV26" s="21" t="str">
        <f t="shared" ref="BV26" si="1542">IF(MarBel2LevelCurrent&gt;=$B26,"-",IF(MarBel2LevelDesired&lt;$B26,"-",$E26))</f>
        <v>-</v>
      </c>
      <c r="BW26" s="15" t="str">
        <f t="shared" ref="BW26" si="1543">IF(MarBoo2LevelCurrent&gt;=$B26,"-",IF(MarBoo2LevelDesired&lt;$B26,"-",$C26))</f>
        <v>-</v>
      </c>
      <c r="BX26" s="1" t="str">
        <f t="shared" ref="BX26" si="1544">IF(MarBoo2LevelCurrent&gt;=$B26,"-",IF(MarBoo2LevelDesired&lt;$B26,"-",$D26))</f>
        <v>-</v>
      </c>
      <c r="BY26" s="21" t="str">
        <f t="shared" ref="BY26" si="1545">IF(MarBoo2LevelCurrent&gt;=$B26,"-",IF(MarBoo2LevelDesired&lt;$B26,"-",$E26))</f>
        <v>-</v>
      </c>
      <c r="BZ26" s="15" t="str">
        <f t="shared" si="72"/>
        <v>-</v>
      </c>
      <c r="CA26" s="1" t="str" cm="1">
        <f t="array" ref="CA26">IF(InfGog3LevelCurrent&gt;=$B26,"-",IF(InfGog3LevelDesired&lt;$B26,"-",$D26))</f>
        <v>-</v>
      </c>
      <c r="CB26" s="21" t="str" cm="1">
        <f t="array" ref="CB26">IF(InfGog3LevelCurrent&gt;=$B26,"-",IF(InfGog3LevelDesired&lt;$B26,"-",$E26))</f>
        <v>-</v>
      </c>
      <c r="CC26" s="15" t="str">
        <f t="shared" si="73"/>
        <v>-</v>
      </c>
      <c r="CD26" s="1" t="str">
        <f t="shared" si="74"/>
        <v>-</v>
      </c>
      <c r="CE26" s="21" t="str">
        <f t="shared" si="75"/>
        <v>-</v>
      </c>
      <c r="CF26" s="15" t="str">
        <f t="shared" si="76"/>
        <v>-</v>
      </c>
      <c r="CG26" s="1" t="str">
        <f t="shared" si="77"/>
        <v>-</v>
      </c>
      <c r="CH26" s="21" t="str">
        <f t="shared" si="78"/>
        <v>-</v>
      </c>
      <c r="CI26" s="15" t="str">
        <f t="shared" si="79"/>
        <v>-</v>
      </c>
      <c r="CJ26" s="1" t="str">
        <f t="shared" si="80"/>
        <v>-</v>
      </c>
      <c r="CK26" s="21" t="str">
        <f t="shared" si="81"/>
        <v>-</v>
      </c>
      <c r="CL26" s="15" t="str">
        <f t="shared" si="82"/>
        <v>-</v>
      </c>
      <c r="CM26" s="1" t="str">
        <f t="shared" si="83"/>
        <v>-</v>
      </c>
      <c r="CN26" s="21" t="str">
        <f t="shared" si="84"/>
        <v>-</v>
      </c>
      <c r="CO26" s="15" t="str">
        <f t="shared" si="85"/>
        <v>-</v>
      </c>
      <c r="CP26" s="1" t="str">
        <f t="shared" si="86"/>
        <v>-</v>
      </c>
      <c r="CQ26" s="21" t="str">
        <f t="shared" si="87"/>
        <v>-</v>
      </c>
      <c r="CR26" s="15" t="str">
        <f t="shared" si="88"/>
        <v>-</v>
      </c>
      <c r="CS26" s="1" t="str">
        <f t="shared" si="89"/>
        <v>-</v>
      </c>
      <c r="CT26" s="21" t="str">
        <f t="shared" si="90"/>
        <v>-</v>
      </c>
      <c r="CU26" s="15" t="str">
        <f t="shared" si="91"/>
        <v>-</v>
      </c>
      <c r="CV26" s="1" t="str">
        <f t="shared" si="92"/>
        <v>-</v>
      </c>
      <c r="CW26" s="21" t="str">
        <f t="shared" si="93"/>
        <v>-</v>
      </c>
      <c r="CX26" s="15" t="str">
        <f t="shared" si="94"/>
        <v>-</v>
      </c>
      <c r="CY26" s="1" t="str">
        <f t="shared" si="95"/>
        <v>-</v>
      </c>
      <c r="CZ26" s="21" t="str">
        <f t="shared" si="96"/>
        <v>-</v>
      </c>
      <c r="DA26" s="15" t="str">
        <f t="shared" si="97"/>
        <v>-</v>
      </c>
      <c r="DB26" s="1" t="str">
        <f t="shared" si="98"/>
        <v>-</v>
      </c>
      <c r="DC26" s="21" t="str">
        <f t="shared" si="99"/>
        <v>-</v>
      </c>
      <c r="DD26" s="15" t="str">
        <f t="shared" si="100"/>
        <v>-</v>
      </c>
      <c r="DE26" s="1" t="str">
        <f t="shared" si="101"/>
        <v>-</v>
      </c>
      <c r="DF26" s="21" t="str">
        <f t="shared" si="102"/>
        <v>-</v>
      </c>
      <c r="DG26" s="15" t="str">
        <f t="shared" si="103"/>
        <v>-</v>
      </c>
      <c r="DH26" s="1" t="str">
        <f t="shared" si="104"/>
        <v>-</v>
      </c>
      <c r="DI26" s="21" t="str">
        <f t="shared" si="105"/>
        <v>-</v>
      </c>
    </row>
    <row r="27" spans="2:113" x14ac:dyDescent="0.3">
      <c r="B27" s="1">
        <v>22</v>
      </c>
      <c r="C27" s="67">
        <v>115</v>
      </c>
      <c r="D27" s="88" t="s">
        <v>27</v>
      </c>
      <c r="E27" s="21" t="s">
        <v>27</v>
      </c>
      <c r="F27" s="15" t="str">
        <f t="shared" ref="F27" si="1546">IF(InfGog1LevelCurrent&gt;=$B27,"-",IF(InfGog1LevelDesired&lt;$B27,"-",$C27))</f>
        <v>-</v>
      </c>
      <c r="G27" s="1" t="str">
        <f t="shared" ref="G27" si="1547">IF(InfGog1LevelCurrent&gt;=$B27,"-",IF(InfGog1LevelDesired&lt;$B27,"-",$D27))</f>
        <v>-</v>
      </c>
      <c r="H27" s="21" t="str">
        <f t="shared" ref="H27" si="1548">IF(InfGog1LevelCurrent&gt;=$B27,"-",IF(InfGog1LevelDesired&lt;$B27,"-",$E27))</f>
        <v>-</v>
      </c>
      <c r="I27" s="15" t="str">
        <f t="shared" ref="I27" si="1549">IF(InfGlo1LevelCurrent&gt;=$B27,"-",IF(InfGlo1LevelDesired&lt;$B27,"-",$C27))</f>
        <v>-</v>
      </c>
      <c r="J27" s="1" t="str">
        <f t="shared" ref="J27" si="1550">IF(InfGlo1LevelCurrent&gt;=$B27,"-",IF(InfGlo1LevelDesired&lt;$B27,"-",$D27))</f>
        <v>-</v>
      </c>
      <c r="K27" s="21" t="str">
        <f t="shared" ref="K27" si="1551">IF(InfGlo1LevelCurrent&gt;=$B27,"-",IF(InfGlo1LevelDesired&lt;$B27,"-",$E27))</f>
        <v>-</v>
      </c>
      <c r="L27" s="15" t="str">
        <f t="shared" ref="L27" si="1552">IF(InfBel1LevelCurrent&gt;=$B27,"-",IF(InfBel1LevelDesired&lt;$B27,"-",$C27))</f>
        <v>-</v>
      </c>
      <c r="M27" s="1" t="str">
        <f t="shared" ref="M27" si="1553">IF(InfBel1LevelCurrent&gt;=$B27,"-",IF(InfBel1LevelDesired&lt;$B27,"-",$D27))</f>
        <v>-</v>
      </c>
      <c r="N27" s="21" t="str">
        <f t="shared" ref="N27" si="1554">IF(InfBel1LevelCurrent&gt;=$B27,"-",IF(InfBel1LevelDesired&lt;$B27,"-",$E27))</f>
        <v>-</v>
      </c>
      <c r="O27" s="15" t="str">
        <f t="shared" ref="O27" si="1555">IF(InfBoo1LevelCurrent&gt;=$B27,"-",IF(InfBoo1LevelDesired&lt;$B27,"-",$C27))</f>
        <v>-</v>
      </c>
      <c r="P27" s="1" t="str">
        <f t="shared" ref="P27" si="1556">IF(InfBoo1LevelCurrent&gt;=$B27,"-",IF(InfBoo1LevelDesired&lt;$B27,"-",$D27))</f>
        <v>-</v>
      </c>
      <c r="Q27" s="21" t="str">
        <f t="shared" ref="Q27" si="1557">IF(InfBoo1LevelCurrent&gt;=$B27,"-",IF(InfBoo1LevelDesired&lt;$B27,"-",$E27))</f>
        <v>-</v>
      </c>
      <c r="R27" s="15" t="str">
        <f t="shared" ref="R27" si="1558">IF(LanGog1LevelCurrent&gt;=$B27,"-",IF(LanGog1LevelDesired&lt;$B27,"-",$C27))</f>
        <v>-</v>
      </c>
      <c r="S27" s="1" t="str">
        <f t="shared" ref="S27" si="1559">IF(LanGog1LevelCurrent&gt;=$B27,"-",IF(LanGog1LevelDesired&lt;$B27,"-",$D27))</f>
        <v>-</v>
      </c>
      <c r="T27" s="21" t="str">
        <f t="shared" ref="T27" si="1560">IF(LanGog1LevelCurrent&gt;=$B27,"-",IF(LanGog1LevelDesired&lt;$B27,"-",$E27))</f>
        <v>-</v>
      </c>
      <c r="U27" s="15" t="str">
        <f t="shared" ref="U27" si="1561">IF(LanGlo1LevelCurrent&gt;=$B27,"-",IF(LanGlo1LevelDesired&lt;$B27,"-",$C27))</f>
        <v>-</v>
      </c>
      <c r="V27" s="1" t="str">
        <f t="shared" ref="V27" si="1562">IF(LanGlo1LevelCurrent&gt;=$B27,"-",IF(LanGlo1LevelDesired&lt;$B27,"-",$D27))</f>
        <v>-</v>
      </c>
      <c r="W27" s="21" t="str">
        <f t="shared" ref="W27" si="1563">IF(LanGlo1LevelCurrent&gt;=$B27,"-",IF(LanGlo1LevelDesired&lt;$B27,"-",$E27))</f>
        <v>-</v>
      </c>
      <c r="X27" s="15" t="str">
        <f t="shared" ref="X27" si="1564">IF(LanBel1LevelCurrent&gt;=$B27,"-",IF(LanBel1LevelDesired&lt;$B27,"-",$C27))</f>
        <v>-</v>
      </c>
      <c r="Y27" s="1" t="str">
        <f t="shared" ref="Y27" si="1565">IF(LanBel1LevelCurrent&gt;=$B27,"-",IF(LanBel1LevelDesired&lt;$B27,"-",$D27))</f>
        <v>-</v>
      </c>
      <c r="Z27" s="21" t="str">
        <f t="shared" ref="Z27" si="1566">IF(LanBel1LevelCurrent&gt;=$B27,"-",IF(LanBel1LevelDesired&lt;$B27,"-",$E27))</f>
        <v>-</v>
      </c>
      <c r="AA27" s="15" t="str">
        <f t="shared" ref="AA27" si="1567">IF(LanBoo1LevelCurrent&gt;=$B27,"-",IF(LanBoo1LevelDesired&lt;$B27,"-",$C27))</f>
        <v>-</v>
      </c>
      <c r="AB27" s="1" t="str">
        <f t="shared" ref="AB27" si="1568">IF(LanBoo1LevelCurrent&gt;=$B27,"-",IF(LanBoo1LevelDesired&lt;$B27,"-",$D27))</f>
        <v>-</v>
      </c>
      <c r="AC27" s="21" t="str">
        <f t="shared" ref="AC27" si="1569">IF(LanBoo1LevelCurrent&gt;=$B27,"-",IF(LanBoo1LevelDesired&lt;$B27,"-",$E27))</f>
        <v>-</v>
      </c>
      <c r="AD27" s="15" t="str">
        <f t="shared" ref="AD27" si="1570">IF(MarGog1LevelCurrent&gt;=$B27,"-",IF(MarGog1LevelDesired&lt;$B27,"-",$C27))</f>
        <v>-</v>
      </c>
      <c r="AE27" s="1" t="str">
        <f t="shared" ref="AE27" si="1571">IF(MarGog1LevelCurrent&gt;=$B27,"-",IF(MarGog1LevelDesired&lt;$B27,"-",$D27))</f>
        <v>-</v>
      </c>
      <c r="AF27" s="21" t="str">
        <f t="shared" ref="AF27" si="1572">IF(MarGog1LevelCurrent&gt;=$B27,"-",IF(MarGog1LevelDesired&lt;$B27,"-",$E27))</f>
        <v>-</v>
      </c>
      <c r="AG27" s="15" t="str">
        <f t="shared" ref="AG27" si="1573">IF(MarGlo1LevelCurrent&gt;=$B27,"-",IF(MarGlo1LevelDesired&lt;$B27,"-",$C27))</f>
        <v>-</v>
      </c>
      <c r="AH27" s="1" t="str">
        <f t="shared" ref="AH27" si="1574">IF(MarGlo1LevelCurrent&gt;=$B27,"-",IF(MarGlo1LevelDesired&lt;$B27,"-",$D27))</f>
        <v>-</v>
      </c>
      <c r="AI27" s="21" t="str">
        <f t="shared" ref="AI27" si="1575">IF(MarGlo1LevelCurrent&gt;=$B27,"-",IF(MarGlo1LevelDesired&lt;$B27,"-",$E27))</f>
        <v>-</v>
      </c>
      <c r="AJ27" s="15" t="str">
        <f t="shared" ref="AJ27" si="1576">IF(MarBel1LevelCurrent&gt;=$B27,"-",IF(MarBel1LevelDesired&lt;$B27,"-",$C27))</f>
        <v>-</v>
      </c>
      <c r="AK27" s="1" t="str">
        <f t="shared" ref="AK27" si="1577">IF(MarBel1LevelCurrent&gt;=$B27,"-",IF(MarBel1LevelDesired&lt;$B27,"-",$D27))</f>
        <v>-</v>
      </c>
      <c r="AL27" s="21" t="str">
        <f t="shared" ref="AL27" si="1578">IF(MarBel1LevelCurrent&gt;=$B27,"-",IF(MarBel1LevelDesired&lt;$B27,"-",$E27))</f>
        <v>-</v>
      </c>
      <c r="AM27" s="15" t="str">
        <f t="shared" ref="AM27" si="1579">IF(MarBoo1LevelCurrent&gt;=$B27,"-",IF(MarBoo1LevelDesired&lt;$B27,"-",$C27))</f>
        <v>-</v>
      </c>
      <c r="AN27" s="1" t="str">
        <f t="shared" ref="AN27" si="1580">IF(MarBoo1LevelCurrent&gt;=$B27,"-",IF(MarBoo1LevelDesired&lt;$B27,"-",$D27))</f>
        <v>-</v>
      </c>
      <c r="AO27" s="21" t="str">
        <f t="shared" ref="AO27" si="1581">IF(MarBoo1LevelCurrent&gt;=$B27,"-",IF(MarBoo1LevelDesired&lt;$B27,"-",$E27))</f>
        <v>-</v>
      </c>
      <c r="AP27" s="15" t="str">
        <f t="shared" ref="AP27" si="1582">IF(InfGog2LevelCurrent&gt;=$B27,"-",IF(InfGog2LevelDesired&lt;$B27,"-",$C27))</f>
        <v>-</v>
      </c>
      <c r="AQ27" s="1" t="str">
        <f t="shared" ref="AQ27" si="1583">IF(InfGog2LevelCurrent&gt;=$B27,"-",IF(InfGog2LevelDesired&lt;$B27,"-",$D27))</f>
        <v>-</v>
      </c>
      <c r="AR27" s="21" t="str">
        <f t="shared" ref="AR27" si="1584">IF(InfGog2LevelCurrent&gt;=$B27,"-",IF(InfGog2LevelDesired&lt;$B27,"-",$E27))</f>
        <v>-</v>
      </c>
      <c r="AS27" s="15" t="str">
        <f t="shared" ref="AS27" si="1585">IF(InfGlo2LevelCurrent&gt;=$B27,"-",IF(InfGlo2LevelDesired&lt;$B27,"-",$C27))</f>
        <v>-</v>
      </c>
      <c r="AT27" s="1" t="str">
        <f t="shared" ref="AT27" si="1586">IF(InfGlo2LevelCurrent&gt;=$B27,"-",IF(InfGlo2LevelDesired&lt;$B27,"-",$D27))</f>
        <v>-</v>
      </c>
      <c r="AU27" s="21" t="str">
        <f t="shared" ref="AU27" si="1587">IF(InfGlo2LevelCurrent&gt;=$B27,"-",IF(InfGlo2LevelDesired&lt;$B27,"-",$E27))</f>
        <v>-</v>
      </c>
      <c r="AV27" s="15" t="str">
        <f t="shared" ref="AV27" si="1588">IF(InfBel2LevelCurrent&gt;=$B27,"-",IF(InfBel2LevelDesired&lt;$B27,"-",$C27))</f>
        <v>-</v>
      </c>
      <c r="AW27" s="1" t="str">
        <f t="shared" ref="AW27" si="1589">IF(InfBel2LevelCurrent&gt;=$B27,"-",IF(InfBel2LevelDesired&lt;$B27,"-",$D27))</f>
        <v>-</v>
      </c>
      <c r="AX27" s="21" t="str">
        <f t="shared" ref="AX27" si="1590">IF(InfBel2LevelCurrent&gt;=$B27,"-",IF(InfBel2LevelDesired&lt;$B27,"-",$E27))</f>
        <v>-</v>
      </c>
      <c r="AY27" s="15" t="str">
        <f t="shared" ref="AY27" si="1591">IF(InfBoo2LevelCurrent&gt;=$B27,"-",IF(InfBoo2LevelDesired&lt;$B27,"-",$C27))</f>
        <v>-</v>
      </c>
      <c r="AZ27" s="1" t="str">
        <f t="shared" ref="AZ27" si="1592">IF(InfBoo2LevelCurrent&gt;=$B27,"-",IF(InfBoo2LevelDesired&lt;$B27,"-",$D27))</f>
        <v>-</v>
      </c>
      <c r="BA27" s="21" t="str">
        <f t="shared" ref="BA27" si="1593">IF(InfBoo2LevelCurrent&gt;=$B27,"-",IF(InfBoo2LevelDesired&lt;$B27,"-",$E27))</f>
        <v>-</v>
      </c>
      <c r="BB27" s="15" t="str">
        <f t="shared" ref="BB27" si="1594">IF(LanGog2LevelCurrent&gt;=$B27,"-",IF(LanGog2LevelDesired&lt;$B27,"-",$C27))</f>
        <v>-</v>
      </c>
      <c r="BC27" s="1" t="str">
        <f t="shared" ref="BC27" si="1595">IF(LanGog2LevelCurrent&gt;=$B27,"-",IF(LanGog2LevelDesired&lt;$B27,"-",$D27))</f>
        <v>-</v>
      </c>
      <c r="BD27" s="21" t="str">
        <f t="shared" ref="BD27" si="1596">IF(LanGog2LevelCurrent&gt;=$B27,"-",IF(LanGog2LevelDesired&lt;$B27,"-",$E27))</f>
        <v>-</v>
      </c>
      <c r="BE27" s="15" t="str">
        <f t="shared" ref="BE27" si="1597">IF(LanGlo2LevelCurrent&gt;=$B27,"-",IF(LanGlo2LevelDesired&lt;$B27,"-",$C27))</f>
        <v>-</v>
      </c>
      <c r="BF27" s="1" t="str">
        <f t="shared" ref="BF27" si="1598">IF(LanGlo2LevelCurrent&gt;=$B27,"-",IF(LanGlo2LevelDesired&lt;$B27,"-",$D27))</f>
        <v>-</v>
      </c>
      <c r="BG27" s="21" t="str">
        <f t="shared" ref="BG27" si="1599">IF(LanGlo2LevelCurrent&gt;=$B27,"-",IF(LanGlo2LevelDesired&lt;$B27,"-",$E27))</f>
        <v>-</v>
      </c>
      <c r="BH27" s="15" t="str">
        <f t="shared" ref="BH27" si="1600">IF(LanBel2LevelCurrent&gt;=$B27,"-",IF(LanBel2LevelDesired&lt;$B27,"-",$C27))</f>
        <v>-</v>
      </c>
      <c r="BI27" s="1" t="str">
        <f t="shared" ref="BI27" si="1601">IF(LanBel2LevelCurrent&gt;=$B27,"-",IF(LanBel2LevelDesired&lt;$B27,"-",$D27))</f>
        <v>-</v>
      </c>
      <c r="BJ27" s="21" t="str">
        <f t="shared" ref="BJ27" si="1602">IF(LanBel2LevelCurrent&gt;=$B27,"-",IF(LanBel2LevelDesired&lt;$B27,"-",$E27))</f>
        <v>-</v>
      </c>
      <c r="BK27" s="15" t="str">
        <f t="shared" ref="BK27" si="1603">IF(LanBoo2LevelCurrent&gt;=$B27,"-",IF(LanBoo2LevelDesired&lt;$B27,"-",$C27))</f>
        <v>-</v>
      </c>
      <c r="BL27" s="1" t="str">
        <f t="shared" ref="BL27" si="1604">IF(LanBoo2LevelCurrent&gt;=$B27,"-",IF(LanBoo2LevelDesired&lt;$B27,"-",$D27))</f>
        <v>-</v>
      </c>
      <c r="BM27" s="21" t="str">
        <f t="shared" ref="BM27" si="1605">IF(LanBoo2LevelCurrent&gt;=$B27,"-",IF(LanBoo2LevelDesired&lt;$B27,"-",$E27))</f>
        <v>-</v>
      </c>
      <c r="BN27" s="15" t="str">
        <f t="shared" ref="BN27" si="1606">IF(MarGog2LevelCurrent&gt;=$B27,"-",IF(MarGog2LevelDesired&lt;$B27,"-",$C27))</f>
        <v>-</v>
      </c>
      <c r="BO27" s="1" t="str">
        <f t="shared" ref="BO27" si="1607">IF(MarGog2LevelCurrent&gt;=$B27,"-",IF(MarGog2LevelDesired&lt;$B27,"-",$D27))</f>
        <v>-</v>
      </c>
      <c r="BP27" s="21" t="str">
        <f t="shared" ref="BP27" si="1608">IF(MarGog2LevelCurrent&gt;=$B27,"-",IF(MarGog2LevelDesired&lt;$B27,"-",$E27))</f>
        <v>-</v>
      </c>
      <c r="BQ27" s="15" t="str">
        <f t="shared" ref="BQ27" si="1609">IF(MarGlo2LevelCurrent&gt;=$B27,"-",IF(MarGlo2LevelDesired&lt;$B27,"-",$C27))</f>
        <v>-</v>
      </c>
      <c r="BR27" s="1" t="str">
        <f t="shared" ref="BR27" si="1610">IF(MarGlo2LevelCurrent&gt;=$B27,"-",IF(MarGlo2LevelDesired&lt;$B27,"-",$D27))</f>
        <v>-</v>
      </c>
      <c r="BS27" s="21" t="str">
        <f t="shared" ref="BS27" si="1611">IF(MarGlo2LevelCurrent&gt;=$B27,"-",IF(MarGlo2LevelDesired&lt;$B27,"-",$E27))</f>
        <v>-</v>
      </c>
      <c r="BT27" s="15" t="str">
        <f t="shared" ref="BT27" si="1612">IF(MarBel2LevelCurrent&gt;=$B27,"-",IF(MarBel2LevelDesired&lt;$B27,"-",$C27))</f>
        <v>-</v>
      </c>
      <c r="BU27" s="1" t="str">
        <f t="shared" ref="BU27" si="1613">IF(MarBel2LevelCurrent&gt;=$B27,"-",IF(MarBel2LevelDesired&lt;$B27,"-",$D27))</f>
        <v>-</v>
      </c>
      <c r="BV27" s="21" t="str">
        <f t="shared" ref="BV27" si="1614">IF(MarBel2LevelCurrent&gt;=$B27,"-",IF(MarBel2LevelDesired&lt;$B27,"-",$E27))</f>
        <v>-</v>
      </c>
      <c r="BW27" s="15" t="str">
        <f t="shared" ref="BW27" si="1615">IF(MarBoo2LevelCurrent&gt;=$B27,"-",IF(MarBoo2LevelDesired&lt;$B27,"-",$C27))</f>
        <v>-</v>
      </c>
      <c r="BX27" s="1" t="str">
        <f t="shared" ref="BX27" si="1616">IF(MarBoo2LevelCurrent&gt;=$B27,"-",IF(MarBoo2LevelDesired&lt;$B27,"-",$D27))</f>
        <v>-</v>
      </c>
      <c r="BY27" s="21" t="str">
        <f t="shared" ref="BY27" si="1617">IF(MarBoo2LevelCurrent&gt;=$B27,"-",IF(MarBoo2LevelDesired&lt;$B27,"-",$E27))</f>
        <v>-</v>
      </c>
      <c r="BZ27" s="15" t="str">
        <f t="shared" si="72"/>
        <v>-</v>
      </c>
      <c r="CA27" s="1" t="str" cm="1">
        <f t="array" ref="CA27">IF(InfGog3LevelCurrent&gt;=$B27,"-",IF(InfGog3LevelDesired&lt;$B27,"-",$D27))</f>
        <v>-</v>
      </c>
      <c r="CB27" s="21" t="str" cm="1">
        <f t="array" ref="CB27">IF(InfGog3LevelCurrent&gt;=$B27,"-",IF(InfGog3LevelDesired&lt;$B27,"-",$E27))</f>
        <v>-</v>
      </c>
      <c r="CC27" s="15" t="str">
        <f t="shared" si="73"/>
        <v>-</v>
      </c>
      <c r="CD27" s="1" t="str">
        <f t="shared" si="74"/>
        <v>-</v>
      </c>
      <c r="CE27" s="21" t="str">
        <f t="shared" si="75"/>
        <v>-</v>
      </c>
      <c r="CF27" s="15" t="str">
        <f t="shared" si="76"/>
        <v>-</v>
      </c>
      <c r="CG27" s="1" t="str">
        <f t="shared" si="77"/>
        <v>-</v>
      </c>
      <c r="CH27" s="21" t="str">
        <f t="shared" si="78"/>
        <v>-</v>
      </c>
      <c r="CI27" s="15" t="str">
        <f t="shared" si="79"/>
        <v>-</v>
      </c>
      <c r="CJ27" s="1" t="str">
        <f t="shared" si="80"/>
        <v>-</v>
      </c>
      <c r="CK27" s="21" t="str">
        <f t="shared" si="81"/>
        <v>-</v>
      </c>
      <c r="CL27" s="15" t="str">
        <f t="shared" si="82"/>
        <v>-</v>
      </c>
      <c r="CM27" s="1" t="str">
        <f t="shared" si="83"/>
        <v>-</v>
      </c>
      <c r="CN27" s="21" t="str">
        <f t="shared" si="84"/>
        <v>-</v>
      </c>
      <c r="CO27" s="15" t="str">
        <f t="shared" si="85"/>
        <v>-</v>
      </c>
      <c r="CP27" s="1" t="str">
        <f t="shared" si="86"/>
        <v>-</v>
      </c>
      <c r="CQ27" s="21" t="str">
        <f t="shared" si="87"/>
        <v>-</v>
      </c>
      <c r="CR27" s="15" t="str">
        <f t="shared" si="88"/>
        <v>-</v>
      </c>
      <c r="CS27" s="1" t="str">
        <f t="shared" si="89"/>
        <v>-</v>
      </c>
      <c r="CT27" s="21" t="str">
        <f t="shared" si="90"/>
        <v>-</v>
      </c>
      <c r="CU27" s="15" t="str">
        <f t="shared" si="91"/>
        <v>-</v>
      </c>
      <c r="CV27" s="1" t="str">
        <f t="shared" si="92"/>
        <v>-</v>
      </c>
      <c r="CW27" s="21" t="str">
        <f t="shared" si="93"/>
        <v>-</v>
      </c>
      <c r="CX27" s="15" t="str">
        <f t="shared" si="94"/>
        <v>-</v>
      </c>
      <c r="CY27" s="1" t="str">
        <f t="shared" si="95"/>
        <v>-</v>
      </c>
      <c r="CZ27" s="21" t="str">
        <f t="shared" si="96"/>
        <v>-</v>
      </c>
      <c r="DA27" s="15" t="str">
        <f t="shared" si="97"/>
        <v>-</v>
      </c>
      <c r="DB27" s="1" t="str">
        <f t="shared" si="98"/>
        <v>-</v>
      </c>
      <c r="DC27" s="21" t="str">
        <f t="shared" si="99"/>
        <v>-</v>
      </c>
      <c r="DD27" s="15" t="str">
        <f t="shared" si="100"/>
        <v>-</v>
      </c>
      <c r="DE27" s="1" t="str">
        <f t="shared" si="101"/>
        <v>-</v>
      </c>
      <c r="DF27" s="21" t="str">
        <f t="shared" si="102"/>
        <v>-</v>
      </c>
      <c r="DG27" s="15" t="str">
        <f t="shared" si="103"/>
        <v>-</v>
      </c>
      <c r="DH27" s="1" t="str">
        <f t="shared" si="104"/>
        <v>-</v>
      </c>
      <c r="DI27" s="21" t="str">
        <f t="shared" si="105"/>
        <v>-</v>
      </c>
    </row>
    <row r="28" spans="2:113" x14ac:dyDescent="0.3">
      <c r="B28" s="1">
        <v>23</v>
      </c>
      <c r="C28" s="67">
        <v>120</v>
      </c>
      <c r="D28" s="88" t="s">
        <v>27</v>
      </c>
      <c r="E28" s="21" t="s">
        <v>27</v>
      </c>
      <c r="F28" s="15" t="str">
        <f t="shared" ref="F28" si="1618">IF(InfGog1LevelCurrent&gt;=$B28,"-",IF(InfGog1LevelDesired&lt;$B28,"-",$C28))</f>
        <v>-</v>
      </c>
      <c r="G28" s="1" t="str">
        <f t="shared" ref="G28" si="1619">IF(InfGog1LevelCurrent&gt;=$B28,"-",IF(InfGog1LevelDesired&lt;$B28,"-",$D28))</f>
        <v>-</v>
      </c>
      <c r="H28" s="21" t="str">
        <f t="shared" ref="H28" si="1620">IF(InfGog1LevelCurrent&gt;=$B28,"-",IF(InfGog1LevelDesired&lt;$B28,"-",$E28))</f>
        <v>-</v>
      </c>
      <c r="I28" s="15" t="str">
        <f t="shared" ref="I28" si="1621">IF(InfGlo1LevelCurrent&gt;=$B28,"-",IF(InfGlo1LevelDesired&lt;$B28,"-",$C28))</f>
        <v>-</v>
      </c>
      <c r="J28" s="1" t="str">
        <f t="shared" ref="J28" si="1622">IF(InfGlo1LevelCurrent&gt;=$B28,"-",IF(InfGlo1LevelDesired&lt;$B28,"-",$D28))</f>
        <v>-</v>
      </c>
      <c r="K28" s="21" t="str">
        <f t="shared" ref="K28" si="1623">IF(InfGlo1LevelCurrent&gt;=$B28,"-",IF(InfGlo1LevelDesired&lt;$B28,"-",$E28))</f>
        <v>-</v>
      </c>
      <c r="L28" s="15" t="str">
        <f t="shared" ref="L28" si="1624">IF(InfBel1LevelCurrent&gt;=$B28,"-",IF(InfBel1LevelDesired&lt;$B28,"-",$C28))</f>
        <v>-</v>
      </c>
      <c r="M28" s="1" t="str">
        <f t="shared" ref="M28" si="1625">IF(InfBel1LevelCurrent&gt;=$B28,"-",IF(InfBel1LevelDesired&lt;$B28,"-",$D28))</f>
        <v>-</v>
      </c>
      <c r="N28" s="21" t="str">
        <f t="shared" ref="N28" si="1626">IF(InfBel1LevelCurrent&gt;=$B28,"-",IF(InfBel1LevelDesired&lt;$B28,"-",$E28))</f>
        <v>-</v>
      </c>
      <c r="O28" s="15" t="str">
        <f t="shared" ref="O28" si="1627">IF(InfBoo1LevelCurrent&gt;=$B28,"-",IF(InfBoo1LevelDesired&lt;$B28,"-",$C28))</f>
        <v>-</v>
      </c>
      <c r="P28" s="1" t="str">
        <f t="shared" ref="P28" si="1628">IF(InfBoo1LevelCurrent&gt;=$B28,"-",IF(InfBoo1LevelDesired&lt;$B28,"-",$D28))</f>
        <v>-</v>
      </c>
      <c r="Q28" s="21" t="str">
        <f t="shared" ref="Q28" si="1629">IF(InfBoo1LevelCurrent&gt;=$B28,"-",IF(InfBoo1LevelDesired&lt;$B28,"-",$E28))</f>
        <v>-</v>
      </c>
      <c r="R28" s="15" t="str">
        <f t="shared" ref="R28" si="1630">IF(LanGog1LevelCurrent&gt;=$B28,"-",IF(LanGog1LevelDesired&lt;$B28,"-",$C28))</f>
        <v>-</v>
      </c>
      <c r="S28" s="1" t="str">
        <f t="shared" ref="S28" si="1631">IF(LanGog1LevelCurrent&gt;=$B28,"-",IF(LanGog1LevelDesired&lt;$B28,"-",$D28))</f>
        <v>-</v>
      </c>
      <c r="T28" s="21" t="str">
        <f t="shared" ref="T28" si="1632">IF(LanGog1LevelCurrent&gt;=$B28,"-",IF(LanGog1LevelDesired&lt;$B28,"-",$E28))</f>
        <v>-</v>
      </c>
      <c r="U28" s="15" t="str">
        <f t="shared" ref="U28" si="1633">IF(LanGlo1LevelCurrent&gt;=$B28,"-",IF(LanGlo1LevelDesired&lt;$B28,"-",$C28))</f>
        <v>-</v>
      </c>
      <c r="V28" s="1" t="str">
        <f t="shared" ref="V28" si="1634">IF(LanGlo1LevelCurrent&gt;=$B28,"-",IF(LanGlo1LevelDesired&lt;$B28,"-",$D28))</f>
        <v>-</v>
      </c>
      <c r="W28" s="21" t="str">
        <f t="shared" ref="W28" si="1635">IF(LanGlo1LevelCurrent&gt;=$B28,"-",IF(LanGlo1LevelDesired&lt;$B28,"-",$E28))</f>
        <v>-</v>
      </c>
      <c r="X28" s="15" t="str">
        <f t="shared" ref="X28" si="1636">IF(LanBel1LevelCurrent&gt;=$B28,"-",IF(LanBel1LevelDesired&lt;$B28,"-",$C28))</f>
        <v>-</v>
      </c>
      <c r="Y28" s="1" t="str">
        <f t="shared" ref="Y28" si="1637">IF(LanBel1LevelCurrent&gt;=$B28,"-",IF(LanBel1LevelDesired&lt;$B28,"-",$D28))</f>
        <v>-</v>
      </c>
      <c r="Z28" s="21" t="str">
        <f t="shared" ref="Z28" si="1638">IF(LanBel1LevelCurrent&gt;=$B28,"-",IF(LanBel1LevelDesired&lt;$B28,"-",$E28))</f>
        <v>-</v>
      </c>
      <c r="AA28" s="15" t="str">
        <f t="shared" ref="AA28" si="1639">IF(LanBoo1LevelCurrent&gt;=$B28,"-",IF(LanBoo1LevelDesired&lt;$B28,"-",$C28))</f>
        <v>-</v>
      </c>
      <c r="AB28" s="1" t="str">
        <f t="shared" ref="AB28" si="1640">IF(LanBoo1LevelCurrent&gt;=$B28,"-",IF(LanBoo1LevelDesired&lt;$B28,"-",$D28))</f>
        <v>-</v>
      </c>
      <c r="AC28" s="21" t="str">
        <f t="shared" ref="AC28" si="1641">IF(LanBoo1LevelCurrent&gt;=$B28,"-",IF(LanBoo1LevelDesired&lt;$B28,"-",$E28))</f>
        <v>-</v>
      </c>
      <c r="AD28" s="15" t="str">
        <f t="shared" ref="AD28" si="1642">IF(MarGog1LevelCurrent&gt;=$B28,"-",IF(MarGog1LevelDesired&lt;$B28,"-",$C28))</f>
        <v>-</v>
      </c>
      <c r="AE28" s="1" t="str">
        <f t="shared" ref="AE28" si="1643">IF(MarGog1LevelCurrent&gt;=$B28,"-",IF(MarGog1LevelDesired&lt;$B28,"-",$D28))</f>
        <v>-</v>
      </c>
      <c r="AF28" s="21" t="str">
        <f t="shared" ref="AF28" si="1644">IF(MarGog1LevelCurrent&gt;=$B28,"-",IF(MarGog1LevelDesired&lt;$B28,"-",$E28))</f>
        <v>-</v>
      </c>
      <c r="AG28" s="15" t="str">
        <f t="shared" ref="AG28" si="1645">IF(MarGlo1LevelCurrent&gt;=$B28,"-",IF(MarGlo1LevelDesired&lt;$B28,"-",$C28))</f>
        <v>-</v>
      </c>
      <c r="AH28" s="1" t="str">
        <f t="shared" ref="AH28" si="1646">IF(MarGlo1LevelCurrent&gt;=$B28,"-",IF(MarGlo1LevelDesired&lt;$B28,"-",$D28))</f>
        <v>-</v>
      </c>
      <c r="AI28" s="21" t="str">
        <f t="shared" ref="AI28" si="1647">IF(MarGlo1LevelCurrent&gt;=$B28,"-",IF(MarGlo1LevelDesired&lt;$B28,"-",$E28))</f>
        <v>-</v>
      </c>
      <c r="AJ28" s="15" t="str">
        <f t="shared" ref="AJ28" si="1648">IF(MarBel1LevelCurrent&gt;=$B28,"-",IF(MarBel1LevelDesired&lt;$B28,"-",$C28))</f>
        <v>-</v>
      </c>
      <c r="AK28" s="1" t="str">
        <f t="shared" ref="AK28" si="1649">IF(MarBel1LevelCurrent&gt;=$B28,"-",IF(MarBel1LevelDesired&lt;$B28,"-",$D28))</f>
        <v>-</v>
      </c>
      <c r="AL28" s="21" t="str">
        <f t="shared" ref="AL28" si="1650">IF(MarBel1LevelCurrent&gt;=$B28,"-",IF(MarBel1LevelDesired&lt;$B28,"-",$E28))</f>
        <v>-</v>
      </c>
      <c r="AM28" s="15" t="str">
        <f t="shared" ref="AM28" si="1651">IF(MarBoo1LevelCurrent&gt;=$B28,"-",IF(MarBoo1LevelDesired&lt;$B28,"-",$C28))</f>
        <v>-</v>
      </c>
      <c r="AN28" s="1" t="str">
        <f t="shared" ref="AN28" si="1652">IF(MarBoo1LevelCurrent&gt;=$B28,"-",IF(MarBoo1LevelDesired&lt;$B28,"-",$D28))</f>
        <v>-</v>
      </c>
      <c r="AO28" s="21" t="str">
        <f t="shared" ref="AO28" si="1653">IF(MarBoo1LevelCurrent&gt;=$B28,"-",IF(MarBoo1LevelDesired&lt;$B28,"-",$E28))</f>
        <v>-</v>
      </c>
      <c r="AP28" s="15" t="str">
        <f t="shared" ref="AP28" si="1654">IF(InfGog2LevelCurrent&gt;=$B28,"-",IF(InfGog2LevelDesired&lt;$B28,"-",$C28))</f>
        <v>-</v>
      </c>
      <c r="AQ28" s="1" t="str">
        <f t="shared" ref="AQ28" si="1655">IF(InfGog2LevelCurrent&gt;=$B28,"-",IF(InfGog2LevelDesired&lt;$B28,"-",$D28))</f>
        <v>-</v>
      </c>
      <c r="AR28" s="21" t="str">
        <f t="shared" ref="AR28" si="1656">IF(InfGog2LevelCurrent&gt;=$B28,"-",IF(InfGog2LevelDesired&lt;$B28,"-",$E28))</f>
        <v>-</v>
      </c>
      <c r="AS28" s="15" t="str">
        <f t="shared" ref="AS28" si="1657">IF(InfGlo2LevelCurrent&gt;=$B28,"-",IF(InfGlo2LevelDesired&lt;$B28,"-",$C28))</f>
        <v>-</v>
      </c>
      <c r="AT28" s="1" t="str">
        <f t="shared" ref="AT28" si="1658">IF(InfGlo2LevelCurrent&gt;=$B28,"-",IF(InfGlo2LevelDesired&lt;$B28,"-",$D28))</f>
        <v>-</v>
      </c>
      <c r="AU28" s="21" t="str">
        <f t="shared" ref="AU28" si="1659">IF(InfGlo2LevelCurrent&gt;=$B28,"-",IF(InfGlo2LevelDesired&lt;$B28,"-",$E28))</f>
        <v>-</v>
      </c>
      <c r="AV28" s="15" t="str">
        <f t="shared" ref="AV28" si="1660">IF(InfBel2LevelCurrent&gt;=$B28,"-",IF(InfBel2LevelDesired&lt;$B28,"-",$C28))</f>
        <v>-</v>
      </c>
      <c r="AW28" s="1" t="str">
        <f t="shared" ref="AW28" si="1661">IF(InfBel2LevelCurrent&gt;=$B28,"-",IF(InfBel2LevelDesired&lt;$B28,"-",$D28))</f>
        <v>-</v>
      </c>
      <c r="AX28" s="21" t="str">
        <f t="shared" ref="AX28" si="1662">IF(InfBel2LevelCurrent&gt;=$B28,"-",IF(InfBel2LevelDesired&lt;$B28,"-",$E28))</f>
        <v>-</v>
      </c>
      <c r="AY28" s="15" t="str">
        <f t="shared" ref="AY28" si="1663">IF(InfBoo2LevelCurrent&gt;=$B28,"-",IF(InfBoo2LevelDesired&lt;$B28,"-",$C28))</f>
        <v>-</v>
      </c>
      <c r="AZ28" s="1" t="str">
        <f t="shared" ref="AZ28" si="1664">IF(InfBoo2LevelCurrent&gt;=$B28,"-",IF(InfBoo2LevelDesired&lt;$B28,"-",$D28))</f>
        <v>-</v>
      </c>
      <c r="BA28" s="21" t="str">
        <f t="shared" ref="BA28" si="1665">IF(InfBoo2LevelCurrent&gt;=$B28,"-",IF(InfBoo2LevelDesired&lt;$B28,"-",$E28))</f>
        <v>-</v>
      </c>
      <c r="BB28" s="15" t="str">
        <f t="shared" ref="BB28" si="1666">IF(LanGog2LevelCurrent&gt;=$B28,"-",IF(LanGog2LevelDesired&lt;$B28,"-",$C28))</f>
        <v>-</v>
      </c>
      <c r="BC28" s="1" t="str">
        <f t="shared" ref="BC28" si="1667">IF(LanGog2LevelCurrent&gt;=$B28,"-",IF(LanGog2LevelDesired&lt;$B28,"-",$D28))</f>
        <v>-</v>
      </c>
      <c r="BD28" s="21" t="str">
        <f t="shared" ref="BD28" si="1668">IF(LanGog2LevelCurrent&gt;=$B28,"-",IF(LanGog2LevelDesired&lt;$B28,"-",$E28))</f>
        <v>-</v>
      </c>
      <c r="BE28" s="15" t="str">
        <f t="shared" ref="BE28" si="1669">IF(LanGlo2LevelCurrent&gt;=$B28,"-",IF(LanGlo2LevelDesired&lt;$B28,"-",$C28))</f>
        <v>-</v>
      </c>
      <c r="BF28" s="1" t="str">
        <f t="shared" ref="BF28" si="1670">IF(LanGlo2LevelCurrent&gt;=$B28,"-",IF(LanGlo2LevelDesired&lt;$B28,"-",$D28))</f>
        <v>-</v>
      </c>
      <c r="BG28" s="21" t="str">
        <f t="shared" ref="BG28" si="1671">IF(LanGlo2LevelCurrent&gt;=$B28,"-",IF(LanGlo2LevelDesired&lt;$B28,"-",$E28))</f>
        <v>-</v>
      </c>
      <c r="BH28" s="15" t="str">
        <f t="shared" ref="BH28" si="1672">IF(LanBel2LevelCurrent&gt;=$B28,"-",IF(LanBel2LevelDesired&lt;$B28,"-",$C28))</f>
        <v>-</v>
      </c>
      <c r="BI28" s="1" t="str">
        <f t="shared" ref="BI28" si="1673">IF(LanBel2LevelCurrent&gt;=$B28,"-",IF(LanBel2LevelDesired&lt;$B28,"-",$D28))</f>
        <v>-</v>
      </c>
      <c r="BJ28" s="21" t="str">
        <f t="shared" ref="BJ28" si="1674">IF(LanBel2LevelCurrent&gt;=$B28,"-",IF(LanBel2LevelDesired&lt;$B28,"-",$E28))</f>
        <v>-</v>
      </c>
      <c r="BK28" s="15" t="str">
        <f t="shared" ref="BK28" si="1675">IF(LanBoo2LevelCurrent&gt;=$B28,"-",IF(LanBoo2LevelDesired&lt;$B28,"-",$C28))</f>
        <v>-</v>
      </c>
      <c r="BL28" s="1" t="str">
        <f t="shared" ref="BL28" si="1676">IF(LanBoo2LevelCurrent&gt;=$B28,"-",IF(LanBoo2LevelDesired&lt;$B28,"-",$D28))</f>
        <v>-</v>
      </c>
      <c r="BM28" s="21" t="str">
        <f t="shared" ref="BM28" si="1677">IF(LanBoo2LevelCurrent&gt;=$B28,"-",IF(LanBoo2LevelDesired&lt;$B28,"-",$E28))</f>
        <v>-</v>
      </c>
      <c r="BN28" s="15" t="str">
        <f t="shared" ref="BN28" si="1678">IF(MarGog2LevelCurrent&gt;=$B28,"-",IF(MarGog2LevelDesired&lt;$B28,"-",$C28))</f>
        <v>-</v>
      </c>
      <c r="BO28" s="1" t="str">
        <f t="shared" ref="BO28" si="1679">IF(MarGog2LevelCurrent&gt;=$B28,"-",IF(MarGog2LevelDesired&lt;$B28,"-",$D28))</f>
        <v>-</v>
      </c>
      <c r="BP28" s="21" t="str">
        <f t="shared" ref="BP28" si="1680">IF(MarGog2LevelCurrent&gt;=$B28,"-",IF(MarGog2LevelDesired&lt;$B28,"-",$E28))</f>
        <v>-</v>
      </c>
      <c r="BQ28" s="15" t="str">
        <f t="shared" ref="BQ28" si="1681">IF(MarGlo2LevelCurrent&gt;=$B28,"-",IF(MarGlo2LevelDesired&lt;$B28,"-",$C28))</f>
        <v>-</v>
      </c>
      <c r="BR28" s="1" t="str">
        <f t="shared" ref="BR28" si="1682">IF(MarGlo2LevelCurrent&gt;=$B28,"-",IF(MarGlo2LevelDesired&lt;$B28,"-",$D28))</f>
        <v>-</v>
      </c>
      <c r="BS28" s="21" t="str">
        <f t="shared" ref="BS28" si="1683">IF(MarGlo2LevelCurrent&gt;=$B28,"-",IF(MarGlo2LevelDesired&lt;$B28,"-",$E28))</f>
        <v>-</v>
      </c>
      <c r="BT28" s="15" t="str">
        <f t="shared" ref="BT28" si="1684">IF(MarBel2LevelCurrent&gt;=$B28,"-",IF(MarBel2LevelDesired&lt;$B28,"-",$C28))</f>
        <v>-</v>
      </c>
      <c r="BU28" s="1" t="str">
        <f t="shared" ref="BU28" si="1685">IF(MarBel2LevelCurrent&gt;=$B28,"-",IF(MarBel2LevelDesired&lt;$B28,"-",$D28))</f>
        <v>-</v>
      </c>
      <c r="BV28" s="21" t="str">
        <f t="shared" ref="BV28" si="1686">IF(MarBel2LevelCurrent&gt;=$B28,"-",IF(MarBel2LevelDesired&lt;$B28,"-",$E28))</f>
        <v>-</v>
      </c>
      <c r="BW28" s="15" t="str">
        <f t="shared" ref="BW28" si="1687">IF(MarBoo2LevelCurrent&gt;=$B28,"-",IF(MarBoo2LevelDesired&lt;$B28,"-",$C28))</f>
        <v>-</v>
      </c>
      <c r="BX28" s="1" t="str">
        <f t="shared" ref="BX28" si="1688">IF(MarBoo2LevelCurrent&gt;=$B28,"-",IF(MarBoo2LevelDesired&lt;$B28,"-",$D28))</f>
        <v>-</v>
      </c>
      <c r="BY28" s="21" t="str">
        <f t="shared" ref="BY28" si="1689">IF(MarBoo2LevelCurrent&gt;=$B28,"-",IF(MarBoo2LevelDesired&lt;$B28,"-",$E28))</f>
        <v>-</v>
      </c>
      <c r="BZ28" s="15" t="str">
        <f t="shared" si="72"/>
        <v>-</v>
      </c>
      <c r="CA28" s="1" t="str" cm="1">
        <f t="array" ref="CA28">IF(InfGog3LevelCurrent&gt;=$B28,"-",IF(InfGog3LevelDesired&lt;$B28,"-",$D28))</f>
        <v>-</v>
      </c>
      <c r="CB28" s="21" t="str" cm="1">
        <f t="array" ref="CB28">IF(InfGog3LevelCurrent&gt;=$B28,"-",IF(InfGog3LevelDesired&lt;$B28,"-",$E28))</f>
        <v>-</v>
      </c>
      <c r="CC28" s="15" t="str">
        <f t="shared" si="73"/>
        <v>-</v>
      </c>
      <c r="CD28" s="1" t="str">
        <f t="shared" si="74"/>
        <v>-</v>
      </c>
      <c r="CE28" s="21" t="str">
        <f t="shared" si="75"/>
        <v>-</v>
      </c>
      <c r="CF28" s="15" t="str">
        <f t="shared" si="76"/>
        <v>-</v>
      </c>
      <c r="CG28" s="1" t="str">
        <f t="shared" si="77"/>
        <v>-</v>
      </c>
      <c r="CH28" s="21" t="str">
        <f t="shared" si="78"/>
        <v>-</v>
      </c>
      <c r="CI28" s="15" t="str">
        <f t="shared" si="79"/>
        <v>-</v>
      </c>
      <c r="CJ28" s="1" t="str">
        <f t="shared" si="80"/>
        <v>-</v>
      </c>
      <c r="CK28" s="21" t="str">
        <f t="shared" si="81"/>
        <v>-</v>
      </c>
      <c r="CL28" s="15" t="str">
        <f t="shared" si="82"/>
        <v>-</v>
      </c>
      <c r="CM28" s="1" t="str">
        <f t="shared" si="83"/>
        <v>-</v>
      </c>
      <c r="CN28" s="21" t="str">
        <f t="shared" si="84"/>
        <v>-</v>
      </c>
      <c r="CO28" s="15" t="str">
        <f t="shared" si="85"/>
        <v>-</v>
      </c>
      <c r="CP28" s="1" t="str">
        <f t="shared" si="86"/>
        <v>-</v>
      </c>
      <c r="CQ28" s="21" t="str">
        <f t="shared" si="87"/>
        <v>-</v>
      </c>
      <c r="CR28" s="15" t="str">
        <f t="shared" si="88"/>
        <v>-</v>
      </c>
      <c r="CS28" s="1" t="str">
        <f t="shared" si="89"/>
        <v>-</v>
      </c>
      <c r="CT28" s="21" t="str">
        <f t="shared" si="90"/>
        <v>-</v>
      </c>
      <c r="CU28" s="15" t="str">
        <f t="shared" si="91"/>
        <v>-</v>
      </c>
      <c r="CV28" s="1" t="str">
        <f t="shared" si="92"/>
        <v>-</v>
      </c>
      <c r="CW28" s="21" t="str">
        <f t="shared" si="93"/>
        <v>-</v>
      </c>
      <c r="CX28" s="15" t="str">
        <f t="shared" si="94"/>
        <v>-</v>
      </c>
      <c r="CY28" s="1" t="str">
        <f t="shared" si="95"/>
        <v>-</v>
      </c>
      <c r="CZ28" s="21" t="str">
        <f t="shared" si="96"/>
        <v>-</v>
      </c>
      <c r="DA28" s="15" t="str">
        <f t="shared" si="97"/>
        <v>-</v>
      </c>
      <c r="DB28" s="1" t="str">
        <f t="shared" si="98"/>
        <v>-</v>
      </c>
      <c r="DC28" s="21" t="str">
        <f t="shared" si="99"/>
        <v>-</v>
      </c>
      <c r="DD28" s="15" t="str">
        <f t="shared" si="100"/>
        <v>-</v>
      </c>
      <c r="DE28" s="1" t="str">
        <f t="shared" si="101"/>
        <v>-</v>
      </c>
      <c r="DF28" s="21" t="str">
        <f t="shared" si="102"/>
        <v>-</v>
      </c>
      <c r="DG28" s="15" t="str">
        <f t="shared" si="103"/>
        <v>-</v>
      </c>
      <c r="DH28" s="1" t="str">
        <f t="shared" si="104"/>
        <v>-</v>
      </c>
      <c r="DI28" s="21" t="str">
        <f t="shared" si="105"/>
        <v>-</v>
      </c>
    </row>
    <row r="29" spans="2:113" x14ac:dyDescent="0.3">
      <c r="B29" s="1">
        <v>24</v>
      </c>
      <c r="C29" s="67">
        <v>125</v>
      </c>
      <c r="D29" s="88" t="s">
        <v>27</v>
      </c>
      <c r="E29" s="21" t="s">
        <v>27</v>
      </c>
      <c r="F29" s="15" t="str">
        <f t="shared" ref="F29" si="1690">IF(InfGog1LevelCurrent&gt;=$B29,"-",IF(InfGog1LevelDesired&lt;$B29,"-",$C29))</f>
        <v>-</v>
      </c>
      <c r="G29" s="1" t="str">
        <f t="shared" ref="G29" si="1691">IF(InfGog1LevelCurrent&gt;=$B29,"-",IF(InfGog1LevelDesired&lt;$B29,"-",$D29))</f>
        <v>-</v>
      </c>
      <c r="H29" s="21" t="str">
        <f t="shared" ref="H29" si="1692">IF(InfGog1LevelCurrent&gt;=$B29,"-",IF(InfGog1LevelDesired&lt;$B29,"-",$E29))</f>
        <v>-</v>
      </c>
      <c r="I29" s="15" t="str">
        <f t="shared" ref="I29" si="1693">IF(InfGlo1LevelCurrent&gt;=$B29,"-",IF(InfGlo1LevelDesired&lt;$B29,"-",$C29))</f>
        <v>-</v>
      </c>
      <c r="J29" s="1" t="str">
        <f t="shared" ref="J29" si="1694">IF(InfGlo1LevelCurrent&gt;=$B29,"-",IF(InfGlo1LevelDesired&lt;$B29,"-",$D29))</f>
        <v>-</v>
      </c>
      <c r="K29" s="21" t="str">
        <f t="shared" ref="K29" si="1695">IF(InfGlo1LevelCurrent&gt;=$B29,"-",IF(InfGlo1LevelDesired&lt;$B29,"-",$E29))</f>
        <v>-</v>
      </c>
      <c r="L29" s="15" t="str">
        <f t="shared" ref="L29" si="1696">IF(InfBel1LevelCurrent&gt;=$B29,"-",IF(InfBel1LevelDesired&lt;$B29,"-",$C29))</f>
        <v>-</v>
      </c>
      <c r="M29" s="1" t="str">
        <f t="shared" ref="M29" si="1697">IF(InfBel1LevelCurrent&gt;=$B29,"-",IF(InfBel1LevelDesired&lt;$B29,"-",$D29))</f>
        <v>-</v>
      </c>
      <c r="N29" s="21" t="str">
        <f t="shared" ref="N29" si="1698">IF(InfBel1LevelCurrent&gt;=$B29,"-",IF(InfBel1LevelDesired&lt;$B29,"-",$E29))</f>
        <v>-</v>
      </c>
      <c r="O29" s="15" t="str">
        <f t="shared" ref="O29" si="1699">IF(InfBoo1LevelCurrent&gt;=$B29,"-",IF(InfBoo1LevelDesired&lt;$B29,"-",$C29))</f>
        <v>-</v>
      </c>
      <c r="P29" s="1" t="str">
        <f t="shared" ref="P29" si="1700">IF(InfBoo1LevelCurrent&gt;=$B29,"-",IF(InfBoo1LevelDesired&lt;$B29,"-",$D29))</f>
        <v>-</v>
      </c>
      <c r="Q29" s="21" t="str">
        <f t="shared" ref="Q29" si="1701">IF(InfBoo1LevelCurrent&gt;=$B29,"-",IF(InfBoo1LevelDesired&lt;$B29,"-",$E29))</f>
        <v>-</v>
      </c>
      <c r="R29" s="15" t="str">
        <f t="shared" ref="R29" si="1702">IF(LanGog1LevelCurrent&gt;=$B29,"-",IF(LanGog1LevelDesired&lt;$B29,"-",$C29))</f>
        <v>-</v>
      </c>
      <c r="S29" s="1" t="str">
        <f t="shared" ref="S29" si="1703">IF(LanGog1LevelCurrent&gt;=$B29,"-",IF(LanGog1LevelDesired&lt;$B29,"-",$D29))</f>
        <v>-</v>
      </c>
      <c r="T29" s="21" t="str">
        <f t="shared" ref="T29" si="1704">IF(LanGog1LevelCurrent&gt;=$B29,"-",IF(LanGog1LevelDesired&lt;$B29,"-",$E29))</f>
        <v>-</v>
      </c>
      <c r="U29" s="15" t="str">
        <f t="shared" ref="U29" si="1705">IF(LanGlo1LevelCurrent&gt;=$B29,"-",IF(LanGlo1LevelDesired&lt;$B29,"-",$C29))</f>
        <v>-</v>
      </c>
      <c r="V29" s="1" t="str">
        <f t="shared" ref="V29" si="1706">IF(LanGlo1LevelCurrent&gt;=$B29,"-",IF(LanGlo1LevelDesired&lt;$B29,"-",$D29))</f>
        <v>-</v>
      </c>
      <c r="W29" s="21" t="str">
        <f t="shared" ref="W29" si="1707">IF(LanGlo1LevelCurrent&gt;=$B29,"-",IF(LanGlo1LevelDesired&lt;$B29,"-",$E29))</f>
        <v>-</v>
      </c>
      <c r="X29" s="15" t="str">
        <f t="shared" ref="X29" si="1708">IF(LanBel1LevelCurrent&gt;=$B29,"-",IF(LanBel1LevelDesired&lt;$B29,"-",$C29))</f>
        <v>-</v>
      </c>
      <c r="Y29" s="1" t="str">
        <f t="shared" ref="Y29" si="1709">IF(LanBel1LevelCurrent&gt;=$B29,"-",IF(LanBel1LevelDesired&lt;$B29,"-",$D29))</f>
        <v>-</v>
      </c>
      <c r="Z29" s="21" t="str">
        <f t="shared" ref="Z29" si="1710">IF(LanBel1LevelCurrent&gt;=$B29,"-",IF(LanBel1LevelDesired&lt;$B29,"-",$E29))</f>
        <v>-</v>
      </c>
      <c r="AA29" s="15" t="str">
        <f t="shared" ref="AA29" si="1711">IF(LanBoo1LevelCurrent&gt;=$B29,"-",IF(LanBoo1LevelDesired&lt;$B29,"-",$C29))</f>
        <v>-</v>
      </c>
      <c r="AB29" s="1" t="str">
        <f t="shared" ref="AB29" si="1712">IF(LanBoo1LevelCurrent&gt;=$B29,"-",IF(LanBoo1LevelDesired&lt;$B29,"-",$D29))</f>
        <v>-</v>
      </c>
      <c r="AC29" s="21" t="str">
        <f t="shared" ref="AC29" si="1713">IF(LanBoo1LevelCurrent&gt;=$B29,"-",IF(LanBoo1LevelDesired&lt;$B29,"-",$E29))</f>
        <v>-</v>
      </c>
      <c r="AD29" s="15" t="str">
        <f t="shared" ref="AD29" si="1714">IF(MarGog1LevelCurrent&gt;=$B29,"-",IF(MarGog1LevelDesired&lt;$B29,"-",$C29))</f>
        <v>-</v>
      </c>
      <c r="AE29" s="1" t="str">
        <f t="shared" ref="AE29" si="1715">IF(MarGog1LevelCurrent&gt;=$B29,"-",IF(MarGog1LevelDesired&lt;$B29,"-",$D29))</f>
        <v>-</v>
      </c>
      <c r="AF29" s="21" t="str">
        <f t="shared" ref="AF29" si="1716">IF(MarGog1LevelCurrent&gt;=$B29,"-",IF(MarGog1LevelDesired&lt;$B29,"-",$E29))</f>
        <v>-</v>
      </c>
      <c r="AG29" s="15" t="str">
        <f t="shared" ref="AG29" si="1717">IF(MarGlo1LevelCurrent&gt;=$B29,"-",IF(MarGlo1LevelDesired&lt;$B29,"-",$C29))</f>
        <v>-</v>
      </c>
      <c r="AH29" s="1" t="str">
        <f t="shared" ref="AH29" si="1718">IF(MarGlo1LevelCurrent&gt;=$B29,"-",IF(MarGlo1LevelDesired&lt;$B29,"-",$D29))</f>
        <v>-</v>
      </c>
      <c r="AI29" s="21" t="str">
        <f t="shared" ref="AI29" si="1719">IF(MarGlo1LevelCurrent&gt;=$B29,"-",IF(MarGlo1LevelDesired&lt;$B29,"-",$E29))</f>
        <v>-</v>
      </c>
      <c r="AJ29" s="15" t="str">
        <f t="shared" ref="AJ29" si="1720">IF(MarBel1LevelCurrent&gt;=$B29,"-",IF(MarBel1LevelDesired&lt;$B29,"-",$C29))</f>
        <v>-</v>
      </c>
      <c r="AK29" s="1" t="str">
        <f t="shared" ref="AK29" si="1721">IF(MarBel1LevelCurrent&gt;=$B29,"-",IF(MarBel1LevelDesired&lt;$B29,"-",$D29))</f>
        <v>-</v>
      </c>
      <c r="AL29" s="21" t="str">
        <f t="shared" ref="AL29" si="1722">IF(MarBel1LevelCurrent&gt;=$B29,"-",IF(MarBel1LevelDesired&lt;$B29,"-",$E29))</f>
        <v>-</v>
      </c>
      <c r="AM29" s="15" t="str">
        <f t="shared" ref="AM29" si="1723">IF(MarBoo1LevelCurrent&gt;=$B29,"-",IF(MarBoo1LevelDesired&lt;$B29,"-",$C29))</f>
        <v>-</v>
      </c>
      <c r="AN29" s="1" t="str">
        <f t="shared" ref="AN29" si="1724">IF(MarBoo1LevelCurrent&gt;=$B29,"-",IF(MarBoo1LevelDesired&lt;$B29,"-",$D29))</f>
        <v>-</v>
      </c>
      <c r="AO29" s="21" t="str">
        <f t="shared" ref="AO29" si="1725">IF(MarBoo1LevelCurrent&gt;=$B29,"-",IF(MarBoo1LevelDesired&lt;$B29,"-",$E29))</f>
        <v>-</v>
      </c>
      <c r="AP29" s="15" t="str">
        <f t="shared" ref="AP29" si="1726">IF(InfGog2LevelCurrent&gt;=$B29,"-",IF(InfGog2LevelDesired&lt;$B29,"-",$C29))</f>
        <v>-</v>
      </c>
      <c r="AQ29" s="1" t="str">
        <f t="shared" ref="AQ29" si="1727">IF(InfGog2LevelCurrent&gt;=$B29,"-",IF(InfGog2LevelDesired&lt;$B29,"-",$D29))</f>
        <v>-</v>
      </c>
      <c r="AR29" s="21" t="str">
        <f t="shared" ref="AR29" si="1728">IF(InfGog2LevelCurrent&gt;=$B29,"-",IF(InfGog2LevelDesired&lt;$B29,"-",$E29))</f>
        <v>-</v>
      </c>
      <c r="AS29" s="15" t="str">
        <f t="shared" ref="AS29" si="1729">IF(InfGlo2LevelCurrent&gt;=$B29,"-",IF(InfGlo2LevelDesired&lt;$B29,"-",$C29))</f>
        <v>-</v>
      </c>
      <c r="AT29" s="1" t="str">
        <f t="shared" ref="AT29" si="1730">IF(InfGlo2LevelCurrent&gt;=$B29,"-",IF(InfGlo2LevelDesired&lt;$B29,"-",$D29))</f>
        <v>-</v>
      </c>
      <c r="AU29" s="21" t="str">
        <f t="shared" ref="AU29" si="1731">IF(InfGlo2LevelCurrent&gt;=$B29,"-",IF(InfGlo2LevelDesired&lt;$B29,"-",$E29))</f>
        <v>-</v>
      </c>
      <c r="AV29" s="15" t="str">
        <f t="shared" ref="AV29" si="1732">IF(InfBel2LevelCurrent&gt;=$B29,"-",IF(InfBel2LevelDesired&lt;$B29,"-",$C29))</f>
        <v>-</v>
      </c>
      <c r="AW29" s="1" t="str">
        <f t="shared" ref="AW29" si="1733">IF(InfBel2LevelCurrent&gt;=$B29,"-",IF(InfBel2LevelDesired&lt;$B29,"-",$D29))</f>
        <v>-</v>
      </c>
      <c r="AX29" s="21" t="str">
        <f t="shared" ref="AX29" si="1734">IF(InfBel2LevelCurrent&gt;=$B29,"-",IF(InfBel2LevelDesired&lt;$B29,"-",$E29))</f>
        <v>-</v>
      </c>
      <c r="AY29" s="15" t="str">
        <f t="shared" ref="AY29" si="1735">IF(InfBoo2LevelCurrent&gt;=$B29,"-",IF(InfBoo2LevelDesired&lt;$B29,"-",$C29))</f>
        <v>-</v>
      </c>
      <c r="AZ29" s="1" t="str">
        <f t="shared" ref="AZ29" si="1736">IF(InfBoo2LevelCurrent&gt;=$B29,"-",IF(InfBoo2LevelDesired&lt;$B29,"-",$D29))</f>
        <v>-</v>
      </c>
      <c r="BA29" s="21" t="str">
        <f t="shared" ref="BA29" si="1737">IF(InfBoo2LevelCurrent&gt;=$B29,"-",IF(InfBoo2LevelDesired&lt;$B29,"-",$E29))</f>
        <v>-</v>
      </c>
      <c r="BB29" s="15" t="str">
        <f t="shared" ref="BB29" si="1738">IF(LanGog2LevelCurrent&gt;=$B29,"-",IF(LanGog2LevelDesired&lt;$B29,"-",$C29))</f>
        <v>-</v>
      </c>
      <c r="BC29" s="1" t="str">
        <f t="shared" ref="BC29" si="1739">IF(LanGog2LevelCurrent&gt;=$B29,"-",IF(LanGog2LevelDesired&lt;$B29,"-",$D29))</f>
        <v>-</v>
      </c>
      <c r="BD29" s="21" t="str">
        <f t="shared" ref="BD29" si="1740">IF(LanGog2LevelCurrent&gt;=$B29,"-",IF(LanGog2LevelDesired&lt;$B29,"-",$E29))</f>
        <v>-</v>
      </c>
      <c r="BE29" s="15" t="str">
        <f t="shared" ref="BE29" si="1741">IF(LanGlo2LevelCurrent&gt;=$B29,"-",IF(LanGlo2LevelDesired&lt;$B29,"-",$C29))</f>
        <v>-</v>
      </c>
      <c r="BF29" s="1" t="str">
        <f t="shared" ref="BF29" si="1742">IF(LanGlo2LevelCurrent&gt;=$B29,"-",IF(LanGlo2LevelDesired&lt;$B29,"-",$D29))</f>
        <v>-</v>
      </c>
      <c r="BG29" s="21" t="str">
        <f t="shared" ref="BG29" si="1743">IF(LanGlo2LevelCurrent&gt;=$B29,"-",IF(LanGlo2LevelDesired&lt;$B29,"-",$E29))</f>
        <v>-</v>
      </c>
      <c r="BH29" s="15" t="str">
        <f t="shared" ref="BH29" si="1744">IF(LanBel2LevelCurrent&gt;=$B29,"-",IF(LanBel2LevelDesired&lt;$B29,"-",$C29))</f>
        <v>-</v>
      </c>
      <c r="BI29" s="1" t="str">
        <f t="shared" ref="BI29" si="1745">IF(LanBel2LevelCurrent&gt;=$B29,"-",IF(LanBel2LevelDesired&lt;$B29,"-",$D29))</f>
        <v>-</v>
      </c>
      <c r="BJ29" s="21" t="str">
        <f t="shared" ref="BJ29" si="1746">IF(LanBel2LevelCurrent&gt;=$B29,"-",IF(LanBel2LevelDesired&lt;$B29,"-",$E29))</f>
        <v>-</v>
      </c>
      <c r="BK29" s="15" t="str">
        <f t="shared" ref="BK29" si="1747">IF(LanBoo2LevelCurrent&gt;=$B29,"-",IF(LanBoo2LevelDesired&lt;$B29,"-",$C29))</f>
        <v>-</v>
      </c>
      <c r="BL29" s="1" t="str">
        <f t="shared" ref="BL29" si="1748">IF(LanBoo2LevelCurrent&gt;=$B29,"-",IF(LanBoo2LevelDesired&lt;$B29,"-",$D29))</f>
        <v>-</v>
      </c>
      <c r="BM29" s="21" t="str">
        <f t="shared" ref="BM29" si="1749">IF(LanBoo2LevelCurrent&gt;=$B29,"-",IF(LanBoo2LevelDesired&lt;$B29,"-",$E29))</f>
        <v>-</v>
      </c>
      <c r="BN29" s="15" t="str">
        <f t="shared" ref="BN29" si="1750">IF(MarGog2LevelCurrent&gt;=$B29,"-",IF(MarGog2LevelDesired&lt;$B29,"-",$C29))</f>
        <v>-</v>
      </c>
      <c r="BO29" s="1" t="str">
        <f t="shared" ref="BO29" si="1751">IF(MarGog2LevelCurrent&gt;=$B29,"-",IF(MarGog2LevelDesired&lt;$B29,"-",$D29))</f>
        <v>-</v>
      </c>
      <c r="BP29" s="21" t="str">
        <f t="shared" ref="BP29" si="1752">IF(MarGog2LevelCurrent&gt;=$B29,"-",IF(MarGog2LevelDesired&lt;$B29,"-",$E29))</f>
        <v>-</v>
      </c>
      <c r="BQ29" s="15" t="str">
        <f t="shared" ref="BQ29" si="1753">IF(MarGlo2LevelCurrent&gt;=$B29,"-",IF(MarGlo2LevelDesired&lt;$B29,"-",$C29))</f>
        <v>-</v>
      </c>
      <c r="BR29" s="1" t="str">
        <f t="shared" ref="BR29" si="1754">IF(MarGlo2LevelCurrent&gt;=$B29,"-",IF(MarGlo2LevelDesired&lt;$B29,"-",$D29))</f>
        <v>-</v>
      </c>
      <c r="BS29" s="21" t="str">
        <f t="shared" ref="BS29" si="1755">IF(MarGlo2LevelCurrent&gt;=$B29,"-",IF(MarGlo2LevelDesired&lt;$B29,"-",$E29))</f>
        <v>-</v>
      </c>
      <c r="BT29" s="15" t="str">
        <f t="shared" ref="BT29" si="1756">IF(MarBel2LevelCurrent&gt;=$B29,"-",IF(MarBel2LevelDesired&lt;$B29,"-",$C29))</f>
        <v>-</v>
      </c>
      <c r="BU29" s="1" t="str">
        <f t="shared" ref="BU29" si="1757">IF(MarBel2LevelCurrent&gt;=$B29,"-",IF(MarBel2LevelDesired&lt;$B29,"-",$D29))</f>
        <v>-</v>
      </c>
      <c r="BV29" s="21" t="str">
        <f t="shared" ref="BV29" si="1758">IF(MarBel2LevelCurrent&gt;=$B29,"-",IF(MarBel2LevelDesired&lt;$B29,"-",$E29))</f>
        <v>-</v>
      </c>
      <c r="BW29" s="15" t="str">
        <f t="shared" ref="BW29" si="1759">IF(MarBoo2LevelCurrent&gt;=$B29,"-",IF(MarBoo2LevelDesired&lt;$B29,"-",$C29))</f>
        <v>-</v>
      </c>
      <c r="BX29" s="1" t="str">
        <f t="shared" ref="BX29" si="1760">IF(MarBoo2LevelCurrent&gt;=$B29,"-",IF(MarBoo2LevelDesired&lt;$B29,"-",$D29))</f>
        <v>-</v>
      </c>
      <c r="BY29" s="21" t="str">
        <f t="shared" ref="BY29" si="1761">IF(MarBoo2LevelCurrent&gt;=$B29,"-",IF(MarBoo2LevelDesired&lt;$B29,"-",$E29))</f>
        <v>-</v>
      </c>
      <c r="BZ29" s="15" t="str">
        <f t="shared" si="72"/>
        <v>-</v>
      </c>
      <c r="CA29" s="1" t="str" cm="1">
        <f t="array" ref="CA29">IF(InfGog3LevelCurrent&gt;=$B29,"-",IF(InfGog3LevelDesired&lt;$B29,"-",$D29))</f>
        <v>-</v>
      </c>
      <c r="CB29" s="21" t="str" cm="1">
        <f t="array" ref="CB29">IF(InfGog3LevelCurrent&gt;=$B29,"-",IF(InfGog3LevelDesired&lt;$B29,"-",$E29))</f>
        <v>-</v>
      </c>
      <c r="CC29" s="15" t="str">
        <f t="shared" si="73"/>
        <v>-</v>
      </c>
      <c r="CD29" s="1" t="str">
        <f t="shared" si="74"/>
        <v>-</v>
      </c>
      <c r="CE29" s="21" t="str">
        <f t="shared" si="75"/>
        <v>-</v>
      </c>
      <c r="CF29" s="15" t="str">
        <f t="shared" si="76"/>
        <v>-</v>
      </c>
      <c r="CG29" s="1" t="str">
        <f t="shared" si="77"/>
        <v>-</v>
      </c>
      <c r="CH29" s="21" t="str">
        <f t="shared" si="78"/>
        <v>-</v>
      </c>
      <c r="CI29" s="15" t="str">
        <f t="shared" si="79"/>
        <v>-</v>
      </c>
      <c r="CJ29" s="1" t="str">
        <f t="shared" si="80"/>
        <v>-</v>
      </c>
      <c r="CK29" s="21" t="str">
        <f t="shared" si="81"/>
        <v>-</v>
      </c>
      <c r="CL29" s="15" t="str">
        <f t="shared" si="82"/>
        <v>-</v>
      </c>
      <c r="CM29" s="1" t="str">
        <f t="shared" si="83"/>
        <v>-</v>
      </c>
      <c r="CN29" s="21" t="str">
        <f t="shared" si="84"/>
        <v>-</v>
      </c>
      <c r="CO29" s="15" t="str">
        <f t="shared" si="85"/>
        <v>-</v>
      </c>
      <c r="CP29" s="1" t="str">
        <f t="shared" si="86"/>
        <v>-</v>
      </c>
      <c r="CQ29" s="21" t="str">
        <f t="shared" si="87"/>
        <v>-</v>
      </c>
      <c r="CR29" s="15" t="str">
        <f t="shared" si="88"/>
        <v>-</v>
      </c>
      <c r="CS29" s="1" t="str">
        <f t="shared" si="89"/>
        <v>-</v>
      </c>
      <c r="CT29" s="21" t="str">
        <f t="shared" si="90"/>
        <v>-</v>
      </c>
      <c r="CU29" s="15" t="str">
        <f t="shared" si="91"/>
        <v>-</v>
      </c>
      <c r="CV29" s="1" t="str">
        <f t="shared" si="92"/>
        <v>-</v>
      </c>
      <c r="CW29" s="21" t="str">
        <f t="shared" si="93"/>
        <v>-</v>
      </c>
      <c r="CX29" s="15" t="str">
        <f t="shared" si="94"/>
        <v>-</v>
      </c>
      <c r="CY29" s="1" t="str">
        <f t="shared" si="95"/>
        <v>-</v>
      </c>
      <c r="CZ29" s="21" t="str">
        <f t="shared" si="96"/>
        <v>-</v>
      </c>
      <c r="DA29" s="15" t="str">
        <f t="shared" si="97"/>
        <v>-</v>
      </c>
      <c r="DB29" s="1" t="str">
        <f t="shared" si="98"/>
        <v>-</v>
      </c>
      <c r="DC29" s="21" t="str">
        <f t="shared" si="99"/>
        <v>-</v>
      </c>
      <c r="DD29" s="15" t="str">
        <f t="shared" si="100"/>
        <v>-</v>
      </c>
      <c r="DE29" s="1" t="str">
        <f t="shared" si="101"/>
        <v>-</v>
      </c>
      <c r="DF29" s="21" t="str">
        <f t="shared" si="102"/>
        <v>-</v>
      </c>
      <c r="DG29" s="15" t="str">
        <f t="shared" si="103"/>
        <v>-</v>
      </c>
      <c r="DH29" s="1" t="str">
        <f t="shared" si="104"/>
        <v>-</v>
      </c>
      <c r="DI29" s="21" t="str">
        <f t="shared" si="105"/>
        <v>-</v>
      </c>
    </row>
    <row r="30" spans="2:113" x14ac:dyDescent="0.3">
      <c r="B30" s="1">
        <v>25</v>
      </c>
      <c r="C30" s="67">
        <v>130</v>
      </c>
      <c r="D30" s="88" t="s">
        <v>27</v>
      </c>
      <c r="E30" s="21" t="s">
        <v>27</v>
      </c>
      <c r="F30" s="15" t="str">
        <f t="shared" ref="F30" si="1762">IF(InfGog1LevelCurrent&gt;=$B30,"-",IF(InfGog1LevelDesired&lt;$B30,"-",$C30))</f>
        <v>-</v>
      </c>
      <c r="G30" s="1" t="str">
        <f t="shared" ref="G30" si="1763">IF(InfGog1LevelCurrent&gt;=$B30,"-",IF(InfGog1LevelDesired&lt;$B30,"-",$D30))</f>
        <v>-</v>
      </c>
      <c r="H30" s="21" t="str">
        <f t="shared" ref="H30" si="1764">IF(InfGog1LevelCurrent&gt;=$B30,"-",IF(InfGog1LevelDesired&lt;$B30,"-",$E30))</f>
        <v>-</v>
      </c>
      <c r="I30" s="15" t="str">
        <f t="shared" ref="I30" si="1765">IF(InfGlo1LevelCurrent&gt;=$B30,"-",IF(InfGlo1LevelDesired&lt;$B30,"-",$C30))</f>
        <v>-</v>
      </c>
      <c r="J30" s="1" t="str">
        <f t="shared" ref="J30" si="1766">IF(InfGlo1LevelCurrent&gt;=$B30,"-",IF(InfGlo1LevelDesired&lt;$B30,"-",$D30))</f>
        <v>-</v>
      </c>
      <c r="K30" s="21" t="str">
        <f t="shared" ref="K30" si="1767">IF(InfGlo1LevelCurrent&gt;=$B30,"-",IF(InfGlo1LevelDesired&lt;$B30,"-",$E30))</f>
        <v>-</v>
      </c>
      <c r="L30" s="15" t="str">
        <f t="shared" ref="L30" si="1768">IF(InfBel1LevelCurrent&gt;=$B30,"-",IF(InfBel1LevelDesired&lt;$B30,"-",$C30))</f>
        <v>-</v>
      </c>
      <c r="M30" s="1" t="str">
        <f t="shared" ref="M30" si="1769">IF(InfBel1LevelCurrent&gt;=$B30,"-",IF(InfBel1LevelDesired&lt;$B30,"-",$D30))</f>
        <v>-</v>
      </c>
      <c r="N30" s="21" t="str">
        <f t="shared" ref="N30" si="1770">IF(InfBel1LevelCurrent&gt;=$B30,"-",IF(InfBel1LevelDesired&lt;$B30,"-",$E30))</f>
        <v>-</v>
      </c>
      <c r="O30" s="15" t="str">
        <f t="shared" ref="O30" si="1771">IF(InfBoo1LevelCurrent&gt;=$B30,"-",IF(InfBoo1LevelDesired&lt;$B30,"-",$C30))</f>
        <v>-</v>
      </c>
      <c r="P30" s="1" t="str">
        <f t="shared" ref="P30" si="1772">IF(InfBoo1LevelCurrent&gt;=$B30,"-",IF(InfBoo1LevelDesired&lt;$B30,"-",$D30))</f>
        <v>-</v>
      </c>
      <c r="Q30" s="21" t="str">
        <f t="shared" ref="Q30" si="1773">IF(InfBoo1LevelCurrent&gt;=$B30,"-",IF(InfBoo1LevelDesired&lt;$B30,"-",$E30))</f>
        <v>-</v>
      </c>
      <c r="R30" s="15" t="str">
        <f t="shared" ref="R30" si="1774">IF(LanGog1LevelCurrent&gt;=$B30,"-",IF(LanGog1LevelDesired&lt;$B30,"-",$C30))</f>
        <v>-</v>
      </c>
      <c r="S30" s="1" t="str">
        <f t="shared" ref="S30" si="1775">IF(LanGog1LevelCurrent&gt;=$B30,"-",IF(LanGog1LevelDesired&lt;$B30,"-",$D30))</f>
        <v>-</v>
      </c>
      <c r="T30" s="21" t="str">
        <f t="shared" ref="T30" si="1776">IF(LanGog1LevelCurrent&gt;=$B30,"-",IF(LanGog1LevelDesired&lt;$B30,"-",$E30))</f>
        <v>-</v>
      </c>
      <c r="U30" s="15" t="str">
        <f t="shared" ref="U30" si="1777">IF(LanGlo1LevelCurrent&gt;=$B30,"-",IF(LanGlo1LevelDesired&lt;$B30,"-",$C30))</f>
        <v>-</v>
      </c>
      <c r="V30" s="1" t="str">
        <f t="shared" ref="V30" si="1778">IF(LanGlo1LevelCurrent&gt;=$B30,"-",IF(LanGlo1LevelDesired&lt;$B30,"-",$D30))</f>
        <v>-</v>
      </c>
      <c r="W30" s="21" t="str">
        <f t="shared" ref="W30" si="1779">IF(LanGlo1LevelCurrent&gt;=$B30,"-",IF(LanGlo1LevelDesired&lt;$B30,"-",$E30))</f>
        <v>-</v>
      </c>
      <c r="X30" s="15" t="str">
        <f t="shared" ref="X30" si="1780">IF(LanBel1LevelCurrent&gt;=$B30,"-",IF(LanBel1LevelDesired&lt;$B30,"-",$C30))</f>
        <v>-</v>
      </c>
      <c r="Y30" s="1" t="str">
        <f t="shared" ref="Y30" si="1781">IF(LanBel1LevelCurrent&gt;=$B30,"-",IF(LanBel1LevelDesired&lt;$B30,"-",$D30))</f>
        <v>-</v>
      </c>
      <c r="Z30" s="21" t="str">
        <f t="shared" ref="Z30" si="1782">IF(LanBel1LevelCurrent&gt;=$B30,"-",IF(LanBel1LevelDesired&lt;$B30,"-",$E30))</f>
        <v>-</v>
      </c>
      <c r="AA30" s="15" t="str">
        <f t="shared" ref="AA30" si="1783">IF(LanBoo1LevelCurrent&gt;=$B30,"-",IF(LanBoo1LevelDesired&lt;$B30,"-",$C30))</f>
        <v>-</v>
      </c>
      <c r="AB30" s="1" t="str">
        <f t="shared" ref="AB30" si="1784">IF(LanBoo1LevelCurrent&gt;=$B30,"-",IF(LanBoo1LevelDesired&lt;$B30,"-",$D30))</f>
        <v>-</v>
      </c>
      <c r="AC30" s="21" t="str">
        <f t="shared" ref="AC30" si="1785">IF(LanBoo1LevelCurrent&gt;=$B30,"-",IF(LanBoo1LevelDesired&lt;$B30,"-",$E30))</f>
        <v>-</v>
      </c>
      <c r="AD30" s="15" t="str">
        <f t="shared" ref="AD30" si="1786">IF(MarGog1LevelCurrent&gt;=$B30,"-",IF(MarGog1LevelDesired&lt;$B30,"-",$C30))</f>
        <v>-</v>
      </c>
      <c r="AE30" s="1" t="str">
        <f t="shared" ref="AE30" si="1787">IF(MarGog1LevelCurrent&gt;=$B30,"-",IF(MarGog1LevelDesired&lt;$B30,"-",$D30))</f>
        <v>-</v>
      </c>
      <c r="AF30" s="21" t="str">
        <f t="shared" ref="AF30" si="1788">IF(MarGog1LevelCurrent&gt;=$B30,"-",IF(MarGog1LevelDesired&lt;$B30,"-",$E30))</f>
        <v>-</v>
      </c>
      <c r="AG30" s="15" t="str">
        <f t="shared" ref="AG30" si="1789">IF(MarGlo1LevelCurrent&gt;=$B30,"-",IF(MarGlo1LevelDesired&lt;$B30,"-",$C30))</f>
        <v>-</v>
      </c>
      <c r="AH30" s="1" t="str">
        <f t="shared" ref="AH30" si="1790">IF(MarGlo1LevelCurrent&gt;=$B30,"-",IF(MarGlo1LevelDesired&lt;$B30,"-",$D30))</f>
        <v>-</v>
      </c>
      <c r="AI30" s="21" t="str">
        <f t="shared" ref="AI30" si="1791">IF(MarGlo1LevelCurrent&gt;=$B30,"-",IF(MarGlo1LevelDesired&lt;$B30,"-",$E30))</f>
        <v>-</v>
      </c>
      <c r="AJ30" s="15" t="str">
        <f t="shared" ref="AJ30" si="1792">IF(MarBel1LevelCurrent&gt;=$B30,"-",IF(MarBel1LevelDesired&lt;$B30,"-",$C30))</f>
        <v>-</v>
      </c>
      <c r="AK30" s="1" t="str">
        <f t="shared" ref="AK30" si="1793">IF(MarBel1LevelCurrent&gt;=$B30,"-",IF(MarBel1LevelDesired&lt;$B30,"-",$D30))</f>
        <v>-</v>
      </c>
      <c r="AL30" s="21" t="str">
        <f t="shared" ref="AL30" si="1794">IF(MarBel1LevelCurrent&gt;=$B30,"-",IF(MarBel1LevelDesired&lt;$B30,"-",$E30))</f>
        <v>-</v>
      </c>
      <c r="AM30" s="15" t="str">
        <f t="shared" ref="AM30" si="1795">IF(MarBoo1LevelCurrent&gt;=$B30,"-",IF(MarBoo1LevelDesired&lt;$B30,"-",$C30))</f>
        <v>-</v>
      </c>
      <c r="AN30" s="1" t="str">
        <f t="shared" ref="AN30" si="1796">IF(MarBoo1LevelCurrent&gt;=$B30,"-",IF(MarBoo1LevelDesired&lt;$B30,"-",$D30))</f>
        <v>-</v>
      </c>
      <c r="AO30" s="21" t="str">
        <f t="shared" ref="AO30" si="1797">IF(MarBoo1LevelCurrent&gt;=$B30,"-",IF(MarBoo1LevelDesired&lt;$B30,"-",$E30))</f>
        <v>-</v>
      </c>
      <c r="AP30" s="15" t="str">
        <f t="shared" ref="AP30" si="1798">IF(InfGog2LevelCurrent&gt;=$B30,"-",IF(InfGog2LevelDesired&lt;$B30,"-",$C30))</f>
        <v>-</v>
      </c>
      <c r="AQ30" s="1" t="str">
        <f t="shared" ref="AQ30" si="1799">IF(InfGog2LevelCurrent&gt;=$B30,"-",IF(InfGog2LevelDesired&lt;$B30,"-",$D30))</f>
        <v>-</v>
      </c>
      <c r="AR30" s="21" t="str">
        <f t="shared" ref="AR30" si="1800">IF(InfGog2LevelCurrent&gt;=$B30,"-",IF(InfGog2LevelDesired&lt;$B30,"-",$E30))</f>
        <v>-</v>
      </c>
      <c r="AS30" s="15" t="str">
        <f t="shared" ref="AS30" si="1801">IF(InfGlo2LevelCurrent&gt;=$B30,"-",IF(InfGlo2LevelDesired&lt;$B30,"-",$C30))</f>
        <v>-</v>
      </c>
      <c r="AT30" s="1" t="str">
        <f t="shared" ref="AT30" si="1802">IF(InfGlo2LevelCurrent&gt;=$B30,"-",IF(InfGlo2LevelDesired&lt;$B30,"-",$D30))</f>
        <v>-</v>
      </c>
      <c r="AU30" s="21" t="str">
        <f t="shared" ref="AU30" si="1803">IF(InfGlo2LevelCurrent&gt;=$B30,"-",IF(InfGlo2LevelDesired&lt;$B30,"-",$E30))</f>
        <v>-</v>
      </c>
      <c r="AV30" s="15" t="str">
        <f t="shared" ref="AV30" si="1804">IF(InfBel2LevelCurrent&gt;=$B30,"-",IF(InfBel2LevelDesired&lt;$B30,"-",$C30))</f>
        <v>-</v>
      </c>
      <c r="AW30" s="1" t="str">
        <f t="shared" ref="AW30" si="1805">IF(InfBel2LevelCurrent&gt;=$B30,"-",IF(InfBel2LevelDesired&lt;$B30,"-",$D30))</f>
        <v>-</v>
      </c>
      <c r="AX30" s="21" t="str">
        <f t="shared" ref="AX30" si="1806">IF(InfBel2LevelCurrent&gt;=$B30,"-",IF(InfBel2LevelDesired&lt;$B30,"-",$E30))</f>
        <v>-</v>
      </c>
      <c r="AY30" s="15" t="str">
        <f t="shared" ref="AY30" si="1807">IF(InfBoo2LevelCurrent&gt;=$B30,"-",IF(InfBoo2LevelDesired&lt;$B30,"-",$C30))</f>
        <v>-</v>
      </c>
      <c r="AZ30" s="1" t="str">
        <f t="shared" ref="AZ30" si="1808">IF(InfBoo2LevelCurrent&gt;=$B30,"-",IF(InfBoo2LevelDesired&lt;$B30,"-",$D30))</f>
        <v>-</v>
      </c>
      <c r="BA30" s="21" t="str">
        <f t="shared" ref="BA30" si="1809">IF(InfBoo2LevelCurrent&gt;=$B30,"-",IF(InfBoo2LevelDesired&lt;$B30,"-",$E30))</f>
        <v>-</v>
      </c>
      <c r="BB30" s="15" t="str">
        <f t="shared" ref="BB30" si="1810">IF(LanGog2LevelCurrent&gt;=$B30,"-",IF(LanGog2LevelDesired&lt;$B30,"-",$C30))</f>
        <v>-</v>
      </c>
      <c r="BC30" s="1" t="str">
        <f t="shared" ref="BC30" si="1811">IF(LanGog2LevelCurrent&gt;=$B30,"-",IF(LanGog2LevelDesired&lt;$B30,"-",$D30))</f>
        <v>-</v>
      </c>
      <c r="BD30" s="21" t="str">
        <f t="shared" ref="BD30" si="1812">IF(LanGog2LevelCurrent&gt;=$B30,"-",IF(LanGog2LevelDesired&lt;$B30,"-",$E30))</f>
        <v>-</v>
      </c>
      <c r="BE30" s="15" t="str">
        <f t="shared" ref="BE30" si="1813">IF(LanGlo2LevelCurrent&gt;=$B30,"-",IF(LanGlo2LevelDesired&lt;$B30,"-",$C30))</f>
        <v>-</v>
      </c>
      <c r="BF30" s="1" t="str">
        <f t="shared" ref="BF30" si="1814">IF(LanGlo2LevelCurrent&gt;=$B30,"-",IF(LanGlo2LevelDesired&lt;$B30,"-",$D30))</f>
        <v>-</v>
      </c>
      <c r="BG30" s="21" t="str">
        <f t="shared" ref="BG30" si="1815">IF(LanGlo2LevelCurrent&gt;=$B30,"-",IF(LanGlo2LevelDesired&lt;$B30,"-",$E30))</f>
        <v>-</v>
      </c>
      <c r="BH30" s="15" t="str">
        <f t="shared" ref="BH30" si="1816">IF(LanBel2LevelCurrent&gt;=$B30,"-",IF(LanBel2LevelDesired&lt;$B30,"-",$C30))</f>
        <v>-</v>
      </c>
      <c r="BI30" s="1" t="str">
        <f t="shared" ref="BI30" si="1817">IF(LanBel2LevelCurrent&gt;=$B30,"-",IF(LanBel2LevelDesired&lt;$B30,"-",$D30))</f>
        <v>-</v>
      </c>
      <c r="BJ30" s="21" t="str">
        <f t="shared" ref="BJ30" si="1818">IF(LanBel2LevelCurrent&gt;=$B30,"-",IF(LanBel2LevelDesired&lt;$B30,"-",$E30))</f>
        <v>-</v>
      </c>
      <c r="BK30" s="15" t="str">
        <f t="shared" ref="BK30" si="1819">IF(LanBoo2LevelCurrent&gt;=$B30,"-",IF(LanBoo2LevelDesired&lt;$B30,"-",$C30))</f>
        <v>-</v>
      </c>
      <c r="BL30" s="1" t="str">
        <f t="shared" ref="BL30" si="1820">IF(LanBoo2LevelCurrent&gt;=$B30,"-",IF(LanBoo2LevelDesired&lt;$B30,"-",$D30))</f>
        <v>-</v>
      </c>
      <c r="BM30" s="21" t="str">
        <f t="shared" ref="BM30" si="1821">IF(LanBoo2LevelCurrent&gt;=$B30,"-",IF(LanBoo2LevelDesired&lt;$B30,"-",$E30))</f>
        <v>-</v>
      </c>
      <c r="BN30" s="15" t="str">
        <f t="shared" ref="BN30" si="1822">IF(MarGog2LevelCurrent&gt;=$B30,"-",IF(MarGog2LevelDesired&lt;$B30,"-",$C30))</f>
        <v>-</v>
      </c>
      <c r="BO30" s="1" t="str">
        <f t="shared" ref="BO30" si="1823">IF(MarGog2LevelCurrent&gt;=$B30,"-",IF(MarGog2LevelDesired&lt;$B30,"-",$D30))</f>
        <v>-</v>
      </c>
      <c r="BP30" s="21" t="str">
        <f t="shared" ref="BP30" si="1824">IF(MarGog2LevelCurrent&gt;=$B30,"-",IF(MarGog2LevelDesired&lt;$B30,"-",$E30))</f>
        <v>-</v>
      </c>
      <c r="BQ30" s="15" t="str">
        <f t="shared" ref="BQ30" si="1825">IF(MarGlo2LevelCurrent&gt;=$B30,"-",IF(MarGlo2LevelDesired&lt;$B30,"-",$C30))</f>
        <v>-</v>
      </c>
      <c r="BR30" s="1" t="str">
        <f t="shared" ref="BR30" si="1826">IF(MarGlo2LevelCurrent&gt;=$B30,"-",IF(MarGlo2LevelDesired&lt;$B30,"-",$D30))</f>
        <v>-</v>
      </c>
      <c r="BS30" s="21" t="str">
        <f t="shared" ref="BS30" si="1827">IF(MarGlo2LevelCurrent&gt;=$B30,"-",IF(MarGlo2LevelDesired&lt;$B30,"-",$E30))</f>
        <v>-</v>
      </c>
      <c r="BT30" s="15" t="str">
        <f t="shared" ref="BT30" si="1828">IF(MarBel2LevelCurrent&gt;=$B30,"-",IF(MarBel2LevelDesired&lt;$B30,"-",$C30))</f>
        <v>-</v>
      </c>
      <c r="BU30" s="1" t="str">
        <f t="shared" ref="BU30" si="1829">IF(MarBel2LevelCurrent&gt;=$B30,"-",IF(MarBel2LevelDesired&lt;$B30,"-",$D30))</f>
        <v>-</v>
      </c>
      <c r="BV30" s="21" t="str">
        <f t="shared" ref="BV30" si="1830">IF(MarBel2LevelCurrent&gt;=$B30,"-",IF(MarBel2LevelDesired&lt;$B30,"-",$E30))</f>
        <v>-</v>
      </c>
      <c r="BW30" s="15" t="str">
        <f t="shared" ref="BW30" si="1831">IF(MarBoo2LevelCurrent&gt;=$B30,"-",IF(MarBoo2LevelDesired&lt;$B30,"-",$C30))</f>
        <v>-</v>
      </c>
      <c r="BX30" s="1" t="str">
        <f t="shared" ref="BX30" si="1832">IF(MarBoo2LevelCurrent&gt;=$B30,"-",IF(MarBoo2LevelDesired&lt;$B30,"-",$D30))</f>
        <v>-</v>
      </c>
      <c r="BY30" s="21" t="str">
        <f t="shared" ref="BY30" si="1833">IF(MarBoo2LevelCurrent&gt;=$B30,"-",IF(MarBoo2LevelDesired&lt;$B30,"-",$E30))</f>
        <v>-</v>
      </c>
      <c r="BZ30" s="15" t="str">
        <f t="shared" si="72"/>
        <v>-</v>
      </c>
      <c r="CA30" s="1" t="str" cm="1">
        <f t="array" ref="CA30">IF(InfGog3LevelCurrent&gt;=$B30,"-",IF(InfGog3LevelDesired&lt;$B30,"-",$D30))</f>
        <v>-</v>
      </c>
      <c r="CB30" s="21" t="str" cm="1">
        <f t="array" ref="CB30">IF(InfGog3LevelCurrent&gt;=$B30,"-",IF(InfGog3LevelDesired&lt;$B30,"-",$E30))</f>
        <v>-</v>
      </c>
      <c r="CC30" s="15" t="str">
        <f t="shared" si="73"/>
        <v>-</v>
      </c>
      <c r="CD30" s="1" t="str">
        <f t="shared" si="74"/>
        <v>-</v>
      </c>
      <c r="CE30" s="21" t="str">
        <f t="shared" si="75"/>
        <v>-</v>
      </c>
      <c r="CF30" s="15" t="str">
        <f t="shared" si="76"/>
        <v>-</v>
      </c>
      <c r="CG30" s="1" t="str">
        <f t="shared" si="77"/>
        <v>-</v>
      </c>
      <c r="CH30" s="21" t="str">
        <f t="shared" si="78"/>
        <v>-</v>
      </c>
      <c r="CI30" s="15" t="str">
        <f t="shared" si="79"/>
        <v>-</v>
      </c>
      <c r="CJ30" s="1" t="str">
        <f t="shared" si="80"/>
        <v>-</v>
      </c>
      <c r="CK30" s="21" t="str">
        <f t="shared" si="81"/>
        <v>-</v>
      </c>
      <c r="CL30" s="15" t="str">
        <f t="shared" si="82"/>
        <v>-</v>
      </c>
      <c r="CM30" s="1" t="str">
        <f t="shared" si="83"/>
        <v>-</v>
      </c>
      <c r="CN30" s="21" t="str">
        <f t="shared" si="84"/>
        <v>-</v>
      </c>
      <c r="CO30" s="15" t="str">
        <f t="shared" si="85"/>
        <v>-</v>
      </c>
      <c r="CP30" s="1" t="str">
        <f t="shared" si="86"/>
        <v>-</v>
      </c>
      <c r="CQ30" s="21" t="str">
        <f t="shared" si="87"/>
        <v>-</v>
      </c>
      <c r="CR30" s="15" t="str">
        <f t="shared" si="88"/>
        <v>-</v>
      </c>
      <c r="CS30" s="1" t="str">
        <f t="shared" si="89"/>
        <v>-</v>
      </c>
      <c r="CT30" s="21" t="str">
        <f t="shared" si="90"/>
        <v>-</v>
      </c>
      <c r="CU30" s="15" t="str">
        <f t="shared" si="91"/>
        <v>-</v>
      </c>
      <c r="CV30" s="1" t="str">
        <f t="shared" si="92"/>
        <v>-</v>
      </c>
      <c r="CW30" s="21" t="str">
        <f t="shared" si="93"/>
        <v>-</v>
      </c>
      <c r="CX30" s="15" t="str">
        <f t="shared" si="94"/>
        <v>-</v>
      </c>
      <c r="CY30" s="1" t="str">
        <f t="shared" si="95"/>
        <v>-</v>
      </c>
      <c r="CZ30" s="21" t="str">
        <f t="shared" si="96"/>
        <v>-</v>
      </c>
      <c r="DA30" s="15" t="str">
        <f t="shared" si="97"/>
        <v>-</v>
      </c>
      <c r="DB30" s="1" t="str">
        <f t="shared" si="98"/>
        <v>-</v>
      </c>
      <c r="DC30" s="21" t="str">
        <f t="shared" si="99"/>
        <v>-</v>
      </c>
      <c r="DD30" s="15" t="str">
        <f t="shared" si="100"/>
        <v>-</v>
      </c>
      <c r="DE30" s="1" t="str">
        <f t="shared" si="101"/>
        <v>-</v>
      </c>
      <c r="DF30" s="21" t="str">
        <f t="shared" si="102"/>
        <v>-</v>
      </c>
      <c r="DG30" s="15" t="str">
        <f t="shared" si="103"/>
        <v>-</v>
      </c>
      <c r="DH30" s="1" t="str">
        <f t="shared" si="104"/>
        <v>-</v>
      </c>
      <c r="DI30" s="21" t="str">
        <f t="shared" si="105"/>
        <v>-</v>
      </c>
    </row>
    <row r="31" spans="2:113" x14ac:dyDescent="0.3">
      <c r="B31" s="1">
        <v>26</v>
      </c>
      <c r="C31" s="67">
        <v>135</v>
      </c>
      <c r="D31" s="88" t="s">
        <v>27</v>
      </c>
      <c r="E31" s="21" t="s">
        <v>27</v>
      </c>
      <c r="F31" s="15" t="str">
        <f t="shared" ref="F31" si="1834">IF(InfGog1LevelCurrent&gt;=$B31,"-",IF(InfGog1LevelDesired&lt;$B31,"-",$C31))</f>
        <v>-</v>
      </c>
      <c r="G31" s="1" t="str">
        <f t="shared" ref="G31" si="1835">IF(InfGog1LevelCurrent&gt;=$B31,"-",IF(InfGog1LevelDesired&lt;$B31,"-",$D31))</f>
        <v>-</v>
      </c>
      <c r="H31" s="21" t="str">
        <f t="shared" ref="H31" si="1836">IF(InfGog1LevelCurrent&gt;=$B31,"-",IF(InfGog1LevelDesired&lt;$B31,"-",$E31))</f>
        <v>-</v>
      </c>
      <c r="I31" s="15" t="str">
        <f t="shared" ref="I31" si="1837">IF(InfGlo1LevelCurrent&gt;=$B31,"-",IF(InfGlo1LevelDesired&lt;$B31,"-",$C31))</f>
        <v>-</v>
      </c>
      <c r="J31" s="1" t="str">
        <f t="shared" ref="J31" si="1838">IF(InfGlo1LevelCurrent&gt;=$B31,"-",IF(InfGlo1LevelDesired&lt;$B31,"-",$D31))</f>
        <v>-</v>
      </c>
      <c r="K31" s="21" t="str">
        <f t="shared" ref="K31" si="1839">IF(InfGlo1LevelCurrent&gt;=$B31,"-",IF(InfGlo1LevelDesired&lt;$B31,"-",$E31))</f>
        <v>-</v>
      </c>
      <c r="L31" s="15" t="str">
        <f t="shared" ref="L31" si="1840">IF(InfBel1LevelCurrent&gt;=$B31,"-",IF(InfBel1LevelDesired&lt;$B31,"-",$C31))</f>
        <v>-</v>
      </c>
      <c r="M31" s="1" t="str">
        <f t="shared" ref="M31" si="1841">IF(InfBel1LevelCurrent&gt;=$B31,"-",IF(InfBel1LevelDesired&lt;$B31,"-",$D31))</f>
        <v>-</v>
      </c>
      <c r="N31" s="21" t="str">
        <f t="shared" ref="N31" si="1842">IF(InfBel1LevelCurrent&gt;=$B31,"-",IF(InfBel1LevelDesired&lt;$B31,"-",$E31))</f>
        <v>-</v>
      </c>
      <c r="O31" s="15" t="str">
        <f t="shared" ref="O31" si="1843">IF(InfBoo1LevelCurrent&gt;=$B31,"-",IF(InfBoo1LevelDesired&lt;$B31,"-",$C31))</f>
        <v>-</v>
      </c>
      <c r="P31" s="1" t="str">
        <f t="shared" ref="P31" si="1844">IF(InfBoo1LevelCurrent&gt;=$B31,"-",IF(InfBoo1LevelDesired&lt;$B31,"-",$D31))</f>
        <v>-</v>
      </c>
      <c r="Q31" s="21" t="str">
        <f t="shared" ref="Q31" si="1845">IF(InfBoo1LevelCurrent&gt;=$B31,"-",IF(InfBoo1LevelDesired&lt;$B31,"-",$E31))</f>
        <v>-</v>
      </c>
      <c r="R31" s="15" t="str">
        <f t="shared" ref="R31" si="1846">IF(LanGog1LevelCurrent&gt;=$B31,"-",IF(LanGog1LevelDesired&lt;$B31,"-",$C31))</f>
        <v>-</v>
      </c>
      <c r="S31" s="1" t="str">
        <f t="shared" ref="S31" si="1847">IF(LanGog1LevelCurrent&gt;=$B31,"-",IF(LanGog1LevelDesired&lt;$B31,"-",$D31))</f>
        <v>-</v>
      </c>
      <c r="T31" s="21" t="str">
        <f t="shared" ref="T31" si="1848">IF(LanGog1LevelCurrent&gt;=$B31,"-",IF(LanGog1LevelDesired&lt;$B31,"-",$E31))</f>
        <v>-</v>
      </c>
      <c r="U31" s="15" t="str">
        <f t="shared" ref="U31" si="1849">IF(LanGlo1LevelCurrent&gt;=$B31,"-",IF(LanGlo1LevelDesired&lt;$B31,"-",$C31))</f>
        <v>-</v>
      </c>
      <c r="V31" s="1" t="str">
        <f t="shared" ref="V31" si="1850">IF(LanGlo1LevelCurrent&gt;=$B31,"-",IF(LanGlo1LevelDesired&lt;$B31,"-",$D31))</f>
        <v>-</v>
      </c>
      <c r="W31" s="21" t="str">
        <f t="shared" ref="W31" si="1851">IF(LanGlo1LevelCurrent&gt;=$B31,"-",IF(LanGlo1LevelDesired&lt;$B31,"-",$E31))</f>
        <v>-</v>
      </c>
      <c r="X31" s="15" t="str">
        <f t="shared" ref="X31" si="1852">IF(LanBel1LevelCurrent&gt;=$B31,"-",IF(LanBel1LevelDesired&lt;$B31,"-",$C31))</f>
        <v>-</v>
      </c>
      <c r="Y31" s="1" t="str">
        <f t="shared" ref="Y31" si="1853">IF(LanBel1LevelCurrent&gt;=$B31,"-",IF(LanBel1LevelDesired&lt;$B31,"-",$D31))</f>
        <v>-</v>
      </c>
      <c r="Z31" s="21" t="str">
        <f t="shared" ref="Z31" si="1854">IF(LanBel1LevelCurrent&gt;=$B31,"-",IF(LanBel1LevelDesired&lt;$B31,"-",$E31))</f>
        <v>-</v>
      </c>
      <c r="AA31" s="15" t="str">
        <f t="shared" ref="AA31" si="1855">IF(LanBoo1LevelCurrent&gt;=$B31,"-",IF(LanBoo1LevelDesired&lt;$B31,"-",$C31))</f>
        <v>-</v>
      </c>
      <c r="AB31" s="1" t="str">
        <f t="shared" ref="AB31" si="1856">IF(LanBoo1LevelCurrent&gt;=$B31,"-",IF(LanBoo1LevelDesired&lt;$B31,"-",$D31))</f>
        <v>-</v>
      </c>
      <c r="AC31" s="21" t="str">
        <f t="shared" ref="AC31" si="1857">IF(LanBoo1LevelCurrent&gt;=$B31,"-",IF(LanBoo1LevelDesired&lt;$B31,"-",$E31))</f>
        <v>-</v>
      </c>
      <c r="AD31" s="15" t="str">
        <f t="shared" ref="AD31" si="1858">IF(MarGog1LevelCurrent&gt;=$B31,"-",IF(MarGog1LevelDesired&lt;$B31,"-",$C31))</f>
        <v>-</v>
      </c>
      <c r="AE31" s="1" t="str">
        <f t="shared" ref="AE31" si="1859">IF(MarGog1LevelCurrent&gt;=$B31,"-",IF(MarGog1LevelDesired&lt;$B31,"-",$D31))</f>
        <v>-</v>
      </c>
      <c r="AF31" s="21" t="str">
        <f t="shared" ref="AF31" si="1860">IF(MarGog1LevelCurrent&gt;=$B31,"-",IF(MarGog1LevelDesired&lt;$B31,"-",$E31))</f>
        <v>-</v>
      </c>
      <c r="AG31" s="15" t="str">
        <f t="shared" ref="AG31" si="1861">IF(MarGlo1LevelCurrent&gt;=$B31,"-",IF(MarGlo1LevelDesired&lt;$B31,"-",$C31))</f>
        <v>-</v>
      </c>
      <c r="AH31" s="1" t="str">
        <f t="shared" ref="AH31" si="1862">IF(MarGlo1LevelCurrent&gt;=$B31,"-",IF(MarGlo1LevelDesired&lt;$B31,"-",$D31))</f>
        <v>-</v>
      </c>
      <c r="AI31" s="21" t="str">
        <f t="shared" ref="AI31" si="1863">IF(MarGlo1LevelCurrent&gt;=$B31,"-",IF(MarGlo1LevelDesired&lt;$B31,"-",$E31))</f>
        <v>-</v>
      </c>
      <c r="AJ31" s="15" t="str">
        <f t="shared" ref="AJ31" si="1864">IF(MarBel1LevelCurrent&gt;=$B31,"-",IF(MarBel1LevelDesired&lt;$B31,"-",$C31))</f>
        <v>-</v>
      </c>
      <c r="AK31" s="1" t="str">
        <f t="shared" ref="AK31" si="1865">IF(MarBel1LevelCurrent&gt;=$B31,"-",IF(MarBel1LevelDesired&lt;$B31,"-",$D31))</f>
        <v>-</v>
      </c>
      <c r="AL31" s="21" t="str">
        <f t="shared" ref="AL31" si="1866">IF(MarBel1LevelCurrent&gt;=$B31,"-",IF(MarBel1LevelDesired&lt;$B31,"-",$E31))</f>
        <v>-</v>
      </c>
      <c r="AM31" s="15" t="str">
        <f t="shared" ref="AM31" si="1867">IF(MarBoo1LevelCurrent&gt;=$B31,"-",IF(MarBoo1LevelDesired&lt;$B31,"-",$C31))</f>
        <v>-</v>
      </c>
      <c r="AN31" s="1" t="str">
        <f t="shared" ref="AN31" si="1868">IF(MarBoo1LevelCurrent&gt;=$B31,"-",IF(MarBoo1LevelDesired&lt;$B31,"-",$D31))</f>
        <v>-</v>
      </c>
      <c r="AO31" s="21" t="str">
        <f t="shared" ref="AO31" si="1869">IF(MarBoo1LevelCurrent&gt;=$B31,"-",IF(MarBoo1LevelDesired&lt;$B31,"-",$E31))</f>
        <v>-</v>
      </c>
      <c r="AP31" s="15" t="str">
        <f t="shared" ref="AP31" si="1870">IF(InfGog2LevelCurrent&gt;=$B31,"-",IF(InfGog2LevelDesired&lt;$B31,"-",$C31))</f>
        <v>-</v>
      </c>
      <c r="AQ31" s="1" t="str">
        <f t="shared" ref="AQ31" si="1871">IF(InfGog2LevelCurrent&gt;=$B31,"-",IF(InfGog2LevelDesired&lt;$B31,"-",$D31))</f>
        <v>-</v>
      </c>
      <c r="AR31" s="21" t="str">
        <f t="shared" ref="AR31" si="1872">IF(InfGog2LevelCurrent&gt;=$B31,"-",IF(InfGog2LevelDesired&lt;$B31,"-",$E31))</f>
        <v>-</v>
      </c>
      <c r="AS31" s="15" t="str">
        <f t="shared" ref="AS31" si="1873">IF(InfGlo2LevelCurrent&gt;=$B31,"-",IF(InfGlo2LevelDesired&lt;$B31,"-",$C31))</f>
        <v>-</v>
      </c>
      <c r="AT31" s="1" t="str">
        <f t="shared" ref="AT31" si="1874">IF(InfGlo2LevelCurrent&gt;=$B31,"-",IF(InfGlo2LevelDesired&lt;$B31,"-",$D31))</f>
        <v>-</v>
      </c>
      <c r="AU31" s="21" t="str">
        <f t="shared" ref="AU31" si="1875">IF(InfGlo2LevelCurrent&gt;=$B31,"-",IF(InfGlo2LevelDesired&lt;$B31,"-",$E31))</f>
        <v>-</v>
      </c>
      <c r="AV31" s="15" t="str">
        <f t="shared" ref="AV31" si="1876">IF(InfBel2LevelCurrent&gt;=$B31,"-",IF(InfBel2LevelDesired&lt;$B31,"-",$C31))</f>
        <v>-</v>
      </c>
      <c r="AW31" s="1" t="str">
        <f t="shared" ref="AW31" si="1877">IF(InfBel2LevelCurrent&gt;=$B31,"-",IF(InfBel2LevelDesired&lt;$B31,"-",$D31))</f>
        <v>-</v>
      </c>
      <c r="AX31" s="21" t="str">
        <f t="shared" ref="AX31" si="1878">IF(InfBel2LevelCurrent&gt;=$B31,"-",IF(InfBel2LevelDesired&lt;$B31,"-",$E31))</f>
        <v>-</v>
      </c>
      <c r="AY31" s="15" t="str">
        <f t="shared" ref="AY31" si="1879">IF(InfBoo2LevelCurrent&gt;=$B31,"-",IF(InfBoo2LevelDesired&lt;$B31,"-",$C31))</f>
        <v>-</v>
      </c>
      <c r="AZ31" s="1" t="str">
        <f t="shared" ref="AZ31" si="1880">IF(InfBoo2LevelCurrent&gt;=$B31,"-",IF(InfBoo2LevelDesired&lt;$B31,"-",$D31))</f>
        <v>-</v>
      </c>
      <c r="BA31" s="21" t="str">
        <f t="shared" ref="BA31" si="1881">IF(InfBoo2LevelCurrent&gt;=$B31,"-",IF(InfBoo2LevelDesired&lt;$B31,"-",$E31))</f>
        <v>-</v>
      </c>
      <c r="BB31" s="15" t="str">
        <f t="shared" ref="BB31" si="1882">IF(LanGog2LevelCurrent&gt;=$B31,"-",IF(LanGog2LevelDesired&lt;$B31,"-",$C31))</f>
        <v>-</v>
      </c>
      <c r="BC31" s="1" t="str">
        <f t="shared" ref="BC31" si="1883">IF(LanGog2LevelCurrent&gt;=$B31,"-",IF(LanGog2LevelDesired&lt;$B31,"-",$D31))</f>
        <v>-</v>
      </c>
      <c r="BD31" s="21" t="str">
        <f t="shared" ref="BD31" si="1884">IF(LanGog2LevelCurrent&gt;=$B31,"-",IF(LanGog2LevelDesired&lt;$B31,"-",$E31))</f>
        <v>-</v>
      </c>
      <c r="BE31" s="15" t="str">
        <f t="shared" ref="BE31" si="1885">IF(LanGlo2LevelCurrent&gt;=$B31,"-",IF(LanGlo2LevelDesired&lt;$B31,"-",$C31))</f>
        <v>-</v>
      </c>
      <c r="BF31" s="1" t="str">
        <f t="shared" ref="BF31" si="1886">IF(LanGlo2LevelCurrent&gt;=$B31,"-",IF(LanGlo2LevelDesired&lt;$B31,"-",$D31))</f>
        <v>-</v>
      </c>
      <c r="BG31" s="21" t="str">
        <f t="shared" ref="BG31" si="1887">IF(LanGlo2LevelCurrent&gt;=$B31,"-",IF(LanGlo2LevelDesired&lt;$B31,"-",$E31))</f>
        <v>-</v>
      </c>
      <c r="BH31" s="15" t="str">
        <f t="shared" ref="BH31" si="1888">IF(LanBel2LevelCurrent&gt;=$B31,"-",IF(LanBel2LevelDesired&lt;$B31,"-",$C31))</f>
        <v>-</v>
      </c>
      <c r="BI31" s="1" t="str">
        <f t="shared" ref="BI31" si="1889">IF(LanBel2LevelCurrent&gt;=$B31,"-",IF(LanBel2LevelDesired&lt;$B31,"-",$D31))</f>
        <v>-</v>
      </c>
      <c r="BJ31" s="21" t="str">
        <f t="shared" ref="BJ31" si="1890">IF(LanBel2LevelCurrent&gt;=$B31,"-",IF(LanBel2LevelDesired&lt;$B31,"-",$E31))</f>
        <v>-</v>
      </c>
      <c r="BK31" s="15" t="str">
        <f t="shared" ref="BK31" si="1891">IF(LanBoo2LevelCurrent&gt;=$B31,"-",IF(LanBoo2LevelDesired&lt;$B31,"-",$C31))</f>
        <v>-</v>
      </c>
      <c r="BL31" s="1" t="str">
        <f t="shared" ref="BL31" si="1892">IF(LanBoo2LevelCurrent&gt;=$B31,"-",IF(LanBoo2LevelDesired&lt;$B31,"-",$D31))</f>
        <v>-</v>
      </c>
      <c r="BM31" s="21" t="str">
        <f t="shared" ref="BM31" si="1893">IF(LanBoo2LevelCurrent&gt;=$B31,"-",IF(LanBoo2LevelDesired&lt;$B31,"-",$E31))</f>
        <v>-</v>
      </c>
      <c r="BN31" s="15" t="str">
        <f t="shared" ref="BN31" si="1894">IF(MarGog2LevelCurrent&gt;=$B31,"-",IF(MarGog2LevelDesired&lt;$B31,"-",$C31))</f>
        <v>-</v>
      </c>
      <c r="BO31" s="1" t="str">
        <f t="shared" ref="BO31" si="1895">IF(MarGog2LevelCurrent&gt;=$B31,"-",IF(MarGog2LevelDesired&lt;$B31,"-",$D31))</f>
        <v>-</v>
      </c>
      <c r="BP31" s="21" t="str">
        <f t="shared" ref="BP31" si="1896">IF(MarGog2LevelCurrent&gt;=$B31,"-",IF(MarGog2LevelDesired&lt;$B31,"-",$E31))</f>
        <v>-</v>
      </c>
      <c r="BQ31" s="15" t="str">
        <f t="shared" ref="BQ31" si="1897">IF(MarGlo2LevelCurrent&gt;=$B31,"-",IF(MarGlo2LevelDesired&lt;$B31,"-",$C31))</f>
        <v>-</v>
      </c>
      <c r="BR31" s="1" t="str">
        <f t="shared" ref="BR31" si="1898">IF(MarGlo2LevelCurrent&gt;=$B31,"-",IF(MarGlo2LevelDesired&lt;$B31,"-",$D31))</f>
        <v>-</v>
      </c>
      <c r="BS31" s="21" t="str">
        <f t="shared" ref="BS31" si="1899">IF(MarGlo2LevelCurrent&gt;=$B31,"-",IF(MarGlo2LevelDesired&lt;$B31,"-",$E31))</f>
        <v>-</v>
      </c>
      <c r="BT31" s="15" t="str">
        <f t="shared" ref="BT31" si="1900">IF(MarBel2LevelCurrent&gt;=$B31,"-",IF(MarBel2LevelDesired&lt;$B31,"-",$C31))</f>
        <v>-</v>
      </c>
      <c r="BU31" s="1" t="str">
        <f t="shared" ref="BU31" si="1901">IF(MarBel2LevelCurrent&gt;=$B31,"-",IF(MarBel2LevelDesired&lt;$B31,"-",$D31))</f>
        <v>-</v>
      </c>
      <c r="BV31" s="21" t="str">
        <f t="shared" ref="BV31" si="1902">IF(MarBel2LevelCurrent&gt;=$B31,"-",IF(MarBel2LevelDesired&lt;$B31,"-",$E31))</f>
        <v>-</v>
      </c>
      <c r="BW31" s="15" t="str">
        <f t="shared" ref="BW31" si="1903">IF(MarBoo2LevelCurrent&gt;=$B31,"-",IF(MarBoo2LevelDesired&lt;$B31,"-",$C31))</f>
        <v>-</v>
      </c>
      <c r="BX31" s="1" t="str">
        <f t="shared" ref="BX31" si="1904">IF(MarBoo2LevelCurrent&gt;=$B31,"-",IF(MarBoo2LevelDesired&lt;$B31,"-",$D31))</f>
        <v>-</v>
      </c>
      <c r="BY31" s="21" t="str">
        <f t="shared" ref="BY31" si="1905">IF(MarBoo2LevelCurrent&gt;=$B31,"-",IF(MarBoo2LevelDesired&lt;$B31,"-",$E31))</f>
        <v>-</v>
      </c>
      <c r="BZ31" s="15" t="str">
        <f t="shared" si="72"/>
        <v>-</v>
      </c>
      <c r="CA31" s="1" t="str" cm="1">
        <f t="array" ref="CA31">IF(InfGog3LevelCurrent&gt;=$B31,"-",IF(InfGog3LevelDesired&lt;$B31,"-",$D31))</f>
        <v>-</v>
      </c>
      <c r="CB31" s="21" t="str" cm="1">
        <f t="array" ref="CB31">IF(InfGog3LevelCurrent&gt;=$B31,"-",IF(InfGog3LevelDesired&lt;$B31,"-",$E31))</f>
        <v>-</v>
      </c>
      <c r="CC31" s="15" t="str">
        <f t="shared" si="73"/>
        <v>-</v>
      </c>
      <c r="CD31" s="1" t="str">
        <f t="shared" si="74"/>
        <v>-</v>
      </c>
      <c r="CE31" s="21" t="str">
        <f t="shared" si="75"/>
        <v>-</v>
      </c>
      <c r="CF31" s="15" t="str">
        <f t="shared" si="76"/>
        <v>-</v>
      </c>
      <c r="CG31" s="1" t="str">
        <f t="shared" si="77"/>
        <v>-</v>
      </c>
      <c r="CH31" s="21" t="str">
        <f t="shared" si="78"/>
        <v>-</v>
      </c>
      <c r="CI31" s="15" t="str">
        <f t="shared" si="79"/>
        <v>-</v>
      </c>
      <c r="CJ31" s="1" t="str">
        <f t="shared" si="80"/>
        <v>-</v>
      </c>
      <c r="CK31" s="21" t="str">
        <f t="shared" si="81"/>
        <v>-</v>
      </c>
      <c r="CL31" s="15" t="str">
        <f t="shared" si="82"/>
        <v>-</v>
      </c>
      <c r="CM31" s="1" t="str">
        <f t="shared" si="83"/>
        <v>-</v>
      </c>
      <c r="CN31" s="21" t="str">
        <f t="shared" si="84"/>
        <v>-</v>
      </c>
      <c r="CO31" s="15" t="str">
        <f t="shared" si="85"/>
        <v>-</v>
      </c>
      <c r="CP31" s="1" t="str">
        <f t="shared" si="86"/>
        <v>-</v>
      </c>
      <c r="CQ31" s="21" t="str">
        <f t="shared" si="87"/>
        <v>-</v>
      </c>
      <c r="CR31" s="15" t="str">
        <f t="shared" si="88"/>
        <v>-</v>
      </c>
      <c r="CS31" s="1" t="str">
        <f t="shared" si="89"/>
        <v>-</v>
      </c>
      <c r="CT31" s="21" t="str">
        <f t="shared" si="90"/>
        <v>-</v>
      </c>
      <c r="CU31" s="15" t="str">
        <f t="shared" si="91"/>
        <v>-</v>
      </c>
      <c r="CV31" s="1" t="str">
        <f t="shared" si="92"/>
        <v>-</v>
      </c>
      <c r="CW31" s="21" t="str">
        <f t="shared" si="93"/>
        <v>-</v>
      </c>
      <c r="CX31" s="15" t="str">
        <f t="shared" si="94"/>
        <v>-</v>
      </c>
      <c r="CY31" s="1" t="str">
        <f t="shared" si="95"/>
        <v>-</v>
      </c>
      <c r="CZ31" s="21" t="str">
        <f t="shared" si="96"/>
        <v>-</v>
      </c>
      <c r="DA31" s="15" t="str">
        <f t="shared" si="97"/>
        <v>-</v>
      </c>
      <c r="DB31" s="1" t="str">
        <f t="shared" si="98"/>
        <v>-</v>
      </c>
      <c r="DC31" s="21" t="str">
        <f t="shared" si="99"/>
        <v>-</v>
      </c>
      <c r="DD31" s="15" t="str">
        <f t="shared" si="100"/>
        <v>-</v>
      </c>
      <c r="DE31" s="1" t="str">
        <f t="shared" si="101"/>
        <v>-</v>
      </c>
      <c r="DF31" s="21" t="str">
        <f t="shared" si="102"/>
        <v>-</v>
      </c>
      <c r="DG31" s="15" t="str">
        <f t="shared" si="103"/>
        <v>-</v>
      </c>
      <c r="DH31" s="1" t="str">
        <f t="shared" si="104"/>
        <v>-</v>
      </c>
      <c r="DI31" s="21" t="str">
        <f t="shared" si="105"/>
        <v>-</v>
      </c>
    </row>
    <row r="32" spans="2:113" x14ac:dyDescent="0.3">
      <c r="B32" s="1">
        <v>27</v>
      </c>
      <c r="C32" s="67">
        <v>140</v>
      </c>
      <c r="D32" s="88" t="s">
        <v>27</v>
      </c>
      <c r="E32" s="21" t="s">
        <v>27</v>
      </c>
      <c r="F32" s="15" t="str">
        <f t="shared" ref="F32" si="1906">IF(InfGog1LevelCurrent&gt;=$B32,"-",IF(InfGog1LevelDesired&lt;$B32,"-",$C32))</f>
        <v>-</v>
      </c>
      <c r="G32" s="1" t="str">
        <f t="shared" ref="G32" si="1907">IF(InfGog1LevelCurrent&gt;=$B32,"-",IF(InfGog1LevelDesired&lt;$B32,"-",$D32))</f>
        <v>-</v>
      </c>
      <c r="H32" s="21" t="str">
        <f t="shared" ref="H32" si="1908">IF(InfGog1LevelCurrent&gt;=$B32,"-",IF(InfGog1LevelDesired&lt;$B32,"-",$E32))</f>
        <v>-</v>
      </c>
      <c r="I32" s="15" t="str">
        <f t="shared" ref="I32" si="1909">IF(InfGlo1LevelCurrent&gt;=$B32,"-",IF(InfGlo1LevelDesired&lt;$B32,"-",$C32))</f>
        <v>-</v>
      </c>
      <c r="J32" s="1" t="str">
        <f t="shared" ref="J32" si="1910">IF(InfGlo1LevelCurrent&gt;=$B32,"-",IF(InfGlo1LevelDesired&lt;$B32,"-",$D32))</f>
        <v>-</v>
      </c>
      <c r="K32" s="21" t="str">
        <f t="shared" ref="K32" si="1911">IF(InfGlo1LevelCurrent&gt;=$B32,"-",IF(InfGlo1LevelDesired&lt;$B32,"-",$E32))</f>
        <v>-</v>
      </c>
      <c r="L32" s="15" t="str">
        <f t="shared" ref="L32" si="1912">IF(InfBel1LevelCurrent&gt;=$B32,"-",IF(InfBel1LevelDesired&lt;$B32,"-",$C32))</f>
        <v>-</v>
      </c>
      <c r="M32" s="1" t="str">
        <f t="shared" ref="M32" si="1913">IF(InfBel1LevelCurrent&gt;=$B32,"-",IF(InfBel1LevelDesired&lt;$B32,"-",$D32))</f>
        <v>-</v>
      </c>
      <c r="N32" s="21" t="str">
        <f t="shared" ref="N32" si="1914">IF(InfBel1LevelCurrent&gt;=$B32,"-",IF(InfBel1LevelDesired&lt;$B32,"-",$E32))</f>
        <v>-</v>
      </c>
      <c r="O32" s="15" t="str">
        <f t="shared" ref="O32" si="1915">IF(InfBoo1LevelCurrent&gt;=$B32,"-",IF(InfBoo1LevelDesired&lt;$B32,"-",$C32))</f>
        <v>-</v>
      </c>
      <c r="P32" s="1" t="str">
        <f t="shared" ref="P32" si="1916">IF(InfBoo1LevelCurrent&gt;=$B32,"-",IF(InfBoo1LevelDesired&lt;$B32,"-",$D32))</f>
        <v>-</v>
      </c>
      <c r="Q32" s="21" t="str">
        <f t="shared" ref="Q32" si="1917">IF(InfBoo1LevelCurrent&gt;=$B32,"-",IF(InfBoo1LevelDesired&lt;$B32,"-",$E32))</f>
        <v>-</v>
      </c>
      <c r="R32" s="15" t="str">
        <f t="shared" ref="R32" si="1918">IF(LanGog1LevelCurrent&gt;=$B32,"-",IF(LanGog1LevelDesired&lt;$B32,"-",$C32))</f>
        <v>-</v>
      </c>
      <c r="S32" s="1" t="str">
        <f t="shared" ref="S32" si="1919">IF(LanGog1LevelCurrent&gt;=$B32,"-",IF(LanGog1LevelDesired&lt;$B32,"-",$D32))</f>
        <v>-</v>
      </c>
      <c r="T32" s="21" t="str">
        <f t="shared" ref="T32" si="1920">IF(LanGog1LevelCurrent&gt;=$B32,"-",IF(LanGog1LevelDesired&lt;$B32,"-",$E32))</f>
        <v>-</v>
      </c>
      <c r="U32" s="15" t="str">
        <f t="shared" ref="U32" si="1921">IF(LanGlo1LevelCurrent&gt;=$B32,"-",IF(LanGlo1LevelDesired&lt;$B32,"-",$C32))</f>
        <v>-</v>
      </c>
      <c r="V32" s="1" t="str">
        <f t="shared" ref="V32" si="1922">IF(LanGlo1LevelCurrent&gt;=$B32,"-",IF(LanGlo1LevelDesired&lt;$B32,"-",$D32))</f>
        <v>-</v>
      </c>
      <c r="W32" s="21" t="str">
        <f t="shared" ref="W32" si="1923">IF(LanGlo1LevelCurrent&gt;=$B32,"-",IF(LanGlo1LevelDesired&lt;$B32,"-",$E32))</f>
        <v>-</v>
      </c>
      <c r="X32" s="15" t="str">
        <f t="shared" ref="X32" si="1924">IF(LanBel1LevelCurrent&gt;=$B32,"-",IF(LanBel1LevelDesired&lt;$B32,"-",$C32))</f>
        <v>-</v>
      </c>
      <c r="Y32" s="1" t="str">
        <f t="shared" ref="Y32" si="1925">IF(LanBel1LevelCurrent&gt;=$B32,"-",IF(LanBel1LevelDesired&lt;$B32,"-",$D32))</f>
        <v>-</v>
      </c>
      <c r="Z32" s="21" t="str">
        <f t="shared" ref="Z32" si="1926">IF(LanBel1LevelCurrent&gt;=$B32,"-",IF(LanBel1LevelDesired&lt;$B32,"-",$E32))</f>
        <v>-</v>
      </c>
      <c r="AA32" s="15" t="str">
        <f t="shared" ref="AA32" si="1927">IF(LanBoo1LevelCurrent&gt;=$B32,"-",IF(LanBoo1LevelDesired&lt;$B32,"-",$C32))</f>
        <v>-</v>
      </c>
      <c r="AB32" s="1" t="str">
        <f t="shared" ref="AB32" si="1928">IF(LanBoo1LevelCurrent&gt;=$B32,"-",IF(LanBoo1LevelDesired&lt;$B32,"-",$D32))</f>
        <v>-</v>
      </c>
      <c r="AC32" s="21" t="str">
        <f t="shared" ref="AC32" si="1929">IF(LanBoo1LevelCurrent&gt;=$B32,"-",IF(LanBoo1LevelDesired&lt;$B32,"-",$E32))</f>
        <v>-</v>
      </c>
      <c r="AD32" s="15" t="str">
        <f t="shared" ref="AD32" si="1930">IF(MarGog1LevelCurrent&gt;=$B32,"-",IF(MarGog1LevelDesired&lt;$B32,"-",$C32))</f>
        <v>-</v>
      </c>
      <c r="AE32" s="1" t="str">
        <f t="shared" ref="AE32" si="1931">IF(MarGog1LevelCurrent&gt;=$B32,"-",IF(MarGog1LevelDesired&lt;$B32,"-",$D32))</f>
        <v>-</v>
      </c>
      <c r="AF32" s="21" t="str">
        <f t="shared" ref="AF32" si="1932">IF(MarGog1LevelCurrent&gt;=$B32,"-",IF(MarGog1LevelDesired&lt;$B32,"-",$E32))</f>
        <v>-</v>
      </c>
      <c r="AG32" s="15" t="str">
        <f t="shared" ref="AG32" si="1933">IF(MarGlo1LevelCurrent&gt;=$B32,"-",IF(MarGlo1LevelDesired&lt;$B32,"-",$C32))</f>
        <v>-</v>
      </c>
      <c r="AH32" s="1" t="str">
        <f t="shared" ref="AH32" si="1934">IF(MarGlo1LevelCurrent&gt;=$B32,"-",IF(MarGlo1LevelDesired&lt;$B32,"-",$D32))</f>
        <v>-</v>
      </c>
      <c r="AI32" s="21" t="str">
        <f t="shared" ref="AI32" si="1935">IF(MarGlo1LevelCurrent&gt;=$B32,"-",IF(MarGlo1LevelDesired&lt;$B32,"-",$E32))</f>
        <v>-</v>
      </c>
      <c r="AJ32" s="15" t="str">
        <f t="shared" ref="AJ32" si="1936">IF(MarBel1LevelCurrent&gt;=$B32,"-",IF(MarBel1LevelDesired&lt;$B32,"-",$C32))</f>
        <v>-</v>
      </c>
      <c r="AK32" s="1" t="str">
        <f t="shared" ref="AK32" si="1937">IF(MarBel1LevelCurrent&gt;=$B32,"-",IF(MarBel1LevelDesired&lt;$B32,"-",$D32))</f>
        <v>-</v>
      </c>
      <c r="AL32" s="21" t="str">
        <f t="shared" ref="AL32" si="1938">IF(MarBel1LevelCurrent&gt;=$B32,"-",IF(MarBel1LevelDesired&lt;$B32,"-",$E32))</f>
        <v>-</v>
      </c>
      <c r="AM32" s="15" t="str">
        <f t="shared" ref="AM32" si="1939">IF(MarBoo1LevelCurrent&gt;=$B32,"-",IF(MarBoo1LevelDesired&lt;$B32,"-",$C32))</f>
        <v>-</v>
      </c>
      <c r="AN32" s="1" t="str">
        <f t="shared" ref="AN32" si="1940">IF(MarBoo1LevelCurrent&gt;=$B32,"-",IF(MarBoo1LevelDesired&lt;$B32,"-",$D32))</f>
        <v>-</v>
      </c>
      <c r="AO32" s="21" t="str">
        <f t="shared" ref="AO32" si="1941">IF(MarBoo1LevelCurrent&gt;=$B32,"-",IF(MarBoo1LevelDesired&lt;$B32,"-",$E32))</f>
        <v>-</v>
      </c>
      <c r="AP32" s="15" t="str">
        <f t="shared" ref="AP32" si="1942">IF(InfGog2LevelCurrent&gt;=$B32,"-",IF(InfGog2LevelDesired&lt;$B32,"-",$C32))</f>
        <v>-</v>
      </c>
      <c r="AQ32" s="1" t="str">
        <f t="shared" ref="AQ32" si="1943">IF(InfGog2LevelCurrent&gt;=$B32,"-",IF(InfGog2LevelDesired&lt;$B32,"-",$D32))</f>
        <v>-</v>
      </c>
      <c r="AR32" s="21" t="str">
        <f t="shared" ref="AR32" si="1944">IF(InfGog2LevelCurrent&gt;=$B32,"-",IF(InfGog2LevelDesired&lt;$B32,"-",$E32))</f>
        <v>-</v>
      </c>
      <c r="AS32" s="15" t="str">
        <f t="shared" ref="AS32" si="1945">IF(InfGlo2LevelCurrent&gt;=$B32,"-",IF(InfGlo2LevelDesired&lt;$B32,"-",$C32))</f>
        <v>-</v>
      </c>
      <c r="AT32" s="1" t="str">
        <f t="shared" ref="AT32" si="1946">IF(InfGlo2LevelCurrent&gt;=$B32,"-",IF(InfGlo2LevelDesired&lt;$B32,"-",$D32))</f>
        <v>-</v>
      </c>
      <c r="AU32" s="21" t="str">
        <f t="shared" ref="AU32" si="1947">IF(InfGlo2LevelCurrent&gt;=$B32,"-",IF(InfGlo2LevelDesired&lt;$B32,"-",$E32))</f>
        <v>-</v>
      </c>
      <c r="AV32" s="15" t="str">
        <f t="shared" ref="AV32" si="1948">IF(InfBel2LevelCurrent&gt;=$B32,"-",IF(InfBel2LevelDesired&lt;$B32,"-",$C32))</f>
        <v>-</v>
      </c>
      <c r="AW32" s="1" t="str">
        <f t="shared" ref="AW32" si="1949">IF(InfBel2LevelCurrent&gt;=$B32,"-",IF(InfBel2LevelDesired&lt;$B32,"-",$D32))</f>
        <v>-</v>
      </c>
      <c r="AX32" s="21" t="str">
        <f t="shared" ref="AX32" si="1950">IF(InfBel2LevelCurrent&gt;=$B32,"-",IF(InfBel2LevelDesired&lt;$B32,"-",$E32))</f>
        <v>-</v>
      </c>
      <c r="AY32" s="15" t="str">
        <f t="shared" ref="AY32" si="1951">IF(InfBoo2LevelCurrent&gt;=$B32,"-",IF(InfBoo2LevelDesired&lt;$B32,"-",$C32))</f>
        <v>-</v>
      </c>
      <c r="AZ32" s="1" t="str">
        <f t="shared" ref="AZ32" si="1952">IF(InfBoo2LevelCurrent&gt;=$B32,"-",IF(InfBoo2LevelDesired&lt;$B32,"-",$D32))</f>
        <v>-</v>
      </c>
      <c r="BA32" s="21" t="str">
        <f t="shared" ref="BA32" si="1953">IF(InfBoo2LevelCurrent&gt;=$B32,"-",IF(InfBoo2LevelDesired&lt;$B32,"-",$E32))</f>
        <v>-</v>
      </c>
      <c r="BB32" s="15" t="str">
        <f t="shared" ref="BB32" si="1954">IF(LanGog2LevelCurrent&gt;=$B32,"-",IF(LanGog2LevelDesired&lt;$B32,"-",$C32))</f>
        <v>-</v>
      </c>
      <c r="BC32" s="1" t="str">
        <f t="shared" ref="BC32" si="1955">IF(LanGog2LevelCurrent&gt;=$B32,"-",IF(LanGog2LevelDesired&lt;$B32,"-",$D32))</f>
        <v>-</v>
      </c>
      <c r="BD32" s="21" t="str">
        <f t="shared" ref="BD32" si="1956">IF(LanGog2LevelCurrent&gt;=$B32,"-",IF(LanGog2LevelDesired&lt;$B32,"-",$E32))</f>
        <v>-</v>
      </c>
      <c r="BE32" s="15" t="str">
        <f t="shared" ref="BE32" si="1957">IF(LanGlo2LevelCurrent&gt;=$B32,"-",IF(LanGlo2LevelDesired&lt;$B32,"-",$C32))</f>
        <v>-</v>
      </c>
      <c r="BF32" s="1" t="str">
        <f t="shared" ref="BF32" si="1958">IF(LanGlo2LevelCurrent&gt;=$B32,"-",IF(LanGlo2LevelDesired&lt;$B32,"-",$D32))</f>
        <v>-</v>
      </c>
      <c r="BG32" s="21" t="str">
        <f t="shared" ref="BG32" si="1959">IF(LanGlo2LevelCurrent&gt;=$B32,"-",IF(LanGlo2LevelDesired&lt;$B32,"-",$E32))</f>
        <v>-</v>
      </c>
      <c r="BH32" s="15" t="str">
        <f t="shared" ref="BH32" si="1960">IF(LanBel2LevelCurrent&gt;=$B32,"-",IF(LanBel2LevelDesired&lt;$B32,"-",$C32))</f>
        <v>-</v>
      </c>
      <c r="BI32" s="1" t="str">
        <f t="shared" ref="BI32" si="1961">IF(LanBel2LevelCurrent&gt;=$B32,"-",IF(LanBel2LevelDesired&lt;$B32,"-",$D32))</f>
        <v>-</v>
      </c>
      <c r="BJ32" s="21" t="str">
        <f t="shared" ref="BJ32" si="1962">IF(LanBel2LevelCurrent&gt;=$B32,"-",IF(LanBel2LevelDesired&lt;$B32,"-",$E32))</f>
        <v>-</v>
      </c>
      <c r="BK32" s="15" t="str">
        <f t="shared" ref="BK32" si="1963">IF(LanBoo2LevelCurrent&gt;=$B32,"-",IF(LanBoo2LevelDesired&lt;$B32,"-",$C32))</f>
        <v>-</v>
      </c>
      <c r="BL32" s="1" t="str">
        <f t="shared" ref="BL32" si="1964">IF(LanBoo2LevelCurrent&gt;=$B32,"-",IF(LanBoo2LevelDesired&lt;$B32,"-",$D32))</f>
        <v>-</v>
      </c>
      <c r="BM32" s="21" t="str">
        <f t="shared" ref="BM32" si="1965">IF(LanBoo2LevelCurrent&gt;=$B32,"-",IF(LanBoo2LevelDesired&lt;$B32,"-",$E32))</f>
        <v>-</v>
      </c>
      <c r="BN32" s="15" t="str">
        <f t="shared" ref="BN32" si="1966">IF(MarGog2LevelCurrent&gt;=$B32,"-",IF(MarGog2LevelDesired&lt;$B32,"-",$C32))</f>
        <v>-</v>
      </c>
      <c r="BO32" s="1" t="str">
        <f t="shared" ref="BO32" si="1967">IF(MarGog2LevelCurrent&gt;=$B32,"-",IF(MarGog2LevelDesired&lt;$B32,"-",$D32))</f>
        <v>-</v>
      </c>
      <c r="BP32" s="21" t="str">
        <f t="shared" ref="BP32" si="1968">IF(MarGog2LevelCurrent&gt;=$B32,"-",IF(MarGog2LevelDesired&lt;$B32,"-",$E32))</f>
        <v>-</v>
      </c>
      <c r="BQ32" s="15" t="str">
        <f t="shared" ref="BQ32" si="1969">IF(MarGlo2LevelCurrent&gt;=$B32,"-",IF(MarGlo2LevelDesired&lt;$B32,"-",$C32))</f>
        <v>-</v>
      </c>
      <c r="BR32" s="1" t="str">
        <f t="shared" ref="BR32" si="1970">IF(MarGlo2LevelCurrent&gt;=$B32,"-",IF(MarGlo2LevelDesired&lt;$B32,"-",$D32))</f>
        <v>-</v>
      </c>
      <c r="BS32" s="21" t="str">
        <f t="shared" ref="BS32" si="1971">IF(MarGlo2LevelCurrent&gt;=$B32,"-",IF(MarGlo2LevelDesired&lt;$B32,"-",$E32))</f>
        <v>-</v>
      </c>
      <c r="BT32" s="15" t="str">
        <f t="shared" ref="BT32" si="1972">IF(MarBel2LevelCurrent&gt;=$B32,"-",IF(MarBel2LevelDesired&lt;$B32,"-",$C32))</f>
        <v>-</v>
      </c>
      <c r="BU32" s="1" t="str">
        <f t="shared" ref="BU32" si="1973">IF(MarBel2LevelCurrent&gt;=$B32,"-",IF(MarBel2LevelDesired&lt;$B32,"-",$D32))</f>
        <v>-</v>
      </c>
      <c r="BV32" s="21" t="str">
        <f t="shared" ref="BV32" si="1974">IF(MarBel2LevelCurrent&gt;=$B32,"-",IF(MarBel2LevelDesired&lt;$B32,"-",$E32))</f>
        <v>-</v>
      </c>
      <c r="BW32" s="15" t="str">
        <f t="shared" ref="BW32" si="1975">IF(MarBoo2LevelCurrent&gt;=$B32,"-",IF(MarBoo2LevelDesired&lt;$B32,"-",$C32))</f>
        <v>-</v>
      </c>
      <c r="BX32" s="1" t="str">
        <f t="shared" ref="BX32" si="1976">IF(MarBoo2LevelCurrent&gt;=$B32,"-",IF(MarBoo2LevelDesired&lt;$B32,"-",$D32))</f>
        <v>-</v>
      </c>
      <c r="BY32" s="21" t="str">
        <f t="shared" ref="BY32" si="1977">IF(MarBoo2LevelCurrent&gt;=$B32,"-",IF(MarBoo2LevelDesired&lt;$B32,"-",$E32))</f>
        <v>-</v>
      </c>
      <c r="BZ32" s="15" t="str">
        <f t="shared" si="72"/>
        <v>-</v>
      </c>
      <c r="CA32" s="1" t="str" cm="1">
        <f t="array" ref="CA32">IF(InfGog3LevelCurrent&gt;=$B32,"-",IF(InfGog3LevelDesired&lt;$B32,"-",$D32))</f>
        <v>-</v>
      </c>
      <c r="CB32" s="21" t="str" cm="1">
        <f t="array" ref="CB32">IF(InfGog3LevelCurrent&gt;=$B32,"-",IF(InfGog3LevelDesired&lt;$B32,"-",$E32))</f>
        <v>-</v>
      </c>
      <c r="CC32" s="15" t="str">
        <f t="shared" si="73"/>
        <v>-</v>
      </c>
      <c r="CD32" s="1" t="str">
        <f t="shared" si="74"/>
        <v>-</v>
      </c>
      <c r="CE32" s="21" t="str">
        <f t="shared" si="75"/>
        <v>-</v>
      </c>
      <c r="CF32" s="15" t="str">
        <f t="shared" si="76"/>
        <v>-</v>
      </c>
      <c r="CG32" s="1" t="str">
        <f t="shared" si="77"/>
        <v>-</v>
      </c>
      <c r="CH32" s="21" t="str">
        <f t="shared" si="78"/>
        <v>-</v>
      </c>
      <c r="CI32" s="15" t="str">
        <f t="shared" si="79"/>
        <v>-</v>
      </c>
      <c r="CJ32" s="1" t="str">
        <f t="shared" si="80"/>
        <v>-</v>
      </c>
      <c r="CK32" s="21" t="str">
        <f t="shared" si="81"/>
        <v>-</v>
      </c>
      <c r="CL32" s="15" t="str">
        <f t="shared" si="82"/>
        <v>-</v>
      </c>
      <c r="CM32" s="1" t="str">
        <f t="shared" si="83"/>
        <v>-</v>
      </c>
      <c r="CN32" s="21" t="str">
        <f t="shared" si="84"/>
        <v>-</v>
      </c>
      <c r="CO32" s="15" t="str">
        <f t="shared" si="85"/>
        <v>-</v>
      </c>
      <c r="CP32" s="1" t="str">
        <f t="shared" si="86"/>
        <v>-</v>
      </c>
      <c r="CQ32" s="21" t="str">
        <f t="shared" si="87"/>
        <v>-</v>
      </c>
      <c r="CR32" s="15" t="str">
        <f t="shared" si="88"/>
        <v>-</v>
      </c>
      <c r="CS32" s="1" t="str">
        <f t="shared" si="89"/>
        <v>-</v>
      </c>
      <c r="CT32" s="21" t="str">
        <f t="shared" si="90"/>
        <v>-</v>
      </c>
      <c r="CU32" s="15" t="str">
        <f t="shared" si="91"/>
        <v>-</v>
      </c>
      <c r="CV32" s="1" t="str">
        <f t="shared" si="92"/>
        <v>-</v>
      </c>
      <c r="CW32" s="21" t="str">
        <f t="shared" si="93"/>
        <v>-</v>
      </c>
      <c r="CX32" s="15" t="str">
        <f t="shared" si="94"/>
        <v>-</v>
      </c>
      <c r="CY32" s="1" t="str">
        <f t="shared" si="95"/>
        <v>-</v>
      </c>
      <c r="CZ32" s="21" t="str">
        <f t="shared" si="96"/>
        <v>-</v>
      </c>
      <c r="DA32" s="15" t="str">
        <f t="shared" si="97"/>
        <v>-</v>
      </c>
      <c r="DB32" s="1" t="str">
        <f t="shared" si="98"/>
        <v>-</v>
      </c>
      <c r="DC32" s="21" t="str">
        <f t="shared" si="99"/>
        <v>-</v>
      </c>
      <c r="DD32" s="15" t="str">
        <f t="shared" si="100"/>
        <v>-</v>
      </c>
      <c r="DE32" s="1" t="str">
        <f t="shared" si="101"/>
        <v>-</v>
      </c>
      <c r="DF32" s="21" t="str">
        <f t="shared" si="102"/>
        <v>-</v>
      </c>
      <c r="DG32" s="15" t="str">
        <f t="shared" si="103"/>
        <v>-</v>
      </c>
      <c r="DH32" s="1" t="str">
        <f t="shared" si="104"/>
        <v>-</v>
      </c>
      <c r="DI32" s="21" t="str">
        <f t="shared" si="105"/>
        <v>-</v>
      </c>
    </row>
    <row r="33" spans="2:113" x14ac:dyDescent="0.3">
      <c r="B33" s="1">
        <v>28</v>
      </c>
      <c r="C33" s="67">
        <v>145</v>
      </c>
      <c r="D33" s="88" t="s">
        <v>27</v>
      </c>
      <c r="E33" s="21" t="s">
        <v>27</v>
      </c>
      <c r="F33" s="15" t="str">
        <f t="shared" ref="F33" si="1978">IF(InfGog1LevelCurrent&gt;=$B33,"-",IF(InfGog1LevelDesired&lt;$B33,"-",$C33))</f>
        <v>-</v>
      </c>
      <c r="G33" s="1" t="str">
        <f t="shared" ref="G33" si="1979">IF(InfGog1LevelCurrent&gt;=$B33,"-",IF(InfGog1LevelDesired&lt;$B33,"-",$D33))</f>
        <v>-</v>
      </c>
      <c r="H33" s="21" t="str">
        <f t="shared" ref="H33" si="1980">IF(InfGog1LevelCurrent&gt;=$B33,"-",IF(InfGog1LevelDesired&lt;$B33,"-",$E33))</f>
        <v>-</v>
      </c>
      <c r="I33" s="15" t="str">
        <f t="shared" ref="I33" si="1981">IF(InfGlo1LevelCurrent&gt;=$B33,"-",IF(InfGlo1LevelDesired&lt;$B33,"-",$C33))</f>
        <v>-</v>
      </c>
      <c r="J33" s="1" t="str">
        <f t="shared" ref="J33" si="1982">IF(InfGlo1LevelCurrent&gt;=$B33,"-",IF(InfGlo1LevelDesired&lt;$B33,"-",$D33))</f>
        <v>-</v>
      </c>
      <c r="K33" s="21" t="str">
        <f t="shared" ref="K33" si="1983">IF(InfGlo1LevelCurrent&gt;=$B33,"-",IF(InfGlo1LevelDesired&lt;$B33,"-",$E33))</f>
        <v>-</v>
      </c>
      <c r="L33" s="15" t="str">
        <f t="shared" ref="L33" si="1984">IF(InfBel1LevelCurrent&gt;=$B33,"-",IF(InfBel1LevelDesired&lt;$B33,"-",$C33))</f>
        <v>-</v>
      </c>
      <c r="M33" s="1" t="str">
        <f t="shared" ref="M33" si="1985">IF(InfBel1LevelCurrent&gt;=$B33,"-",IF(InfBel1LevelDesired&lt;$B33,"-",$D33))</f>
        <v>-</v>
      </c>
      <c r="N33" s="21" t="str">
        <f t="shared" ref="N33" si="1986">IF(InfBel1LevelCurrent&gt;=$B33,"-",IF(InfBel1LevelDesired&lt;$B33,"-",$E33))</f>
        <v>-</v>
      </c>
      <c r="O33" s="15" t="str">
        <f t="shared" ref="O33" si="1987">IF(InfBoo1LevelCurrent&gt;=$B33,"-",IF(InfBoo1LevelDesired&lt;$B33,"-",$C33))</f>
        <v>-</v>
      </c>
      <c r="P33" s="1" t="str">
        <f t="shared" ref="P33" si="1988">IF(InfBoo1LevelCurrent&gt;=$B33,"-",IF(InfBoo1LevelDesired&lt;$B33,"-",$D33))</f>
        <v>-</v>
      </c>
      <c r="Q33" s="21" t="str">
        <f t="shared" ref="Q33" si="1989">IF(InfBoo1LevelCurrent&gt;=$B33,"-",IF(InfBoo1LevelDesired&lt;$B33,"-",$E33))</f>
        <v>-</v>
      </c>
      <c r="R33" s="15" t="str">
        <f t="shared" ref="R33" si="1990">IF(LanGog1LevelCurrent&gt;=$B33,"-",IF(LanGog1LevelDesired&lt;$B33,"-",$C33))</f>
        <v>-</v>
      </c>
      <c r="S33" s="1" t="str">
        <f t="shared" ref="S33" si="1991">IF(LanGog1LevelCurrent&gt;=$B33,"-",IF(LanGog1LevelDesired&lt;$B33,"-",$D33))</f>
        <v>-</v>
      </c>
      <c r="T33" s="21" t="str">
        <f t="shared" ref="T33" si="1992">IF(LanGog1LevelCurrent&gt;=$B33,"-",IF(LanGog1LevelDesired&lt;$B33,"-",$E33))</f>
        <v>-</v>
      </c>
      <c r="U33" s="15" t="str">
        <f t="shared" ref="U33" si="1993">IF(LanGlo1LevelCurrent&gt;=$B33,"-",IF(LanGlo1LevelDesired&lt;$B33,"-",$C33))</f>
        <v>-</v>
      </c>
      <c r="V33" s="1" t="str">
        <f t="shared" ref="V33" si="1994">IF(LanGlo1LevelCurrent&gt;=$B33,"-",IF(LanGlo1LevelDesired&lt;$B33,"-",$D33))</f>
        <v>-</v>
      </c>
      <c r="W33" s="21" t="str">
        <f t="shared" ref="W33" si="1995">IF(LanGlo1LevelCurrent&gt;=$B33,"-",IF(LanGlo1LevelDesired&lt;$B33,"-",$E33))</f>
        <v>-</v>
      </c>
      <c r="X33" s="15" t="str">
        <f t="shared" ref="X33" si="1996">IF(LanBel1LevelCurrent&gt;=$B33,"-",IF(LanBel1LevelDesired&lt;$B33,"-",$C33))</f>
        <v>-</v>
      </c>
      <c r="Y33" s="1" t="str">
        <f t="shared" ref="Y33" si="1997">IF(LanBel1LevelCurrent&gt;=$B33,"-",IF(LanBel1LevelDesired&lt;$B33,"-",$D33))</f>
        <v>-</v>
      </c>
      <c r="Z33" s="21" t="str">
        <f t="shared" ref="Z33" si="1998">IF(LanBel1LevelCurrent&gt;=$B33,"-",IF(LanBel1LevelDesired&lt;$B33,"-",$E33))</f>
        <v>-</v>
      </c>
      <c r="AA33" s="15" t="str">
        <f t="shared" ref="AA33" si="1999">IF(LanBoo1LevelCurrent&gt;=$B33,"-",IF(LanBoo1LevelDesired&lt;$B33,"-",$C33))</f>
        <v>-</v>
      </c>
      <c r="AB33" s="1" t="str">
        <f t="shared" ref="AB33" si="2000">IF(LanBoo1LevelCurrent&gt;=$B33,"-",IF(LanBoo1LevelDesired&lt;$B33,"-",$D33))</f>
        <v>-</v>
      </c>
      <c r="AC33" s="21" t="str">
        <f t="shared" ref="AC33" si="2001">IF(LanBoo1LevelCurrent&gt;=$B33,"-",IF(LanBoo1LevelDesired&lt;$B33,"-",$E33))</f>
        <v>-</v>
      </c>
      <c r="AD33" s="15" t="str">
        <f t="shared" ref="AD33" si="2002">IF(MarGog1LevelCurrent&gt;=$B33,"-",IF(MarGog1LevelDesired&lt;$B33,"-",$C33))</f>
        <v>-</v>
      </c>
      <c r="AE33" s="1" t="str">
        <f t="shared" ref="AE33" si="2003">IF(MarGog1LevelCurrent&gt;=$B33,"-",IF(MarGog1LevelDesired&lt;$B33,"-",$D33))</f>
        <v>-</v>
      </c>
      <c r="AF33" s="21" t="str">
        <f t="shared" ref="AF33" si="2004">IF(MarGog1LevelCurrent&gt;=$B33,"-",IF(MarGog1LevelDesired&lt;$B33,"-",$E33))</f>
        <v>-</v>
      </c>
      <c r="AG33" s="15" t="str">
        <f t="shared" ref="AG33" si="2005">IF(MarGlo1LevelCurrent&gt;=$B33,"-",IF(MarGlo1LevelDesired&lt;$B33,"-",$C33))</f>
        <v>-</v>
      </c>
      <c r="AH33" s="1" t="str">
        <f t="shared" ref="AH33" si="2006">IF(MarGlo1LevelCurrent&gt;=$B33,"-",IF(MarGlo1LevelDesired&lt;$B33,"-",$D33))</f>
        <v>-</v>
      </c>
      <c r="AI33" s="21" t="str">
        <f t="shared" ref="AI33" si="2007">IF(MarGlo1LevelCurrent&gt;=$B33,"-",IF(MarGlo1LevelDesired&lt;$B33,"-",$E33))</f>
        <v>-</v>
      </c>
      <c r="AJ33" s="15" t="str">
        <f t="shared" ref="AJ33" si="2008">IF(MarBel1LevelCurrent&gt;=$B33,"-",IF(MarBel1LevelDesired&lt;$B33,"-",$C33))</f>
        <v>-</v>
      </c>
      <c r="AK33" s="1" t="str">
        <f t="shared" ref="AK33" si="2009">IF(MarBel1LevelCurrent&gt;=$B33,"-",IF(MarBel1LevelDesired&lt;$B33,"-",$D33))</f>
        <v>-</v>
      </c>
      <c r="AL33" s="21" t="str">
        <f t="shared" ref="AL33" si="2010">IF(MarBel1LevelCurrent&gt;=$B33,"-",IF(MarBel1LevelDesired&lt;$B33,"-",$E33))</f>
        <v>-</v>
      </c>
      <c r="AM33" s="15" t="str">
        <f t="shared" ref="AM33" si="2011">IF(MarBoo1LevelCurrent&gt;=$B33,"-",IF(MarBoo1LevelDesired&lt;$B33,"-",$C33))</f>
        <v>-</v>
      </c>
      <c r="AN33" s="1" t="str">
        <f t="shared" ref="AN33" si="2012">IF(MarBoo1LevelCurrent&gt;=$B33,"-",IF(MarBoo1LevelDesired&lt;$B33,"-",$D33))</f>
        <v>-</v>
      </c>
      <c r="AO33" s="21" t="str">
        <f t="shared" ref="AO33" si="2013">IF(MarBoo1LevelCurrent&gt;=$B33,"-",IF(MarBoo1LevelDesired&lt;$B33,"-",$E33))</f>
        <v>-</v>
      </c>
      <c r="AP33" s="15" t="str">
        <f t="shared" ref="AP33" si="2014">IF(InfGog2LevelCurrent&gt;=$B33,"-",IF(InfGog2LevelDesired&lt;$B33,"-",$C33))</f>
        <v>-</v>
      </c>
      <c r="AQ33" s="1" t="str">
        <f t="shared" ref="AQ33" si="2015">IF(InfGog2LevelCurrent&gt;=$B33,"-",IF(InfGog2LevelDesired&lt;$B33,"-",$D33))</f>
        <v>-</v>
      </c>
      <c r="AR33" s="21" t="str">
        <f t="shared" ref="AR33" si="2016">IF(InfGog2LevelCurrent&gt;=$B33,"-",IF(InfGog2LevelDesired&lt;$B33,"-",$E33))</f>
        <v>-</v>
      </c>
      <c r="AS33" s="15" t="str">
        <f t="shared" ref="AS33" si="2017">IF(InfGlo2LevelCurrent&gt;=$B33,"-",IF(InfGlo2LevelDesired&lt;$B33,"-",$C33))</f>
        <v>-</v>
      </c>
      <c r="AT33" s="1" t="str">
        <f t="shared" ref="AT33" si="2018">IF(InfGlo2LevelCurrent&gt;=$B33,"-",IF(InfGlo2LevelDesired&lt;$B33,"-",$D33))</f>
        <v>-</v>
      </c>
      <c r="AU33" s="21" t="str">
        <f t="shared" ref="AU33" si="2019">IF(InfGlo2LevelCurrent&gt;=$B33,"-",IF(InfGlo2LevelDesired&lt;$B33,"-",$E33))</f>
        <v>-</v>
      </c>
      <c r="AV33" s="15" t="str">
        <f t="shared" ref="AV33" si="2020">IF(InfBel2LevelCurrent&gt;=$B33,"-",IF(InfBel2LevelDesired&lt;$B33,"-",$C33))</f>
        <v>-</v>
      </c>
      <c r="AW33" s="1" t="str">
        <f t="shared" ref="AW33" si="2021">IF(InfBel2LevelCurrent&gt;=$B33,"-",IF(InfBel2LevelDesired&lt;$B33,"-",$D33))</f>
        <v>-</v>
      </c>
      <c r="AX33" s="21" t="str">
        <f t="shared" ref="AX33" si="2022">IF(InfBel2LevelCurrent&gt;=$B33,"-",IF(InfBel2LevelDesired&lt;$B33,"-",$E33))</f>
        <v>-</v>
      </c>
      <c r="AY33" s="15" t="str">
        <f t="shared" ref="AY33" si="2023">IF(InfBoo2LevelCurrent&gt;=$B33,"-",IF(InfBoo2LevelDesired&lt;$B33,"-",$C33))</f>
        <v>-</v>
      </c>
      <c r="AZ33" s="1" t="str">
        <f t="shared" ref="AZ33" si="2024">IF(InfBoo2LevelCurrent&gt;=$B33,"-",IF(InfBoo2LevelDesired&lt;$B33,"-",$D33))</f>
        <v>-</v>
      </c>
      <c r="BA33" s="21" t="str">
        <f t="shared" ref="BA33" si="2025">IF(InfBoo2LevelCurrent&gt;=$B33,"-",IF(InfBoo2LevelDesired&lt;$B33,"-",$E33))</f>
        <v>-</v>
      </c>
      <c r="BB33" s="15" t="str">
        <f t="shared" ref="BB33" si="2026">IF(LanGog2LevelCurrent&gt;=$B33,"-",IF(LanGog2LevelDesired&lt;$B33,"-",$C33))</f>
        <v>-</v>
      </c>
      <c r="BC33" s="1" t="str">
        <f t="shared" ref="BC33" si="2027">IF(LanGog2LevelCurrent&gt;=$B33,"-",IF(LanGog2LevelDesired&lt;$B33,"-",$D33))</f>
        <v>-</v>
      </c>
      <c r="BD33" s="21" t="str">
        <f t="shared" ref="BD33" si="2028">IF(LanGog2LevelCurrent&gt;=$B33,"-",IF(LanGog2LevelDesired&lt;$B33,"-",$E33))</f>
        <v>-</v>
      </c>
      <c r="BE33" s="15" t="str">
        <f t="shared" ref="BE33" si="2029">IF(LanGlo2LevelCurrent&gt;=$B33,"-",IF(LanGlo2LevelDesired&lt;$B33,"-",$C33))</f>
        <v>-</v>
      </c>
      <c r="BF33" s="1" t="str">
        <f t="shared" ref="BF33" si="2030">IF(LanGlo2LevelCurrent&gt;=$B33,"-",IF(LanGlo2LevelDesired&lt;$B33,"-",$D33))</f>
        <v>-</v>
      </c>
      <c r="BG33" s="21" t="str">
        <f t="shared" ref="BG33" si="2031">IF(LanGlo2LevelCurrent&gt;=$B33,"-",IF(LanGlo2LevelDesired&lt;$B33,"-",$E33))</f>
        <v>-</v>
      </c>
      <c r="BH33" s="15" t="str">
        <f t="shared" ref="BH33" si="2032">IF(LanBel2LevelCurrent&gt;=$B33,"-",IF(LanBel2LevelDesired&lt;$B33,"-",$C33))</f>
        <v>-</v>
      </c>
      <c r="BI33" s="1" t="str">
        <f t="shared" ref="BI33" si="2033">IF(LanBel2LevelCurrent&gt;=$B33,"-",IF(LanBel2LevelDesired&lt;$B33,"-",$D33))</f>
        <v>-</v>
      </c>
      <c r="BJ33" s="21" t="str">
        <f t="shared" ref="BJ33" si="2034">IF(LanBel2LevelCurrent&gt;=$B33,"-",IF(LanBel2LevelDesired&lt;$B33,"-",$E33))</f>
        <v>-</v>
      </c>
      <c r="BK33" s="15" t="str">
        <f t="shared" ref="BK33" si="2035">IF(LanBoo2LevelCurrent&gt;=$B33,"-",IF(LanBoo2LevelDesired&lt;$B33,"-",$C33))</f>
        <v>-</v>
      </c>
      <c r="BL33" s="1" t="str">
        <f t="shared" ref="BL33" si="2036">IF(LanBoo2LevelCurrent&gt;=$B33,"-",IF(LanBoo2LevelDesired&lt;$B33,"-",$D33))</f>
        <v>-</v>
      </c>
      <c r="BM33" s="21" t="str">
        <f t="shared" ref="BM33" si="2037">IF(LanBoo2LevelCurrent&gt;=$B33,"-",IF(LanBoo2LevelDesired&lt;$B33,"-",$E33))</f>
        <v>-</v>
      </c>
      <c r="BN33" s="15" t="str">
        <f t="shared" ref="BN33" si="2038">IF(MarGog2LevelCurrent&gt;=$B33,"-",IF(MarGog2LevelDesired&lt;$B33,"-",$C33))</f>
        <v>-</v>
      </c>
      <c r="BO33" s="1" t="str">
        <f t="shared" ref="BO33" si="2039">IF(MarGog2LevelCurrent&gt;=$B33,"-",IF(MarGog2LevelDesired&lt;$B33,"-",$D33))</f>
        <v>-</v>
      </c>
      <c r="BP33" s="21" t="str">
        <f t="shared" ref="BP33" si="2040">IF(MarGog2LevelCurrent&gt;=$B33,"-",IF(MarGog2LevelDesired&lt;$B33,"-",$E33))</f>
        <v>-</v>
      </c>
      <c r="BQ33" s="15" t="str">
        <f t="shared" ref="BQ33" si="2041">IF(MarGlo2LevelCurrent&gt;=$B33,"-",IF(MarGlo2LevelDesired&lt;$B33,"-",$C33))</f>
        <v>-</v>
      </c>
      <c r="BR33" s="1" t="str">
        <f t="shared" ref="BR33" si="2042">IF(MarGlo2LevelCurrent&gt;=$B33,"-",IF(MarGlo2LevelDesired&lt;$B33,"-",$D33))</f>
        <v>-</v>
      </c>
      <c r="BS33" s="21" t="str">
        <f t="shared" ref="BS33" si="2043">IF(MarGlo2LevelCurrent&gt;=$B33,"-",IF(MarGlo2LevelDesired&lt;$B33,"-",$E33))</f>
        <v>-</v>
      </c>
      <c r="BT33" s="15" t="str">
        <f t="shared" ref="BT33" si="2044">IF(MarBel2LevelCurrent&gt;=$B33,"-",IF(MarBel2LevelDesired&lt;$B33,"-",$C33))</f>
        <v>-</v>
      </c>
      <c r="BU33" s="1" t="str">
        <f t="shared" ref="BU33" si="2045">IF(MarBel2LevelCurrent&gt;=$B33,"-",IF(MarBel2LevelDesired&lt;$B33,"-",$D33))</f>
        <v>-</v>
      </c>
      <c r="BV33" s="21" t="str">
        <f t="shared" ref="BV33" si="2046">IF(MarBel2LevelCurrent&gt;=$B33,"-",IF(MarBel2LevelDesired&lt;$B33,"-",$E33))</f>
        <v>-</v>
      </c>
      <c r="BW33" s="15" t="str">
        <f t="shared" ref="BW33" si="2047">IF(MarBoo2LevelCurrent&gt;=$B33,"-",IF(MarBoo2LevelDesired&lt;$B33,"-",$C33))</f>
        <v>-</v>
      </c>
      <c r="BX33" s="1" t="str">
        <f t="shared" ref="BX33" si="2048">IF(MarBoo2LevelCurrent&gt;=$B33,"-",IF(MarBoo2LevelDesired&lt;$B33,"-",$D33))</f>
        <v>-</v>
      </c>
      <c r="BY33" s="21" t="str">
        <f t="shared" ref="BY33" si="2049">IF(MarBoo2LevelCurrent&gt;=$B33,"-",IF(MarBoo2LevelDesired&lt;$B33,"-",$E33))</f>
        <v>-</v>
      </c>
      <c r="BZ33" s="15" t="str">
        <f t="shared" si="72"/>
        <v>-</v>
      </c>
      <c r="CA33" s="1" t="str" cm="1">
        <f t="array" ref="CA33">IF(InfGog3LevelCurrent&gt;=$B33,"-",IF(InfGog3LevelDesired&lt;$B33,"-",$D33))</f>
        <v>-</v>
      </c>
      <c r="CB33" s="21" t="str" cm="1">
        <f t="array" ref="CB33">IF(InfGog3LevelCurrent&gt;=$B33,"-",IF(InfGog3LevelDesired&lt;$B33,"-",$E33))</f>
        <v>-</v>
      </c>
      <c r="CC33" s="15" t="str">
        <f t="shared" si="73"/>
        <v>-</v>
      </c>
      <c r="CD33" s="1" t="str">
        <f t="shared" si="74"/>
        <v>-</v>
      </c>
      <c r="CE33" s="21" t="str">
        <f t="shared" si="75"/>
        <v>-</v>
      </c>
      <c r="CF33" s="15" t="str">
        <f t="shared" si="76"/>
        <v>-</v>
      </c>
      <c r="CG33" s="1" t="str">
        <f t="shared" si="77"/>
        <v>-</v>
      </c>
      <c r="CH33" s="21" t="str">
        <f t="shared" si="78"/>
        <v>-</v>
      </c>
      <c r="CI33" s="15" t="str">
        <f t="shared" si="79"/>
        <v>-</v>
      </c>
      <c r="CJ33" s="1" t="str">
        <f t="shared" si="80"/>
        <v>-</v>
      </c>
      <c r="CK33" s="21" t="str">
        <f t="shared" si="81"/>
        <v>-</v>
      </c>
      <c r="CL33" s="15" t="str">
        <f t="shared" si="82"/>
        <v>-</v>
      </c>
      <c r="CM33" s="1" t="str">
        <f t="shared" si="83"/>
        <v>-</v>
      </c>
      <c r="CN33" s="21" t="str">
        <f t="shared" si="84"/>
        <v>-</v>
      </c>
      <c r="CO33" s="15" t="str">
        <f t="shared" si="85"/>
        <v>-</v>
      </c>
      <c r="CP33" s="1" t="str">
        <f t="shared" si="86"/>
        <v>-</v>
      </c>
      <c r="CQ33" s="21" t="str">
        <f t="shared" si="87"/>
        <v>-</v>
      </c>
      <c r="CR33" s="15" t="str">
        <f t="shared" si="88"/>
        <v>-</v>
      </c>
      <c r="CS33" s="1" t="str">
        <f t="shared" si="89"/>
        <v>-</v>
      </c>
      <c r="CT33" s="21" t="str">
        <f t="shared" si="90"/>
        <v>-</v>
      </c>
      <c r="CU33" s="15" t="str">
        <f t="shared" si="91"/>
        <v>-</v>
      </c>
      <c r="CV33" s="1" t="str">
        <f t="shared" si="92"/>
        <v>-</v>
      </c>
      <c r="CW33" s="21" t="str">
        <f t="shared" si="93"/>
        <v>-</v>
      </c>
      <c r="CX33" s="15" t="str">
        <f t="shared" si="94"/>
        <v>-</v>
      </c>
      <c r="CY33" s="1" t="str">
        <f t="shared" si="95"/>
        <v>-</v>
      </c>
      <c r="CZ33" s="21" t="str">
        <f t="shared" si="96"/>
        <v>-</v>
      </c>
      <c r="DA33" s="15" t="str">
        <f t="shared" si="97"/>
        <v>-</v>
      </c>
      <c r="DB33" s="1" t="str">
        <f t="shared" si="98"/>
        <v>-</v>
      </c>
      <c r="DC33" s="21" t="str">
        <f t="shared" si="99"/>
        <v>-</v>
      </c>
      <c r="DD33" s="15" t="str">
        <f t="shared" si="100"/>
        <v>-</v>
      </c>
      <c r="DE33" s="1" t="str">
        <f t="shared" si="101"/>
        <v>-</v>
      </c>
      <c r="DF33" s="21" t="str">
        <f t="shared" si="102"/>
        <v>-</v>
      </c>
      <c r="DG33" s="15" t="str">
        <f t="shared" si="103"/>
        <v>-</v>
      </c>
      <c r="DH33" s="1" t="str">
        <f t="shared" si="104"/>
        <v>-</v>
      </c>
      <c r="DI33" s="21" t="str">
        <f t="shared" si="105"/>
        <v>-</v>
      </c>
    </row>
    <row r="34" spans="2:113" x14ac:dyDescent="0.3">
      <c r="B34" s="1">
        <v>29</v>
      </c>
      <c r="C34" s="67">
        <v>150</v>
      </c>
      <c r="D34" s="88" t="s">
        <v>27</v>
      </c>
      <c r="E34" s="21" t="s">
        <v>27</v>
      </c>
      <c r="F34" s="15" t="str">
        <f t="shared" ref="F34" si="2050">IF(InfGog1LevelCurrent&gt;=$B34,"-",IF(InfGog1LevelDesired&lt;$B34,"-",$C34))</f>
        <v>-</v>
      </c>
      <c r="G34" s="1" t="str">
        <f t="shared" ref="G34" si="2051">IF(InfGog1LevelCurrent&gt;=$B34,"-",IF(InfGog1LevelDesired&lt;$B34,"-",$D34))</f>
        <v>-</v>
      </c>
      <c r="H34" s="21" t="str">
        <f t="shared" ref="H34" si="2052">IF(InfGog1LevelCurrent&gt;=$B34,"-",IF(InfGog1LevelDesired&lt;$B34,"-",$E34))</f>
        <v>-</v>
      </c>
      <c r="I34" s="15" t="str">
        <f t="shared" ref="I34" si="2053">IF(InfGlo1LevelCurrent&gt;=$B34,"-",IF(InfGlo1LevelDesired&lt;$B34,"-",$C34))</f>
        <v>-</v>
      </c>
      <c r="J34" s="1" t="str">
        <f t="shared" ref="J34" si="2054">IF(InfGlo1LevelCurrent&gt;=$B34,"-",IF(InfGlo1LevelDesired&lt;$B34,"-",$D34))</f>
        <v>-</v>
      </c>
      <c r="K34" s="21" t="str">
        <f t="shared" ref="K34" si="2055">IF(InfGlo1LevelCurrent&gt;=$B34,"-",IF(InfGlo1LevelDesired&lt;$B34,"-",$E34))</f>
        <v>-</v>
      </c>
      <c r="L34" s="15" t="str">
        <f t="shared" ref="L34" si="2056">IF(InfBel1LevelCurrent&gt;=$B34,"-",IF(InfBel1LevelDesired&lt;$B34,"-",$C34))</f>
        <v>-</v>
      </c>
      <c r="M34" s="1" t="str">
        <f t="shared" ref="M34" si="2057">IF(InfBel1LevelCurrent&gt;=$B34,"-",IF(InfBel1LevelDesired&lt;$B34,"-",$D34))</f>
        <v>-</v>
      </c>
      <c r="N34" s="21" t="str">
        <f t="shared" ref="N34" si="2058">IF(InfBel1LevelCurrent&gt;=$B34,"-",IF(InfBel1LevelDesired&lt;$B34,"-",$E34))</f>
        <v>-</v>
      </c>
      <c r="O34" s="15" t="str">
        <f t="shared" ref="O34" si="2059">IF(InfBoo1LevelCurrent&gt;=$B34,"-",IF(InfBoo1LevelDesired&lt;$B34,"-",$C34))</f>
        <v>-</v>
      </c>
      <c r="P34" s="1" t="str">
        <f t="shared" ref="P34" si="2060">IF(InfBoo1LevelCurrent&gt;=$B34,"-",IF(InfBoo1LevelDesired&lt;$B34,"-",$D34))</f>
        <v>-</v>
      </c>
      <c r="Q34" s="21" t="str">
        <f t="shared" ref="Q34" si="2061">IF(InfBoo1LevelCurrent&gt;=$B34,"-",IF(InfBoo1LevelDesired&lt;$B34,"-",$E34))</f>
        <v>-</v>
      </c>
      <c r="R34" s="15" t="str">
        <f t="shared" ref="R34" si="2062">IF(LanGog1LevelCurrent&gt;=$B34,"-",IF(LanGog1LevelDesired&lt;$B34,"-",$C34))</f>
        <v>-</v>
      </c>
      <c r="S34" s="1" t="str">
        <f t="shared" ref="S34" si="2063">IF(LanGog1LevelCurrent&gt;=$B34,"-",IF(LanGog1LevelDesired&lt;$B34,"-",$D34))</f>
        <v>-</v>
      </c>
      <c r="T34" s="21" t="str">
        <f t="shared" ref="T34" si="2064">IF(LanGog1LevelCurrent&gt;=$B34,"-",IF(LanGog1LevelDesired&lt;$B34,"-",$E34))</f>
        <v>-</v>
      </c>
      <c r="U34" s="15" t="str">
        <f t="shared" ref="U34" si="2065">IF(LanGlo1LevelCurrent&gt;=$B34,"-",IF(LanGlo1LevelDesired&lt;$B34,"-",$C34))</f>
        <v>-</v>
      </c>
      <c r="V34" s="1" t="str">
        <f t="shared" ref="V34" si="2066">IF(LanGlo1LevelCurrent&gt;=$B34,"-",IF(LanGlo1LevelDesired&lt;$B34,"-",$D34))</f>
        <v>-</v>
      </c>
      <c r="W34" s="21" t="str">
        <f t="shared" ref="W34" si="2067">IF(LanGlo1LevelCurrent&gt;=$B34,"-",IF(LanGlo1LevelDesired&lt;$B34,"-",$E34))</f>
        <v>-</v>
      </c>
      <c r="X34" s="15" t="str">
        <f t="shared" ref="X34" si="2068">IF(LanBel1LevelCurrent&gt;=$B34,"-",IF(LanBel1LevelDesired&lt;$B34,"-",$C34))</f>
        <v>-</v>
      </c>
      <c r="Y34" s="1" t="str">
        <f t="shared" ref="Y34" si="2069">IF(LanBel1LevelCurrent&gt;=$B34,"-",IF(LanBel1LevelDesired&lt;$B34,"-",$D34))</f>
        <v>-</v>
      </c>
      <c r="Z34" s="21" t="str">
        <f t="shared" ref="Z34" si="2070">IF(LanBel1LevelCurrent&gt;=$B34,"-",IF(LanBel1LevelDesired&lt;$B34,"-",$E34))</f>
        <v>-</v>
      </c>
      <c r="AA34" s="15" t="str">
        <f t="shared" ref="AA34" si="2071">IF(LanBoo1LevelCurrent&gt;=$B34,"-",IF(LanBoo1LevelDesired&lt;$B34,"-",$C34))</f>
        <v>-</v>
      </c>
      <c r="AB34" s="1" t="str">
        <f t="shared" ref="AB34" si="2072">IF(LanBoo1LevelCurrent&gt;=$B34,"-",IF(LanBoo1LevelDesired&lt;$B34,"-",$D34))</f>
        <v>-</v>
      </c>
      <c r="AC34" s="21" t="str">
        <f t="shared" ref="AC34" si="2073">IF(LanBoo1LevelCurrent&gt;=$B34,"-",IF(LanBoo1LevelDesired&lt;$B34,"-",$E34))</f>
        <v>-</v>
      </c>
      <c r="AD34" s="15" t="str">
        <f t="shared" ref="AD34" si="2074">IF(MarGog1LevelCurrent&gt;=$B34,"-",IF(MarGog1LevelDesired&lt;$B34,"-",$C34))</f>
        <v>-</v>
      </c>
      <c r="AE34" s="1" t="str">
        <f t="shared" ref="AE34" si="2075">IF(MarGog1LevelCurrent&gt;=$B34,"-",IF(MarGog1LevelDesired&lt;$B34,"-",$D34))</f>
        <v>-</v>
      </c>
      <c r="AF34" s="21" t="str">
        <f t="shared" ref="AF34" si="2076">IF(MarGog1LevelCurrent&gt;=$B34,"-",IF(MarGog1LevelDesired&lt;$B34,"-",$E34))</f>
        <v>-</v>
      </c>
      <c r="AG34" s="15" t="str">
        <f t="shared" ref="AG34" si="2077">IF(MarGlo1LevelCurrent&gt;=$B34,"-",IF(MarGlo1LevelDesired&lt;$B34,"-",$C34))</f>
        <v>-</v>
      </c>
      <c r="AH34" s="1" t="str">
        <f t="shared" ref="AH34" si="2078">IF(MarGlo1LevelCurrent&gt;=$B34,"-",IF(MarGlo1LevelDesired&lt;$B34,"-",$D34))</f>
        <v>-</v>
      </c>
      <c r="AI34" s="21" t="str">
        <f t="shared" ref="AI34" si="2079">IF(MarGlo1LevelCurrent&gt;=$B34,"-",IF(MarGlo1LevelDesired&lt;$B34,"-",$E34))</f>
        <v>-</v>
      </c>
      <c r="AJ34" s="15" t="str">
        <f t="shared" ref="AJ34" si="2080">IF(MarBel1LevelCurrent&gt;=$B34,"-",IF(MarBel1LevelDesired&lt;$B34,"-",$C34))</f>
        <v>-</v>
      </c>
      <c r="AK34" s="1" t="str">
        <f t="shared" ref="AK34" si="2081">IF(MarBel1LevelCurrent&gt;=$B34,"-",IF(MarBel1LevelDesired&lt;$B34,"-",$D34))</f>
        <v>-</v>
      </c>
      <c r="AL34" s="21" t="str">
        <f t="shared" ref="AL34" si="2082">IF(MarBel1LevelCurrent&gt;=$B34,"-",IF(MarBel1LevelDesired&lt;$B34,"-",$E34))</f>
        <v>-</v>
      </c>
      <c r="AM34" s="15" t="str">
        <f t="shared" ref="AM34" si="2083">IF(MarBoo1LevelCurrent&gt;=$B34,"-",IF(MarBoo1LevelDesired&lt;$B34,"-",$C34))</f>
        <v>-</v>
      </c>
      <c r="AN34" s="1" t="str">
        <f t="shared" ref="AN34" si="2084">IF(MarBoo1LevelCurrent&gt;=$B34,"-",IF(MarBoo1LevelDesired&lt;$B34,"-",$D34))</f>
        <v>-</v>
      </c>
      <c r="AO34" s="21" t="str">
        <f t="shared" ref="AO34" si="2085">IF(MarBoo1LevelCurrent&gt;=$B34,"-",IF(MarBoo1LevelDesired&lt;$B34,"-",$E34))</f>
        <v>-</v>
      </c>
      <c r="AP34" s="15" t="str">
        <f t="shared" ref="AP34" si="2086">IF(InfGog2LevelCurrent&gt;=$B34,"-",IF(InfGog2LevelDesired&lt;$B34,"-",$C34))</f>
        <v>-</v>
      </c>
      <c r="AQ34" s="1" t="str">
        <f t="shared" ref="AQ34" si="2087">IF(InfGog2LevelCurrent&gt;=$B34,"-",IF(InfGog2LevelDesired&lt;$B34,"-",$D34))</f>
        <v>-</v>
      </c>
      <c r="AR34" s="21" t="str">
        <f t="shared" ref="AR34" si="2088">IF(InfGog2LevelCurrent&gt;=$B34,"-",IF(InfGog2LevelDesired&lt;$B34,"-",$E34))</f>
        <v>-</v>
      </c>
      <c r="AS34" s="15" t="str">
        <f t="shared" ref="AS34" si="2089">IF(InfGlo2LevelCurrent&gt;=$B34,"-",IF(InfGlo2LevelDesired&lt;$B34,"-",$C34))</f>
        <v>-</v>
      </c>
      <c r="AT34" s="1" t="str">
        <f t="shared" ref="AT34" si="2090">IF(InfGlo2LevelCurrent&gt;=$B34,"-",IF(InfGlo2LevelDesired&lt;$B34,"-",$D34))</f>
        <v>-</v>
      </c>
      <c r="AU34" s="21" t="str">
        <f t="shared" ref="AU34" si="2091">IF(InfGlo2LevelCurrent&gt;=$B34,"-",IF(InfGlo2LevelDesired&lt;$B34,"-",$E34))</f>
        <v>-</v>
      </c>
      <c r="AV34" s="15" t="str">
        <f t="shared" ref="AV34" si="2092">IF(InfBel2LevelCurrent&gt;=$B34,"-",IF(InfBel2LevelDesired&lt;$B34,"-",$C34))</f>
        <v>-</v>
      </c>
      <c r="AW34" s="1" t="str">
        <f t="shared" ref="AW34" si="2093">IF(InfBel2LevelCurrent&gt;=$B34,"-",IF(InfBel2LevelDesired&lt;$B34,"-",$D34))</f>
        <v>-</v>
      </c>
      <c r="AX34" s="21" t="str">
        <f t="shared" ref="AX34" si="2094">IF(InfBel2LevelCurrent&gt;=$B34,"-",IF(InfBel2LevelDesired&lt;$B34,"-",$E34))</f>
        <v>-</v>
      </c>
      <c r="AY34" s="15" t="str">
        <f t="shared" ref="AY34" si="2095">IF(InfBoo2LevelCurrent&gt;=$B34,"-",IF(InfBoo2LevelDesired&lt;$B34,"-",$C34))</f>
        <v>-</v>
      </c>
      <c r="AZ34" s="1" t="str">
        <f t="shared" ref="AZ34" si="2096">IF(InfBoo2LevelCurrent&gt;=$B34,"-",IF(InfBoo2LevelDesired&lt;$B34,"-",$D34))</f>
        <v>-</v>
      </c>
      <c r="BA34" s="21" t="str">
        <f t="shared" ref="BA34" si="2097">IF(InfBoo2LevelCurrent&gt;=$B34,"-",IF(InfBoo2LevelDesired&lt;$B34,"-",$E34))</f>
        <v>-</v>
      </c>
      <c r="BB34" s="15" t="str">
        <f t="shared" ref="BB34" si="2098">IF(LanGog2LevelCurrent&gt;=$B34,"-",IF(LanGog2LevelDesired&lt;$B34,"-",$C34))</f>
        <v>-</v>
      </c>
      <c r="BC34" s="1" t="str">
        <f t="shared" ref="BC34" si="2099">IF(LanGog2LevelCurrent&gt;=$B34,"-",IF(LanGog2LevelDesired&lt;$B34,"-",$D34))</f>
        <v>-</v>
      </c>
      <c r="BD34" s="21" t="str">
        <f t="shared" ref="BD34" si="2100">IF(LanGog2LevelCurrent&gt;=$B34,"-",IF(LanGog2LevelDesired&lt;$B34,"-",$E34))</f>
        <v>-</v>
      </c>
      <c r="BE34" s="15" t="str">
        <f t="shared" ref="BE34" si="2101">IF(LanGlo2LevelCurrent&gt;=$B34,"-",IF(LanGlo2LevelDesired&lt;$B34,"-",$C34))</f>
        <v>-</v>
      </c>
      <c r="BF34" s="1" t="str">
        <f t="shared" ref="BF34" si="2102">IF(LanGlo2LevelCurrent&gt;=$B34,"-",IF(LanGlo2LevelDesired&lt;$B34,"-",$D34))</f>
        <v>-</v>
      </c>
      <c r="BG34" s="21" t="str">
        <f t="shared" ref="BG34" si="2103">IF(LanGlo2LevelCurrent&gt;=$B34,"-",IF(LanGlo2LevelDesired&lt;$B34,"-",$E34))</f>
        <v>-</v>
      </c>
      <c r="BH34" s="15" t="str">
        <f t="shared" ref="BH34" si="2104">IF(LanBel2LevelCurrent&gt;=$B34,"-",IF(LanBel2LevelDesired&lt;$B34,"-",$C34))</f>
        <v>-</v>
      </c>
      <c r="BI34" s="1" t="str">
        <f t="shared" ref="BI34" si="2105">IF(LanBel2LevelCurrent&gt;=$B34,"-",IF(LanBel2LevelDesired&lt;$B34,"-",$D34))</f>
        <v>-</v>
      </c>
      <c r="BJ34" s="21" t="str">
        <f t="shared" ref="BJ34" si="2106">IF(LanBel2LevelCurrent&gt;=$B34,"-",IF(LanBel2LevelDesired&lt;$B34,"-",$E34))</f>
        <v>-</v>
      </c>
      <c r="BK34" s="15" t="str">
        <f t="shared" ref="BK34" si="2107">IF(LanBoo2LevelCurrent&gt;=$B34,"-",IF(LanBoo2LevelDesired&lt;$B34,"-",$C34))</f>
        <v>-</v>
      </c>
      <c r="BL34" s="1" t="str">
        <f t="shared" ref="BL34" si="2108">IF(LanBoo2LevelCurrent&gt;=$B34,"-",IF(LanBoo2LevelDesired&lt;$B34,"-",$D34))</f>
        <v>-</v>
      </c>
      <c r="BM34" s="21" t="str">
        <f t="shared" ref="BM34" si="2109">IF(LanBoo2LevelCurrent&gt;=$B34,"-",IF(LanBoo2LevelDesired&lt;$B34,"-",$E34))</f>
        <v>-</v>
      </c>
      <c r="BN34" s="15" t="str">
        <f t="shared" ref="BN34" si="2110">IF(MarGog2LevelCurrent&gt;=$B34,"-",IF(MarGog2LevelDesired&lt;$B34,"-",$C34))</f>
        <v>-</v>
      </c>
      <c r="BO34" s="1" t="str">
        <f t="shared" ref="BO34" si="2111">IF(MarGog2LevelCurrent&gt;=$B34,"-",IF(MarGog2LevelDesired&lt;$B34,"-",$D34))</f>
        <v>-</v>
      </c>
      <c r="BP34" s="21" t="str">
        <f t="shared" ref="BP34" si="2112">IF(MarGog2LevelCurrent&gt;=$B34,"-",IF(MarGog2LevelDesired&lt;$B34,"-",$E34))</f>
        <v>-</v>
      </c>
      <c r="BQ34" s="15" t="str">
        <f t="shared" ref="BQ34" si="2113">IF(MarGlo2LevelCurrent&gt;=$B34,"-",IF(MarGlo2LevelDesired&lt;$B34,"-",$C34))</f>
        <v>-</v>
      </c>
      <c r="BR34" s="1" t="str">
        <f t="shared" ref="BR34" si="2114">IF(MarGlo2LevelCurrent&gt;=$B34,"-",IF(MarGlo2LevelDesired&lt;$B34,"-",$D34))</f>
        <v>-</v>
      </c>
      <c r="BS34" s="21" t="str">
        <f t="shared" ref="BS34" si="2115">IF(MarGlo2LevelCurrent&gt;=$B34,"-",IF(MarGlo2LevelDesired&lt;$B34,"-",$E34))</f>
        <v>-</v>
      </c>
      <c r="BT34" s="15" t="str">
        <f t="shared" ref="BT34" si="2116">IF(MarBel2LevelCurrent&gt;=$B34,"-",IF(MarBel2LevelDesired&lt;$B34,"-",$C34))</f>
        <v>-</v>
      </c>
      <c r="BU34" s="1" t="str">
        <f t="shared" ref="BU34" si="2117">IF(MarBel2LevelCurrent&gt;=$B34,"-",IF(MarBel2LevelDesired&lt;$B34,"-",$D34))</f>
        <v>-</v>
      </c>
      <c r="BV34" s="21" t="str">
        <f t="shared" ref="BV34" si="2118">IF(MarBel2LevelCurrent&gt;=$B34,"-",IF(MarBel2LevelDesired&lt;$B34,"-",$E34))</f>
        <v>-</v>
      </c>
      <c r="BW34" s="15" t="str">
        <f t="shared" ref="BW34" si="2119">IF(MarBoo2LevelCurrent&gt;=$B34,"-",IF(MarBoo2LevelDesired&lt;$B34,"-",$C34))</f>
        <v>-</v>
      </c>
      <c r="BX34" s="1" t="str">
        <f t="shared" ref="BX34" si="2120">IF(MarBoo2LevelCurrent&gt;=$B34,"-",IF(MarBoo2LevelDesired&lt;$B34,"-",$D34))</f>
        <v>-</v>
      </c>
      <c r="BY34" s="21" t="str">
        <f t="shared" ref="BY34" si="2121">IF(MarBoo2LevelCurrent&gt;=$B34,"-",IF(MarBoo2LevelDesired&lt;$B34,"-",$E34))</f>
        <v>-</v>
      </c>
      <c r="BZ34" s="15" t="str">
        <f t="shared" si="72"/>
        <v>-</v>
      </c>
      <c r="CA34" s="1" t="str" cm="1">
        <f t="array" ref="CA34">IF(InfGog3LevelCurrent&gt;=$B34,"-",IF(InfGog3LevelDesired&lt;$B34,"-",$D34))</f>
        <v>-</v>
      </c>
      <c r="CB34" s="21" t="str" cm="1">
        <f t="array" ref="CB34">IF(InfGog3LevelCurrent&gt;=$B34,"-",IF(InfGog3LevelDesired&lt;$B34,"-",$E34))</f>
        <v>-</v>
      </c>
      <c r="CC34" s="15" t="str">
        <f t="shared" si="73"/>
        <v>-</v>
      </c>
      <c r="CD34" s="1" t="str">
        <f t="shared" si="74"/>
        <v>-</v>
      </c>
      <c r="CE34" s="21" t="str">
        <f t="shared" si="75"/>
        <v>-</v>
      </c>
      <c r="CF34" s="15" t="str">
        <f t="shared" si="76"/>
        <v>-</v>
      </c>
      <c r="CG34" s="1" t="str">
        <f t="shared" si="77"/>
        <v>-</v>
      </c>
      <c r="CH34" s="21" t="str">
        <f t="shared" si="78"/>
        <v>-</v>
      </c>
      <c r="CI34" s="15" t="str">
        <f t="shared" si="79"/>
        <v>-</v>
      </c>
      <c r="CJ34" s="1" t="str">
        <f t="shared" si="80"/>
        <v>-</v>
      </c>
      <c r="CK34" s="21" t="str">
        <f t="shared" si="81"/>
        <v>-</v>
      </c>
      <c r="CL34" s="15" t="str">
        <f t="shared" si="82"/>
        <v>-</v>
      </c>
      <c r="CM34" s="1" t="str">
        <f t="shared" si="83"/>
        <v>-</v>
      </c>
      <c r="CN34" s="21" t="str">
        <f t="shared" si="84"/>
        <v>-</v>
      </c>
      <c r="CO34" s="15" t="str">
        <f t="shared" si="85"/>
        <v>-</v>
      </c>
      <c r="CP34" s="1" t="str">
        <f t="shared" si="86"/>
        <v>-</v>
      </c>
      <c r="CQ34" s="21" t="str">
        <f t="shared" si="87"/>
        <v>-</v>
      </c>
      <c r="CR34" s="15" t="str">
        <f t="shared" si="88"/>
        <v>-</v>
      </c>
      <c r="CS34" s="1" t="str">
        <f t="shared" si="89"/>
        <v>-</v>
      </c>
      <c r="CT34" s="21" t="str">
        <f t="shared" si="90"/>
        <v>-</v>
      </c>
      <c r="CU34" s="15" t="str">
        <f t="shared" si="91"/>
        <v>-</v>
      </c>
      <c r="CV34" s="1" t="str">
        <f t="shared" si="92"/>
        <v>-</v>
      </c>
      <c r="CW34" s="21" t="str">
        <f t="shared" si="93"/>
        <v>-</v>
      </c>
      <c r="CX34" s="15" t="str">
        <f t="shared" si="94"/>
        <v>-</v>
      </c>
      <c r="CY34" s="1" t="str">
        <f t="shared" si="95"/>
        <v>-</v>
      </c>
      <c r="CZ34" s="21" t="str">
        <f t="shared" si="96"/>
        <v>-</v>
      </c>
      <c r="DA34" s="15" t="str">
        <f t="shared" si="97"/>
        <v>-</v>
      </c>
      <c r="DB34" s="1" t="str">
        <f t="shared" si="98"/>
        <v>-</v>
      </c>
      <c r="DC34" s="21" t="str">
        <f t="shared" si="99"/>
        <v>-</v>
      </c>
      <c r="DD34" s="15" t="str">
        <f t="shared" si="100"/>
        <v>-</v>
      </c>
      <c r="DE34" s="1" t="str">
        <f t="shared" si="101"/>
        <v>-</v>
      </c>
      <c r="DF34" s="21" t="str">
        <f t="shared" si="102"/>
        <v>-</v>
      </c>
      <c r="DG34" s="15" t="str">
        <f t="shared" si="103"/>
        <v>-</v>
      </c>
      <c r="DH34" s="1" t="str">
        <f t="shared" si="104"/>
        <v>-</v>
      </c>
      <c r="DI34" s="21" t="str">
        <f t="shared" si="105"/>
        <v>-</v>
      </c>
    </row>
    <row r="35" spans="2:113" x14ac:dyDescent="0.3">
      <c r="B35" s="1">
        <v>30</v>
      </c>
      <c r="C35" s="67">
        <v>160</v>
      </c>
      <c r="D35" s="88" t="s">
        <v>27</v>
      </c>
      <c r="E35" s="21" t="s">
        <v>27</v>
      </c>
      <c r="F35" s="15" t="str">
        <f t="shared" ref="F35" si="2122">IF(InfGog1LevelCurrent&gt;=$B35,"-",IF(InfGog1LevelDesired&lt;$B35,"-",$C35))</f>
        <v>-</v>
      </c>
      <c r="G35" s="1" t="str">
        <f t="shared" ref="G35" si="2123">IF(InfGog1LevelCurrent&gt;=$B35,"-",IF(InfGog1LevelDesired&lt;$B35,"-",$D35))</f>
        <v>-</v>
      </c>
      <c r="H35" s="21" t="str">
        <f t="shared" ref="H35" si="2124">IF(InfGog1LevelCurrent&gt;=$B35,"-",IF(InfGog1LevelDesired&lt;$B35,"-",$E35))</f>
        <v>-</v>
      </c>
      <c r="I35" s="15" t="str">
        <f t="shared" ref="I35" si="2125">IF(InfGlo1LevelCurrent&gt;=$B35,"-",IF(InfGlo1LevelDesired&lt;$B35,"-",$C35))</f>
        <v>-</v>
      </c>
      <c r="J35" s="1" t="str">
        <f t="shared" ref="J35" si="2126">IF(InfGlo1LevelCurrent&gt;=$B35,"-",IF(InfGlo1LevelDesired&lt;$B35,"-",$D35))</f>
        <v>-</v>
      </c>
      <c r="K35" s="21" t="str">
        <f t="shared" ref="K35" si="2127">IF(InfGlo1LevelCurrent&gt;=$B35,"-",IF(InfGlo1LevelDesired&lt;$B35,"-",$E35))</f>
        <v>-</v>
      </c>
      <c r="L35" s="15" t="str">
        <f t="shared" ref="L35" si="2128">IF(InfBel1LevelCurrent&gt;=$B35,"-",IF(InfBel1LevelDesired&lt;$B35,"-",$C35))</f>
        <v>-</v>
      </c>
      <c r="M35" s="1" t="str">
        <f t="shared" ref="M35" si="2129">IF(InfBel1LevelCurrent&gt;=$B35,"-",IF(InfBel1LevelDesired&lt;$B35,"-",$D35))</f>
        <v>-</v>
      </c>
      <c r="N35" s="21" t="str">
        <f t="shared" ref="N35" si="2130">IF(InfBel1LevelCurrent&gt;=$B35,"-",IF(InfBel1LevelDesired&lt;$B35,"-",$E35))</f>
        <v>-</v>
      </c>
      <c r="O35" s="15" t="str">
        <f t="shared" ref="O35" si="2131">IF(InfBoo1LevelCurrent&gt;=$B35,"-",IF(InfBoo1LevelDesired&lt;$B35,"-",$C35))</f>
        <v>-</v>
      </c>
      <c r="P35" s="1" t="str">
        <f t="shared" ref="P35" si="2132">IF(InfBoo1LevelCurrent&gt;=$B35,"-",IF(InfBoo1LevelDesired&lt;$B35,"-",$D35))</f>
        <v>-</v>
      </c>
      <c r="Q35" s="21" t="str">
        <f t="shared" ref="Q35" si="2133">IF(InfBoo1LevelCurrent&gt;=$B35,"-",IF(InfBoo1LevelDesired&lt;$B35,"-",$E35))</f>
        <v>-</v>
      </c>
      <c r="R35" s="15" t="str">
        <f t="shared" ref="R35" si="2134">IF(LanGog1LevelCurrent&gt;=$B35,"-",IF(LanGog1LevelDesired&lt;$B35,"-",$C35))</f>
        <v>-</v>
      </c>
      <c r="S35" s="1" t="str">
        <f t="shared" ref="S35" si="2135">IF(LanGog1LevelCurrent&gt;=$B35,"-",IF(LanGog1LevelDesired&lt;$B35,"-",$D35))</f>
        <v>-</v>
      </c>
      <c r="T35" s="21" t="str">
        <f t="shared" ref="T35" si="2136">IF(LanGog1LevelCurrent&gt;=$B35,"-",IF(LanGog1LevelDesired&lt;$B35,"-",$E35))</f>
        <v>-</v>
      </c>
      <c r="U35" s="15" t="str">
        <f t="shared" ref="U35" si="2137">IF(LanGlo1LevelCurrent&gt;=$B35,"-",IF(LanGlo1LevelDesired&lt;$B35,"-",$C35))</f>
        <v>-</v>
      </c>
      <c r="V35" s="1" t="str">
        <f t="shared" ref="V35" si="2138">IF(LanGlo1LevelCurrent&gt;=$B35,"-",IF(LanGlo1LevelDesired&lt;$B35,"-",$D35))</f>
        <v>-</v>
      </c>
      <c r="W35" s="21" t="str">
        <f t="shared" ref="W35" si="2139">IF(LanGlo1LevelCurrent&gt;=$B35,"-",IF(LanGlo1LevelDesired&lt;$B35,"-",$E35))</f>
        <v>-</v>
      </c>
      <c r="X35" s="15" t="str">
        <f t="shared" ref="X35" si="2140">IF(LanBel1LevelCurrent&gt;=$B35,"-",IF(LanBel1LevelDesired&lt;$B35,"-",$C35))</f>
        <v>-</v>
      </c>
      <c r="Y35" s="1" t="str">
        <f t="shared" ref="Y35" si="2141">IF(LanBel1LevelCurrent&gt;=$B35,"-",IF(LanBel1LevelDesired&lt;$B35,"-",$D35))</f>
        <v>-</v>
      </c>
      <c r="Z35" s="21" t="str">
        <f t="shared" ref="Z35" si="2142">IF(LanBel1LevelCurrent&gt;=$B35,"-",IF(LanBel1LevelDesired&lt;$B35,"-",$E35))</f>
        <v>-</v>
      </c>
      <c r="AA35" s="15" t="str">
        <f t="shared" ref="AA35" si="2143">IF(LanBoo1LevelCurrent&gt;=$B35,"-",IF(LanBoo1LevelDesired&lt;$B35,"-",$C35))</f>
        <v>-</v>
      </c>
      <c r="AB35" s="1" t="str">
        <f t="shared" ref="AB35" si="2144">IF(LanBoo1LevelCurrent&gt;=$B35,"-",IF(LanBoo1LevelDesired&lt;$B35,"-",$D35))</f>
        <v>-</v>
      </c>
      <c r="AC35" s="21" t="str">
        <f t="shared" ref="AC35" si="2145">IF(LanBoo1LevelCurrent&gt;=$B35,"-",IF(LanBoo1LevelDesired&lt;$B35,"-",$E35))</f>
        <v>-</v>
      </c>
      <c r="AD35" s="15" t="str">
        <f t="shared" ref="AD35" si="2146">IF(MarGog1LevelCurrent&gt;=$B35,"-",IF(MarGog1LevelDesired&lt;$B35,"-",$C35))</f>
        <v>-</v>
      </c>
      <c r="AE35" s="1" t="str">
        <f t="shared" ref="AE35" si="2147">IF(MarGog1LevelCurrent&gt;=$B35,"-",IF(MarGog1LevelDesired&lt;$B35,"-",$D35))</f>
        <v>-</v>
      </c>
      <c r="AF35" s="21" t="str">
        <f t="shared" ref="AF35" si="2148">IF(MarGog1LevelCurrent&gt;=$B35,"-",IF(MarGog1LevelDesired&lt;$B35,"-",$E35))</f>
        <v>-</v>
      </c>
      <c r="AG35" s="15" t="str">
        <f t="shared" ref="AG35" si="2149">IF(MarGlo1LevelCurrent&gt;=$B35,"-",IF(MarGlo1LevelDesired&lt;$B35,"-",$C35))</f>
        <v>-</v>
      </c>
      <c r="AH35" s="1" t="str">
        <f t="shared" ref="AH35" si="2150">IF(MarGlo1LevelCurrent&gt;=$B35,"-",IF(MarGlo1LevelDesired&lt;$B35,"-",$D35))</f>
        <v>-</v>
      </c>
      <c r="AI35" s="21" t="str">
        <f t="shared" ref="AI35" si="2151">IF(MarGlo1LevelCurrent&gt;=$B35,"-",IF(MarGlo1LevelDesired&lt;$B35,"-",$E35))</f>
        <v>-</v>
      </c>
      <c r="AJ35" s="15" t="str">
        <f t="shared" ref="AJ35" si="2152">IF(MarBel1LevelCurrent&gt;=$B35,"-",IF(MarBel1LevelDesired&lt;$B35,"-",$C35))</f>
        <v>-</v>
      </c>
      <c r="AK35" s="1" t="str">
        <f t="shared" ref="AK35" si="2153">IF(MarBel1LevelCurrent&gt;=$B35,"-",IF(MarBel1LevelDesired&lt;$B35,"-",$D35))</f>
        <v>-</v>
      </c>
      <c r="AL35" s="21" t="str">
        <f t="shared" ref="AL35" si="2154">IF(MarBel1LevelCurrent&gt;=$B35,"-",IF(MarBel1LevelDesired&lt;$B35,"-",$E35))</f>
        <v>-</v>
      </c>
      <c r="AM35" s="15" t="str">
        <f t="shared" ref="AM35" si="2155">IF(MarBoo1LevelCurrent&gt;=$B35,"-",IF(MarBoo1LevelDesired&lt;$B35,"-",$C35))</f>
        <v>-</v>
      </c>
      <c r="AN35" s="1" t="str">
        <f t="shared" ref="AN35" si="2156">IF(MarBoo1LevelCurrent&gt;=$B35,"-",IF(MarBoo1LevelDesired&lt;$B35,"-",$D35))</f>
        <v>-</v>
      </c>
      <c r="AO35" s="21" t="str">
        <f t="shared" ref="AO35" si="2157">IF(MarBoo1LevelCurrent&gt;=$B35,"-",IF(MarBoo1LevelDesired&lt;$B35,"-",$E35))</f>
        <v>-</v>
      </c>
      <c r="AP35" s="15" t="str">
        <f t="shared" ref="AP35" si="2158">IF(InfGog2LevelCurrent&gt;=$B35,"-",IF(InfGog2LevelDesired&lt;$B35,"-",$C35))</f>
        <v>-</v>
      </c>
      <c r="AQ35" s="1" t="str">
        <f t="shared" ref="AQ35" si="2159">IF(InfGog2LevelCurrent&gt;=$B35,"-",IF(InfGog2LevelDesired&lt;$B35,"-",$D35))</f>
        <v>-</v>
      </c>
      <c r="AR35" s="21" t="str">
        <f t="shared" ref="AR35" si="2160">IF(InfGog2LevelCurrent&gt;=$B35,"-",IF(InfGog2LevelDesired&lt;$B35,"-",$E35))</f>
        <v>-</v>
      </c>
      <c r="AS35" s="15" t="str">
        <f t="shared" ref="AS35" si="2161">IF(InfGlo2LevelCurrent&gt;=$B35,"-",IF(InfGlo2LevelDesired&lt;$B35,"-",$C35))</f>
        <v>-</v>
      </c>
      <c r="AT35" s="1" t="str">
        <f t="shared" ref="AT35" si="2162">IF(InfGlo2LevelCurrent&gt;=$B35,"-",IF(InfGlo2LevelDesired&lt;$B35,"-",$D35))</f>
        <v>-</v>
      </c>
      <c r="AU35" s="21" t="str">
        <f t="shared" ref="AU35" si="2163">IF(InfGlo2LevelCurrent&gt;=$B35,"-",IF(InfGlo2LevelDesired&lt;$B35,"-",$E35))</f>
        <v>-</v>
      </c>
      <c r="AV35" s="15" t="str">
        <f t="shared" ref="AV35" si="2164">IF(InfBel2LevelCurrent&gt;=$B35,"-",IF(InfBel2LevelDesired&lt;$B35,"-",$C35))</f>
        <v>-</v>
      </c>
      <c r="AW35" s="1" t="str">
        <f t="shared" ref="AW35" si="2165">IF(InfBel2LevelCurrent&gt;=$B35,"-",IF(InfBel2LevelDesired&lt;$B35,"-",$D35))</f>
        <v>-</v>
      </c>
      <c r="AX35" s="21" t="str">
        <f t="shared" ref="AX35" si="2166">IF(InfBel2LevelCurrent&gt;=$B35,"-",IF(InfBel2LevelDesired&lt;$B35,"-",$E35))</f>
        <v>-</v>
      </c>
      <c r="AY35" s="15" t="str">
        <f t="shared" ref="AY35" si="2167">IF(InfBoo2LevelCurrent&gt;=$B35,"-",IF(InfBoo2LevelDesired&lt;$B35,"-",$C35))</f>
        <v>-</v>
      </c>
      <c r="AZ35" s="1" t="str">
        <f t="shared" ref="AZ35" si="2168">IF(InfBoo2LevelCurrent&gt;=$B35,"-",IF(InfBoo2LevelDesired&lt;$B35,"-",$D35))</f>
        <v>-</v>
      </c>
      <c r="BA35" s="21" t="str">
        <f t="shared" ref="BA35" si="2169">IF(InfBoo2LevelCurrent&gt;=$B35,"-",IF(InfBoo2LevelDesired&lt;$B35,"-",$E35))</f>
        <v>-</v>
      </c>
      <c r="BB35" s="15" t="str">
        <f t="shared" ref="BB35" si="2170">IF(LanGog2LevelCurrent&gt;=$B35,"-",IF(LanGog2LevelDesired&lt;$B35,"-",$C35))</f>
        <v>-</v>
      </c>
      <c r="BC35" s="1" t="str">
        <f t="shared" ref="BC35" si="2171">IF(LanGog2LevelCurrent&gt;=$B35,"-",IF(LanGog2LevelDesired&lt;$B35,"-",$D35))</f>
        <v>-</v>
      </c>
      <c r="BD35" s="21" t="str">
        <f t="shared" ref="BD35" si="2172">IF(LanGog2LevelCurrent&gt;=$B35,"-",IF(LanGog2LevelDesired&lt;$B35,"-",$E35))</f>
        <v>-</v>
      </c>
      <c r="BE35" s="15" t="str">
        <f t="shared" ref="BE35" si="2173">IF(LanGlo2LevelCurrent&gt;=$B35,"-",IF(LanGlo2LevelDesired&lt;$B35,"-",$C35))</f>
        <v>-</v>
      </c>
      <c r="BF35" s="1" t="str">
        <f t="shared" ref="BF35" si="2174">IF(LanGlo2LevelCurrent&gt;=$B35,"-",IF(LanGlo2LevelDesired&lt;$B35,"-",$D35))</f>
        <v>-</v>
      </c>
      <c r="BG35" s="21" t="str">
        <f t="shared" ref="BG35" si="2175">IF(LanGlo2LevelCurrent&gt;=$B35,"-",IF(LanGlo2LevelDesired&lt;$B35,"-",$E35))</f>
        <v>-</v>
      </c>
      <c r="BH35" s="15" t="str">
        <f t="shared" ref="BH35" si="2176">IF(LanBel2LevelCurrent&gt;=$B35,"-",IF(LanBel2LevelDesired&lt;$B35,"-",$C35))</f>
        <v>-</v>
      </c>
      <c r="BI35" s="1" t="str">
        <f t="shared" ref="BI35" si="2177">IF(LanBel2LevelCurrent&gt;=$B35,"-",IF(LanBel2LevelDesired&lt;$B35,"-",$D35))</f>
        <v>-</v>
      </c>
      <c r="BJ35" s="21" t="str">
        <f t="shared" ref="BJ35" si="2178">IF(LanBel2LevelCurrent&gt;=$B35,"-",IF(LanBel2LevelDesired&lt;$B35,"-",$E35))</f>
        <v>-</v>
      </c>
      <c r="BK35" s="15" t="str">
        <f t="shared" ref="BK35" si="2179">IF(LanBoo2LevelCurrent&gt;=$B35,"-",IF(LanBoo2LevelDesired&lt;$B35,"-",$C35))</f>
        <v>-</v>
      </c>
      <c r="BL35" s="1" t="str">
        <f t="shared" ref="BL35" si="2180">IF(LanBoo2LevelCurrent&gt;=$B35,"-",IF(LanBoo2LevelDesired&lt;$B35,"-",$D35))</f>
        <v>-</v>
      </c>
      <c r="BM35" s="21" t="str">
        <f t="shared" ref="BM35" si="2181">IF(LanBoo2LevelCurrent&gt;=$B35,"-",IF(LanBoo2LevelDesired&lt;$B35,"-",$E35))</f>
        <v>-</v>
      </c>
      <c r="BN35" s="15" t="str">
        <f t="shared" ref="BN35" si="2182">IF(MarGog2LevelCurrent&gt;=$B35,"-",IF(MarGog2LevelDesired&lt;$B35,"-",$C35))</f>
        <v>-</v>
      </c>
      <c r="BO35" s="1" t="str">
        <f t="shared" ref="BO35" si="2183">IF(MarGog2LevelCurrent&gt;=$B35,"-",IF(MarGog2LevelDesired&lt;$B35,"-",$D35))</f>
        <v>-</v>
      </c>
      <c r="BP35" s="21" t="str">
        <f t="shared" ref="BP35" si="2184">IF(MarGog2LevelCurrent&gt;=$B35,"-",IF(MarGog2LevelDesired&lt;$B35,"-",$E35))</f>
        <v>-</v>
      </c>
      <c r="BQ35" s="15" t="str">
        <f t="shared" ref="BQ35" si="2185">IF(MarGlo2LevelCurrent&gt;=$B35,"-",IF(MarGlo2LevelDesired&lt;$B35,"-",$C35))</f>
        <v>-</v>
      </c>
      <c r="BR35" s="1" t="str">
        <f t="shared" ref="BR35" si="2186">IF(MarGlo2LevelCurrent&gt;=$B35,"-",IF(MarGlo2LevelDesired&lt;$B35,"-",$D35))</f>
        <v>-</v>
      </c>
      <c r="BS35" s="21" t="str">
        <f t="shared" ref="BS35" si="2187">IF(MarGlo2LevelCurrent&gt;=$B35,"-",IF(MarGlo2LevelDesired&lt;$B35,"-",$E35))</f>
        <v>-</v>
      </c>
      <c r="BT35" s="15" t="str">
        <f t="shared" ref="BT35" si="2188">IF(MarBel2LevelCurrent&gt;=$B35,"-",IF(MarBel2LevelDesired&lt;$B35,"-",$C35))</f>
        <v>-</v>
      </c>
      <c r="BU35" s="1" t="str">
        <f t="shared" ref="BU35" si="2189">IF(MarBel2LevelCurrent&gt;=$B35,"-",IF(MarBel2LevelDesired&lt;$B35,"-",$D35))</f>
        <v>-</v>
      </c>
      <c r="BV35" s="21" t="str">
        <f t="shared" ref="BV35" si="2190">IF(MarBel2LevelCurrent&gt;=$B35,"-",IF(MarBel2LevelDesired&lt;$B35,"-",$E35))</f>
        <v>-</v>
      </c>
      <c r="BW35" s="15" t="str">
        <f t="shared" ref="BW35" si="2191">IF(MarBoo2LevelCurrent&gt;=$B35,"-",IF(MarBoo2LevelDesired&lt;$B35,"-",$C35))</f>
        <v>-</v>
      </c>
      <c r="BX35" s="1" t="str">
        <f t="shared" ref="BX35" si="2192">IF(MarBoo2LevelCurrent&gt;=$B35,"-",IF(MarBoo2LevelDesired&lt;$B35,"-",$D35))</f>
        <v>-</v>
      </c>
      <c r="BY35" s="21" t="str">
        <f t="shared" ref="BY35" si="2193">IF(MarBoo2LevelCurrent&gt;=$B35,"-",IF(MarBoo2LevelDesired&lt;$B35,"-",$E35))</f>
        <v>-</v>
      </c>
      <c r="BZ35" s="15" t="str">
        <f t="shared" si="72"/>
        <v>-</v>
      </c>
      <c r="CA35" s="1" t="str" cm="1">
        <f t="array" ref="CA35">IF(InfGog3LevelCurrent&gt;=$B35,"-",IF(InfGog3LevelDesired&lt;$B35,"-",$D35))</f>
        <v>-</v>
      </c>
      <c r="CB35" s="21" t="str" cm="1">
        <f t="array" ref="CB35">IF(InfGog3LevelCurrent&gt;=$B35,"-",IF(InfGog3LevelDesired&lt;$B35,"-",$E35))</f>
        <v>-</v>
      </c>
      <c r="CC35" s="15" t="str">
        <f t="shared" si="73"/>
        <v>-</v>
      </c>
      <c r="CD35" s="1" t="str">
        <f t="shared" si="74"/>
        <v>-</v>
      </c>
      <c r="CE35" s="21" t="str">
        <f t="shared" si="75"/>
        <v>-</v>
      </c>
      <c r="CF35" s="15" t="str">
        <f t="shared" si="76"/>
        <v>-</v>
      </c>
      <c r="CG35" s="1" t="str">
        <f t="shared" si="77"/>
        <v>-</v>
      </c>
      <c r="CH35" s="21" t="str">
        <f t="shared" si="78"/>
        <v>-</v>
      </c>
      <c r="CI35" s="15" t="str">
        <f t="shared" si="79"/>
        <v>-</v>
      </c>
      <c r="CJ35" s="1" t="str">
        <f t="shared" si="80"/>
        <v>-</v>
      </c>
      <c r="CK35" s="21" t="str">
        <f t="shared" si="81"/>
        <v>-</v>
      </c>
      <c r="CL35" s="15" t="str">
        <f t="shared" si="82"/>
        <v>-</v>
      </c>
      <c r="CM35" s="1" t="str">
        <f t="shared" si="83"/>
        <v>-</v>
      </c>
      <c r="CN35" s="21" t="str">
        <f t="shared" si="84"/>
        <v>-</v>
      </c>
      <c r="CO35" s="15" t="str">
        <f t="shared" si="85"/>
        <v>-</v>
      </c>
      <c r="CP35" s="1" t="str">
        <f t="shared" si="86"/>
        <v>-</v>
      </c>
      <c r="CQ35" s="21" t="str">
        <f t="shared" si="87"/>
        <v>-</v>
      </c>
      <c r="CR35" s="15" t="str">
        <f t="shared" si="88"/>
        <v>-</v>
      </c>
      <c r="CS35" s="1" t="str">
        <f t="shared" si="89"/>
        <v>-</v>
      </c>
      <c r="CT35" s="21" t="str">
        <f t="shared" si="90"/>
        <v>-</v>
      </c>
      <c r="CU35" s="15" t="str">
        <f t="shared" si="91"/>
        <v>-</v>
      </c>
      <c r="CV35" s="1" t="str">
        <f t="shared" si="92"/>
        <v>-</v>
      </c>
      <c r="CW35" s="21" t="str">
        <f t="shared" si="93"/>
        <v>-</v>
      </c>
      <c r="CX35" s="15" t="str">
        <f t="shared" si="94"/>
        <v>-</v>
      </c>
      <c r="CY35" s="1" t="str">
        <f t="shared" si="95"/>
        <v>-</v>
      </c>
      <c r="CZ35" s="21" t="str">
        <f t="shared" si="96"/>
        <v>-</v>
      </c>
      <c r="DA35" s="15" t="str">
        <f t="shared" si="97"/>
        <v>-</v>
      </c>
      <c r="DB35" s="1" t="str">
        <f t="shared" si="98"/>
        <v>-</v>
      </c>
      <c r="DC35" s="21" t="str">
        <f t="shared" si="99"/>
        <v>-</v>
      </c>
      <c r="DD35" s="15" t="str">
        <f t="shared" si="100"/>
        <v>-</v>
      </c>
      <c r="DE35" s="1" t="str">
        <f t="shared" si="101"/>
        <v>-</v>
      </c>
      <c r="DF35" s="21" t="str">
        <f t="shared" si="102"/>
        <v>-</v>
      </c>
      <c r="DG35" s="15" t="str">
        <f t="shared" si="103"/>
        <v>-</v>
      </c>
      <c r="DH35" s="1" t="str">
        <f t="shared" si="104"/>
        <v>-</v>
      </c>
      <c r="DI35" s="21" t="str">
        <f t="shared" si="105"/>
        <v>-</v>
      </c>
    </row>
    <row r="36" spans="2:113" x14ac:dyDescent="0.3">
      <c r="B36" s="1">
        <v>31</v>
      </c>
      <c r="C36" s="67">
        <v>170</v>
      </c>
      <c r="D36" s="88" t="s">
        <v>27</v>
      </c>
      <c r="E36" s="21" t="s">
        <v>27</v>
      </c>
      <c r="F36" s="15" t="str">
        <f t="shared" ref="F36" si="2194">IF(InfGog1LevelCurrent&gt;=$B36,"-",IF(InfGog1LevelDesired&lt;$B36,"-",$C36))</f>
        <v>-</v>
      </c>
      <c r="G36" s="1" t="str">
        <f t="shared" ref="G36" si="2195">IF(InfGog1LevelCurrent&gt;=$B36,"-",IF(InfGog1LevelDesired&lt;$B36,"-",$D36))</f>
        <v>-</v>
      </c>
      <c r="H36" s="21" t="str">
        <f t="shared" ref="H36" si="2196">IF(InfGog1LevelCurrent&gt;=$B36,"-",IF(InfGog1LevelDesired&lt;$B36,"-",$E36))</f>
        <v>-</v>
      </c>
      <c r="I36" s="15" t="str">
        <f t="shared" ref="I36" si="2197">IF(InfGlo1LevelCurrent&gt;=$B36,"-",IF(InfGlo1LevelDesired&lt;$B36,"-",$C36))</f>
        <v>-</v>
      </c>
      <c r="J36" s="1" t="str">
        <f t="shared" ref="J36" si="2198">IF(InfGlo1LevelCurrent&gt;=$B36,"-",IF(InfGlo1LevelDesired&lt;$B36,"-",$D36))</f>
        <v>-</v>
      </c>
      <c r="K36" s="21" t="str">
        <f t="shared" ref="K36" si="2199">IF(InfGlo1LevelCurrent&gt;=$B36,"-",IF(InfGlo1LevelDesired&lt;$B36,"-",$E36))</f>
        <v>-</v>
      </c>
      <c r="L36" s="15" t="str">
        <f t="shared" ref="L36" si="2200">IF(InfBel1LevelCurrent&gt;=$B36,"-",IF(InfBel1LevelDesired&lt;$B36,"-",$C36))</f>
        <v>-</v>
      </c>
      <c r="M36" s="1" t="str">
        <f t="shared" ref="M36" si="2201">IF(InfBel1LevelCurrent&gt;=$B36,"-",IF(InfBel1LevelDesired&lt;$B36,"-",$D36))</f>
        <v>-</v>
      </c>
      <c r="N36" s="21" t="str">
        <f t="shared" ref="N36" si="2202">IF(InfBel1LevelCurrent&gt;=$B36,"-",IF(InfBel1LevelDesired&lt;$B36,"-",$E36))</f>
        <v>-</v>
      </c>
      <c r="O36" s="15" t="str">
        <f t="shared" ref="O36" si="2203">IF(InfBoo1LevelCurrent&gt;=$B36,"-",IF(InfBoo1LevelDesired&lt;$B36,"-",$C36))</f>
        <v>-</v>
      </c>
      <c r="P36" s="1" t="str">
        <f t="shared" ref="P36" si="2204">IF(InfBoo1LevelCurrent&gt;=$B36,"-",IF(InfBoo1LevelDesired&lt;$B36,"-",$D36))</f>
        <v>-</v>
      </c>
      <c r="Q36" s="21" t="str">
        <f t="shared" ref="Q36" si="2205">IF(InfBoo1LevelCurrent&gt;=$B36,"-",IF(InfBoo1LevelDesired&lt;$B36,"-",$E36))</f>
        <v>-</v>
      </c>
      <c r="R36" s="15" t="str">
        <f t="shared" ref="R36" si="2206">IF(LanGog1LevelCurrent&gt;=$B36,"-",IF(LanGog1LevelDesired&lt;$B36,"-",$C36))</f>
        <v>-</v>
      </c>
      <c r="S36" s="1" t="str">
        <f t="shared" ref="S36" si="2207">IF(LanGog1LevelCurrent&gt;=$B36,"-",IF(LanGog1LevelDesired&lt;$B36,"-",$D36))</f>
        <v>-</v>
      </c>
      <c r="T36" s="21" t="str">
        <f t="shared" ref="T36" si="2208">IF(LanGog1LevelCurrent&gt;=$B36,"-",IF(LanGog1LevelDesired&lt;$B36,"-",$E36))</f>
        <v>-</v>
      </c>
      <c r="U36" s="15" t="str">
        <f t="shared" ref="U36" si="2209">IF(LanGlo1LevelCurrent&gt;=$B36,"-",IF(LanGlo1LevelDesired&lt;$B36,"-",$C36))</f>
        <v>-</v>
      </c>
      <c r="V36" s="1" t="str">
        <f t="shared" ref="V36" si="2210">IF(LanGlo1LevelCurrent&gt;=$B36,"-",IF(LanGlo1LevelDesired&lt;$B36,"-",$D36))</f>
        <v>-</v>
      </c>
      <c r="W36" s="21" t="str">
        <f t="shared" ref="W36" si="2211">IF(LanGlo1LevelCurrent&gt;=$B36,"-",IF(LanGlo1LevelDesired&lt;$B36,"-",$E36))</f>
        <v>-</v>
      </c>
      <c r="X36" s="15" t="str">
        <f t="shared" ref="X36" si="2212">IF(LanBel1LevelCurrent&gt;=$B36,"-",IF(LanBel1LevelDesired&lt;$B36,"-",$C36))</f>
        <v>-</v>
      </c>
      <c r="Y36" s="1" t="str">
        <f t="shared" ref="Y36" si="2213">IF(LanBel1LevelCurrent&gt;=$B36,"-",IF(LanBel1LevelDesired&lt;$B36,"-",$D36))</f>
        <v>-</v>
      </c>
      <c r="Z36" s="21" t="str">
        <f t="shared" ref="Z36" si="2214">IF(LanBel1LevelCurrent&gt;=$B36,"-",IF(LanBel1LevelDesired&lt;$B36,"-",$E36))</f>
        <v>-</v>
      </c>
      <c r="AA36" s="15" t="str">
        <f t="shared" ref="AA36" si="2215">IF(LanBoo1LevelCurrent&gt;=$B36,"-",IF(LanBoo1LevelDesired&lt;$B36,"-",$C36))</f>
        <v>-</v>
      </c>
      <c r="AB36" s="1" t="str">
        <f t="shared" ref="AB36" si="2216">IF(LanBoo1LevelCurrent&gt;=$B36,"-",IF(LanBoo1LevelDesired&lt;$B36,"-",$D36))</f>
        <v>-</v>
      </c>
      <c r="AC36" s="21" t="str">
        <f t="shared" ref="AC36" si="2217">IF(LanBoo1LevelCurrent&gt;=$B36,"-",IF(LanBoo1LevelDesired&lt;$B36,"-",$E36))</f>
        <v>-</v>
      </c>
      <c r="AD36" s="15" t="str">
        <f t="shared" ref="AD36" si="2218">IF(MarGog1LevelCurrent&gt;=$B36,"-",IF(MarGog1LevelDesired&lt;$B36,"-",$C36))</f>
        <v>-</v>
      </c>
      <c r="AE36" s="1" t="str">
        <f t="shared" ref="AE36" si="2219">IF(MarGog1LevelCurrent&gt;=$B36,"-",IF(MarGog1LevelDesired&lt;$B36,"-",$D36))</f>
        <v>-</v>
      </c>
      <c r="AF36" s="21" t="str">
        <f t="shared" ref="AF36" si="2220">IF(MarGog1LevelCurrent&gt;=$B36,"-",IF(MarGog1LevelDesired&lt;$B36,"-",$E36))</f>
        <v>-</v>
      </c>
      <c r="AG36" s="15" t="str">
        <f t="shared" ref="AG36" si="2221">IF(MarGlo1LevelCurrent&gt;=$B36,"-",IF(MarGlo1LevelDesired&lt;$B36,"-",$C36))</f>
        <v>-</v>
      </c>
      <c r="AH36" s="1" t="str">
        <f t="shared" ref="AH36" si="2222">IF(MarGlo1LevelCurrent&gt;=$B36,"-",IF(MarGlo1LevelDesired&lt;$B36,"-",$D36))</f>
        <v>-</v>
      </c>
      <c r="AI36" s="21" t="str">
        <f t="shared" ref="AI36" si="2223">IF(MarGlo1LevelCurrent&gt;=$B36,"-",IF(MarGlo1LevelDesired&lt;$B36,"-",$E36))</f>
        <v>-</v>
      </c>
      <c r="AJ36" s="15" t="str">
        <f t="shared" ref="AJ36" si="2224">IF(MarBel1LevelCurrent&gt;=$B36,"-",IF(MarBel1LevelDesired&lt;$B36,"-",$C36))</f>
        <v>-</v>
      </c>
      <c r="AK36" s="1" t="str">
        <f t="shared" ref="AK36" si="2225">IF(MarBel1LevelCurrent&gt;=$B36,"-",IF(MarBel1LevelDesired&lt;$B36,"-",$D36))</f>
        <v>-</v>
      </c>
      <c r="AL36" s="21" t="str">
        <f t="shared" ref="AL36" si="2226">IF(MarBel1LevelCurrent&gt;=$B36,"-",IF(MarBel1LevelDesired&lt;$B36,"-",$E36))</f>
        <v>-</v>
      </c>
      <c r="AM36" s="15" t="str">
        <f t="shared" ref="AM36" si="2227">IF(MarBoo1LevelCurrent&gt;=$B36,"-",IF(MarBoo1LevelDesired&lt;$B36,"-",$C36))</f>
        <v>-</v>
      </c>
      <c r="AN36" s="1" t="str">
        <f t="shared" ref="AN36" si="2228">IF(MarBoo1LevelCurrent&gt;=$B36,"-",IF(MarBoo1LevelDesired&lt;$B36,"-",$D36))</f>
        <v>-</v>
      </c>
      <c r="AO36" s="21" t="str">
        <f t="shared" ref="AO36" si="2229">IF(MarBoo1LevelCurrent&gt;=$B36,"-",IF(MarBoo1LevelDesired&lt;$B36,"-",$E36))</f>
        <v>-</v>
      </c>
      <c r="AP36" s="15" t="str">
        <f t="shared" ref="AP36" si="2230">IF(InfGog2LevelCurrent&gt;=$B36,"-",IF(InfGog2LevelDesired&lt;$B36,"-",$C36))</f>
        <v>-</v>
      </c>
      <c r="AQ36" s="1" t="str">
        <f t="shared" ref="AQ36" si="2231">IF(InfGog2LevelCurrent&gt;=$B36,"-",IF(InfGog2LevelDesired&lt;$B36,"-",$D36))</f>
        <v>-</v>
      </c>
      <c r="AR36" s="21" t="str">
        <f t="shared" ref="AR36" si="2232">IF(InfGog2LevelCurrent&gt;=$B36,"-",IF(InfGog2LevelDesired&lt;$B36,"-",$E36))</f>
        <v>-</v>
      </c>
      <c r="AS36" s="15" t="str">
        <f t="shared" ref="AS36" si="2233">IF(InfGlo2LevelCurrent&gt;=$B36,"-",IF(InfGlo2LevelDesired&lt;$B36,"-",$C36))</f>
        <v>-</v>
      </c>
      <c r="AT36" s="1" t="str">
        <f t="shared" ref="AT36" si="2234">IF(InfGlo2LevelCurrent&gt;=$B36,"-",IF(InfGlo2LevelDesired&lt;$B36,"-",$D36))</f>
        <v>-</v>
      </c>
      <c r="AU36" s="21" t="str">
        <f t="shared" ref="AU36" si="2235">IF(InfGlo2LevelCurrent&gt;=$B36,"-",IF(InfGlo2LevelDesired&lt;$B36,"-",$E36))</f>
        <v>-</v>
      </c>
      <c r="AV36" s="15" t="str">
        <f t="shared" ref="AV36" si="2236">IF(InfBel2LevelCurrent&gt;=$B36,"-",IF(InfBel2LevelDesired&lt;$B36,"-",$C36))</f>
        <v>-</v>
      </c>
      <c r="AW36" s="1" t="str">
        <f t="shared" ref="AW36" si="2237">IF(InfBel2LevelCurrent&gt;=$B36,"-",IF(InfBel2LevelDesired&lt;$B36,"-",$D36))</f>
        <v>-</v>
      </c>
      <c r="AX36" s="21" t="str">
        <f t="shared" ref="AX36" si="2238">IF(InfBel2LevelCurrent&gt;=$B36,"-",IF(InfBel2LevelDesired&lt;$B36,"-",$E36))</f>
        <v>-</v>
      </c>
      <c r="AY36" s="15" t="str">
        <f t="shared" ref="AY36" si="2239">IF(InfBoo2LevelCurrent&gt;=$B36,"-",IF(InfBoo2LevelDesired&lt;$B36,"-",$C36))</f>
        <v>-</v>
      </c>
      <c r="AZ36" s="1" t="str">
        <f t="shared" ref="AZ36" si="2240">IF(InfBoo2LevelCurrent&gt;=$B36,"-",IF(InfBoo2LevelDesired&lt;$B36,"-",$D36))</f>
        <v>-</v>
      </c>
      <c r="BA36" s="21" t="str">
        <f t="shared" ref="BA36" si="2241">IF(InfBoo2LevelCurrent&gt;=$B36,"-",IF(InfBoo2LevelDesired&lt;$B36,"-",$E36))</f>
        <v>-</v>
      </c>
      <c r="BB36" s="15" t="str">
        <f t="shared" ref="BB36" si="2242">IF(LanGog2LevelCurrent&gt;=$B36,"-",IF(LanGog2LevelDesired&lt;$B36,"-",$C36))</f>
        <v>-</v>
      </c>
      <c r="BC36" s="1" t="str">
        <f t="shared" ref="BC36" si="2243">IF(LanGog2LevelCurrent&gt;=$B36,"-",IF(LanGog2LevelDesired&lt;$B36,"-",$D36))</f>
        <v>-</v>
      </c>
      <c r="BD36" s="21" t="str">
        <f t="shared" ref="BD36" si="2244">IF(LanGog2LevelCurrent&gt;=$B36,"-",IF(LanGog2LevelDesired&lt;$B36,"-",$E36))</f>
        <v>-</v>
      </c>
      <c r="BE36" s="15" t="str">
        <f t="shared" ref="BE36" si="2245">IF(LanGlo2LevelCurrent&gt;=$B36,"-",IF(LanGlo2LevelDesired&lt;$B36,"-",$C36))</f>
        <v>-</v>
      </c>
      <c r="BF36" s="1" t="str">
        <f t="shared" ref="BF36" si="2246">IF(LanGlo2LevelCurrent&gt;=$B36,"-",IF(LanGlo2LevelDesired&lt;$B36,"-",$D36))</f>
        <v>-</v>
      </c>
      <c r="BG36" s="21" t="str">
        <f t="shared" ref="BG36" si="2247">IF(LanGlo2LevelCurrent&gt;=$B36,"-",IF(LanGlo2LevelDesired&lt;$B36,"-",$E36))</f>
        <v>-</v>
      </c>
      <c r="BH36" s="15" t="str">
        <f t="shared" ref="BH36" si="2248">IF(LanBel2LevelCurrent&gt;=$B36,"-",IF(LanBel2LevelDesired&lt;$B36,"-",$C36))</f>
        <v>-</v>
      </c>
      <c r="BI36" s="1" t="str">
        <f t="shared" ref="BI36" si="2249">IF(LanBel2LevelCurrent&gt;=$B36,"-",IF(LanBel2LevelDesired&lt;$B36,"-",$D36))</f>
        <v>-</v>
      </c>
      <c r="BJ36" s="21" t="str">
        <f t="shared" ref="BJ36" si="2250">IF(LanBel2LevelCurrent&gt;=$B36,"-",IF(LanBel2LevelDesired&lt;$B36,"-",$E36))</f>
        <v>-</v>
      </c>
      <c r="BK36" s="15" t="str">
        <f t="shared" ref="BK36" si="2251">IF(LanBoo2LevelCurrent&gt;=$B36,"-",IF(LanBoo2LevelDesired&lt;$B36,"-",$C36))</f>
        <v>-</v>
      </c>
      <c r="BL36" s="1" t="str">
        <f t="shared" ref="BL36" si="2252">IF(LanBoo2LevelCurrent&gt;=$B36,"-",IF(LanBoo2LevelDesired&lt;$B36,"-",$D36))</f>
        <v>-</v>
      </c>
      <c r="BM36" s="21" t="str">
        <f t="shared" ref="BM36" si="2253">IF(LanBoo2LevelCurrent&gt;=$B36,"-",IF(LanBoo2LevelDesired&lt;$B36,"-",$E36))</f>
        <v>-</v>
      </c>
      <c r="BN36" s="15" t="str">
        <f t="shared" ref="BN36" si="2254">IF(MarGog2LevelCurrent&gt;=$B36,"-",IF(MarGog2LevelDesired&lt;$B36,"-",$C36))</f>
        <v>-</v>
      </c>
      <c r="BO36" s="1" t="str">
        <f t="shared" ref="BO36" si="2255">IF(MarGog2LevelCurrent&gt;=$B36,"-",IF(MarGog2LevelDesired&lt;$B36,"-",$D36))</f>
        <v>-</v>
      </c>
      <c r="BP36" s="21" t="str">
        <f t="shared" ref="BP36" si="2256">IF(MarGog2LevelCurrent&gt;=$B36,"-",IF(MarGog2LevelDesired&lt;$B36,"-",$E36))</f>
        <v>-</v>
      </c>
      <c r="BQ36" s="15" t="str">
        <f t="shared" ref="BQ36" si="2257">IF(MarGlo2LevelCurrent&gt;=$B36,"-",IF(MarGlo2LevelDesired&lt;$B36,"-",$C36))</f>
        <v>-</v>
      </c>
      <c r="BR36" s="1" t="str">
        <f t="shared" ref="BR36" si="2258">IF(MarGlo2LevelCurrent&gt;=$B36,"-",IF(MarGlo2LevelDesired&lt;$B36,"-",$D36))</f>
        <v>-</v>
      </c>
      <c r="BS36" s="21" t="str">
        <f t="shared" ref="BS36" si="2259">IF(MarGlo2LevelCurrent&gt;=$B36,"-",IF(MarGlo2LevelDesired&lt;$B36,"-",$E36))</f>
        <v>-</v>
      </c>
      <c r="BT36" s="15" t="str">
        <f t="shared" ref="BT36" si="2260">IF(MarBel2LevelCurrent&gt;=$B36,"-",IF(MarBel2LevelDesired&lt;$B36,"-",$C36))</f>
        <v>-</v>
      </c>
      <c r="BU36" s="1" t="str">
        <f t="shared" ref="BU36" si="2261">IF(MarBel2LevelCurrent&gt;=$B36,"-",IF(MarBel2LevelDesired&lt;$B36,"-",$D36))</f>
        <v>-</v>
      </c>
      <c r="BV36" s="21" t="str">
        <f t="shared" ref="BV36" si="2262">IF(MarBel2LevelCurrent&gt;=$B36,"-",IF(MarBel2LevelDesired&lt;$B36,"-",$E36))</f>
        <v>-</v>
      </c>
      <c r="BW36" s="15" t="str">
        <f t="shared" ref="BW36" si="2263">IF(MarBoo2LevelCurrent&gt;=$B36,"-",IF(MarBoo2LevelDesired&lt;$B36,"-",$C36))</f>
        <v>-</v>
      </c>
      <c r="BX36" s="1" t="str">
        <f t="shared" ref="BX36" si="2264">IF(MarBoo2LevelCurrent&gt;=$B36,"-",IF(MarBoo2LevelDesired&lt;$B36,"-",$D36))</f>
        <v>-</v>
      </c>
      <c r="BY36" s="21" t="str">
        <f t="shared" ref="BY36" si="2265">IF(MarBoo2LevelCurrent&gt;=$B36,"-",IF(MarBoo2LevelDesired&lt;$B36,"-",$E36))</f>
        <v>-</v>
      </c>
      <c r="BZ36" s="15" t="str">
        <f t="shared" si="72"/>
        <v>-</v>
      </c>
      <c r="CA36" s="1" t="str" cm="1">
        <f t="array" ref="CA36">IF(InfGog3LevelCurrent&gt;=$B36,"-",IF(InfGog3LevelDesired&lt;$B36,"-",$D36))</f>
        <v>-</v>
      </c>
      <c r="CB36" s="21" t="str" cm="1">
        <f t="array" ref="CB36">IF(InfGog3LevelCurrent&gt;=$B36,"-",IF(InfGog3LevelDesired&lt;$B36,"-",$E36))</f>
        <v>-</v>
      </c>
      <c r="CC36" s="15" t="str">
        <f t="shared" si="73"/>
        <v>-</v>
      </c>
      <c r="CD36" s="1" t="str">
        <f t="shared" si="74"/>
        <v>-</v>
      </c>
      <c r="CE36" s="21" t="str">
        <f t="shared" si="75"/>
        <v>-</v>
      </c>
      <c r="CF36" s="15" t="str">
        <f t="shared" si="76"/>
        <v>-</v>
      </c>
      <c r="CG36" s="1" t="str">
        <f t="shared" si="77"/>
        <v>-</v>
      </c>
      <c r="CH36" s="21" t="str">
        <f t="shared" si="78"/>
        <v>-</v>
      </c>
      <c r="CI36" s="15" t="str">
        <f t="shared" si="79"/>
        <v>-</v>
      </c>
      <c r="CJ36" s="1" t="str">
        <f t="shared" si="80"/>
        <v>-</v>
      </c>
      <c r="CK36" s="21" t="str">
        <f t="shared" si="81"/>
        <v>-</v>
      </c>
      <c r="CL36" s="15" t="str">
        <f t="shared" si="82"/>
        <v>-</v>
      </c>
      <c r="CM36" s="1" t="str">
        <f t="shared" si="83"/>
        <v>-</v>
      </c>
      <c r="CN36" s="21" t="str">
        <f t="shared" si="84"/>
        <v>-</v>
      </c>
      <c r="CO36" s="15" t="str">
        <f t="shared" si="85"/>
        <v>-</v>
      </c>
      <c r="CP36" s="1" t="str">
        <f t="shared" si="86"/>
        <v>-</v>
      </c>
      <c r="CQ36" s="21" t="str">
        <f t="shared" si="87"/>
        <v>-</v>
      </c>
      <c r="CR36" s="15" t="str">
        <f t="shared" si="88"/>
        <v>-</v>
      </c>
      <c r="CS36" s="1" t="str">
        <f t="shared" si="89"/>
        <v>-</v>
      </c>
      <c r="CT36" s="21" t="str">
        <f t="shared" si="90"/>
        <v>-</v>
      </c>
      <c r="CU36" s="15" t="str">
        <f t="shared" si="91"/>
        <v>-</v>
      </c>
      <c r="CV36" s="1" t="str">
        <f t="shared" si="92"/>
        <v>-</v>
      </c>
      <c r="CW36" s="21" t="str">
        <f t="shared" si="93"/>
        <v>-</v>
      </c>
      <c r="CX36" s="15" t="str">
        <f t="shared" si="94"/>
        <v>-</v>
      </c>
      <c r="CY36" s="1" t="str">
        <f t="shared" si="95"/>
        <v>-</v>
      </c>
      <c r="CZ36" s="21" t="str">
        <f t="shared" si="96"/>
        <v>-</v>
      </c>
      <c r="DA36" s="15" t="str">
        <f t="shared" si="97"/>
        <v>-</v>
      </c>
      <c r="DB36" s="1" t="str">
        <f t="shared" si="98"/>
        <v>-</v>
      </c>
      <c r="DC36" s="21" t="str">
        <f t="shared" si="99"/>
        <v>-</v>
      </c>
      <c r="DD36" s="15" t="str">
        <f t="shared" si="100"/>
        <v>-</v>
      </c>
      <c r="DE36" s="1" t="str">
        <f t="shared" si="101"/>
        <v>-</v>
      </c>
      <c r="DF36" s="21" t="str">
        <f t="shared" si="102"/>
        <v>-</v>
      </c>
      <c r="DG36" s="15" t="str">
        <f t="shared" si="103"/>
        <v>-</v>
      </c>
      <c r="DH36" s="1" t="str">
        <f t="shared" si="104"/>
        <v>-</v>
      </c>
      <c r="DI36" s="21" t="str">
        <f t="shared" si="105"/>
        <v>-</v>
      </c>
    </row>
    <row r="37" spans="2:113" x14ac:dyDescent="0.3">
      <c r="B37" s="1">
        <v>32</v>
      </c>
      <c r="C37" s="67">
        <v>180</v>
      </c>
      <c r="D37" s="88" t="s">
        <v>27</v>
      </c>
      <c r="E37" s="21" t="s">
        <v>27</v>
      </c>
      <c r="F37" s="15" t="str">
        <f t="shared" ref="F37" si="2266">IF(InfGog1LevelCurrent&gt;=$B37,"-",IF(InfGog1LevelDesired&lt;$B37,"-",$C37))</f>
        <v>-</v>
      </c>
      <c r="G37" s="1" t="str">
        <f t="shared" ref="G37" si="2267">IF(InfGog1LevelCurrent&gt;=$B37,"-",IF(InfGog1LevelDesired&lt;$B37,"-",$D37))</f>
        <v>-</v>
      </c>
      <c r="H37" s="21" t="str">
        <f t="shared" ref="H37" si="2268">IF(InfGog1LevelCurrent&gt;=$B37,"-",IF(InfGog1LevelDesired&lt;$B37,"-",$E37))</f>
        <v>-</v>
      </c>
      <c r="I37" s="15" t="str">
        <f t="shared" ref="I37" si="2269">IF(InfGlo1LevelCurrent&gt;=$B37,"-",IF(InfGlo1LevelDesired&lt;$B37,"-",$C37))</f>
        <v>-</v>
      </c>
      <c r="J37" s="1" t="str">
        <f t="shared" ref="J37" si="2270">IF(InfGlo1LevelCurrent&gt;=$B37,"-",IF(InfGlo1LevelDesired&lt;$B37,"-",$D37))</f>
        <v>-</v>
      </c>
      <c r="K37" s="21" t="str">
        <f t="shared" ref="K37" si="2271">IF(InfGlo1LevelCurrent&gt;=$B37,"-",IF(InfGlo1LevelDesired&lt;$B37,"-",$E37))</f>
        <v>-</v>
      </c>
      <c r="L37" s="15" t="str">
        <f t="shared" ref="L37" si="2272">IF(InfBel1LevelCurrent&gt;=$B37,"-",IF(InfBel1LevelDesired&lt;$B37,"-",$C37))</f>
        <v>-</v>
      </c>
      <c r="M37" s="1" t="str">
        <f t="shared" ref="M37" si="2273">IF(InfBel1LevelCurrent&gt;=$B37,"-",IF(InfBel1LevelDesired&lt;$B37,"-",$D37))</f>
        <v>-</v>
      </c>
      <c r="N37" s="21" t="str">
        <f t="shared" ref="N37" si="2274">IF(InfBel1LevelCurrent&gt;=$B37,"-",IF(InfBel1LevelDesired&lt;$B37,"-",$E37))</f>
        <v>-</v>
      </c>
      <c r="O37" s="15" t="str">
        <f t="shared" ref="O37" si="2275">IF(InfBoo1LevelCurrent&gt;=$B37,"-",IF(InfBoo1LevelDesired&lt;$B37,"-",$C37))</f>
        <v>-</v>
      </c>
      <c r="P37" s="1" t="str">
        <f t="shared" ref="P37" si="2276">IF(InfBoo1LevelCurrent&gt;=$B37,"-",IF(InfBoo1LevelDesired&lt;$B37,"-",$D37))</f>
        <v>-</v>
      </c>
      <c r="Q37" s="21" t="str">
        <f t="shared" ref="Q37" si="2277">IF(InfBoo1LevelCurrent&gt;=$B37,"-",IF(InfBoo1LevelDesired&lt;$B37,"-",$E37))</f>
        <v>-</v>
      </c>
      <c r="R37" s="15" t="str">
        <f t="shared" ref="R37" si="2278">IF(LanGog1LevelCurrent&gt;=$B37,"-",IF(LanGog1LevelDesired&lt;$B37,"-",$C37))</f>
        <v>-</v>
      </c>
      <c r="S37" s="1" t="str">
        <f t="shared" ref="S37" si="2279">IF(LanGog1LevelCurrent&gt;=$B37,"-",IF(LanGog1LevelDesired&lt;$B37,"-",$D37))</f>
        <v>-</v>
      </c>
      <c r="T37" s="21" t="str">
        <f t="shared" ref="T37" si="2280">IF(LanGog1LevelCurrent&gt;=$B37,"-",IF(LanGog1LevelDesired&lt;$B37,"-",$E37))</f>
        <v>-</v>
      </c>
      <c r="U37" s="15" t="str">
        <f t="shared" ref="U37" si="2281">IF(LanGlo1LevelCurrent&gt;=$B37,"-",IF(LanGlo1LevelDesired&lt;$B37,"-",$C37))</f>
        <v>-</v>
      </c>
      <c r="V37" s="1" t="str">
        <f t="shared" ref="V37" si="2282">IF(LanGlo1LevelCurrent&gt;=$B37,"-",IF(LanGlo1LevelDesired&lt;$B37,"-",$D37))</f>
        <v>-</v>
      </c>
      <c r="W37" s="21" t="str">
        <f t="shared" ref="W37" si="2283">IF(LanGlo1LevelCurrent&gt;=$B37,"-",IF(LanGlo1LevelDesired&lt;$B37,"-",$E37))</f>
        <v>-</v>
      </c>
      <c r="X37" s="15" t="str">
        <f t="shared" ref="X37" si="2284">IF(LanBel1LevelCurrent&gt;=$B37,"-",IF(LanBel1LevelDesired&lt;$B37,"-",$C37))</f>
        <v>-</v>
      </c>
      <c r="Y37" s="1" t="str">
        <f t="shared" ref="Y37" si="2285">IF(LanBel1LevelCurrent&gt;=$B37,"-",IF(LanBel1LevelDesired&lt;$B37,"-",$D37))</f>
        <v>-</v>
      </c>
      <c r="Z37" s="21" t="str">
        <f t="shared" ref="Z37" si="2286">IF(LanBel1LevelCurrent&gt;=$B37,"-",IF(LanBel1LevelDesired&lt;$B37,"-",$E37))</f>
        <v>-</v>
      </c>
      <c r="AA37" s="15" t="str">
        <f t="shared" ref="AA37" si="2287">IF(LanBoo1LevelCurrent&gt;=$B37,"-",IF(LanBoo1LevelDesired&lt;$B37,"-",$C37))</f>
        <v>-</v>
      </c>
      <c r="AB37" s="1" t="str">
        <f t="shared" ref="AB37" si="2288">IF(LanBoo1LevelCurrent&gt;=$B37,"-",IF(LanBoo1LevelDesired&lt;$B37,"-",$D37))</f>
        <v>-</v>
      </c>
      <c r="AC37" s="21" t="str">
        <f t="shared" ref="AC37" si="2289">IF(LanBoo1LevelCurrent&gt;=$B37,"-",IF(LanBoo1LevelDesired&lt;$B37,"-",$E37))</f>
        <v>-</v>
      </c>
      <c r="AD37" s="15" t="str">
        <f t="shared" ref="AD37" si="2290">IF(MarGog1LevelCurrent&gt;=$B37,"-",IF(MarGog1LevelDesired&lt;$B37,"-",$C37))</f>
        <v>-</v>
      </c>
      <c r="AE37" s="1" t="str">
        <f t="shared" ref="AE37" si="2291">IF(MarGog1LevelCurrent&gt;=$B37,"-",IF(MarGog1LevelDesired&lt;$B37,"-",$D37))</f>
        <v>-</v>
      </c>
      <c r="AF37" s="21" t="str">
        <f t="shared" ref="AF37" si="2292">IF(MarGog1LevelCurrent&gt;=$B37,"-",IF(MarGog1LevelDesired&lt;$B37,"-",$E37))</f>
        <v>-</v>
      </c>
      <c r="AG37" s="15" t="str">
        <f t="shared" ref="AG37" si="2293">IF(MarGlo1LevelCurrent&gt;=$B37,"-",IF(MarGlo1LevelDesired&lt;$B37,"-",$C37))</f>
        <v>-</v>
      </c>
      <c r="AH37" s="1" t="str">
        <f t="shared" ref="AH37" si="2294">IF(MarGlo1LevelCurrent&gt;=$B37,"-",IF(MarGlo1LevelDesired&lt;$B37,"-",$D37))</f>
        <v>-</v>
      </c>
      <c r="AI37" s="21" t="str">
        <f t="shared" ref="AI37" si="2295">IF(MarGlo1LevelCurrent&gt;=$B37,"-",IF(MarGlo1LevelDesired&lt;$B37,"-",$E37))</f>
        <v>-</v>
      </c>
      <c r="AJ37" s="15" t="str">
        <f t="shared" ref="AJ37" si="2296">IF(MarBel1LevelCurrent&gt;=$B37,"-",IF(MarBel1LevelDesired&lt;$B37,"-",$C37))</f>
        <v>-</v>
      </c>
      <c r="AK37" s="1" t="str">
        <f t="shared" ref="AK37" si="2297">IF(MarBel1LevelCurrent&gt;=$B37,"-",IF(MarBel1LevelDesired&lt;$B37,"-",$D37))</f>
        <v>-</v>
      </c>
      <c r="AL37" s="21" t="str">
        <f t="shared" ref="AL37" si="2298">IF(MarBel1LevelCurrent&gt;=$B37,"-",IF(MarBel1LevelDesired&lt;$B37,"-",$E37))</f>
        <v>-</v>
      </c>
      <c r="AM37" s="15" t="str">
        <f t="shared" ref="AM37" si="2299">IF(MarBoo1LevelCurrent&gt;=$B37,"-",IF(MarBoo1LevelDesired&lt;$B37,"-",$C37))</f>
        <v>-</v>
      </c>
      <c r="AN37" s="1" t="str">
        <f t="shared" ref="AN37" si="2300">IF(MarBoo1LevelCurrent&gt;=$B37,"-",IF(MarBoo1LevelDesired&lt;$B37,"-",$D37))</f>
        <v>-</v>
      </c>
      <c r="AO37" s="21" t="str">
        <f t="shared" ref="AO37" si="2301">IF(MarBoo1LevelCurrent&gt;=$B37,"-",IF(MarBoo1LevelDesired&lt;$B37,"-",$E37))</f>
        <v>-</v>
      </c>
      <c r="AP37" s="15" t="str">
        <f t="shared" ref="AP37" si="2302">IF(InfGog2LevelCurrent&gt;=$B37,"-",IF(InfGog2LevelDesired&lt;$B37,"-",$C37))</f>
        <v>-</v>
      </c>
      <c r="AQ37" s="1" t="str">
        <f t="shared" ref="AQ37" si="2303">IF(InfGog2LevelCurrent&gt;=$B37,"-",IF(InfGog2LevelDesired&lt;$B37,"-",$D37))</f>
        <v>-</v>
      </c>
      <c r="AR37" s="21" t="str">
        <f t="shared" ref="AR37" si="2304">IF(InfGog2LevelCurrent&gt;=$B37,"-",IF(InfGog2LevelDesired&lt;$B37,"-",$E37))</f>
        <v>-</v>
      </c>
      <c r="AS37" s="15" t="str">
        <f t="shared" ref="AS37" si="2305">IF(InfGlo2LevelCurrent&gt;=$B37,"-",IF(InfGlo2LevelDesired&lt;$B37,"-",$C37))</f>
        <v>-</v>
      </c>
      <c r="AT37" s="1" t="str">
        <f t="shared" ref="AT37" si="2306">IF(InfGlo2LevelCurrent&gt;=$B37,"-",IF(InfGlo2LevelDesired&lt;$B37,"-",$D37))</f>
        <v>-</v>
      </c>
      <c r="AU37" s="21" t="str">
        <f t="shared" ref="AU37" si="2307">IF(InfGlo2LevelCurrent&gt;=$B37,"-",IF(InfGlo2LevelDesired&lt;$B37,"-",$E37))</f>
        <v>-</v>
      </c>
      <c r="AV37" s="15" t="str">
        <f t="shared" ref="AV37" si="2308">IF(InfBel2LevelCurrent&gt;=$B37,"-",IF(InfBel2LevelDesired&lt;$B37,"-",$C37))</f>
        <v>-</v>
      </c>
      <c r="AW37" s="1" t="str">
        <f t="shared" ref="AW37" si="2309">IF(InfBel2LevelCurrent&gt;=$B37,"-",IF(InfBel2LevelDesired&lt;$B37,"-",$D37))</f>
        <v>-</v>
      </c>
      <c r="AX37" s="21" t="str">
        <f t="shared" ref="AX37" si="2310">IF(InfBel2LevelCurrent&gt;=$B37,"-",IF(InfBel2LevelDesired&lt;$B37,"-",$E37))</f>
        <v>-</v>
      </c>
      <c r="AY37" s="15" t="str">
        <f t="shared" ref="AY37" si="2311">IF(InfBoo2LevelCurrent&gt;=$B37,"-",IF(InfBoo2LevelDesired&lt;$B37,"-",$C37))</f>
        <v>-</v>
      </c>
      <c r="AZ37" s="1" t="str">
        <f t="shared" ref="AZ37" si="2312">IF(InfBoo2LevelCurrent&gt;=$B37,"-",IF(InfBoo2LevelDesired&lt;$B37,"-",$D37))</f>
        <v>-</v>
      </c>
      <c r="BA37" s="21" t="str">
        <f t="shared" ref="BA37" si="2313">IF(InfBoo2LevelCurrent&gt;=$B37,"-",IF(InfBoo2LevelDesired&lt;$B37,"-",$E37))</f>
        <v>-</v>
      </c>
      <c r="BB37" s="15" t="str">
        <f t="shared" ref="BB37" si="2314">IF(LanGog2LevelCurrent&gt;=$B37,"-",IF(LanGog2LevelDesired&lt;$B37,"-",$C37))</f>
        <v>-</v>
      </c>
      <c r="BC37" s="1" t="str">
        <f t="shared" ref="BC37" si="2315">IF(LanGog2LevelCurrent&gt;=$B37,"-",IF(LanGog2LevelDesired&lt;$B37,"-",$D37))</f>
        <v>-</v>
      </c>
      <c r="BD37" s="21" t="str">
        <f t="shared" ref="BD37" si="2316">IF(LanGog2LevelCurrent&gt;=$B37,"-",IF(LanGog2LevelDesired&lt;$B37,"-",$E37))</f>
        <v>-</v>
      </c>
      <c r="BE37" s="15" t="str">
        <f t="shared" ref="BE37" si="2317">IF(LanGlo2LevelCurrent&gt;=$B37,"-",IF(LanGlo2LevelDesired&lt;$B37,"-",$C37))</f>
        <v>-</v>
      </c>
      <c r="BF37" s="1" t="str">
        <f t="shared" ref="BF37" si="2318">IF(LanGlo2LevelCurrent&gt;=$B37,"-",IF(LanGlo2LevelDesired&lt;$B37,"-",$D37))</f>
        <v>-</v>
      </c>
      <c r="BG37" s="21" t="str">
        <f t="shared" ref="BG37" si="2319">IF(LanGlo2LevelCurrent&gt;=$B37,"-",IF(LanGlo2LevelDesired&lt;$B37,"-",$E37))</f>
        <v>-</v>
      </c>
      <c r="BH37" s="15" t="str">
        <f t="shared" ref="BH37" si="2320">IF(LanBel2LevelCurrent&gt;=$B37,"-",IF(LanBel2LevelDesired&lt;$B37,"-",$C37))</f>
        <v>-</v>
      </c>
      <c r="BI37" s="1" t="str">
        <f t="shared" ref="BI37" si="2321">IF(LanBel2LevelCurrent&gt;=$B37,"-",IF(LanBel2LevelDesired&lt;$B37,"-",$D37))</f>
        <v>-</v>
      </c>
      <c r="BJ37" s="21" t="str">
        <f t="shared" ref="BJ37" si="2322">IF(LanBel2LevelCurrent&gt;=$B37,"-",IF(LanBel2LevelDesired&lt;$B37,"-",$E37))</f>
        <v>-</v>
      </c>
      <c r="BK37" s="15" t="str">
        <f t="shared" ref="BK37" si="2323">IF(LanBoo2LevelCurrent&gt;=$B37,"-",IF(LanBoo2LevelDesired&lt;$B37,"-",$C37))</f>
        <v>-</v>
      </c>
      <c r="BL37" s="1" t="str">
        <f t="shared" ref="BL37" si="2324">IF(LanBoo2LevelCurrent&gt;=$B37,"-",IF(LanBoo2LevelDesired&lt;$B37,"-",$D37))</f>
        <v>-</v>
      </c>
      <c r="BM37" s="21" t="str">
        <f t="shared" ref="BM37" si="2325">IF(LanBoo2LevelCurrent&gt;=$B37,"-",IF(LanBoo2LevelDesired&lt;$B37,"-",$E37))</f>
        <v>-</v>
      </c>
      <c r="BN37" s="15" t="str">
        <f t="shared" ref="BN37" si="2326">IF(MarGog2LevelCurrent&gt;=$B37,"-",IF(MarGog2LevelDesired&lt;$B37,"-",$C37))</f>
        <v>-</v>
      </c>
      <c r="BO37" s="1" t="str">
        <f t="shared" ref="BO37" si="2327">IF(MarGog2LevelCurrent&gt;=$B37,"-",IF(MarGog2LevelDesired&lt;$B37,"-",$D37))</f>
        <v>-</v>
      </c>
      <c r="BP37" s="21" t="str">
        <f t="shared" ref="BP37" si="2328">IF(MarGog2LevelCurrent&gt;=$B37,"-",IF(MarGog2LevelDesired&lt;$B37,"-",$E37))</f>
        <v>-</v>
      </c>
      <c r="BQ37" s="15" t="str">
        <f t="shared" ref="BQ37" si="2329">IF(MarGlo2LevelCurrent&gt;=$B37,"-",IF(MarGlo2LevelDesired&lt;$B37,"-",$C37))</f>
        <v>-</v>
      </c>
      <c r="BR37" s="1" t="str">
        <f t="shared" ref="BR37" si="2330">IF(MarGlo2LevelCurrent&gt;=$B37,"-",IF(MarGlo2LevelDesired&lt;$B37,"-",$D37))</f>
        <v>-</v>
      </c>
      <c r="BS37" s="21" t="str">
        <f t="shared" ref="BS37" si="2331">IF(MarGlo2LevelCurrent&gt;=$B37,"-",IF(MarGlo2LevelDesired&lt;$B37,"-",$E37))</f>
        <v>-</v>
      </c>
      <c r="BT37" s="15" t="str">
        <f t="shared" ref="BT37" si="2332">IF(MarBel2LevelCurrent&gt;=$B37,"-",IF(MarBel2LevelDesired&lt;$B37,"-",$C37))</f>
        <v>-</v>
      </c>
      <c r="BU37" s="1" t="str">
        <f t="shared" ref="BU37" si="2333">IF(MarBel2LevelCurrent&gt;=$B37,"-",IF(MarBel2LevelDesired&lt;$B37,"-",$D37))</f>
        <v>-</v>
      </c>
      <c r="BV37" s="21" t="str">
        <f t="shared" ref="BV37" si="2334">IF(MarBel2LevelCurrent&gt;=$B37,"-",IF(MarBel2LevelDesired&lt;$B37,"-",$E37))</f>
        <v>-</v>
      </c>
      <c r="BW37" s="15" t="str">
        <f t="shared" ref="BW37" si="2335">IF(MarBoo2LevelCurrent&gt;=$B37,"-",IF(MarBoo2LevelDesired&lt;$B37,"-",$C37))</f>
        <v>-</v>
      </c>
      <c r="BX37" s="1" t="str">
        <f t="shared" ref="BX37" si="2336">IF(MarBoo2LevelCurrent&gt;=$B37,"-",IF(MarBoo2LevelDesired&lt;$B37,"-",$D37))</f>
        <v>-</v>
      </c>
      <c r="BY37" s="21" t="str">
        <f t="shared" ref="BY37" si="2337">IF(MarBoo2LevelCurrent&gt;=$B37,"-",IF(MarBoo2LevelDesired&lt;$B37,"-",$E37))</f>
        <v>-</v>
      </c>
      <c r="BZ37" s="15" t="str">
        <f t="shared" si="72"/>
        <v>-</v>
      </c>
      <c r="CA37" s="1" t="str" cm="1">
        <f t="array" ref="CA37">IF(InfGog3LevelCurrent&gt;=$B37,"-",IF(InfGog3LevelDesired&lt;$B37,"-",$D37))</f>
        <v>-</v>
      </c>
      <c r="CB37" s="21" t="str" cm="1">
        <f t="array" ref="CB37">IF(InfGog3LevelCurrent&gt;=$B37,"-",IF(InfGog3LevelDesired&lt;$B37,"-",$E37))</f>
        <v>-</v>
      </c>
      <c r="CC37" s="15" t="str">
        <f t="shared" si="73"/>
        <v>-</v>
      </c>
      <c r="CD37" s="1" t="str">
        <f t="shared" si="74"/>
        <v>-</v>
      </c>
      <c r="CE37" s="21" t="str">
        <f t="shared" si="75"/>
        <v>-</v>
      </c>
      <c r="CF37" s="15" t="str">
        <f t="shared" si="76"/>
        <v>-</v>
      </c>
      <c r="CG37" s="1" t="str">
        <f t="shared" si="77"/>
        <v>-</v>
      </c>
      <c r="CH37" s="21" t="str">
        <f t="shared" si="78"/>
        <v>-</v>
      </c>
      <c r="CI37" s="15" t="str">
        <f t="shared" si="79"/>
        <v>-</v>
      </c>
      <c r="CJ37" s="1" t="str">
        <f t="shared" si="80"/>
        <v>-</v>
      </c>
      <c r="CK37" s="21" t="str">
        <f t="shared" si="81"/>
        <v>-</v>
      </c>
      <c r="CL37" s="15" t="str">
        <f t="shared" si="82"/>
        <v>-</v>
      </c>
      <c r="CM37" s="1" t="str">
        <f t="shared" si="83"/>
        <v>-</v>
      </c>
      <c r="CN37" s="21" t="str">
        <f t="shared" si="84"/>
        <v>-</v>
      </c>
      <c r="CO37" s="15" t="str">
        <f t="shared" si="85"/>
        <v>-</v>
      </c>
      <c r="CP37" s="1" t="str">
        <f t="shared" si="86"/>
        <v>-</v>
      </c>
      <c r="CQ37" s="21" t="str">
        <f t="shared" si="87"/>
        <v>-</v>
      </c>
      <c r="CR37" s="15" t="str">
        <f t="shared" si="88"/>
        <v>-</v>
      </c>
      <c r="CS37" s="1" t="str">
        <f t="shared" si="89"/>
        <v>-</v>
      </c>
      <c r="CT37" s="21" t="str">
        <f t="shared" si="90"/>
        <v>-</v>
      </c>
      <c r="CU37" s="15" t="str">
        <f t="shared" si="91"/>
        <v>-</v>
      </c>
      <c r="CV37" s="1" t="str">
        <f t="shared" si="92"/>
        <v>-</v>
      </c>
      <c r="CW37" s="21" t="str">
        <f t="shared" si="93"/>
        <v>-</v>
      </c>
      <c r="CX37" s="15" t="str">
        <f t="shared" si="94"/>
        <v>-</v>
      </c>
      <c r="CY37" s="1" t="str">
        <f t="shared" si="95"/>
        <v>-</v>
      </c>
      <c r="CZ37" s="21" t="str">
        <f t="shared" si="96"/>
        <v>-</v>
      </c>
      <c r="DA37" s="15" t="str">
        <f t="shared" si="97"/>
        <v>-</v>
      </c>
      <c r="DB37" s="1" t="str">
        <f t="shared" si="98"/>
        <v>-</v>
      </c>
      <c r="DC37" s="21" t="str">
        <f t="shared" si="99"/>
        <v>-</v>
      </c>
      <c r="DD37" s="15" t="str">
        <f t="shared" si="100"/>
        <v>-</v>
      </c>
      <c r="DE37" s="1" t="str">
        <f t="shared" si="101"/>
        <v>-</v>
      </c>
      <c r="DF37" s="21" t="str">
        <f t="shared" si="102"/>
        <v>-</v>
      </c>
      <c r="DG37" s="15" t="str">
        <f t="shared" si="103"/>
        <v>-</v>
      </c>
      <c r="DH37" s="1" t="str">
        <f t="shared" si="104"/>
        <v>-</v>
      </c>
      <c r="DI37" s="21" t="str">
        <f t="shared" si="105"/>
        <v>-</v>
      </c>
    </row>
    <row r="38" spans="2:113" x14ac:dyDescent="0.3">
      <c r="B38" s="1">
        <v>33</v>
      </c>
      <c r="C38" s="67">
        <v>190</v>
      </c>
      <c r="D38" s="88" t="s">
        <v>27</v>
      </c>
      <c r="E38" s="21" t="s">
        <v>27</v>
      </c>
      <c r="F38" s="15" t="str">
        <f t="shared" ref="F38" si="2338">IF(InfGog1LevelCurrent&gt;=$B38,"-",IF(InfGog1LevelDesired&lt;$B38,"-",$C38))</f>
        <v>-</v>
      </c>
      <c r="G38" s="1" t="str">
        <f t="shared" ref="G38" si="2339">IF(InfGog1LevelCurrent&gt;=$B38,"-",IF(InfGog1LevelDesired&lt;$B38,"-",$D38))</f>
        <v>-</v>
      </c>
      <c r="H38" s="21" t="str">
        <f t="shared" ref="H38" si="2340">IF(InfGog1LevelCurrent&gt;=$B38,"-",IF(InfGog1LevelDesired&lt;$B38,"-",$E38))</f>
        <v>-</v>
      </c>
      <c r="I38" s="15" t="str">
        <f t="shared" ref="I38" si="2341">IF(InfGlo1LevelCurrent&gt;=$B38,"-",IF(InfGlo1LevelDesired&lt;$B38,"-",$C38))</f>
        <v>-</v>
      </c>
      <c r="J38" s="1" t="str">
        <f t="shared" ref="J38" si="2342">IF(InfGlo1LevelCurrent&gt;=$B38,"-",IF(InfGlo1LevelDesired&lt;$B38,"-",$D38))</f>
        <v>-</v>
      </c>
      <c r="K38" s="21" t="str">
        <f t="shared" ref="K38" si="2343">IF(InfGlo1LevelCurrent&gt;=$B38,"-",IF(InfGlo1LevelDesired&lt;$B38,"-",$E38))</f>
        <v>-</v>
      </c>
      <c r="L38" s="15" t="str">
        <f t="shared" ref="L38" si="2344">IF(InfBel1LevelCurrent&gt;=$B38,"-",IF(InfBel1LevelDesired&lt;$B38,"-",$C38))</f>
        <v>-</v>
      </c>
      <c r="M38" s="1" t="str">
        <f t="shared" ref="M38" si="2345">IF(InfBel1LevelCurrent&gt;=$B38,"-",IF(InfBel1LevelDesired&lt;$B38,"-",$D38))</f>
        <v>-</v>
      </c>
      <c r="N38" s="21" t="str">
        <f t="shared" ref="N38" si="2346">IF(InfBel1LevelCurrent&gt;=$B38,"-",IF(InfBel1LevelDesired&lt;$B38,"-",$E38))</f>
        <v>-</v>
      </c>
      <c r="O38" s="15" t="str">
        <f t="shared" ref="O38" si="2347">IF(InfBoo1LevelCurrent&gt;=$B38,"-",IF(InfBoo1LevelDesired&lt;$B38,"-",$C38))</f>
        <v>-</v>
      </c>
      <c r="P38" s="1" t="str">
        <f t="shared" ref="P38" si="2348">IF(InfBoo1LevelCurrent&gt;=$B38,"-",IF(InfBoo1LevelDesired&lt;$B38,"-",$D38))</f>
        <v>-</v>
      </c>
      <c r="Q38" s="21" t="str">
        <f t="shared" ref="Q38" si="2349">IF(InfBoo1LevelCurrent&gt;=$B38,"-",IF(InfBoo1LevelDesired&lt;$B38,"-",$E38))</f>
        <v>-</v>
      </c>
      <c r="R38" s="15" t="str">
        <f t="shared" ref="R38" si="2350">IF(LanGog1LevelCurrent&gt;=$B38,"-",IF(LanGog1LevelDesired&lt;$B38,"-",$C38))</f>
        <v>-</v>
      </c>
      <c r="S38" s="1" t="str">
        <f t="shared" ref="S38" si="2351">IF(LanGog1LevelCurrent&gt;=$B38,"-",IF(LanGog1LevelDesired&lt;$B38,"-",$D38))</f>
        <v>-</v>
      </c>
      <c r="T38" s="21" t="str">
        <f t="shared" ref="T38" si="2352">IF(LanGog1LevelCurrent&gt;=$B38,"-",IF(LanGog1LevelDesired&lt;$B38,"-",$E38))</f>
        <v>-</v>
      </c>
      <c r="U38" s="15" t="str">
        <f t="shared" ref="U38" si="2353">IF(LanGlo1LevelCurrent&gt;=$B38,"-",IF(LanGlo1LevelDesired&lt;$B38,"-",$C38))</f>
        <v>-</v>
      </c>
      <c r="V38" s="1" t="str">
        <f t="shared" ref="V38" si="2354">IF(LanGlo1LevelCurrent&gt;=$B38,"-",IF(LanGlo1LevelDesired&lt;$B38,"-",$D38))</f>
        <v>-</v>
      </c>
      <c r="W38" s="21" t="str">
        <f t="shared" ref="W38" si="2355">IF(LanGlo1LevelCurrent&gt;=$B38,"-",IF(LanGlo1LevelDesired&lt;$B38,"-",$E38))</f>
        <v>-</v>
      </c>
      <c r="X38" s="15" t="str">
        <f t="shared" ref="X38" si="2356">IF(LanBel1LevelCurrent&gt;=$B38,"-",IF(LanBel1LevelDesired&lt;$B38,"-",$C38))</f>
        <v>-</v>
      </c>
      <c r="Y38" s="1" t="str">
        <f t="shared" ref="Y38" si="2357">IF(LanBel1LevelCurrent&gt;=$B38,"-",IF(LanBel1LevelDesired&lt;$B38,"-",$D38))</f>
        <v>-</v>
      </c>
      <c r="Z38" s="21" t="str">
        <f t="shared" ref="Z38" si="2358">IF(LanBel1LevelCurrent&gt;=$B38,"-",IF(LanBel1LevelDesired&lt;$B38,"-",$E38))</f>
        <v>-</v>
      </c>
      <c r="AA38" s="15" t="str">
        <f t="shared" ref="AA38" si="2359">IF(LanBoo1LevelCurrent&gt;=$B38,"-",IF(LanBoo1LevelDesired&lt;$B38,"-",$C38))</f>
        <v>-</v>
      </c>
      <c r="AB38" s="1" t="str">
        <f t="shared" ref="AB38" si="2360">IF(LanBoo1LevelCurrent&gt;=$B38,"-",IF(LanBoo1LevelDesired&lt;$B38,"-",$D38))</f>
        <v>-</v>
      </c>
      <c r="AC38" s="21" t="str">
        <f t="shared" ref="AC38" si="2361">IF(LanBoo1LevelCurrent&gt;=$B38,"-",IF(LanBoo1LevelDesired&lt;$B38,"-",$E38))</f>
        <v>-</v>
      </c>
      <c r="AD38" s="15" t="str">
        <f t="shared" ref="AD38" si="2362">IF(MarGog1LevelCurrent&gt;=$B38,"-",IF(MarGog1LevelDesired&lt;$B38,"-",$C38))</f>
        <v>-</v>
      </c>
      <c r="AE38" s="1" t="str">
        <f t="shared" ref="AE38" si="2363">IF(MarGog1LevelCurrent&gt;=$B38,"-",IF(MarGog1LevelDesired&lt;$B38,"-",$D38))</f>
        <v>-</v>
      </c>
      <c r="AF38" s="21" t="str">
        <f t="shared" ref="AF38" si="2364">IF(MarGog1LevelCurrent&gt;=$B38,"-",IF(MarGog1LevelDesired&lt;$B38,"-",$E38))</f>
        <v>-</v>
      </c>
      <c r="AG38" s="15" t="str">
        <f t="shared" ref="AG38" si="2365">IF(MarGlo1LevelCurrent&gt;=$B38,"-",IF(MarGlo1LevelDesired&lt;$B38,"-",$C38))</f>
        <v>-</v>
      </c>
      <c r="AH38" s="1" t="str">
        <f t="shared" ref="AH38" si="2366">IF(MarGlo1LevelCurrent&gt;=$B38,"-",IF(MarGlo1LevelDesired&lt;$B38,"-",$D38))</f>
        <v>-</v>
      </c>
      <c r="AI38" s="21" t="str">
        <f t="shared" ref="AI38" si="2367">IF(MarGlo1LevelCurrent&gt;=$B38,"-",IF(MarGlo1LevelDesired&lt;$B38,"-",$E38))</f>
        <v>-</v>
      </c>
      <c r="AJ38" s="15" t="str">
        <f t="shared" ref="AJ38" si="2368">IF(MarBel1LevelCurrent&gt;=$B38,"-",IF(MarBel1LevelDesired&lt;$B38,"-",$C38))</f>
        <v>-</v>
      </c>
      <c r="AK38" s="1" t="str">
        <f t="shared" ref="AK38" si="2369">IF(MarBel1LevelCurrent&gt;=$B38,"-",IF(MarBel1LevelDesired&lt;$B38,"-",$D38))</f>
        <v>-</v>
      </c>
      <c r="AL38" s="21" t="str">
        <f t="shared" ref="AL38" si="2370">IF(MarBel1LevelCurrent&gt;=$B38,"-",IF(MarBel1LevelDesired&lt;$B38,"-",$E38))</f>
        <v>-</v>
      </c>
      <c r="AM38" s="15" t="str">
        <f t="shared" ref="AM38" si="2371">IF(MarBoo1LevelCurrent&gt;=$B38,"-",IF(MarBoo1LevelDesired&lt;$B38,"-",$C38))</f>
        <v>-</v>
      </c>
      <c r="AN38" s="1" t="str">
        <f t="shared" ref="AN38" si="2372">IF(MarBoo1LevelCurrent&gt;=$B38,"-",IF(MarBoo1LevelDesired&lt;$B38,"-",$D38))</f>
        <v>-</v>
      </c>
      <c r="AO38" s="21" t="str">
        <f t="shared" ref="AO38" si="2373">IF(MarBoo1LevelCurrent&gt;=$B38,"-",IF(MarBoo1LevelDesired&lt;$B38,"-",$E38))</f>
        <v>-</v>
      </c>
      <c r="AP38" s="15" t="str">
        <f t="shared" ref="AP38" si="2374">IF(InfGog2LevelCurrent&gt;=$B38,"-",IF(InfGog2LevelDesired&lt;$B38,"-",$C38))</f>
        <v>-</v>
      </c>
      <c r="AQ38" s="1" t="str">
        <f t="shared" ref="AQ38" si="2375">IF(InfGog2LevelCurrent&gt;=$B38,"-",IF(InfGog2LevelDesired&lt;$B38,"-",$D38))</f>
        <v>-</v>
      </c>
      <c r="AR38" s="21" t="str">
        <f t="shared" ref="AR38" si="2376">IF(InfGog2LevelCurrent&gt;=$B38,"-",IF(InfGog2LevelDesired&lt;$B38,"-",$E38))</f>
        <v>-</v>
      </c>
      <c r="AS38" s="15" t="str">
        <f t="shared" ref="AS38" si="2377">IF(InfGlo2LevelCurrent&gt;=$B38,"-",IF(InfGlo2LevelDesired&lt;$B38,"-",$C38))</f>
        <v>-</v>
      </c>
      <c r="AT38" s="1" t="str">
        <f t="shared" ref="AT38" si="2378">IF(InfGlo2LevelCurrent&gt;=$B38,"-",IF(InfGlo2LevelDesired&lt;$B38,"-",$D38))</f>
        <v>-</v>
      </c>
      <c r="AU38" s="21" t="str">
        <f t="shared" ref="AU38" si="2379">IF(InfGlo2LevelCurrent&gt;=$B38,"-",IF(InfGlo2LevelDesired&lt;$B38,"-",$E38))</f>
        <v>-</v>
      </c>
      <c r="AV38" s="15" t="str">
        <f t="shared" ref="AV38" si="2380">IF(InfBel2LevelCurrent&gt;=$B38,"-",IF(InfBel2LevelDesired&lt;$B38,"-",$C38))</f>
        <v>-</v>
      </c>
      <c r="AW38" s="1" t="str">
        <f t="shared" ref="AW38" si="2381">IF(InfBel2LevelCurrent&gt;=$B38,"-",IF(InfBel2LevelDesired&lt;$B38,"-",$D38))</f>
        <v>-</v>
      </c>
      <c r="AX38" s="21" t="str">
        <f t="shared" ref="AX38" si="2382">IF(InfBel2LevelCurrent&gt;=$B38,"-",IF(InfBel2LevelDesired&lt;$B38,"-",$E38))</f>
        <v>-</v>
      </c>
      <c r="AY38" s="15" t="str">
        <f t="shared" ref="AY38" si="2383">IF(InfBoo2LevelCurrent&gt;=$B38,"-",IF(InfBoo2LevelDesired&lt;$B38,"-",$C38))</f>
        <v>-</v>
      </c>
      <c r="AZ38" s="1" t="str">
        <f t="shared" ref="AZ38" si="2384">IF(InfBoo2LevelCurrent&gt;=$B38,"-",IF(InfBoo2LevelDesired&lt;$B38,"-",$D38))</f>
        <v>-</v>
      </c>
      <c r="BA38" s="21" t="str">
        <f t="shared" ref="BA38" si="2385">IF(InfBoo2LevelCurrent&gt;=$B38,"-",IF(InfBoo2LevelDesired&lt;$B38,"-",$E38))</f>
        <v>-</v>
      </c>
      <c r="BB38" s="15" t="str">
        <f t="shared" ref="BB38" si="2386">IF(LanGog2LevelCurrent&gt;=$B38,"-",IF(LanGog2LevelDesired&lt;$B38,"-",$C38))</f>
        <v>-</v>
      </c>
      <c r="BC38" s="1" t="str">
        <f t="shared" ref="BC38" si="2387">IF(LanGog2LevelCurrent&gt;=$B38,"-",IF(LanGog2LevelDesired&lt;$B38,"-",$D38))</f>
        <v>-</v>
      </c>
      <c r="BD38" s="21" t="str">
        <f t="shared" ref="BD38" si="2388">IF(LanGog2LevelCurrent&gt;=$B38,"-",IF(LanGog2LevelDesired&lt;$B38,"-",$E38))</f>
        <v>-</v>
      </c>
      <c r="BE38" s="15" t="str">
        <f t="shared" ref="BE38" si="2389">IF(LanGlo2LevelCurrent&gt;=$B38,"-",IF(LanGlo2LevelDesired&lt;$B38,"-",$C38))</f>
        <v>-</v>
      </c>
      <c r="BF38" s="1" t="str">
        <f t="shared" ref="BF38" si="2390">IF(LanGlo2LevelCurrent&gt;=$B38,"-",IF(LanGlo2LevelDesired&lt;$B38,"-",$D38))</f>
        <v>-</v>
      </c>
      <c r="BG38" s="21" t="str">
        <f t="shared" ref="BG38" si="2391">IF(LanGlo2LevelCurrent&gt;=$B38,"-",IF(LanGlo2LevelDesired&lt;$B38,"-",$E38))</f>
        <v>-</v>
      </c>
      <c r="BH38" s="15" t="str">
        <f t="shared" ref="BH38" si="2392">IF(LanBel2LevelCurrent&gt;=$B38,"-",IF(LanBel2LevelDesired&lt;$B38,"-",$C38))</f>
        <v>-</v>
      </c>
      <c r="BI38" s="1" t="str">
        <f t="shared" ref="BI38" si="2393">IF(LanBel2LevelCurrent&gt;=$B38,"-",IF(LanBel2LevelDesired&lt;$B38,"-",$D38))</f>
        <v>-</v>
      </c>
      <c r="BJ38" s="21" t="str">
        <f t="shared" ref="BJ38" si="2394">IF(LanBel2LevelCurrent&gt;=$B38,"-",IF(LanBel2LevelDesired&lt;$B38,"-",$E38))</f>
        <v>-</v>
      </c>
      <c r="BK38" s="15" t="str">
        <f t="shared" ref="BK38" si="2395">IF(LanBoo2LevelCurrent&gt;=$B38,"-",IF(LanBoo2LevelDesired&lt;$B38,"-",$C38))</f>
        <v>-</v>
      </c>
      <c r="BL38" s="1" t="str">
        <f t="shared" ref="BL38" si="2396">IF(LanBoo2LevelCurrent&gt;=$B38,"-",IF(LanBoo2LevelDesired&lt;$B38,"-",$D38))</f>
        <v>-</v>
      </c>
      <c r="BM38" s="21" t="str">
        <f t="shared" ref="BM38" si="2397">IF(LanBoo2LevelCurrent&gt;=$B38,"-",IF(LanBoo2LevelDesired&lt;$B38,"-",$E38))</f>
        <v>-</v>
      </c>
      <c r="BN38" s="15" t="str">
        <f t="shared" ref="BN38" si="2398">IF(MarGog2LevelCurrent&gt;=$B38,"-",IF(MarGog2LevelDesired&lt;$B38,"-",$C38))</f>
        <v>-</v>
      </c>
      <c r="BO38" s="1" t="str">
        <f t="shared" ref="BO38" si="2399">IF(MarGog2LevelCurrent&gt;=$B38,"-",IF(MarGog2LevelDesired&lt;$B38,"-",$D38))</f>
        <v>-</v>
      </c>
      <c r="BP38" s="21" t="str">
        <f t="shared" ref="BP38" si="2400">IF(MarGog2LevelCurrent&gt;=$B38,"-",IF(MarGog2LevelDesired&lt;$B38,"-",$E38))</f>
        <v>-</v>
      </c>
      <c r="BQ38" s="15" t="str">
        <f t="shared" ref="BQ38" si="2401">IF(MarGlo2LevelCurrent&gt;=$B38,"-",IF(MarGlo2LevelDesired&lt;$B38,"-",$C38))</f>
        <v>-</v>
      </c>
      <c r="BR38" s="1" t="str">
        <f t="shared" ref="BR38" si="2402">IF(MarGlo2LevelCurrent&gt;=$B38,"-",IF(MarGlo2LevelDesired&lt;$B38,"-",$D38))</f>
        <v>-</v>
      </c>
      <c r="BS38" s="21" t="str">
        <f t="shared" ref="BS38" si="2403">IF(MarGlo2LevelCurrent&gt;=$B38,"-",IF(MarGlo2LevelDesired&lt;$B38,"-",$E38))</f>
        <v>-</v>
      </c>
      <c r="BT38" s="15" t="str">
        <f t="shared" ref="BT38" si="2404">IF(MarBel2LevelCurrent&gt;=$B38,"-",IF(MarBel2LevelDesired&lt;$B38,"-",$C38))</f>
        <v>-</v>
      </c>
      <c r="BU38" s="1" t="str">
        <f t="shared" ref="BU38" si="2405">IF(MarBel2LevelCurrent&gt;=$B38,"-",IF(MarBel2LevelDesired&lt;$B38,"-",$D38))</f>
        <v>-</v>
      </c>
      <c r="BV38" s="21" t="str">
        <f t="shared" ref="BV38" si="2406">IF(MarBel2LevelCurrent&gt;=$B38,"-",IF(MarBel2LevelDesired&lt;$B38,"-",$E38))</f>
        <v>-</v>
      </c>
      <c r="BW38" s="15" t="str">
        <f t="shared" ref="BW38" si="2407">IF(MarBoo2LevelCurrent&gt;=$B38,"-",IF(MarBoo2LevelDesired&lt;$B38,"-",$C38))</f>
        <v>-</v>
      </c>
      <c r="BX38" s="1" t="str">
        <f t="shared" ref="BX38" si="2408">IF(MarBoo2LevelCurrent&gt;=$B38,"-",IF(MarBoo2LevelDesired&lt;$B38,"-",$D38))</f>
        <v>-</v>
      </c>
      <c r="BY38" s="21" t="str">
        <f t="shared" ref="BY38" si="2409">IF(MarBoo2LevelCurrent&gt;=$B38,"-",IF(MarBoo2LevelDesired&lt;$B38,"-",$E38))</f>
        <v>-</v>
      </c>
      <c r="BZ38" s="15" t="str">
        <f t="shared" ref="BZ38:BZ69" si="2410">IF(InfGog3LevelCurrent&gt;=$B38,"-",IF(InfGog3LevelDesired&lt;$B38,"-",$C38))</f>
        <v>-</v>
      </c>
      <c r="CA38" s="1" t="str" cm="1">
        <f t="array" ref="CA38">IF(InfGog3LevelCurrent&gt;=$B38,"-",IF(InfGog3LevelDesired&lt;$B38,"-",$D38))</f>
        <v>-</v>
      </c>
      <c r="CB38" s="21" t="str" cm="1">
        <f t="array" ref="CB38">IF(InfGog3LevelCurrent&gt;=$B38,"-",IF(InfGog3LevelDesired&lt;$B38,"-",$E38))</f>
        <v>-</v>
      </c>
      <c r="CC38" s="15" t="str">
        <f t="shared" ref="CC38:CC69" si="2411">IF(InfGlo3LevelCurrent&gt;=$B38,"-",IF(InfGlo3LevelDesired&lt;$B38,"-",$C38))</f>
        <v>-</v>
      </c>
      <c r="CD38" s="1" t="str">
        <f t="shared" ref="CD38:CD69" si="2412">IF(InfGlo3LevelCurrent&gt;=$B38,"-",IF(InfGlo3LevelDesired&lt;$B38,"-",$D38))</f>
        <v>-</v>
      </c>
      <c r="CE38" s="21" t="str">
        <f t="shared" ref="CE38:CE69" si="2413">IF(InfGlo3LevelCurrent&gt;=$B38,"-",IF(InfGlo3LevelDesired&lt;$B38,"-",$E38))</f>
        <v>-</v>
      </c>
      <c r="CF38" s="15" t="str">
        <f t="shared" ref="CF38:CF69" si="2414">IF(InfBel3LevelCurrent&gt;=$B38,"-",IF(InfBel3LevelDesired&lt;$B38,"-",$C38))</f>
        <v>-</v>
      </c>
      <c r="CG38" s="1" t="str">
        <f t="shared" ref="CG38:CG69" si="2415">IF(InfBel3LevelCurrent&gt;=$B38,"-",IF(InfBel3LevelDesired&lt;$B38,"-",$D38))</f>
        <v>-</v>
      </c>
      <c r="CH38" s="21" t="str">
        <f t="shared" ref="CH38:CH69" si="2416">IF(InfBel3LevelCurrent&gt;=$B38,"-",IF(InfBel3LevelDesired&lt;$B38,"-",$E38))</f>
        <v>-</v>
      </c>
      <c r="CI38" s="15" t="str">
        <f t="shared" ref="CI38:CI69" si="2417">IF(InfBoo3LevelCurrent&gt;=$B38,"-",IF(InfBoo3LevelDesired&lt;$B38,"-",$C38))</f>
        <v>-</v>
      </c>
      <c r="CJ38" s="1" t="str">
        <f t="shared" ref="CJ38:CJ69" si="2418">IF(InfBoo3LevelCurrent&gt;=$B38,"-",IF(InfBoo3LevelDesired&lt;$B38,"-",$D38))</f>
        <v>-</v>
      </c>
      <c r="CK38" s="21" t="str">
        <f t="shared" ref="CK38:CK69" si="2419">IF(InfBoo3LevelCurrent&gt;=$B38,"-",IF(InfBoo3LevelDesired&lt;$B38,"-",$E38))</f>
        <v>-</v>
      </c>
      <c r="CL38" s="15" t="str">
        <f t="shared" ref="CL38:CL69" si="2420">IF(LanGog3LevelCurrent&gt;=$B38,"-",IF(LanGog3LevelDesired&lt;$B38,"-",$C38))</f>
        <v>-</v>
      </c>
      <c r="CM38" s="1" t="str">
        <f t="shared" ref="CM38:CM69" si="2421">IF(LanGog3LevelCurrent&gt;=$B38,"-",IF(LanGog3LevelDesired&lt;$B38,"-",$D38))</f>
        <v>-</v>
      </c>
      <c r="CN38" s="21" t="str">
        <f t="shared" ref="CN38:CN69" si="2422">IF(LanGog3LevelCurrent&gt;=$B38,"-",IF(LanGog3LevelDesired&lt;$B38,"-",$E38))</f>
        <v>-</v>
      </c>
      <c r="CO38" s="15" t="str">
        <f t="shared" ref="CO38:CO69" si="2423">IF(LanGlo3LevelCurrent&gt;=$B38,"-",IF(LanGlo3LevelDesired&lt;$B38,"-",$C38))</f>
        <v>-</v>
      </c>
      <c r="CP38" s="1" t="str">
        <f t="shared" ref="CP38:CP69" si="2424">IF(LanGlo3LevelCurrent&gt;=$B38,"-",IF(LanGlo3LevelDesired&lt;$B38,"-",$D38))</f>
        <v>-</v>
      </c>
      <c r="CQ38" s="21" t="str">
        <f t="shared" ref="CQ38:CQ69" si="2425">IF(LanGlo3LevelCurrent&gt;=$B38,"-",IF(LanGlo3LevelDesired&lt;$B38,"-",$E38))</f>
        <v>-</v>
      </c>
      <c r="CR38" s="15" t="str">
        <f t="shared" ref="CR38:CR69" si="2426">IF(LanBel3LevelCurrent&gt;=$B38,"-",IF(LanBel3LevelDesired&lt;$B38,"-",$C38))</f>
        <v>-</v>
      </c>
      <c r="CS38" s="1" t="str">
        <f t="shared" ref="CS38:CS69" si="2427">IF(LanBel3LevelCurrent&gt;=$B38,"-",IF(LanBel3LevelDesired&lt;$B38,"-",$D38))</f>
        <v>-</v>
      </c>
      <c r="CT38" s="21" t="str">
        <f t="shared" ref="CT38:CT69" si="2428">IF(LanBel3LevelCurrent&gt;=$B38,"-",IF(LanBel3LevelDesired&lt;$B38,"-",$E38))</f>
        <v>-</v>
      </c>
      <c r="CU38" s="15" t="str">
        <f t="shared" ref="CU38:CU69" si="2429">IF(LanBoo3LevelCurrent&gt;=$B38,"-",IF(LanBoo3LevelDesired&lt;$B38,"-",$C38))</f>
        <v>-</v>
      </c>
      <c r="CV38" s="1" t="str">
        <f t="shared" ref="CV38:CV69" si="2430">IF(LanBoo3LevelCurrent&gt;=$B38,"-",IF(LanBoo3LevelDesired&lt;$B38,"-",$D38))</f>
        <v>-</v>
      </c>
      <c r="CW38" s="21" t="str">
        <f t="shared" ref="CW38:CW69" si="2431">IF(LanBoo3LevelCurrent&gt;=$B38,"-",IF(LanBoo3LevelDesired&lt;$B38,"-",$E38))</f>
        <v>-</v>
      </c>
      <c r="CX38" s="15" t="str">
        <f t="shared" ref="CX38:CX69" si="2432">IF(MarGog3LevelCurrent&gt;=$B38,"-",IF(MarGog3LevelDesired&lt;$B38,"-",$C38))</f>
        <v>-</v>
      </c>
      <c r="CY38" s="1" t="str">
        <f t="shared" ref="CY38:CY69" si="2433">IF(MarGog3LevelCurrent&gt;=$B38,"-",IF(MarGog3LevelDesired&lt;$B38,"-",$D38))</f>
        <v>-</v>
      </c>
      <c r="CZ38" s="21" t="str">
        <f t="shared" ref="CZ38:CZ69" si="2434">IF(MarGog3LevelCurrent&gt;=$B38,"-",IF(MarGog3LevelDesired&lt;$B38,"-",$E38))</f>
        <v>-</v>
      </c>
      <c r="DA38" s="15" t="str">
        <f t="shared" ref="DA38:DA69" si="2435">IF(MarGlo3LevelCurrent&gt;=$B38,"-",IF(MarGlo3LevelDesired&lt;$B38,"-",$C38))</f>
        <v>-</v>
      </c>
      <c r="DB38" s="1" t="str">
        <f t="shared" ref="DB38:DB69" si="2436">IF(MarGlo3LevelCurrent&gt;=$B38,"-",IF(MarGlo3LevelDesired&lt;$B38,"-",$D38))</f>
        <v>-</v>
      </c>
      <c r="DC38" s="21" t="str">
        <f t="shared" ref="DC38:DC69" si="2437">IF(MarGlo3LevelCurrent&gt;=$B38,"-",IF(MarGlo3LevelDesired&lt;$B38,"-",$E38))</f>
        <v>-</v>
      </c>
      <c r="DD38" s="15" t="str">
        <f t="shared" ref="DD38:DD69" si="2438">IF(MarBel3LevelCurrent&gt;=$B38,"-",IF(MarBel3LevelDesired&lt;$B38,"-",$C38))</f>
        <v>-</v>
      </c>
      <c r="DE38" s="1" t="str">
        <f t="shared" ref="DE38:DE69" si="2439">IF(MarBel3LevelCurrent&gt;=$B38,"-",IF(MarBel3LevelDesired&lt;$B38,"-",$D38))</f>
        <v>-</v>
      </c>
      <c r="DF38" s="21" t="str">
        <f t="shared" ref="DF38:DF69" si="2440">IF(MarBel3LevelCurrent&gt;=$B38,"-",IF(MarBel3LevelDesired&lt;$B38,"-",$E38))</f>
        <v>-</v>
      </c>
      <c r="DG38" s="15" t="str">
        <f t="shared" ref="DG38:DG69" si="2441">IF(MarBoo3LevelCurrent&gt;=$B38,"-",IF(MarBoo3LevelDesired&lt;$B38,"-",$C38))</f>
        <v>-</v>
      </c>
      <c r="DH38" s="1" t="str">
        <f t="shared" ref="DH38:DH69" si="2442">IF(MarBoo3LevelCurrent&gt;=$B38,"-",IF(MarBoo3LevelDesired&lt;$B38,"-",$D38))</f>
        <v>-</v>
      </c>
      <c r="DI38" s="21" t="str">
        <f t="shared" ref="DI38:DI69" si="2443">IF(MarBoo3LevelCurrent&gt;=$B38,"-",IF(MarBoo3LevelDesired&lt;$B38,"-",$E38))</f>
        <v>-</v>
      </c>
    </row>
    <row r="39" spans="2:113" x14ac:dyDescent="0.3">
      <c r="B39" s="1">
        <v>34</v>
      </c>
      <c r="C39" s="67">
        <v>200</v>
      </c>
      <c r="D39" s="88" t="s">
        <v>27</v>
      </c>
      <c r="E39" s="21" t="s">
        <v>27</v>
      </c>
      <c r="F39" s="15" t="str">
        <f t="shared" ref="F39" si="2444">IF(InfGog1LevelCurrent&gt;=$B39,"-",IF(InfGog1LevelDesired&lt;$B39,"-",$C39))</f>
        <v>-</v>
      </c>
      <c r="G39" s="1" t="str">
        <f t="shared" ref="G39" si="2445">IF(InfGog1LevelCurrent&gt;=$B39,"-",IF(InfGog1LevelDesired&lt;$B39,"-",$D39))</f>
        <v>-</v>
      </c>
      <c r="H39" s="21" t="str">
        <f t="shared" ref="H39" si="2446">IF(InfGog1LevelCurrent&gt;=$B39,"-",IF(InfGog1LevelDesired&lt;$B39,"-",$E39))</f>
        <v>-</v>
      </c>
      <c r="I39" s="15" t="str">
        <f t="shared" ref="I39" si="2447">IF(InfGlo1LevelCurrent&gt;=$B39,"-",IF(InfGlo1LevelDesired&lt;$B39,"-",$C39))</f>
        <v>-</v>
      </c>
      <c r="J39" s="1" t="str">
        <f t="shared" ref="J39" si="2448">IF(InfGlo1LevelCurrent&gt;=$B39,"-",IF(InfGlo1LevelDesired&lt;$B39,"-",$D39))</f>
        <v>-</v>
      </c>
      <c r="K39" s="21" t="str">
        <f t="shared" ref="K39" si="2449">IF(InfGlo1LevelCurrent&gt;=$B39,"-",IF(InfGlo1LevelDesired&lt;$B39,"-",$E39))</f>
        <v>-</v>
      </c>
      <c r="L39" s="15" t="str">
        <f t="shared" ref="L39" si="2450">IF(InfBel1LevelCurrent&gt;=$B39,"-",IF(InfBel1LevelDesired&lt;$B39,"-",$C39))</f>
        <v>-</v>
      </c>
      <c r="M39" s="1" t="str">
        <f t="shared" ref="M39" si="2451">IF(InfBel1LevelCurrent&gt;=$B39,"-",IF(InfBel1LevelDesired&lt;$B39,"-",$D39))</f>
        <v>-</v>
      </c>
      <c r="N39" s="21" t="str">
        <f t="shared" ref="N39" si="2452">IF(InfBel1LevelCurrent&gt;=$B39,"-",IF(InfBel1LevelDesired&lt;$B39,"-",$E39))</f>
        <v>-</v>
      </c>
      <c r="O39" s="15" t="str">
        <f t="shared" ref="O39" si="2453">IF(InfBoo1LevelCurrent&gt;=$B39,"-",IF(InfBoo1LevelDesired&lt;$B39,"-",$C39))</f>
        <v>-</v>
      </c>
      <c r="P39" s="1" t="str">
        <f t="shared" ref="P39" si="2454">IF(InfBoo1LevelCurrent&gt;=$B39,"-",IF(InfBoo1LevelDesired&lt;$B39,"-",$D39))</f>
        <v>-</v>
      </c>
      <c r="Q39" s="21" t="str">
        <f t="shared" ref="Q39" si="2455">IF(InfBoo1LevelCurrent&gt;=$B39,"-",IF(InfBoo1LevelDesired&lt;$B39,"-",$E39))</f>
        <v>-</v>
      </c>
      <c r="R39" s="15" t="str">
        <f t="shared" ref="R39" si="2456">IF(LanGog1LevelCurrent&gt;=$B39,"-",IF(LanGog1LevelDesired&lt;$B39,"-",$C39))</f>
        <v>-</v>
      </c>
      <c r="S39" s="1" t="str">
        <f t="shared" ref="S39" si="2457">IF(LanGog1LevelCurrent&gt;=$B39,"-",IF(LanGog1LevelDesired&lt;$B39,"-",$D39))</f>
        <v>-</v>
      </c>
      <c r="T39" s="21" t="str">
        <f t="shared" ref="T39" si="2458">IF(LanGog1LevelCurrent&gt;=$B39,"-",IF(LanGog1LevelDesired&lt;$B39,"-",$E39))</f>
        <v>-</v>
      </c>
      <c r="U39" s="15" t="str">
        <f t="shared" ref="U39" si="2459">IF(LanGlo1LevelCurrent&gt;=$B39,"-",IF(LanGlo1LevelDesired&lt;$B39,"-",$C39))</f>
        <v>-</v>
      </c>
      <c r="V39" s="1" t="str">
        <f t="shared" ref="V39" si="2460">IF(LanGlo1LevelCurrent&gt;=$B39,"-",IF(LanGlo1LevelDesired&lt;$B39,"-",$D39))</f>
        <v>-</v>
      </c>
      <c r="W39" s="21" t="str">
        <f t="shared" ref="W39" si="2461">IF(LanGlo1LevelCurrent&gt;=$B39,"-",IF(LanGlo1LevelDesired&lt;$B39,"-",$E39))</f>
        <v>-</v>
      </c>
      <c r="X39" s="15" t="str">
        <f t="shared" ref="X39" si="2462">IF(LanBel1LevelCurrent&gt;=$B39,"-",IF(LanBel1LevelDesired&lt;$B39,"-",$C39))</f>
        <v>-</v>
      </c>
      <c r="Y39" s="1" t="str">
        <f t="shared" ref="Y39" si="2463">IF(LanBel1LevelCurrent&gt;=$B39,"-",IF(LanBel1LevelDesired&lt;$B39,"-",$D39))</f>
        <v>-</v>
      </c>
      <c r="Z39" s="21" t="str">
        <f t="shared" ref="Z39" si="2464">IF(LanBel1LevelCurrent&gt;=$B39,"-",IF(LanBel1LevelDesired&lt;$B39,"-",$E39))</f>
        <v>-</v>
      </c>
      <c r="AA39" s="15" t="str">
        <f t="shared" ref="AA39" si="2465">IF(LanBoo1LevelCurrent&gt;=$B39,"-",IF(LanBoo1LevelDesired&lt;$B39,"-",$C39))</f>
        <v>-</v>
      </c>
      <c r="AB39" s="1" t="str">
        <f t="shared" ref="AB39" si="2466">IF(LanBoo1LevelCurrent&gt;=$B39,"-",IF(LanBoo1LevelDesired&lt;$B39,"-",$D39))</f>
        <v>-</v>
      </c>
      <c r="AC39" s="21" t="str">
        <f t="shared" ref="AC39" si="2467">IF(LanBoo1LevelCurrent&gt;=$B39,"-",IF(LanBoo1LevelDesired&lt;$B39,"-",$E39))</f>
        <v>-</v>
      </c>
      <c r="AD39" s="15" t="str">
        <f t="shared" ref="AD39" si="2468">IF(MarGog1LevelCurrent&gt;=$B39,"-",IF(MarGog1LevelDesired&lt;$B39,"-",$C39))</f>
        <v>-</v>
      </c>
      <c r="AE39" s="1" t="str">
        <f t="shared" ref="AE39" si="2469">IF(MarGog1LevelCurrent&gt;=$B39,"-",IF(MarGog1LevelDesired&lt;$B39,"-",$D39))</f>
        <v>-</v>
      </c>
      <c r="AF39" s="21" t="str">
        <f t="shared" ref="AF39" si="2470">IF(MarGog1LevelCurrent&gt;=$B39,"-",IF(MarGog1LevelDesired&lt;$B39,"-",$E39))</f>
        <v>-</v>
      </c>
      <c r="AG39" s="15" t="str">
        <f t="shared" ref="AG39" si="2471">IF(MarGlo1LevelCurrent&gt;=$B39,"-",IF(MarGlo1LevelDesired&lt;$B39,"-",$C39))</f>
        <v>-</v>
      </c>
      <c r="AH39" s="1" t="str">
        <f t="shared" ref="AH39" si="2472">IF(MarGlo1LevelCurrent&gt;=$B39,"-",IF(MarGlo1LevelDesired&lt;$B39,"-",$D39))</f>
        <v>-</v>
      </c>
      <c r="AI39" s="21" t="str">
        <f t="shared" ref="AI39" si="2473">IF(MarGlo1LevelCurrent&gt;=$B39,"-",IF(MarGlo1LevelDesired&lt;$B39,"-",$E39))</f>
        <v>-</v>
      </c>
      <c r="AJ39" s="15" t="str">
        <f t="shared" ref="AJ39" si="2474">IF(MarBel1LevelCurrent&gt;=$B39,"-",IF(MarBel1LevelDesired&lt;$B39,"-",$C39))</f>
        <v>-</v>
      </c>
      <c r="AK39" s="1" t="str">
        <f t="shared" ref="AK39" si="2475">IF(MarBel1LevelCurrent&gt;=$B39,"-",IF(MarBel1LevelDesired&lt;$B39,"-",$D39))</f>
        <v>-</v>
      </c>
      <c r="AL39" s="21" t="str">
        <f t="shared" ref="AL39" si="2476">IF(MarBel1LevelCurrent&gt;=$B39,"-",IF(MarBel1LevelDesired&lt;$B39,"-",$E39))</f>
        <v>-</v>
      </c>
      <c r="AM39" s="15" t="str">
        <f t="shared" ref="AM39" si="2477">IF(MarBoo1LevelCurrent&gt;=$B39,"-",IF(MarBoo1LevelDesired&lt;$B39,"-",$C39))</f>
        <v>-</v>
      </c>
      <c r="AN39" s="1" t="str">
        <f t="shared" ref="AN39" si="2478">IF(MarBoo1LevelCurrent&gt;=$B39,"-",IF(MarBoo1LevelDesired&lt;$B39,"-",$D39))</f>
        <v>-</v>
      </c>
      <c r="AO39" s="21" t="str">
        <f t="shared" ref="AO39" si="2479">IF(MarBoo1LevelCurrent&gt;=$B39,"-",IF(MarBoo1LevelDesired&lt;$B39,"-",$E39))</f>
        <v>-</v>
      </c>
      <c r="AP39" s="15" t="str">
        <f t="shared" ref="AP39" si="2480">IF(InfGog2LevelCurrent&gt;=$B39,"-",IF(InfGog2LevelDesired&lt;$B39,"-",$C39))</f>
        <v>-</v>
      </c>
      <c r="AQ39" s="1" t="str">
        <f t="shared" ref="AQ39" si="2481">IF(InfGog2LevelCurrent&gt;=$B39,"-",IF(InfGog2LevelDesired&lt;$B39,"-",$D39))</f>
        <v>-</v>
      </c>
      <c r="AR39" s="21" t="str">
        <f t="shared" ref="AR39" si="2482">IF(InfGog2LevelCurrent&gt;=$B39,"-",IF(InfGog2LevelDesired&lt;$B39,"-",$E39))</f>
        <v>-</v>
      </c>
      <c r="AS39" s="15" t="str">
        <f t="shared" ref="AS39" si="2483">IF(InfGlo2LevelCurrent&gt;=$B39,"-",IF(InfGlo2LevelDesired&lt;$B39,"-",$C39))</f>
        <v>-</v>
      </c>
      <c r="AT39" s="1" t="str">
        <f t="shared" ref="AT39" si="2484">IF(InfGlo2LevelCurrent&gt;=$B39,"-",IF(InfGlo2LevelDesired&lt;$B39,"-",$D39))</f>
        <v>-</v>
      </c>
      <c r="AU39" s="21" t="str">
        <f t="shared" ref="AU39" si="2485">IF(InfGlo2LevelCurrent&gt;=$B39,"-",IF(InfGlo2LevelDesired&lt;$B39,"-",$E39))</f>
        <v>-</v>
      </c>
      <c r="AV39" s="15" t="str">
        <f t="shared" ref="AV39" si="2486">IF(InfBel2LevelCurrent&gt;=$B39,"-",IF(InfBel2LevelDesired&lt;$B39,"-",$C39))</f>
        <v>-</v>
      </c>
      <c r="AW39" s="1" t="str">
        <f t="shared" ref="AW39" si="2487">IF(InfBel2LevelCurrent&gt;=$B39,"-",IF(InfBel2LevelDesired&lt;$B39,"-",$D39))</f>
        <v>-</v>
      </c>
      <c r="AX39" s="21" t="str">
        <f t="shared" ref="AX39" si="2488">IF(InfBel2LevelCurrent&gt;=$B39,"-",IF(InfBel2LevelDesired&lt;$B39,"-",$E39))</f>
        <v>-</v>
      </c>
      <c r="AY39" s="15" t="str">
        <f t="shared" ref="AY39" si="2489">IF(InfBoo2LevelCurrent&gt;=$B39,"-",IF(InfBoo2LevelDesired&lt;$B39,"-",$C39))</f>
        <v>-</v>
      </c>
      <c r="AZ39" s="1" t="str">
        <f t="shared" ref="AZ39" si="2490">IF(InfBoo2LevelCurrent&gt;=$B39,"-",IF(InfBoo2LevelDesired&lt;$B39,"-",$D39))</f>
        <v>-</v>
      </c>
      <c r="BA39" s="21" t="str">
        <f t="shared" ref="BA39" si="2491">IF(InfBoo2LevelCurrent&gt;=$B39,"-",IF(InfBoo2LevelDesired&lt;$B39,"-",$E39))</f>
        <v>-</v>
      </c>
      <c r="BB39" s="15" t="str">
        <f t="shared" ref="BB39" si="2492">IF(LanGog2LevelCurrent&gt;=$B39,"-",IF(LanGog2LevelDesired&lt;$B39,"-",$C39))</f>
        <v>-</v>
      </c>
      <c r="BC39" s="1" t="str">
        <f t="shared" ref="BC39" si="2493">IF(LanGog2LevelCurrent&gt;=$B39,"-",IF(LanGog2LevelDesired&lt;$B39,"-",$D39))</f>
        <v>-</v>
      </c>
      <c r="BD39" s="21" t="str">
        <f t="shared" ref="BD39" si="2494">IF(LanGog2LevelCurrent&gt;=$B39,"-",IF(LanGog2LevelDesired&lt;$B39,"-",$E39))</f>
        <v>-</v>
      </c>
      <c r="BE39" s="15" t="str">
        <f t="shared" ref="BE39" si="2495">IF(LanGlo2LevelCurrent&gt;=$B39,"-",IF(LanGlo2LevelDesired&lt;$B39,"-",$C39))</f>
        <v>-</v>
      </c>
      <c r="BF39" s="1" t="str">
        <f t="shared" ref="BF39" si="2496">IF(LanGlo2LevelCurrent&gt;=$B39,"-",IF(LanGlo2LevelDesired&lt;$B39,"-",$D39))</f>
        <v>-</v>
      </c>
      <c r="BG39" s="21" t="str">
        <f t="shared" ref="BG39" si="2497">IF(LanGlo2LevelCurrent&gt;=$B39,"-",IF(LanGlo2LevelDesired&lt;$B39,"-",$E39))</f>
        <v>-</v>
      </c>
      <c r="BH39" s="15" t="str">
        <f t="shared" ref="BH39" si="2498">IF(LanBel2LevelCurrent&gt;=$B39,"-",IF(LanBel2LevelDesired&lt;$B39,"-",$C39))</f>
        <v>-</v>
      </c>
      <c r="BI39" s="1" t="str">
        <f t="shared" ref="BI39" si="2499">IF(LanBel2LevelCurrent&gt;=$B39,"-",IF(LanBel2LevelDesired&lt;$B39,"-",$D39))</f>
        <v>-</v>
      </c>
      <c r="BJ39" s="21" t="str">
        <f t="shared" ref="BJ39" si="2500">IF(LanBel2LevelCurrent&gt;=$B39,"-",IF(LanBel2LevelDesired&lt;$B39,"-",$E39))</f>
        <v>-</v>
      </c>
      <c r="BK39" s="15" t="str">
        <f t="shared" ref="BK39" si="2501">IF(LanBoo2LevelCurrent&gt;=$B39,"-",IF(LanBoo2LevelDesired&lt;$B39,"-",$C39))</f>
        <v>-</v>
      </c>
      <c r="BL39" s="1" t="str">
        <f t="shared" ref="BL39" si="2502">IF(LanBoo2LevelCurrent&gt;=$B39,"-",IF(LanBoo2LevelDesired&lt;$B39,"-",$D39))</f>
        <v>-</v>
      </c>
      <c r="BM39" s="21" t="str">
        <f t="shared" ref="BM39" si="2503">IF(LanBoo2LevelCurrent&gt;=$B39,"-",IF(LanBoo2LevelDesired&lt;$B39,"-",$E39))</f>
        <v>-</v>
      </c>
      <c r="BN39" s="15" t="str">
        <f t="shared" ref="BN39" si="2504">IF(MarGog2LevelCurrent&gt;=$B39,"-",IF(MarGog2LevelDesired&lt;$B39,"-",$C39))</f>
        <v>-</v>
      </c>
      <c r="BO39" s="1" t="str">
        <f t="shared" ref="BO39" si="2505">IF(MarGog2LevelCurrent&gt;=$B39,"-",IF(MarGog2LevelDesired&lt;$B39,"-",$D39))</f>
        <v>-</v>
      </c>
      <c r="BP39" s="21" t="str">
        <f t="shared" ref="BP39" si="2506">IF(MarGog2LevelCurrent&gt;=$B39,"-",IF(MarGog2LevelDesired&lt;$B39,"-",$E39))</f>
        <v>-</v>
      </c>
      <c r="BQ39" s="15" t="str">
        <f t="shared" ref="BQ39" si="2507">IF(MarGlo2LevelCurrent&gt;=$B39,"-",IF(MarGlo2LevelDesired&lt;$B39,"-",$C39))</f>
        <v>-</v>
      </c>
      <c r="BR39" s="1" t="str">
        <f t="shared" ref="BR39" si="2508">IF(MarGlo2LevelCurrent&gt;=$B39,"-",IF(MarGlo2LevelDesired&lt;$B39,"-",$D39))</f>
        <v>-</v>
      </c>
      <c r="BS39" s="21" t="str">
        <f t="shared" ref="BS39" si="2509">IF(MarGlo2LevelCurrent&gt;=$B39,"-",IF(MarGlo2LevelDesired&lt;$B39,"-",$E39))</f>
        <v>-</v>
      </c>
      <c r="BT39" s="15" t="str">
        <f t="shared" ref="BT39" si="2510">IF(MarBel2LevelCurrent&gt;=$B39,"-",IF(MarBel2LevelDesired&lt;$B39,"-",$C39))</f>
        <v>-</v>
      </c>
      <c r="BU39" s="1" t="str">
        <f t="shared" ref="BU39" si="2511">IF(MarBel2LevelCurrent&gt;=$B39,"-",IF(MarBel2LevelDesired&lt;$B39,"-",$D39))</f>
        <v>-</v>
      </c>
      <c r="BV39" s="21" t="str">
        <f t="shared" ref="BV39" si="2512">IF(MarBel2LevelCurrent&gt;=$B39,"-",IF(MarBel2LevelDesired&lt;$B39,"-",$E39))</f>
        <v>-</v>
      </c>
      <c r="BW39" s="15" t="str">
        <f t="shared" ref="BW39" si="2513">IF(MarBoo2LevelCurrent&gt;=$B39,"-",IF(MarBoo2LevelDesired&lt;$B39,"-",$C39))</f>
        <v>-</v>
      </c>
      <c r="BX39" s="1" t="str">
        <f t="shared" ref="BX39" si="2514">IF(MarBoo2LevelCurrent&gt;=$B39,"-",IF(MarBoo2LevelDesired&lt;$B39,"-",$D39))</f>
        <v>-</v>
      </c>
      <c r="BY39" s="21" t="str">
        <f t="shared" ref="BY39" si="2515">IF(MarBoo2LevelCurrent&gt;=$B39,"-",IF(MarBoo2LevelDesired&lt;$B39,"-",$E39))</f>
        <v>-</v>
      </c>
      <c r="BZ39" s="15" t="str">
        <f t="shared" si="2410"/>
        <v>-</v>
      </c>
      <c r="CA39" s="1" t="str" cm="1">
        <f t="array" ref="CA39">IF(InfGog3LevelCurrent&gt;=$B39,"-",IF(InfGog3LevelDesired&lt;$B39,"-",$D39))</f>
        <v>-</v>
      </c>
      <c r="CB39" s="21" t="str" cm="1">
        <f t="array" ref="CB39">IF(InfGog3LevelCurrent&gt;=$B39,"-",IF(InfGog3LevelDesired&lt;$B39,"-",$E39))</f>
        <v>-</v>
      </c>
      <c r="CC39" s="15" t="str">
        <f t="shared" si="2411"/>
        <v>-</v>
      </c>
      <c r="CD39" s="1" t="str">
        <f t="shared" si="2412"/>
        <v>-</v>
      </c>
      <c r="CE39" s="21" t="str">
        <f t="shared" si="2413"/>
        <v>-</v>
      </c>
      <c r="CF39" s="15" t="str">
        <f t="shared" si="2414"/>
        <v>-</v>
      </c>
      <c r="CG39" s="1" t="str">
        <f t="shared" si="2415"/>
        <v>-</v>
      </c>
      <c r="CH39" s="21" t="str">
        <f t="shared" si="2416"/>
        <v>-</v>
      </c>
      <c r="CI39" s="15" t="str">
        <f t="shared" si="2417"/>
        <v>-</v>
      </c>
      <c r="CJ39" s="1" t="str">
        <f t="shared" si="2418"/>
        <v>-</v>
      </c>
      <c r="CK39" s="21" t="str">
        <f t="shared" si="2419"/>
        <v>-</v>
      </c>
      <c r="CL39" s="15" t="str">
        <f t="shared" si="2420"/>
        <v>-</v>
      </c>
      <c r="CM39" s="1" t="str">
        <f t="shared" si="2421"/>
        <v>-</v>
      </c>
      <c r="CN39" s="21" t="str">
        <f t="shared" si="2422"/>
        <v>-</v>
      </c>
      <c r="CO39" s="15" t="str">
        <f t="shared" si="2423"/>
        <v>-</v>
      </c>
      <c r="CP39" s="1" t="str">
        <f t="shared" si="2424"/>
        <v>-</v>
      </c>
      <c r="CQ39" s="21" t="str">
        <f t="shared" si="2425"/>
        <v>-</v>
      </c>
      <c r="CR39" s="15" t="str">
        <f t="shared" si="2426"/>
        <v>-</v>
      </c>
      <c r="CS39" s="1" t="str">
        <f t="shared" si="2427"/>
        <v>-</v>
      </c>
      <c r="CT39" s="21" t="str">
        <f t="shared" si="2428"/>
        <v>-</v>
      </c>
      <c r="CU39" s="15" t="str">
        <f t="shared" si="2429"/>
        <v>-</v>
      </c>
      <c r="CV39" s="1" t="str">
        <f t="shared" si="2430"/>
        <v>-</v>
      </c>
      <c r="CW39" s="21" t="str">
        <f t="shared" si="2431"/>
        <v>-</v>
      </c>
      <c r="CX39" s="15" t="str">
        <f t="shared" si="2432"/>
        <v>-</v>
      </c>
      <c r="CY39" s="1" t="str">
        <f t="shared" si="2433"/>
        <v>-</v>
      </c>
      <c r="CZ39" s="21" t="str">
        <f t="shared" si="2434"/>
        <v>-</v>
      </c>
      <c r="DA39" s="15" t="str">
        <f t="shared" si="2435"/>
        <v>-</v>
      </c>
      <c r="DB39" s="1" t="str">
        <f t="shared" si="2436"/>
        <v>-</v>
      </c>
      <c r="DC39" s="21" t="str">
        <f t="shared" si="2437"/>
        <v>-</v>
      </c>
      <c r="DD39" s="15" t="str">
        <f t="shared" si="2438"/>
        <v>-</v>
      </c>
      <c r="DE39" s="1" t="str">
        <f t="shared" si="2439"/>
        <v>-</v>
      </c>
      <c r="DF39" s="21" t="str">
        <f t="shared" si="2440"/>
        <v>-</v>
      </c>
      <c r="DG39" s="15" t="str">
        <f t="shared" si="2441"/>
        <v>-</v>
      </c>
      <c r="DH39" s="1" t="str">
        <f t="shared" si="2442"/>
        <v>-</v>
      </c>
      <c r="DI39" s="21" t="str">
        <f t="shared" si="2443"/>
        <v>-</v>
      </c>
    </row>
    <row r="40" spans="2:113" x14ac:dyDescent="0.3">
      <c r="B40" s="1">
        <v>35</v>
      </c>
      <c r="C40" s="67">
        <v>210</v>
      </c>
      <c r="D40" s="88" t="s">
        <v>27</v>
      </c>
      <c r="E40" s="21" t="s">
        <v>27</v>
      </c>
      <c r="F40" s="15" t="str">
        <f t="shared" ref="F40" si="2516">IF(InfGog1LevelCurrent&gt;=$B40,"-",IF(InfGog1LevelDesired&lt;$B40,"-",$C40))</f>
        <v>-</v>
      </c>
      <c r="G40" s="1" t="str">
        <f t="shared" ref="G40" si="2517">IF(InfGog1LevelCurrent&gt;=$B40,"-",IF(InfGog1LevelDesired&lt;$B40,"-",$D40))</f>
        <v>-</v>
      </c>
      <c r="H40" s="21" t="str">
        <f t="shared" ref="H40" si="2518">IF(InfGog1LevelCurrent&gt;=$B40,"-",IF(InfGog1LevelDesired&lt;$B40,"-",$E40))</f>
        <v>-</v>
      </c>
      <c r="I40" s="15" t="str">
        <f t="shared" ref="I40" si="2519">IF(InfGlo1LevelCurrent&gt;=$B40,"-",IF(InfGlo1LevelDesired&lt;$B40,"-",$C40))</f>
        <v>-</v>
      </c>
      <c r="J40" s="1" t="str">
        <f t="shared" ref="J40" si="2520">IF(InfGlo1LevelCurrent&gt;=$B40,"-",IF(InfGlo1LevelDesired&lt;$B40,"-",$D40))</f>
        <v>-</v>
      </c>
      <c r="K40" s="21" t="str">
        <f t="shared" ref="K40" si="2521">IF(InfGlo1LevelCurrent&gt;=$B40,"-",IF(InfGlo1LevelDesired&lt;$B40,"-",$E40))</f>
        <v>-</v>
      </c>
      <c r="L40" s="15" t="str">
        <f t="shared" ref="L40" si="2522">IF(InfBel1LevelCurrent&gt;=$B40,"-",IF(InfBel1LevelDesired&lt;$B40,"-",$C40))</f>
        <v>-</v>
      </c>
      <c r="M40" s="1" t="str">
        <f t="shared" ref="M40" si="2523">IF(InfBel1LevelCurrent&gt;=$B40,"-",IF(InfBel1LevelDesired&lt;$B40,"-",$D40))</f>
        <v>-</v>
      </c>
      <c r="N40" s="21" t="str">
        <f t="shared" ref="N40" si="2524">IF(InfBel1LevelCurrent&gt;=$B40,"-",IF(InfBel1LevelDesired&lt;$B40,"-",$E40))</f>
        <v>-</v>
      </c>
      <c r="O40" s="15" t="str">
        <f t="shared" ref="O40" si="2525">IF(InfBoo1LevelCurrent&gt;=$B40,"-",IF(InfBoo1LevelDesired&lt;$B40,"-",$C40))</f>
        <v>-</v>
      </c>
      <c r="P40" s="1" t="str">
        <f t="shared" ref="P40" si="2526">IF(InfBoo1LevelCurrent&gt;=$B40,"-",IF(InfBoo1LevelDesired&lt;$B40,"-",$D40))</f>
        <v>-</v>
      </c>
      <c r="Q40" s="21" t="str">
        <f t="shared" ref="Q40" si="2527">IF(InfBoo1LevelCurrent&gt;=$B40,"-",IF(InfBoo1LevelDesired&lt;$B40,"-",$E40))</f>
        <v>-</v>
      </c>
      <c r="R40" s="15" t="str">
        <f t="shared" ref="R40" si="2528">IF(LanGog1LevelCurrent&gt;=$B40,"-",IF(LanGog1LevelDesired&lt;$B40,"-",$C40))</f>
        <v>-</v>
      </c>
      <c r="S40" s="1" t="str">
        <f t="shared" ref="S40" si="2529">IF(LanGog1LevelCurrent&gt;=$B40,"-",IF(LanGog1LevelDesired&lt;$B40,"-",$D40))</f>
        <v>-</v>
      </c>
      <c r="T40" s="21" t="str">
        <f t="shared" ref="T40" si="2530">IF(LanGog1LevelCurrent&gt;=$B40,"-",IF(LanGog1LevelDesired&lt;$B40,"-",$E40))</f>
        <v>-</v>
      </c>
      <c r="U40" s="15" t="str">
        <f t="shared" ref="U40" si="2531">IF(LanGlo1LevelCurrent&gt;=$B40,"-",IF(LanGlo1LevelDesired&lt;$B40,"-",$C40))</f>
        <v>-</v>
      </c>
      <c r="V40" s="1" t="str">
        <f t="shared" ref="V40" si="2532">IF(LanGlo1LevelCurrent&gt;=$B40,"-",IF(LanGlo1LevelDesired&lt;$B40,"-",$D40))</f>
        <v>-</v>
      </c>
      <c r="W40" s="21" t="str">
        <f t="shared" ref="W40" si="2533">IF(LanGlo1LevelCurrent&gt;=$B40,"-",IF(LanGlo1LevelDesired&lt;$B40,"-",$E40))</f>
        <v>-</v>
      </c>
      <c r="X40" s="15" t="str">
        <f t="shared" ref="X40" si="2534">IF(LanBel1LevelCurrent&gt;=$B40,"-",IF(LanBel1LevelDesired&lt;$B40,"-",$C40))</f>
        <v>-</v>
      </c>
      <c r="Y40" s="1" t="str">
        <f t="shared" ref="Y40" si="2535">IF(LanBel1LevelCurrent&gt;=$B40,"-",IF(LanBel1LevelDesired&lt;$B40,"-",$D40))</f>
        <v>-</v>
      </c>
      <c r="Z40" s="21" t="str">
        <f t="shared" ref="Z40" si="2536">IF(LanBel1LevelCurrent&gt;=$B40,"-",IF(LanBel1LevelDesired&lt;$B40,"-",$E40))</f>
        <v>-</v>
      </c>
      <c r="AA40" s="15" t="str">
        <f t="shared" ref="AA40" si="2537">IF(LanBoo1LevelCurrent&gt;=$B40,"-",IF(LanBoo1LevelDesired&lt;$B40,"-",$C40))</f>
        <v>-</v>
      </c>
      <c r="AB40" s="1" t="str">
        <f t="shared" ref="AB40" si="2538">IF(LanBoo1LevelCurrent&gt;=$B40,"-",IF(LanBoo1LevelDesired&lt;$B40,"-",$D40))</f>
        <v>-</v>
      </c>
      <c r="AC40" s="21" t="str">
        <f t="shared" ref="AC40" si="2539">IF(LanBoo1LevelCurrent&gt;=$B40,"-",IF(LanBoo1LevelDesired&lt;$B40,"-",$E40))</f>
        <v>-</v>
      </c>
      <c r="AD40" s="15" t="str">
        <f t="shared" ref="AD40" si="2540">IF(MarGog1LevelCurrent&gt;=$B40,"-",IF(MarGog1LevelDesired&lt;$B40,"-",$C40))</f>
        <v>-</v>
      </c>
      <c r="AE40" s="1" t="str">
        <f t="shared" ref="AE40" si="2541">IF(MarGog1LevelCurrent&gt;=$B40,"-",IF(MarGog1LevelDesired&lt;$B40,"-",$D40))</f>
        <v>-</v>
      </c>
      <c r="AF40" s="21" t="str">
        <f t="shared" ref="AF40" si="2542">IF(MarGog1LevelCurrent&gt;=$B40,"-",IF(MarGog1LevelDesired&lt;$B40,"-",$E40))</f>
        <v>-</v>
      </c>
      <c r="AG40" s="15" t="str">
        <f t="shared" ref="AG40" si="2543">IF(MarGlo1LevelCurrent&gt;=$B40,"-",IF(MarGlo1LevelDesired&lt;$B40,"-",$C40))</f>
        <v>-</v>
      </c>
      <c r="AH40" s="1" t="str">
        <f t="shared" ref="AH40" si="2544">IF(MarGlo1LevelCurrent&gt;=$B40,"-",IF(MarGlo1LevelDesired&lt;$B40,"-",$D40))</f>
        <v>-</v>
      </c>
      <c r="AI40" s="21" t="str">
        <f t="shared" ref="AI40" si="2545">IF(MarGlo1LevelCurrent&gt;=$B40,"-",IF(MarGlo1LevelDesired&lt;$B40,"-",$E40))</f>
        <v>-</v>
      </c>
      <c r="AJ40" s="15" t="str">
        <f t="shared" ref="AJ40" si="2546">IF(MarBel1LevelCurrent&gt;=$B40,"-",IF(MarBel1LevelDesired&lt;$B40,"-",$C40))</f>
        <v>-</v>
      </c>
      <c r="AK40" s="1" t="str">
        <f t="shared" ref="AK40" si="2547">IF(MarBel1LevelCurrent&gt;=$B40,"-",IF(MarBel1LevelDesired&lt;$B40,"-",$D40))</f>
        <v>-</v>
      </c>
      <c r="AL40" s="21" t="str">
        <f t="shared" ref="AL40" si="2548">IF(MarBel1LevelCurrent&gt;=$B40,"-",IF(MarBel1LevelDesired&lt;$B40,"-",$E40))</f>
        <v>-</v>
      </c>
      <c r="AM40" s="15" t="str">
        <f t="shared" ref="AM40" si="2549">IF(MarBoo1LevelCurrent&gt;=$B40,"-",IF(MarBoo1LevelDesired&lt;$B40,"-",$C40))</f>
        <v>-</v>
      </c>
      <c r="AN40" s="1" t="str">
        <f t="shared" ref="AN40" si="2550">IF(MarBoo1LevelCurrent&gt;=$B40,"-",IF(MarBoo1LevelDesired&lt;$B40,"-",$D40))</f>
        <v>-</v>
      </c>
      <c r="AO40" s="21" t="str">
        <f t="shared" ref="AO40" si="2551">IF(MarBoo1LevelCurrent&gt;=$B40,"-",IF(MarBoo1LevelDesired&lt;$B40,"-",$E40))</f>
        <v>-</v>
      </c>
      <c r="AP40" s="15" t="str">
        <f t="shared" ref="AP40" si="2552">IF(InfGog2LevelCurrent&gt;=$B40,"-",IF(InfGog2LevelDesired&lt;$B40,"-",$C40))</f>
        <v>-</v>
      </c>
      <c r="AQ40" s="1" t="str">
        <f t="shared" ref="AQ40" si="2553">IF(InfGog2LevelCurrent&gt;=$B40,"-",IF(InfGog2LevelDesired&lt;$B40,"-",$D40))</f>
        <v>-</v>
      </c>
      <c r="AR40" s="21" t="str">
        <f t="shared" ref="AR40" si="2554">IF(InfGog2LevelCurrent&gt;=$B40,"-",IF(InfGog2LevelDesired&lt;$B40,"-",$E40))</f>
        <v>-</v>
      </c>
      <c r="AS40" s="15" t="str">
        <f t="shared" ref="AS40" si="2555">IF(InfGlo2LevelCurrent&gt;=$B40,"-",IF(InfGlo2LevelDesired&lt;$B40,"-",$C40))</f>
        <v>-</v>
      </c>
      <c r="AT40" s="1" t="str">
        <f t="shared" ref="AT40" si="2556">IF(InfGlo2LevelCurrent&gt;=$B40,"-",IF(InfGlo2LevelDesired&lt;$B40,"-",$D40))</f>
        <v>-</v>
      </c>
      <c r="AU40" s="21" t="str">
        <f t="shared" ref="AU40" si="2557">IF(InfGlo2LevelCurrent&gt;=$B40,"-",IF(InfGlo2LevelDesired&lt;$B40,"-",$E40))</f>
        <v>-</v>
      </c>
      <c r="AV40" s="15" t="str">
        <f t="shared" ref="AV40" si="2558">IF(InfBel2LevelCurrent&gt;=$B40,"-",IF(InfBel2LevelDesired&lt;$B40,"-",$C40))</f>
        <v>-</v>
      </c>
      <c r="AW40" s="1" t="str">
        <f t="shared" ref="AW40" si="2559">IF(InfBel2LevelCurrent&gt;=$B40,"-",IF(InfBel2LevelDesired&lt;$B40,"-",$D40))</f>
        <v>-</v>
      </c>
      <c r="AX40" s="21" t="str">
        <f t="shared" ref="AX40" si="2560">IF(InfBel2LevelCurrent&gt;=$B40,"-",IF(InfBel2LevelDesired&lt;$B40,"-",$E40))</f>
        <v>-</v>
      </c>
      <c r="AY40" s="15" t="str">
        <f t="shared" ref="AY40" si="2561">IF(InfBoo2LevelCurrent&gt;=$B40,"-",IF(InfBoo2LevelDesired&lt;$B40,"-",$C40))</f>
        <v>-</v>
      </c>
      <c r="AZ40" s="1" t="str">
        <f t="shared" ref="AZ40" si="2562">IF(InfBoo2LevelCurrent&gt;=$B40,"-",IF(InfBoo2LevelDesired&lt;$B40,"-",$D40))</f>
        <v>-</v>
      </c>
      <c r="BA40" s="21" t="str">
        <f t="shared" ref="BA40" si="2563">IF(InfBoo2LevelCurrent&gt;=$B40,"-",IF(InfBoo2LevelDesired&lt;$B40,"-",$E40))</f>
        <v>-</v>
      </c>
      <c r="BB40" s="15" t="str">
        <f t="shared" ref="BB40" si="2564">IF(LanGog2LevelCurrent&gt;=$B40,"-",IF(LanGog2LevelDesired&lt;$B40,"-",$C40))</f>
        <v>-</v>
      </c>
      <c r="BC40" s="1" t="str">
        <f t="shared" ref="BC40" si="2565">IF(LanGog2LevelCurrent&gt;=$B40,"-",IF(LanGog2LevelDesired&lt;$B40,"-",$D40))</f>
        <v>-</v>
      </c>
      <c r="BD40" s="21" t="str">
        <f t="shared" ref="BD40" si="2566">IF(LanGog2LevelCurrent&gt;=$B40,"-",IF(LanGog2LevelDesired&lt;$B40,"-",$E40))</f>
        <v>-</v>
      </c>
      <c r="BE40" s="15" t="str">
        <f t="shared" ref="BE40" si="2567">IF(LanGlo2LevelCurrent&gt;=$B40,"-",IF(LanGlo2LevelDesired&lt;$B40,"-",$C40))</f>
        <v>-</v>
      </c>
      <c r="BF40" s="1" t="str">
        <f t="shared" ref="BF40" si="2568">IF(LanGlo2LevelCurrent&gt;=$B40,"-",IF(LanGlo2LevelDesired&lt;$B40,"-",$D40))</f>
        <v>-</v>
      </c>
      <c r="BG40" s="21" t="str">
        <f t="shared" ref="BG40" si="2569">IF(LanGlo2LevelCurrent&gt;=$B40,"-",IF(LanGlo2LevelDesired&lt;$B40,"-",$E40))</f>
        <v>-</v>
      </c>
      <c r="BH40" s="15" t="str">
        <f t="shared" ref="BH40" si="2570">IF(LanBel2LevelCurrent&gt;=$B40,"-",IF(LanBel2LevelDesired&lt;$B40,"-",$C40))</f>
        <v>-</v>
      </c>
      <c r="BI40" s="1" t="str">
        <f t="shared" ref="BI40" si="2571">IF(LanBel2LevelCurrent&gt;=$B40,"-",IF(LanBel2LevelDesired&lt;$B40,"-",$D40))</f>
        <v>-</v>
      </c>
      <c r="BJ40" s="21" t="str">
        <f t="shared" ref="BJ40" si="2572">IF(LanBel2LevelCurrent&gt;=$B40,"-",IF(LanBel2LevelDesired&lt;$B40,"-",$E40))</f>
        <v>-</v>
      </c>
      <c r="BK40" s="15" t="str">
        <f t="shared" ref="BK40" si="2573">IF(LanBoo2LevelCurrent&gt;=$B40,"-",IF(LanBoo2LevelDesired&lt;$B40,"-",$C40))</f>
        <v>-</v>
      </c>
      <c r="BL40" s="1" t="str">
        <f t="shared" ref="BL40" si="2574">IF(LanBoo2LevelCurrent&gt;=$B40,"-",IF(LanBoo2LevelDesired&lt;$B40,"-",$D40))</f>
        <v>-</v>
      </c>
      <c r="BM40" s="21" t="str">
        <f t="shared" ref="BM40" si="2575">IF(LanBoo2LevelCurrent&gt;=$B40,"-",IF(LanBoo2LevelDesired&lt;$B40,"-",$E40))</f>
        <v>-</v>
      </c>
      <c r="BN40" s="15" t="str">
        <f t="shared" ref="BN40" si="2576">IF(MarGog2LevelCurrent&gt;=$B40,"-",IF(MarGog2LevelDesired&lt;$B40,"-",$C40))</f>
        <v>-</v>
      </c>
      <c r="BO40" s="1" t="str">
        <f t="shared" ref="BO40" si="2577">IF(MarGog2LevelCurrent&gt;=$B40,"-",IF(MarGog2LevelDesired&lt;$B40,"-",$D40))</f>
        <v>-</v>
      </c>
      <c r="BP40" s="21" t="str">
        <f t="shared" ref="BP40" si="2578">IF(MarGog2LevelCurrent&gt;=$B40,"-",IF(MarGog2LevelDesired&lt;$B40,"-",$E40))</f>
        <v>-</v>
      </c>
      <c r="BQ40" s="15" t="str">
        <f t="shared" ref="BQ40" si="2579">IF(MarGlo2LevelCurrent&gt;=$B40,"-",IF(MarGlo2LevelDesired&lt;$B40,"-",$C40))</f>
        <v>-</v>
      </c>
      <c r="BR40" s="1" t="str">
        <f t="shared" ref="BR40" si="2580">IF(MarGlo2LevelCurrent&gt;=$B40,"-",IF(MarGlo2LevelDesired&lt;$B40,"-",$D40))</f>
        <v>-</v>
      </c>
      <c r="BS40" s="21" t="str">
        <f t="shared" ref="BS40" si="2581">IF(MarGlo2LevelCurrent&gt;=$B40,"-",IF(MarGlo2LevelDesired&lt;$B40,"-",$E40))</f>
        <v>-</v>
      </c>
      <c r="BT40" s="15" t="str">
        <f t="shared" ref="BT40" si="2582">IF(MarBel2LevelCurrent&gt;=$B40,"-",IF(MarBel2LevelDesired&lt;$B40,"-",$C40))</f>
        <v>-</v>
      </c>
      <c r="BU40" s="1" t="str">
        <f t="shared" ref="BU40" si="2583">IF(MarBel2LevelCurrent&gt;=$B40,"-",IF(MarBel2LevelDesired&lt;$B40,"-",$D40))</f>
        <v>-</v>
      </c>
      <c r="BV40" s="21" t="str">
        <f t="shared" ref="BV40" si="2584">IF(MarBel2LevelCurrent&gt;=$B40,"-",IF(MarBel2LevelDesired&lt;$B40,"-",$E40))</f>
        <v>-</v>
      </c>
      <c r="BW40" s="15" t="str">
        <f t="shared" ref="BW40" si="2585">IF(MarBoo2LevelCurrent&gt;=$B40,"-",IF(MarBoo2LevelDesired&lt;$B40,"-",$C40))</f>
        <v>-</v>
      </c>
      <c r="BX40" s="1" t="str">
        <f t="shared" ref="BX40" si="2586">IF(MarBoo2LevelCurrent&gt;=$B40,"-",IF(MarBoo2LevelDesired&lt;$B40,"-",$D40))</f>
        <v>-</v>
      </c>
      <c r="BY40" s="21" t="str">
        <f t="shared" ref="BY40" si="2587">IF(MarBoo2LevelCurrent&gt;=$B40,"-",IF(MarBoo2LevelDesired&lt;$B40,"-",$E40))</f>
        <v>-</v>
      </c>
      <c r="BZ40" s="15" t="str">
        <f t="shared" si="2410"/>
        <v>-</v>
      </c>
      <c r="CA40" s="1" t="str" cm="1">
        <f t="array" ref="CA40">IF(InfGog3LevelCurrent&gt;=$B40,"-",IF(InfGog3LevelDesired&lt;$B40,"-",$D40))</f>
        <v>-</v>
      </c>
      <c r="CB40" s="21" t="str" cm="1">
        <f t="array" ref="CB40">IF(InfGog3LevelCurrent&gt;=$B40,"-",IF(InfGog3LevelDesired&lt;$B40,"-",$E40))</f>
        <v>-</v>
      </c>
      <c r="CC40" s="15" t="str">
        <f t="shared" si="2411"/>
        <v>-</v>
      </c>
      <c r="CD40" s="1" t="str">
        <f t="shared" si="2412"/>
        <v>-</v>
      </c>
      <c r="CE40" s="21" t="str">
        <f t="shared" si="2413"/>
        <v>-</v>
      </c>
      <c r="CF40" s="15" t="str">
        <f t="shared" si="2414"/>
        <v>-</v>
      </c>
      <c r="CG40" s="1" t="str">
        <f t="shared" si="2415"/>
        <v>-</v>
      </c>
      <c r="CH40" s="21" t="str">
        <f t="shared" si="2416"/>
        <v>-</v>
      </c>
      <c r="CI40" s="15" t="str">
        <f t="shared" si="2417"/>
        <v>-</v>
      </c>
      <c r="CJ40" s="1" t="str">
        <f t="shared" si="2418"/>
        <v>-</v>
      </c>
      <c r="CK40" s="21" t="str">
        <f t="shared" si="2419"/>
        <v>-</v>
      </c>
      <c r="CL40" s="15" t="str">
        <f t="shared" si="2420"/>
        <v>-</v>
      </c>
      <c r="CM40" s="1" t="str">
        <f t="shared" si="2421"/>
        <v>-</v>
      </c>
      <c r="CN40" s="21" t="str">
        <f t="shared" si="2422"/>
        <v>-</v>
      </c>
      <c r="CO40" s="15" t="str">
        <f t="shared" si="2423"/>
        <v>-</v>
      </c>
      <c r="CP40" s="1" t="str">
        <f t="shared" si="2424"/>
        <v>-</v>
      </c>
      <c r="CQ40" s="21" t="str">
        <f t="shared" si="2425"/>
        <v>-</v>
      </c>
      <c r="CR40" s="15" t="str">
        <f t="shared" si="2426"/>
        <v>-</v>
      </c>
      <c r="CS40" s="1" t="str">
        <f t="shared" si="2427"/>
        <v>-</v>
      </c>
      <c r="CT40" s="21" t="str">
        <f t="shared" si="2428"/>
        <v>-</v>
      </c>
      <c r="CU40" s="15" t="str">
        <f t="shared" si="2429"/>
        <v>-</v>
      </c>
      <c r="CV40" s="1" t="str">
        <f t="shared" si="2430"/>
        <v>-</v>
      </c>
      <c r="CW40" s="21" t="str">
        <f t="shared" si="2431"/>
        <v>-</v>
      </c>
      <c r="CX40" s="15" t="str">
        <f t="shared" si="2432"/>
        <v>-</v>
      </c>
      <c r="CY40" s="1" t="str">
        <f t="shared" si="2433"/>
        <v>-</v>
      </c>
      <c r="CZ40" s="21" t="str">
        <f t="shared" si="2434"/>
        <v>-</v>
      </c>
      <c r="DA40" s="15" t="str">
        <f t="shared" si="2435"/>
        <v>-</v>
      </c>
      <c r="DB40" s="1" t="str">
        <f t="shared" si="2436"/>
        <v>-</v>
      </c>
      <c r="DC40" s="21" t="str">
        <f t="shared" si="2437"/>
        <v>-</v>
      </c>
      <c r="DD40" s="15" t="str">
        <f t="shared" si="2438"/>
        <v>-</v>
      </c>
      <c r="DE40" s="1" t="str">
        <f t="shared" si="2439"/>
        <v>-</v>
      </c>
      <c r="DF40" s="21" t="str">
        <f t="shared" si="2440"/>
        <v>-</v>
      </c>
      <c r="DG40" s="15" t="str">
        <f t="shared" si="2441"/>
        <v>-</v>
      </c>
      <c r="DH40" s="1" t="str">
        <f t="shared" si="2442"/>
        <v>-</v>
      </c>
      <c r="DI40" s="21" t="str">
        <f t="shared" si="2443"/>
        <v>-</v>
      </c>
    </row>
    <row r="41" spans="2:113" x14ac:dyDescent="0.3">
      <c r="B41" s="1">
        <v>36</v>
      </c>
      <c r="C41" s="67">
        <v>220</v>
      </c>
      <c r="D41" s="88" t="s">
        <v>27</v>
      </c>
      <c r="E41" s="21" t="s">
        <v>27</v>
      </c>
      <c r="F41" s="15" t="str">
        <f t="shared" ref="F41" si="2588">IF(InfGog1LevelCurrent&gt;=$B41,"-",IF(InfGog1LevelDesired&lt;$B41,"-",$C41))</f>
        <v>-</v>
      </c>
      <c r="G41" s="1" t="str">
        <f t="shared" ref="G41" si="2589">IF(InfGog1LevelCurrent&gt;=$B41,"-",IF(InfGog1LevelDesired&lt;$B41,"-",$D41))</f>
        <v>-</v>
      </c>
      <c r="H41" s="21" t="str">
        <f t="shared" ref="H41" si="2590">IF(InfGog1LevelCurrent&gt;=$B41,"-",IF(InfGog1LevelDesired&lt;$B41,"-",$E41))</f>
        <v>-</v>
      </c>
      <c r="I41" s="15" t="str">
        <f t="shared" ref="I41" si="2591">IF(InfGlo1LevelCurrent&gt;=$B41,"-",IF(InfGlo1LevelDesired&lt;$B41,"-",$C41))</f>
        <v>-</v>
      </c>
      <c r="J41" s="1" t="str">
        <f t="shared" ref="J41" si="2592">IF(InfGlo1LevelCurrent&gt;=$B41,"-",IF(InfGlo1LevelDesired&lt;$B41,"-",$D41))</f>
        <v>-</v>
      </c>
      <c r="K41" s="21" t="str">
        <f t="shared" ref="K41" si="2593">IF(InfGlo1LevelCurrent&gt;=$B41,"-",IF(InfGlo1LevelDesired&lt;$B41,"-",$E41))</f>
        <v>-</v>
      </c>
      <c r="L41" s="15" t="str">
        <f t="shared" ref="L41" si="2594">IF(InfBel1LevelCurrent&gt;=$B41,"-",IF(InfBel1LevelDesired&lt;$B41,"-",$C41))</f>
        <v>-</v>
      </c>
      <c r="M41" s="1" t="str">
        <f t="shared" ref="M41" si="2595">IF(InfBel1LevelCurrent&gt;=$B41,"-",IF(InfBel1LevelDesired&lt;$B41,"-",$D41))</f>
        <v>-</v>
      </c>
      <c r="N41" s="21" t="str">
        <f t="shared" ref="N41" si="2596">IF(InfBel1LevelCurrent&gt;=$B41,"-",IF(InfBel1LevelDesired&lt;$B41,"-",$E41))</f>
        <v>-</v>
      </c>
      <c r="O41" s="15" t="str">
        <f t="shared" ref="O41" si="2597">IF(InfBoo1LevelCurrent&gt;=$B41,"-",IF(InfBoo1LevelDesired&lt;$B41,"-",$C41))</f>
        <v>-</v>
      </c>
      <c r="P41" s="1" t="str">
        <f t="shared" ref="P41" si="2598">IF(InfBoo1LevelCurrent&gt;=$B41,"-",IF(InfBoo1LevelDesired&lt;$B41,"-",$D41))</f>
        <v>-</v>
      </c>
      <c r="Q41" s="21" t="str">
        <f t="shared" ref="Q41" si="2599">IF(InfBoo1LevelCurrent&gt;=$B41,"-",IF(InfBoo1LevelDesired&lt;$B41,"-",$E41))</f>
        <v>-</v>
      </c>
      <c r="R41" s="15" t="str">
        <f t="shared" ref="R41" si="2600">IF(LanGog1LevelCurrent&gt;=$B41,"-",IF(LanGog1LevelDesired&lt;$B41,"-",$C41))</f>
        <v>-</v>
      </c>
      <c r="S41" s="1" t="str">
        <f t="shared" ref="S41" si="2601">IF(LanGog1LevelCurrent&gt;=$B41,"-",IF(LanGog1LevelDesired&lt;$B41,"-",$D41))</f>
        <v>-</v>
      </c>
      <c r="T41" s="21" t="str">
        <f t="shared" ref="T41" si="2602">IF(LanGog1LevelCurrent&gt;=$B41,"-",IF(LanGog1LevelDesired&lt;$B41,"-",$E41))</f>
        <v>-</v>
      </c>
      <c r="U41" s="15" t="str">
        <f t="shared" ref="U41" si="2603">IF(LanGlo1LevelCurrent&gt;=$B41,"-",IF(LanGlo1LevelDesired&lt;$B41,"-",$C41))</f>
        <v>-</v>
      </c>
      <c r="V41" s="1" t="str">
        <f t="shared" ref="V41" si="2604">IF(LanGlo1LevelCurrent&gt;=$B41,"-",IF(LanGlo1LevelDesired&lt;$B41,"-",$D41))</f>
        <v>-</v>
      </c>
      <c r="W41" s="21" t="str">
        <f t="shared" ref="W41" si="2605">IF(LanGlo1LevelCurrent&gt;=$B41,"-",IF(LanGlo1LevelDesired&lt;$B41,"-",$E41))</f>
        <v>-</v>
      </c>
      <c r="X41" s="15" t="str">
        <f t="shared" ref="X41" si="2606">IF(LanBel1LevelCurrent&gt;=$B41,"-",IF(LanBel1LevelDesired&lt;$B41,"-",$C41))</f>
        <v>-</v>
      </c>
      <c r="Y41" s="1" t="str">
        <f t="shared" ref="Y41" si="2607">IF(LanBel1LevelCurrent&gt;=$B41,"-",IF(LanBel1LevelDesired&lt;$B41,"-",$D41))</f>
        <v>-</v>
      </c>
      <c r="Z41" s="21" t="str">
        <f t="shared" ref="Z41" si="2608">IF(LanBel1LevelCurrent&gt;=$B41,"-",IF(LanBel1LevelDesired&lt;$B41,"-",$E41))</f>
        <v>-</v>
      </c>
      <c r="AA41" s="15" t="str">
        <f t="shared" ref="AA41" si="2609">IF(LanBoo1LevelCurrent&gt;=$B41,"-",IF(LanBoo1LevelDesired&lt;$B41,"-",$C41))</f>
        <v>-</v>
      </c>
      <c r="AB41" s="1" t="str">
        <f t="shared" ref="AB41" si="2610">IF(LanBoo1LevelCurrent&gt;=$B41,"-",IF(LanBoo1LevelDesired&lt;$B41,"-",$D41))</f>
        <v>-</v>
      </c>
      <c r="AC41" s="21" t="str">
        <f t="shared" ref="AC41" si="2611">IF(LanBoo1LevelCurrent&gt;=$B41,"-",IF(LanBoo1LevelDesired&lt;$B41,"-",$E41))</f>
        <v>-</v>
      </c>
      <c r="AD41" s="15" t="str">
        <f t="shared" ref="AD41" si="2612">IF(MarGog1LevelCurrent&gt;=$B41,"-",IF(MarGog1LevelDesired&lt;$B41,"-",$C41))</f>
        <v>-</v>
      </c>
      <c r="AE41" s="1" t="str">
        <f t="shared" ref="AE41" si="2613">IF(MarGog1LevelCurrent&gt;=$B41,"-",IF(MarGog1LevelDesired&lt;$B41,"-",$D41))</f>
        <v>-</v>
      </c>
      <c r="AF41" s="21" t="str">
        <f t="shared" ref="AF41" si="2614">IF(MarGog1LevelCurrent&gt;=$B41,"-",IF(MarGog1LevelDesired&lt;$B41,"-",$E41))</f>
        <v>-</v>
      </c>
      <c r="AG41" s="15" t="str">
        <f t="shared" ref="AG41" si="2615">IF(MarGlo1LevelCurrent&gt;=$B41,"-",IF(MarGlo1LevelDesired&lt;$B41,"-",$C41))</f>
        <v>-</v>
      </c>
      <c r="AH41" s="1" t="str">
        <f t="shared" ref="AH41" si="2616">IF(MarGlo1LevelCurrent&gt;=$B41,"-",IF(MarGlo1LevelDesired&lt;$B41,"-",$D41))</f>
        <v>-</v>
      </c>
      <c r="AI41" s="21" t="str">
        <f t="shared" ref="AI41" si="2617">IF(MarGlo1LevelCurrent&gt;=$B41,"-",IF(MarGlo1LevelDesired&lt;$B41,"-",$E41))</f>
        <v>-</v>
      </c>
      <c r="AJ41" s="15" t="str">
        <f t="shared" ref="AJ41" si="2618">IF(MarBel1LevelCurrent&gt;=$B41,"-",IF(MarBel1LevelDesired&lt;$B41,"-",$C41))</f>
        <v>-</v>
      </c>
      <c r="AK41" s="1" t="str">
        <f t="shared" ref="AK41" si="2619">IF(MarBel1LevelCurrent&gt;=$B41,"-",IF(MarBel1LevelDesired&lt;$B41,"-",$D41))</f>
        <v>-</v>
      </c>
      <c r="AL41" s="21" t="str">
        <f t="shared" ref="AL41" si="2620">IF(MarBel1LevelCurrent&gt;=$B41,"-",IF(MarBel1LevelDesired&lt;$B41,"-",$E41))</f>
        <v>-</v>
      </c>
      <c r="AM41" s="15" t="str">
        <f t="shared" ref="AM41" si="2621">IF(MarBoo1LevelCurrent&gt;=$B41,"-",IF(MarBoo1LevelDesired&lt;$B41,"-",$C41))</f>
        <v>-</v>
      </c>
      <c r="AN41" s="1" t="str">
        <f t="shared" ref="AN41" si="2622">IF(MarBoo1LevelCurrent&gt;=$B41,"-",IF(MarBoo1LevelDesired&lt;$B41,"-",$D41))</f>
        <v>-</v>
      </c>
      <c r="AO41" s="21" t="str">
        <f t="shared" ref="AO41" si="2623">IF(MarBoo1LevelCurrent&gt;=$B41,"-",IF(MarBoo1LevelDesired&lt;$B41,"-",$E41))</f>
        <v>-</v>
      </c>
      <c r="AP41" s="15" t="str">
        <f t="shared" ref="AP41" si="2624">IF(InfGog2LevelCurrent&gt;=$B41,"-",IF(InfGog2LevelDesired&lt;$B41,"-",$C41))</f>
        <v>-</v>
      </c>
      <c r="AQ41" s="1" t="str">
        <f t="shared" ref="AQ41" si="2625">IF(InfGog2LevelCurrent&gt;=$B41,"-",IF(InfGog2LevelDesired&lt;$B41,"-",$D41))</f>
        <v>-</v>
      </c>
      <c r="AR41" s="21" t="str">
        <f t="shared" ref="AR41" si="2626">IF(InfGog2LevelCurrent&gt;=$B41,"-",IF(InfGog2LevelDesired&lt;$B41,"-",$E41))</f>
        <v>-</v>
      </c>
      <c r="AS41" s="15" t="str">
        <f t="shared" ref="AS41" si="2627">IF(InfGlo2LevelCurrent&gt;=$B41,"-",IF(InfGlo2LevelDesired&lt;$B41,"-",$C41))</f>
        <v>-</v>
      </c>
      <c r="AT41" s="1" t="str">
        <f t="shared" ref="AT41" si="2628">IF(InfGlo2LevelCurrent&gt;=$B41,"-",IF(InfGlo2LevelDesired&lt;$B41,"-",$D41))</f>
        <v>-</v>
      </c>
      <c r="AU41" s="21" t="str">
        <f t="shared" ref="AU41" si="2629">IF(InfGlo2LevelCurrent&gt;=$B41,"-",IF(InfGlo2LevelDesired&lt;$B41,"-",$E41))</f>
        <v>-</v>
      </c>
      <c r="AV41" s="15" t="str">
        <f t="shared" ref="AV41" si="2630">IF(InfBel2LevelCurrent&gt;=$B41,"-",IF(InfBel2LevelDesired&lt;$B41,"-",$C41))</f>
        <v>-</v>
      </c>
      <c r="AW41" s="1" t="str">
        <f t="shared" ref="AW41" si="2631">IF(InfBel2LevelCurrent&gt;=$B41,"-",IF(InfBel2LevelDesired&lt;$B41,"-",$D41))</f>
        <v>-</v>
      </c>
      <c r="AX41" s="21" t="str">
        <f t="shared" ref="AX41" si="2632">IF(InfBel2LevelCurrent&gt;=$B41,"-",IF(InfBel2LevelDesired&lt;$B41,"-",$E41))</f>
        <v>-</v>
      </c>
      <c r="AY41" s="15" t="str">
        <f t="shared" ref="AY41" si="2633">IF(InfBoo2LevelCurrent&gt;=$B41,"-",IF(InfBoo2LevelDesired&lt;$B41,"-",$C41))</f>
        <v>-</v>
      </c>
      <c r="AZ41" s="1" t="str">
        <f t="shared" ref="AZ41" si="2634">IF(InfBoo2LevelCurrent&gt;=$B41,"-",IF(InfBoo2LevelDesired&lt;$B41,"-",$D41))</f>
        <v>-</v>
      </c>
      <c r="BA41" s="21" t="str">
        <f t="shared" ref="BA41" si="2635">IF(InfBoo2LevelCurrent&gt;=$B41,"-",IF(InfBoo2LevelDesired&lt;$B41,"-",$E41))</f>
        <v>-</v>
      </c>
      <c r="BB41" s="15" t="str">
        <f t="shared" ref="BB41" si="2636">IF(LanGog2LevelCurrent&gt;=$B41,"-",IF(LanGog2LevelDesired&lt;$B41,"-",$C41))</f>
        <v>-</v>
      </c>
      <c r="BC41" s="1" t="str">
        <f t="shared" ref="BC41" si="2637">IF(LanGog2LevelCurrent&gt;=$B41,"-",IF(LanGog2LevelDesired&lt;$B41,"-",$D41))</f>
        <v>-</v>
      </c>
      <c r="BD41" s="21" t="str">
        <f t="shared" ref="BD41" si="2638">IF(LanGog2LevelCurrent&gt;=$B41,"-",IF(LanGog2LevelDesired&lt;$B41,"-",$E41))</f>
        <v>-</v>
      </c>
      <c r="BE41" s="15" t="str">
        <f t="shared" ref="BE41" si="2639">IF(LanGlo2LevelCurrent&gt;=$B41,"-",IF(LanGlo2LevelDesired&lt;$B41,"-",$C41))</f>
        <v>-</v>
      </c>
      <c r="BF41" s="1" t="str">
        <f t="shared" ref="BF41" si="2640">IF(LanGlo2LevelCurrent&gt;=$B41,"-",IF(LanGlo2LevelDesired&lt;$B41,"-",$D41))</f>
        <v>-</v>
      </c>
      <c r="BG41" s="21" t="str">
        <f t="shared" ref="BG41" si="2641">IF(LanGlo2LevelCurrent&gt;=$B41,"-",IF(LanGlo2LevelDesired&lt;$B41,"-",$E41))</f>
        <v>-</v>
      </c>
      <c r="BH41" s="15" t="str">
        <f t="shared" ref="BH41" si="2642">IF(LanBel2LevelCurrent&gt;=$B41,"-",IF(LanBel2LevelDesired&lt;$B41,"-",$C41))</f>
        <v>-</v>
      </c>
      <c r="BI41" s="1" t="str">
        <f t="shared" ref="BI41" si="2643">IF(LanBel2LevelCurrent&gt;=$B41,"-",IF(LanBel2LevelDesired&lt;$B41,"-",$D41))</f>
        <v>-</v>
      </c>
      <c r="BJ41" s="21" t="str">
        <f t="shared" ref="BJ41" si="2644">IF(LanBel2LevelCurrent&gt;=$B41,"-",IF(LanBel2LevelDesired&lt;$B41,"-",$E41))</f>
        <v>-</v>
      </c>
      <c r="BK41" s="15" t="str">
        <f t="shared" ref="BK41" si="2645">IF(LanBoo2LevelCurrent&gt;=$B41,"-",IF(LanBoo2LevelDesired&lt;$B41,"-",$C41))</f>
        <v>-</v>
      </c>
      <c r="BL41" s="1" t="str">
        <f t="shared" ref="BL41" si="2646">IF(LanBoo2LevelCurrent&gt;=$B41,"-",IF(LanBoo2LevelDesired&lt;$B41,"-",$D41))</f>
        <v>-</v>
      </c>
      <c r="BM41" s="21" t="str">
        <f t="shared" ref="BM41" si="2647">IF(LanBoo2LevelCurrent&gt;=$B41,"-",IF(LanBoo2LevelDesired&lt;$B41,"-",$E41))</f>
        <v>-</v>
      </c>
      <c r="BN41" s="15" t="str">
        <f t="shared" ref="BN41" si="2648">IF(MarGog2LevelCurrent&gt;=$B41,"-",IF(MarGog2LevelDesired&lt;$B41,"-",$C41))</f>
        <v>-</v>
      </c>
      <c r="BO41" s="1" t="str">
        <f t="shared" ref="BO41" si="2649">IF(MarGog2LevelCurrent&gt;=$B41,"-",IF(MarGog2LevelDesired&lt;$B41,"-",$D41))</f>
        <v>-</v>
      </c>
      <c r="BP41" s="21" t="str">
        <f t="shared" ref="BP41" si="2650">IF(MarGog2LevelCurrent&gt;=$B41,"-",IF(MarGog2LevelDesired&lt;$B41,"-",$E41))</f>
        <v>-</v>
      </c>
      <c r="BQ41" s="15" t="str">
        <f t="shared" ref="BQ41" si="2651">IF(MarGlo2LevelCurrent&gt;=$B41,"-",IF(MarGlo2LevelDesired&lt;$B41,"-",$C41))</f>
        <v>-</v>
      </c>
      <c r="BR41" s="1" t="str">
        <f t="shared" ref="BR41" si="2652">IF(MarGlo2LevelCurrent&gt;=$B41,"-",IF(MarGlo2LevelDesired&lt;$B41,"-",$D41))</f>
        <v>-</v>
      </c>
      <c r="BS41" s="21" t="str">
        <f t="shared" ref="BS41" si="2653">IF(MarGlo2LevelCurrent&gt;=$B41,"-",IF(MarGlo2LevelDesired&lt;$B41,"-",$E41))</f>
        <v>-</v>
      </c>
      <c r="BT41" s="15" t="str">
        <f t="shared" ref="BT41" si="2654">IF(MarBel2LevelCurrent&gt;=$B41,"-",IF(MarBel2LevelDesired&lt;$B41,"-",$C41))</f>
        <v>-</v>
      </c>
      <c r="BU41" s="1" t="str">
        <f t="shared" ref="BU41" si="2655">IF(MarBel2LevelCurrent&gt;=$B41,"-",IF(MarBel2LevelDesired&lt;$B41,"-",$D41))</f>
        <v>-</v>
      </c>
      <c r="BV41" s="21" t="str">
        <f t="shared" ref="BV41" si="2656">IF(MarBel2LevelCurrent&gt;=$B41,"-",IF(MarBel2LevelDesired&lt;$B41,"-",$E41))</f>
        <v>-</v>
      </c>
      <c r="BW41" s="15" t="str">
        <f t="shared" ref="BW41" si="2657">IF(MarBoo2LevelCurrent&gt;=$B41,"-",IF(MarBoo2LevelDesired&lt;$B41,"-",$C41))</f>
        <v>-</v>
      </c>
      <c r="BX41" s="1" t="str">
        <f t="shared" ref="BX41" si="2658">IF(MarBoo2LevelCurrent&gt;=$B41,"-",IF(MarBoo2LevelDesired&lt;$B41,"-",$D41))</f>
        <v>-</v>
      </c>
      <c r="BY41" s="21" t="str">
        <f t="shared" ref="BY41" si="2659">IF(MarBoo2LevelCurrent&gt;=$B41,"-",IF(MarBoo2LevelDesired&lt;$B41,"-",$E41))</f>
        <v>-</v>
      </c>
      <c r="BZ41" s="15" t="str">
        <f t="shared" si="2410"/>
        <v>-</v>
      </c>
      <c r="CA41" s="1" t="str" cm="1">
        <f t="array" ref="CA41">IF(InfGog3LevelCurrent&gt;=$B41,"-",IF(InfGog3LevelDesired&lt;$B41,"-",$D41))</f>
        <v>-</v>
      </c>
      <c r="CB41" s="21" t="str" cm="1">
        <f t="array" ref="CB41">IF(InfGog3LevelCurrent&gt;=$B41,"-",IF(InfGog3LevelDesired&lt;$B41,"-",$E41))</f>
        <v>-</v>
      </c>
      <c r="CC41" s="15" t="str">
        <f t="shared" si="2411"/>
        <v>-</v>
      </c>
      <c r="CD41" s="1" t="str">
        <f t="shared" si="2412"/>
        <v>-</v>
      </c>
      <c r="CE41" s="21" t="str">
        <f t="shared" si="2413"/>
        <v>-</v>
      </c>
      <c r="CF41" s="15" t="str">
        <f t="shared" si="2414"/>
        <v>-</v>
      </c>
      <c r="CG41" s="1" t="str">
        <f t="shared" si="2415"/>
        <v>-</v>
      </c>
      <c r="CH41" s="21" t="str">
        <f t="shared" si="2416"/>
        <v>-</v>
      </c>
      <c r="CI41" s="15" t="str">
        <f t="shared" si="2417"/>
        <v>-</v>
      </c>
      <c r="CJ41" s="1" t="str">
        <f t="shared" si="2418"/>
        <v>-</v>
      </c>
      <c r="CK41" s="21" t="str">
        <f t="shared" si="2419"/>
        <v>-</v>
      </c>
      <c r="CL41" s="15" t="str">
        <f t="shared" si="2420"/>
        <v>-</v>
      </c>
      <c r="CM41" s="1" t="str">
        <f t="shared" si="2421"/>
        <v>-</v>
      </c>
      <c r="CN41" s="21" t="str">
        <f t="shared" si="2422"/>
        <v>-</v>
      </c>
      <c r="CO41" s="15" t="str">
        <f t="shared" si="2423"/>
        <v>-</v>
      </c>
      <c r="CP41" s="1" t="str">
        <f t="shared" si="2424"/>
        <v>-</v>
      </c>
      <c r="CQ41" s="21" t="str">
        <f t="shared" si="2425"/>
        <v>-</v>
      </c>
      <c r="CR41" s="15" t="str">
        <f t="shared" si="2426"/>
        <v>-</v>
      </c>
      <c r="CS41" s="1" t="str">
        <f t="shared" si="2427"/>
        <v>-</v>
      </c>
      <c r="CT41" s="21" t="str">
        <f t="shared" si="2428"/>
        <v>-</v>
      </c>
      <c r="CU41" s="15" t="str">
        <f t="shared" si="2429"/>
        <v>-</v>
      </c>
      <c r="CV41" s="1" t="str">
        <f t="shared" si="2430"/>
        <v>-</v>
      </c>
      <c r="CW41" s="21" t="str">
        <f t="shared" si="2431"/>
        <v>-</v>
      </c>
      <c r="CX41" s="15" t="str">
        <f t="shared" si="2432"/>
        <v>-</v>
      </c>
      <c r="CY41" s="1" t="str">
        <f t="shared" si="2433"/>
        <v>-</v>
      </c>
      <c r="CZ41" s="21" t="str">
        <f t="shared" si="2434"/>
        <v>-</v>
      </c>
      <c r="DA41" s="15" t="str">
        <f t="shared" si="2435"/>
        <v>-</v>
      </c>
      <c r="DB41" s="1" t="str">
        <f t="shared" si="2436"/>
        <v>-</v>
      </c>
      <c r="DC41" s="21" t="str">
        <f t="shared" si="2437"/>
        <v>-</v>
      </c>
      <c r="DD41" s="15" t="str">
        <f t="shared" si="2438"/>
        <v>-</v>
      </c>
      <c r="DE41" s="1" t="str">
        <f t="shared" si="2439"/>
        <v>-</v>
      </c>
      <c r="DF41" s="21" t="str">
        <f t="shared" si="2440"/>
        <v>-</v>
      </c>
      <c r="DG41" s="15" t="str">
        <f t="shared" si="2441"/>
        <v>-</v>
      </c>
      <c r="DH41" s="1" t="str">
        <f t="shared" si="2442"/>
        <v>-</v>
      </c>
      <c r="DI41" s="21" t="str">
        <f t="shared" si="2443"/>
        <v>-</v>
      </c>
    </row>
    <row r="42" spans="2:113" x14ac:dyDescent="0.3">
      <c r="B42" s="1">
        <v>37</v>
      </c>
      <c r="C42" s="67">
        <v>230</v>
      </c>
      <c r="D42" s="88" t="s">
        <v>27</v>
      </c>
      <c r="E42" s="21" t="s">
        <v>27</v>
      </c>
      <c r="F42" s="15" t="str">
        <f t="shared" ref="F42" si="2660">IF(InfGog1LevelCurrent&gt;=$B42,"-",IF(InfGog1LevelDesired&lt;$B42,"-",$C42))</f>
        <v>-</v>
      </c>
      <c r="G42" s="1" t="str">
        <f t="shared" ref="G42" si="2661">IF(InfGog1LevelCurrent&gt;=$B42,"-",IF(InfGog1LevelDesired&lt;$B42,"-",$D42))</f>
        <v>-</v>
      </c>
      <c r="H42" s="21" t="str">
        <f t="shared" ref="H42" si="2662">IF(InfGog1LevelCurrent&gt;=$B42,"-",IF(InfGog1LevelDesired&lt;$B42,"-",$E42))</f>
        <v>-</v>
      </c>
      <c r="I42" s="15" t="str">
        <f t="shared" ref="I42" si="2663">IF(InfGlo1LevelCurrent&gt;=$B42,"-",IF(InfGlo1LevelDesired&lt;$B42,"-",$C42))</f>
        <v>-</v>
      </c>
      <c r="J42" s="1" t="str">
        <f t="shared" ref="J42" si="2664">IF(InfGlo1LevelCurrent&gt;=$B42,"-",IF(InfGlo1LevelDesired&lt;$B42,"-",$D42))</f>
        <v>-</v>
      </c>
      <c r="K42" s="21" t="str">
        <f t="shared" ref="K42" si="2665">IF(InfGlo1LevelCurrent&gt;=$B42,"-",IF(InfGlo1LevelDesired&lt;$B42,"-",$E42))</f>
        <v>-</v>
      </c>
      <c r="L42" s="15" t="str">
        <f t="shared" ref="L42" si="2666">IF(InfBel1LevelCurrent&gt;=$B42,"-",IF(InfBel1LevelDesired&lt;$B42,"-",$C42))</f>
        <v>-</v>
      </c>
      <c r="M42" s="1" t="str">
        <f t="shared" ref="M42" si="2667">IF(InfBel1LevelCurrent&gt;=$B42,"-",IF(InfBel1LevelDesired&lt;$B42,"-",$D42))</f>
        <v>-</v>
      </c>
      <c r="N42" s="21" t="str">
        <f t="shared" ref="N42" si="2668">IF(InfBel1LevelCurrent&gt;=$B42,"-",IF(InfBel1LevelDesired&lt;$B42,"-",$E42))</f>
        <v>-</v>
      </c>
      <c r="O42" s="15" t="str">
        <f t="shared" ref="O42" si="2669">IF(InfBoo1LevelCurrent&gt;=$B42,"-",IF(InfBoo1LevelDesired&lt;$B42,"-",$C42))</f>
        <v>-</v>
      </c>
      <c r="P42" s="1" t="str">
        <f t="shared" ref="P42" si="2670">IF(InfBoo1LevelCurrent&gt;=$B42,"-",IF(InfBoo1LevelDesired&lt;$B42,"-",$D42))</f>
        <v>-</v>
      </c>
      <c r="Q42" s="21" t="str">
        <f t="shared" ref="Q42" si="2671">IF(InfBoo1LevelCurrent&gt;=$B42,"-",IF(InfBoo1LevelDesired&lt;$B42,"-",$E42))</f>
        <v>-</v>
      </c>
      <c r="R42" s="15" t="str">
        <f t="shared" ref="R42" si="2672">IF(LanGog1LevelCurrent&gt;=$B42,"-",IF(LanGog1LevelDesired&lt;$B42,"-",$C42))</f>
        <v>-</v>
      </c>
      <c r="S42" s="1" t="str">
        <f t="shared" ref="S42" si="2673">IF(LanGog1LevelCurrent&gt;=$B42,"-",IF(LanGog1LevelDesired&lt;$B42,"-",$D42))</f>
        <v>-</v>
      </c>
      <c r="T42" s="21" t="str">
        <f t="shared" ref="T42" si="2674">IF(LanGog1LevelCurrent&gt;=$B42,"-",IF(LanGog1LevelDesired&lt;$B42,"-",$E42))</f>
        <v>-</v>
      </c>
      <c r="U42" s="15" t="str">
        <f t="shared" ref="U42" si="2675">IF(LanGlo1LevelCurrent&gt;=$B42,"-",IF(LanGlo1LevelDesired&lt;$B42,"-",$C42))</f>
        <v>-</v>
      </c>
      <c r="V42" s="1" t="str">
        <f t="shared" ref="V42" si="2676">IF(LanGlo1LevelCurrent&gt;=$B42,"-",IF(LanGlo1LevelDesired&lt;$B42,"-",$D42))</f>
        <v>-</v>
      </c>
      <c r="W42" s="21" t="str">
        <f t="shared" ref="W42" si="2677">IF(LanGlo1LevelCurrent&gt;=$B42,"-",IF(LanGlo1LevelDesired&lt;$B42,"-",$E42))</f>
        <v>-</v>
      </c>
      <c r="X42" s="15" t="str">
        <f t="shared" ref="X42" si="2678">IF(LanBel1LevelCurrent&gt;=$B42,"-",IF(LanBel1LevelDesired&lt;$B42,"-",$C42))</f>
        <v>-</v>
      </c>
      <c r="Y42" s="1" t="str">
        <f t="shared" ref="Y42" si="2679">IF(LanBel1LevelCurrent&gt;=$B42,"-",IF(LanBel1LevelDesired&lt;$B42,"-",$D42))</f>
        <v>-</v>
      </c>
      <c r="Z42" s="21" t="str">
        <f t="shared" ref="Z42" si="2680">IF(LanBel1LevelCurrent&gt;=$B42,"-",IF(LanBel1LevelDesired&lt;$B42,"-",$E42))</f>
        <v>-</v>
      </c>
      <c r="AA42" s="15" t="str">
        <f t="shared" ref="AA42" si="2681">IF(LanBoo1LevelCurrent&gt;=$B42,"-",IF(LanBoo1LevelDesired&lt;$B42,"-",$C42))</f>
        <v>-</v>
      </c>
      <c r="AB42" s="1" t="str">
        <f t="shared" ref="AB42" si="2682">IF(LanBoo1LevelCurrent&gt;=$B42,"-",IF(LanBoo1LevelDesired&lt;$B42,"-",$D42))</f>
        <v>-</v>
      </c>
      <c r="AC42" s="21" t="str">
        <f t="shared" ref="AC42" si="2683">IF(LanBoo1LevelCurrent&gt;=$B42,"-",IF(LanBoo1LevelDesired&lt;$B42,"-",$E42))</f>
        <v>-</v>
      </c>
      <c r="AD42" s="15" t="str">
        <f t="shared" ref="AD42" si="2684">IF(MarGog1LevelCurrent&gt;=$B42,"-",IF(MarGog1LevelDesired&lt;$B42,"-",$C42))</f>
        <v>-</v>
      </c>
      <c r="AE42" s="1" t="str">
        <f t="shared" ref="AE42" si="2685">IF(MarGog1LevelCurrent&gt;=$B42,"-",IF(MarGog1LevelDesired&lt;$B42,"-",$D42))</f>
        <v>-</v>
      </c>
      <c r="AF42" s="21" t="str">
        <f t="shared" ref="AF42" si="2686">IF(MarGog1LevelCurrent&gt;=$B42,"-",IF(MarGog1LevelDesired&lt;$B42,"-",$E42))</f>
        <v>-</v>
      </c>
      <c r="AG42" s="15" t="str">
        <f t="shared" ref="AG42" si="2687">IF(MarGlo1LevelCurrent&gt;=$B42,"-",IF(MarGlo1LevelDesired&lt;$B42,"-",$C42))</f>
        <v>-</v>
      </c>
      <c r="AH42" s="1" t="str">
        <f t="shared" ref="AH42" si="2688">IF(MarGlo1LevelCurrent&gt;=$B42,"-",IF(MarGlo1LevelDesired&lt;$B42,"-",$D42))</f>
        <v>-</v>
      </c>
      <c r="AI42" s="21" t="str">
        <f t="shared" ref="AI42" si="2689">IF(MarGlo1LevelCurrent&gt;=$B42,"-",IF(MarGlo1LevelDesired&lt;$B42,"-",$E42))</f>
        <v>-</v>
      </c>
      <c r="AJ42" s="15" t="str">
        <f t="shared" ref="AJ42" si="2690">IF(MarBel1LevelCurrent&gt;=$B42,"-",IF(MarBel1LevelDesired&lt;$B42,"-",$C42))</f>
        <v>-</v>
      </c>
      <c r="AK42" s="1" t="str">
        <f t="shared" ref="AK42" si="2691">IF(MarBel1LevelCurrent&gt;=$B42,"-",IF(MarBel1LevelDesired&lt;$B42,"-",$D42))</f>
        <v>-</v>
      </c>
      <c r="AL42" s="21" t="str">
        <f t="shared" ref="AL42" si="2692">IF(MarBel1LevelCurrent&gt;=$B42,"-",IF(MarBel1LevelDesired&lt;$B42,"-",$E42))</f>
        <v>-</v>
      </c>
      <c r="AM42" s="15" t="str">
        <f t="shared" ref="AM42" si="2693">IF(MarBoo1LevelCurrent&gt;=$B42,"-",IF(MarBoo1LevelDesired&lt;$B42,"-",$C42))</f>
        <v>-</v>
      </c>
      <c r="AN42" s="1" t="str">
        <f t="shared" ref="AN42" si="2694">IF(MarBoo1LevelCurrent&gt;=$B42,"-",IF(MarBoo1LevelDesired&lt;$B42,"-",$D42))</f>
        <v>-</v>
      </c>
      <c r="AO42" s="21" t="str">
        <f t="shared" ref="AO42" si="2695">IF(MarBoo1LevelCurrent&gt;=$B42,"-",IF(MarBoo1LevelDesired&lt;$B42,"-",$E42))</f>
        <v>-</v>
      </c>
      <c r="AP42" s="15" t="str">
        <f t="shared" ref="AP42" si="2696">IF(InfGog2LevelCurrent&gt;=$B42,"-",IF(InfGog2LevelDesired&lt;$B42,"-",$C42))</f>
        <v>-</v>
      </c>
      <c r="AQ42" s="1" t="str">
        <f t="shared" ref="AQ42" si="2697">IF(InfGog2LevelCurrent&gt;=$B42,"-",IF(InfGog2LevelDesired&lt;$B42,"-",$D42))</f>
        <v>-</v>
      </c>
      <c r="AR42" s="21" t="str">
        <f t="shared" ref="AR42" si="2698">IF(InfGog2LevelCurrent&gt;=$B42,"-",IF(InfGog2LevelDesired&lt;$B42,"-",$E42))</f>
        <v>-</v>
      </c>
      <c r="AS42" s="15" t="str">
        <f t="shared" ref="AS42" si="2699">IF(InfGlo2LevelCurrent&gt;=$B42,"-",IF(InfGlo2LevelDesired&lt;$B42,"-",$C42))</f>
        <v>-</v>
      </c>
      <c r="AT42" s="1" t="str">
        <f t="shared" ref="AT42" si="2700">IF(InfGlo2LevelCurrent&gt;=$B42,"-",IF(InfGlo2LevelDesired&lt;$B42,"-",$D42))</f>
        <v>-</v>
      </c>
      <c r="AU42" s="21" t="str">
        <f t="shared" ref="AU42" si="2701">IF(InfGlo2LevelCurrent&gt;=$B42,"-",IF(InfGlo2LevelDesired&lt;$B42,"-",$E42))</f>
        <v>-</v>
      </c>
      <c r="AV42" s="15" t="str">
        <f t="shared" ref="AV42" si="2702">IF(InfBel2LevelCurrent&gt;=$B42,"-",IF(InfBel2LevelDesired&lt;$B42,"-",$C42))</f>
        <v>-</v>
      </c>
      <c r="AW42" s="1" t="str">
        <f t="shared" ref="AW42" si="2703">IF(InfBel2LevelCurrent&gt;=$B42,"-",IF(InfBel2LevelDesired&lt;$B42,"-",$D42))</f>
        <v>-</v>
      </c>
      <c r="AX42" s="21" t="str">
        <f t="shared" ref="AX42" si="2704">IF(InfBel2LevelCurrent&gt;=$B42,"-",IF(InfBel2LevelDesired&lt;$B42,"-",$E42))</f>
        <v>-</v>
      </c>
      <c r="AY42" s="15" t="str">
        <f t="shared" ref="AY42" si="2705">IF(InfBoo2LevelCurrent&gt;=$B42,"-",IF(InfBoo2LevelDesired&lt;$B42,"-",$C42))</f>
        <v>-</v>
      </c>
      <c r="AZ42" s="1" t="str">
        <f t="shared" ref="AZ42" si="2706">IF(InfBoo2LevelCurrent&gt;=$B42,"-",IF(InfBoo2LevelDesired&lt;$B42,"-",$D42))</f>
        <v>-</v>
      </c>
      <c r="BA42" s="21" t="str">
        <f t="shared" ref="BA42" si="2707">IF(InfBoo2LevelCurrent&gt;=$B42,"-",IF(InfBoo2LevelDesired&lt;$B42,"-",$E42))</f>
        <v>-</v>
      </c>
      <c r="BB42" s="15" t="str">
        <f t="shared" ref="BB42" si="2708">IF(LanGog2LevelCurrent&gt;=$B42,"-",IF(LanGog2LevelDesired&lt;$B42,"-",$C42))</f>
        <v>-</v>
      </c>
      <c r="BC42" s="1" t="str">
        <f t="shared" ref="BC42" si="2709">IF(LanGog2LevelCurrent&gt;=$B42,"-",IF(LanGog2LevelDesired&lt;$B42,"-",$D42))</f>
        <v>-</v>
      </c>
      <c r="BD42" s="21" t="str">
        <f t="shared" ref="BD42" si="2710">IF(LanGog2LevelCurrent&gt;=$B42,"-",IF(LanGog2LevelDesired&lt;$B42,"-",$E42))</f>
        <v>-</v>
      </c>
      <c r="BE42" s="15" t="str">
        <f t="shared" ref="BE42" si="2711">IF(LanGlo2LevelCurrent&gt;=$B42,"-",IF(LanGlo2LevelDesired&lt;$B42,"-",$C42))</f>
        <v>-</v>
      </c>
      <c r="BF42" s="1" t="str">
        <f t="shared" ref="BF42" si="2712">IF(LanGlo2LevelCurrent&gt;=$B42,"-",IF(LanGlo2LevelDesired&lt;$B42,"-",$D42))</f>
        <v>-</v>
      </c>
      <c r="BG42" s="21" t="str">
        <f t="shared" ref="BG42" si="2713">IF(LanGlo2LevelCurrent&gt;=$B42,"-",IF(LanGlo2LevelDesired&lt;$B42,"-",$E42))</f>
        <v>-</v>
      </c>
      <c r="BH42" s="15" t="str">
        <f t="shared" ref="BH42" si="2714">IF(LanBel2LevelCurrent&gt;=$B42,"-",IF(LanBel2LevelDesired&lt;$B42,"-",$C42))</f>
        <v>-</v>
      </c>
      <c r="BI42" s="1" t="str">
        <f t="shared" ref="BI42" si="2715">IF(LanBel2LevelCurrent&gt;=$B42,"-",IF(LanBel2LevelDesired&lt;$B42,"-",$D42))</f>
        <v>-</v>
      </c>
      <c r="BJ42" s="21" t="str">
        <f t="shared" ref="BJ42" si="2716">IF(LanBel2LevelCurrent&gt;=$B42,"-",IF(LanBel2LevelDesired&lt;$B42,"-",$E42))</f>
        <v>-</v>
      </c>
      <c r="BK42" s="15" t="str">
        <f t="shared" ref="BK42" si="2717">IF(LanBoo2LevelCurrent&gt;=$B42,"-",IF(LanBoo2LevelDesired&lt;$B42,"-",$C42))</f>
        <v>-</v>
      </c>
      <c r="BL42" s="1" t="str">
        <f t="shared" ref="BL42" si="2718">IF(LanBoo2LevelCurrent&gt;=$B42,"-",IF(LanBoo2LevelDesired&lt;$B42,"-",$D42))</f>
        <v>-</v>
      </c>
      <c r="BM42" s="21" t="str">
        <f t="shared" ref="BM42" si="2719">IF(LanBoo2LevelCurrent&gt;=$B42,"-",IF(LanBoo2LevelDesired&lt;$B42,"-",$E42))</f>
        <v>-</v>
      </c>
      <c r="BN42" s="15" t="str">
        <f t="shared" ref="BN42" si="2720">IF(MarGog2LevelCurrent&gt;=$B42,"-",IF(MarGog2LevelDesired&lt;$B42,"-",$C42))</f>
        <v>-</v>
      </c>
      <c r="BO42" s="1" t="str">
        <f t="shared" ref="BO42" si="2721">IF(MarGog2LevelCurrent&gt;=$B42,"-",IF(MarGog2LevelDesired&lt;$B42,"-",$D42))</f>
        <v>-</v>
      </c>
      <c r="BP42" s="21" t="str">
        <f t="shared" ref="BP42" si="2722">IF(MarGog2LevelCurrent&gt;=$B42,"-",IF(MarGog2LevelDesired&lt;$B42,"-",$E42))</f>
        <v>-</v>
      </c>
      <c r="BQ42" s="15" t="str">
        <f t="shared" ref="BQ42" si="2723">IF(MarGlo2LevelCurrent&gt;=$B42,"-",IF(MarGlo2LevelDesired&lt;$B42,"-",$C42))</f>
        <v>-</v>
      </c>
      <c r="BR42" s="1" t="str">
        <f t="shared" ref="BR42" si="2724">IF(MarGlo2LevelCurrent&gt;=$B42,"-",IF(MarGlo2LevelDesired&lt;$B42,"-",$D42))</f>
        <v>-</v>
      </c>
      <c r="BS42" s="21" t="str">
        <f t="shared" ref="BS42" si="2725">IF(MarGlo2LevelCurrent&gt;=$B42,"-",IF(MarGlo2LevelDesired&lt;$B42,"-",$E42))</f>
        <v>-</v>
      </c>
      <c r="BT42" s="15" t="str">
        <f t="shared" ref="BT42" si="2726">IF(MarBel2LevelCurrent&gt;=$B42,"-",IF(MarBel2LevelDesired&lt;$B42,"-",$C42))</f>
        <v>-</v>
      </c>
      <c r="BU42" s="1" t="str">
        <f t="shared" ref="BU42" si="2727">IF(MarBel2LevelCurrent&gt;=$B42,"-",IF(MarBel2LevelDesired&lt;$B42,"-",$D42))</f>
        <v>-</v>
      </c>
      <c r="BV42" s="21" t="str">
        <f t="shared" ref="BV42" si="2728">IF(MarBel2LevelCurrent&gt;=$B42,"-",IF(MarBel2LevelDesired&lt;$B42,"-",$E42))</f>
        <v>-</v>
      </c>
      <c r="BW42" s="15" t="str">
        <f t="shared" ref="BW42" si="2729">IF(MarBoo2LevelCurrent&gt;=$B42,"-",IF(MarBoo2LevelDesired&lt;$B42,"-",$C42))</f>
        <v>-</v>
      </c>
      <c r="BX42" s="1" t="str">
        <f t="shared" ref="BX42" si="2730">IF(MarBoo2LevelCurrent&gt;=$B42,"-",IF(MarBoo2LevelDesired&lt;$B42,"-",$D42))</f>
        <v>-</v>
      </c>
      <c r="BY42" s="21" t="str">
        <f t="shared" ref="BY42" si="2731">IF(MarBoo2LevelCurrent&gt;=$B42,"-",IF(MarBoo2LevelDesired&lt;$B42,"-",$E42))</f>
        <v>-</v>
      </c>
      <c r="BZ42" s="15" t="str">
        <f t="shared" si="2410"/>
        <v>-</v>
      </c>
      <c r="CA42" s="1" t="str" cm="1">
        <f t="array" ref="CA42">IF(InfGog3LevelCurrent&gt;=$B42,"-",IF(InfGog3LevelDesired&lt;$B42,"-",$D42))</f>
        <v>-</v>
      </c>
      <c r="CB42" s="21" t="str" cm="1">
        <f t="array" ref="CB42">IF(InfGog3LevelCurrent&gt;=$B42,"-",IF(InfGog3LevelDesired&lt;$B42,"-",$E42))</f>
        <v>-</v>
      </c>
      <c r="CC42" s="15" t="str">
        <f t="shared" si="2411"/>
        <v>-</v>
      </c>
      <c r="CD42" s="1" t="str">
        <f t="shared" si="2412"/>
        <v>-</v>
      </c>
      <c r="CE42" s="21" t="str">
        <f t="shared" si="2413"/>
        <v>-</v>
      </c>
      <c r="CF42" s="15" t="str">
        <f t="shared" si="2414"/>
        <v>-</v>
      </c>
      <c r="CG42" s="1" t="str">
        <f t="shared" si="2415"/>
        <v>-</v>
      </c>
      <c r="CH42" s="21" t="str">
        <f t="shared" si="2416"/>
        <v>-</v>
      </c>
      <c r="CI42" s="15" t="str">
        <f t="shared" si="2417"/>
        <v>-</v>
      </c>
      <c r="CJ42" s="1" t="str">
        <f t="shared" si="2418"/>
        <v>-</v>
      </c>
      <c r="CK42" s="21" t="str">
        <f t="shared" si="2419"/>
        <v>-</v>
      </c>
      <c r="CL42" s="15" t="str">
        <f t="shared" si="2420"/>
        <v>-</v>
      </c>
      <c r="CM42" s="1" t="str">
        <f t="shared" si="2421"/>
        <v>-</v>
      </c>
      <c r="CN42" s="21" t="str">
        <f t="shared" si="2422"/>
        <v>-</v>
      </c>
      <c r="CO42" s="15" t="str">
        <f t="shared" si="2423"/>
        <v>-</v>
      </c>
      <c r="CP42" s="1" t="str">
        <f t="shared" si="2424"/>
        <v>-</v>
      </c>
      <c r="CQ42" s="21" t="str">
        <f t="shared" si="2425"/>
        <v>-</v>
      </c>
      <c r="CR42" s="15" t="str">
        <f t="shared" si="2426"/>
        <v>-</v>
      </c>
      <c r="CS42" s="1" t="str">
        <f t="shared" si="2427"/>
        <v>-</v>
      </c>
      <c r="CT42" s="21" t="str">
        <f t="shared" si="2428"/>
        <v>-</v>
      </c>
      <c r="CU42" s="15" t="str">
        <f t="shared" si="2429"/>
        <v>-</v>
      </c>
      <c r="CV42" s="1" t="str">
        <f t="shared" si="2430"/>
        <v>-</v>
      </c>
      <c r="CW42" s="21" t="str">
        <f t="shared" si="2431"/>
        <v>-</v>
      </c>
      <c r="CX42" s="15" t="str">
        <f t="shared" si="2432"/>
        <v>-</v>
      </c>
      <c r="CY42" s="1" t="str">
        <f t="shared" si="2433"/>
        <v>-</v>
      </c>
      <c r="CZ42" s="21" t="str">
        <f t="shared" si="2434"/>
        <v>-</v>
      </c>
      <c r="DA42" s="15" t="str">
        <f t="shared" si="2435"/>
        <v>-</v>
      </c>
      <c r="DB42" s="1" t="str">
        <f t="shared" si="2436"/>
        <v>-</v>
      </c>
      <c r="DC42" s="21" t="str">
        <f t="shared" si="2437"/>
        <v>-</v>
      </c>
      <c r="DD42" s="15" t="str">
        <f t="shared" si="2438"/>
        <v>-</v>
      </c>
      <c r="DE42" s="1" t="str">
        <f t="shared" si="2439"/>
        <v>-</v>
      </c>
      <c r="DF42" s="21" t="str">
        <f t="shared" si="2440"/>
        <v>-</v>
      </c>
      <c r="DG42" s="15" t="str">
        <f t="shared" si="2441"/>
        <v>-</v>
      </c>
      <c r="DH42" s="1" t="str">
        <f t="shared" si="2442"/>
        <v>-</v>
      </c>
      <c r="DI42" s="21" t="str">
        <f t="shared" si="2443"/>
        <v>-</v>
      </c>
    </row>
    <row r="43" spans="2:113" x14ac:dyDescent="0.3">
      <c r="B43" s="1">
        <v>38</v>
      </c>
      <c r="C43" s="67">
        <v>240</v>
      </c>
      <c r="D43" s="88" t="s">
        <v>27</v>
      </c>
      <c r="E43" s="21" t="s">
        <v>27</v>
      </c>
      <c r="F43" s="15" t="str">
        <f t="shared" ref="F43" si="2732">IF(InfGog1LevelCurrent&gt;=$B43,"-",IF(InfGog1LevelDesired&lt;$B43,"-",$C43))</f>
        <v>-</v>
      </c>
      <c r="G43" s="1" t="str">
        <f t="shared" ref="G43" si="2733">IF(InfGog1LevelCurrent&gt;=$B43,"-",IF(InfGog1LevelDesired&lt;$B43,"-",$D43))</f>
        <v>-</v>
      </c>
      <c r="H43" s="21" t="str">
        <f t="shared" ref="H43" si="2734">IF(InfGog1LevelCurrent&gt;=$B43,"-",IF(InfGog1LevelDesired&lt;$B43,"-",$E43))</f>
        <v>-</v>
      </c>
      <c r="I43" s="15" t="str">
        <f t="shared" ref="I43" si="2735">IF(InfGlo1LevelCurrent&gt;=$B43,"-",IF(InfGlo1LevelDesired&lt;$B43,"-",$C43))</f>
        <v>-</v>
      </c>
      <c r="J43" s="1" t="str">
        <f t="shared" ref="J43" si="2736">IF(InfGlo1LevelCurrent&gt;=$B43,"-",IF(InfGlo1LevelDesired&lt;$B43,"-",$D43))</f>
        <v>-</v>
      </c>
      <c r="K43" s="21" t="str">
        <f t="shared" ref="K43" si="2737">IF(InfGlo1LevelCurrent&gt;=$B43,"-",IF(InfGlo1LevelDesired&lt;$B43,"-",$E43))</f>
        <v>-</v>
      </c>
      <c r="L43" s="15" t="str">
        <f t="shared" ref="L43" si="2738">IF(InfBel1LevelCurrent&gt;=$B43,"-",IF(InfBel1LevelDesired&lt;$B43,"-",$C43))</f>
        <v>-</v>
      </c>
      <c r="M43" s="1" t="str">
        <f t="shared" ref="M43" si="2739">IF(InfBel1LevelCurrent&gt;=$B43,"-",IF(InfBel1LevelDesired&lt;$B43,"-",$D43))</f>
        <v>-</v>
      </c>
      <c r="N43" s="21" t="str">
        <f t="shared" ref="N43" si="2740">IF(InfBel1LevelCurrent&gt;=$B43,"-",IF(InfBel1LevelDesired&lt;$B43,"-",$E43))</f>
        <v>-</v>
      </c>
      <c r="O43" s="15" t="str">
        <f t="shared" ref="O43" si="2741">IF(InfBoo1LevelCurrent&gt;=$B43,"-",IF(InfBoo1LevelDesired&lt;$B43,"-",$C43))</f>
        <v>-</v>
      </c>
      <c r="P43" s="1" t="str">
        <f t="shared" ref="P43" si="2742">IF(InfBoo1LevelCurrent&gt;=$B43,"-",IF(InfBoo1LevelDesired&lt;$B43,"-",$D43))</f>
        <v>-</v>
      </c>
      <c r="Q43" s="21" t="str">
        <f t="shared" ref="Q43" si="2743">IF(InfBoo1LevelCurrent&gt;=$B43,"-",IF(InfBoo1LevelDesired&lt;$B43,"-",$E43))</f>
        <v>-</v>
      </c>
      <c r="R43" s="15" t="str">
        <f t="shared" ref="R43" si="2744">IF(LanGog1LevelCurrent&gt;=$B43,"-",IF(LanGog1LevelDesired&lt;$B43,"-",$C43))</f>
        <v>-</v>
      </c>
      <c r="S43" s="1" t="str">
        <f t="shared" ref="S43" si="2745">IF(LanGog1LevelCurrent&gt;=$B43,"-",IF(LanGog1LevelDesired&lt;$B43,"-",$D43))</f>
        <v>-</v>
      </c>
      <c r="T43" s="21" t="str">
        <f t="shared" ref="T43" si="2746">IF(LanGog1LevelCurrent&gt;=$B43,"-",IF(LanGog1LevelDesired&lt;$B43,"-",$E43))</f>
        <v>-</v>
      </c>
      <c r="U43" s="15" t="str">
        <f t="shared" ref="U43" si="2747">IF(LanGlo1LevelCurrent&gt;=$B43,"-",IF(LanGlo1LevelDesired&lt;$B43,"-",$C43))</f>
        <v>-</v>
      </c>
      <c r="V43" s="1" t="str">
        <f t="shared" ref="V43" si="2748">IF(LanGlo1LevelCurrent&gt;=$B43,"-",IF(LanGlo1LevelDesired&lt;$B43,"-",$D43))</f>
        <v>-</v>
      </c>
      <c r="W43" s="21" t="str">
        <f t="shared" ref="W43" si="2749">IF(LanGlo1LevelCurrent&gt;=$B43,"-",IF(LanGlo1LevelDesired&lt;$B43,"-",$E43))</f>
        <v>-</v>
      </c>
      <c r="X43" s="15" t="str">
        <f t="shared" ref="X43" si="2750">IF(LanBel1LevelCurrent&gt;=$B43,"-",IF(LanBel1LevelDesired&lt;$B43,"-",$C43))</f>
        <v>-</v>
      </c>
      <c r="Y43" s="1" t="str">
        <f t="shared" ref="Y43" si="2751">IF(LanBel1LevelCurrent&gt;=$B43,"-",IF(LanBel1LevelDesired&lt;$B43,"-",$D43))</f>
        <v>-</v>
      </c>
      <c r="Z43" s="21" t="str">
        <f t="shared" ref="Z43" si="2752">IF(LanBel1LevelCurrent&gt;=$B43,"-",IF(LanBel1LevelDesired&lt;$B43,"-",$E43))</f>
        <v>-</v>
      </c>
      <c r="AA43" s="15" t="str">
        <f t="shared" ref="AA43" si="2753">IF(LanBoo1LevelCurrent&gt;=$B43,"-",IF(LanBoo1LevelDesired&lt;$B43,"-",$C43))</f>
        <v>-</v>
      </c>
      <c r="AB43" s="1" t="str">
        <f t="shared" ref="AB43" si="2754">IF(LanBoo1LevelCurrent&gt;=$B43,"-",IF(LanBoo1LevelDesired&lt;$B43,"-",$D43))</f>
        <v>-</v>
      </c>
      <c r="AC43" s="21" t="str">
        <f t="shared" ref="AC43" si="2755">IF(LanBoo1LevelCurrent&gt;=$B43,"-",IF(LanBoo1LevelDesired&lt;$B43,"-",$E43))</f>
        <v>-</v>
      </c>
      <c r="AD43" s="15" t="str">
        <f t="shared" ref="AD43" si="2756">IF(MarGog1LevelCurrent&gt;=$B43,"-",IF(MarGog1LevelDesired&lt;$B43,"-",$C43))</f>
        <v>-</v>
      </c>
      <c r="AE43" s="1" t="str">
        <f t="shared" ref="AE43" si="2757">IF(MarGog1LevelCurrent&gt;=$B43,"-",IF(MarGog1LevelDesired&lt;$B43,"-",$D43))</f>
        <v>-</v>
      </c>
      <c r="AF43" s="21" t="str">
        <f t="shared" ref="AF43" si="2758">IF(MarGog1LevelCurrent&gt;=$B43,"-",IF(MarGog1LevelDesired&lt;$B43,"-",$E43))</f>
        <v>-</v>
      </c>
      <c r="AG43" s="15" t="str">
        <f t="shared" ref="AG43" si="2759">IF(MarGlo1LevelCurrent&gt;=$B43,"-",IF(MarGlo1LevelDesired&lt;$B43,"-",$C43))</f>
        <v>-</v>
      </c>
      <c r="AH43" s="1" t="str">
        <f t="shared" ref="AH43" si="2760">IF(MarGlo1LevelCurrent&gt;=$B43,"-",IF(MarGlo1LevelDesired&lt;$B43,"-",$D43))</f>
        <v>-</v>
      </c>
      <c r="AI43" s="21" t="str">
        <f t="shared" ref="AI43" si="2761">IF(MarGlo1LevelCurrent&gt;=$B43,"-",IF(MarGlo1LevelDesired&lt;$B43,"-",$E43))</f>
        <v>-</v>
      </c>
      <c r="AJ43" s="15" t="str">
        <f t="shared" ref="AJ43" si="2762">IF(MarBel1LevelCurrent&gt;=$B43,"-",IF(MarBel1LevelDesired&lt;$B43,"-",$C43))</f>
        <v>-</v>
      </c>
      <c r="AK43" s="1" t="str">
        <f t="shared" ref="AK43" si="2763">IF(MarBel1LevelCurrent&gt;=$B43,"-",IF(MarBel1LevelDesired&lt;$B43,"-",$D43))</f>
        <v>-</v>
      </c>
      <c r="AL43" s="21" t="str">
        <f t="shared" ref="AL43" si="2764">IF(MarBel1LevelCurrent&gt;=$B43,"-",IF(MarBel1LevelDesired&lt;$B43,"-",$E43))</f>
        <v>-</v>
      </c>
      <c r="AM43" s="15" t="str">
        <f t="shared" ref="AM43" si="2765">IF(MarBoo1LevelCurrent&gt;=$B43,"-",IF(MarBoo1LevelDesired&lt;$B43,"-",$C43))</f>
        <v>-</v>
      </c>
      <c r="AN43" s="1" t="str">
        <f t="shared" ref="AN43" si="2766">IF(MarBoo1LevelCurrent&gt;=$B43,"-",IF(MarBoo1LevelDesired&lt;$B43,"-",$D43))</f>
        <v>-</v>
      </c>
      <c r="AO43" s="21" t="str">
        <f t="shared" ref="AO43" si="2767">IF(MarBoo1LevelCurrent&gt;=$B43,"-",IF(MarBoo1LevelDesired&lt;$B43,"-",$E43))</f>
        <v>-</v>
      </c>
      <c r="AP43" s="15" t="str">
        <f t="shared" ref="AP43" si="2768">IF(InfGog2LevelCurrent&gt;=$B43,"-",IF(InfGog2LevelDesired&lt;$B43,"-",$C43))</f>
        <v>-</v>
      </c>
      <c r="AQ43" s="1" t="str">
        <f t="shared" ref="AQ43" si="2769">IF(InfGog2LevelCurrent&gt;=$B43,"-",IF(InfGog2LevelDesired&lt;$B43,"-",$D43))</f>
        <v>-</v>
      </c>
      <c r="AR43" s="21" t="str">
        <f t="shared" ref="AR43" si="2770">IF(InfGog2LevelCurrent&gt;=$B43,"-",IF(InfGog2LevelDesired&lt;$B43,"-",$E43))</f>
        <v>-</v>
      </c>
      <c r="AS43" s="15" t="str">
        <f t="shared" ref="AS43" si="2771">IF(InfGlo2LevelCurrent&gt;=$B43,"-",IF(InfGlo2LevelDesired&lt;$B43,"-",$C43))</f>
        <v>-</v>
      </c>
      <c r="AT43" s="1" t="str">
        <f t="shared" ref="AT43" si="2772">IF(InfGlo2LevelCurrent&gt;=$B43,"-",IF(InfGlo2LevelDesired&lt;$B43,"-",$D43))</f>
        <v>-</v>
      </c>
      <c r="AU43" s="21" t="str">
        <f t="shared" ref="AU43" si="2773">IF(InfGlo2LevelCurrent&gt;=$B43,"-",IF(InfGlo2LevelDesired&lt;$B43,"-",$E43))</f>
        <v>-</v>
      </c>
      <c r="AV43" s="15" t="str">
        <f t="shared" ref="AV43" si="2774">IF(InfBel2LevelCurrent&gt;=$B43,"-",IF(InfBel2LevelDesired&lt;$B43,"-",$C43))</f>
        <v>-</v>
      </c>
      <c r="AW43" s="1" t="str">
        <f t="shared" ref="AW43" si="2775">IF(InfBel2LevelCurrent&gt;=$B43,"-",IF(InfBel2LevelDesired&lt;$B43,"-",$D43))</f>
        <v>-</v>
      </c>
      <c r="AX43" s="21" t="str">
        <f t="shared" ref="AX43" si="2776">IF(InfBel2LevelCurrent&gt;=$B43,"-",IF(InfBel2LevelDesired&lt;$B43,"-",$E43))</f>
        <v>-</v>
      </c>
      <c r="AY43" s="15" t="str">
        <f t="shared" ref="AY43" si="2777">IF(InfBoo2LevelCurrent&gt;=$B43,"-",IF(InfBoo2LevelDesired&lt;$B43,"-",$C43))</f>
        <v>-</v>
      </c>
      <c r="AZ43" s="1" t="str">
        <f t="shared" ref="AZ43" si="2778">IF(InfBoo2LevelCurrent&gt;=$B43,"-",IF(InfBoo2LevelDesired&lt;$B43,"-",$D43))</f>
        <v>-</v>
      </c>
      <c r="BA43" s="21" t="str">
        <f t="shared" ref="BA43" si="2779">IF(InfBoo2LevelCurrent&gt;=$B43,"-",IF(InfBoo2LevelDesired&lt;$B43,"-",$E43))</f>
        <v>-</v>
      </c>
      <c r="BB43" s="15" t="str">
        <f t="shared" ref="BB43" si="2780">IF(LanGog2LevelCurrent&gt;=$B43,"-",IF(LanGog2LevelDesired&lt;$B43,"-",$C43))</f>
        <v>-</v>
      </c>
      <c r="BC43" s="1" t="str">
        <f t="shared" ref="BC43" si="2781">IF(LanGog2LevelCurrent&gt;=$B43,"-",IF(LanGog2LevelDesired&lt;$B43,"-",$D43))</f>
        <v>-</v>
      </c>
      <c r="BD43" s="21" t="str">
        <f t="shared" ref="BD43" si="2782">IF(LanGog2LevelCurrent&gt;=$B43,"-",IF(LanGog2LevelDesired&lt;$B43,"-",$E43))</f>
        <v>-</v>
      </c>
      <c r="BE43" s="15" t="str">
        <f t="shared" ref="BE43" si="2783">IF(LanGlo2LevelCurrent&gt;=$B43,"-",IF(LanGlo2LevelDesired&lt;$B43,"-",$C43))</f>
        <v>-</v>
      </c>
      <c r="BF43" s="1" t="str">
        <f t="shared" ref="BF43" si="2784">IF(LanGlo2LevelCurrent&gt;=$B43,"-",IF(LanGlo2LevelDesired&lt;$B43,"-",$D43))</f>
        <v>-</v>
      </c>
      <c r="BG43" s="21" t="str">
        <f t="shared" ref="BG43" si="2785">IF(LanGlo2LevelCurrent&gt;=$B43,"-",IF(LanGlo2LevelDesired&lt;$B43,"-",$E43))</f>
        <v>-</v>
      </c>
      <c r="BH43" s="15" t="str">
        <f t="shared" ref="BH43" si="2786">IF(LanBel2LevelCurrent&gt;=$B43,"-",IF(LanBel2LevelDesired&lt;$B43,"-",$C43))</f>
        <v>-</v>
      </c>
      <c r="BI43" s="1" t="str">
        <f t="shared" ref="BI43" si="2787">IF(LanBel2LevelCurrent&gt;=$B43,"-",IF(LanBel2LevelDesired&lt;$B43,"-",$D43))</f>
        <v>-</v>
      </c>
      <c r="BJ43" s="21" t="str">
        <f t="shared" ref="BJ43" si="2788">IF(LanBel2LevelCurrent&gt;=$B43,"-",IF(LanBel2LevelDesired&lt;$B43,"-",$E43))</f>
        <v>-</v>
      </c>
      <c r="BK43" s="15" t="str">
        <f t="shared" ref="BK43" si="2789">IF(LanBoo2LevelCurrent&gt;=$B43,"-",IF(LanBoo2LevelDesired&lt;$B43,"-",$C43))</f>
        <v>-</v>
      </c>
      <c r="BL43" s="1" t="str">
        <f t="shared" ref="BL43" si="2790">IF(LanBoo2LevelCurrent&gt;=$B43,"-",IF(LanBoo2LevelDesired&lt;$B43,"-",$D43))</f>
        <v>-</v>
      </c>
      <c r="BM43" s="21" t="str">
        <f t="shared" ref="BM43" si="2791">IF(LanBoo2LevelCurrent&gt;=$B43,"-",IF(LanBoo2LevelDesired&lt;$B43,"-",$E43))</f>
        <v>-</v>
      </c>
      <c r="BN43" s="15" t="str">
        <f t="shared" ref="BN43" si="2792">IF(MarGog2LevelCurrent&gt;=$B43,"-",IF(MarGog2LevelDesired&lt;$B43,"-",$C43))</f>
        <v>-</v>
      </c>
      <c r="BO43" s="1" t="str">
        <f t="shared" ref="BO43" si="2793">IF(MarGog2LevelCurrent&gt;=$B43,"-",IF(MarGog2LevelDesired&lt;$B43,"-",$D43))</f>
        <v>-</v>
      </c>
      <c r="BP43" s="21" t="str">
        <f t="shared" ref="BP43" si="2794">IF(MarGog2LevelCurrent&gt;=$B43,"-",IF(MarGog2LevelDesired&lt;$B43,"-",$E43))</f>
        <v>-</v>
      </c>
      <c r="BQ43" s="15" t="str">
        <f t="shared" ref="BQ43" si="2795">IF(MarGlo2LevelCurrent&gt;=$B43,"-",IF(MarGlo2LevelDesired&lt;$B43,"-",$C43))</f>
        <v>-</v>
      </c>
      <c r="BR43" s="1" t="str">
        <f t="shared" ref="BR43" si="2796">IF(MarGlo2LevelCurrent&gt;=$B43,"-",IF(MarGlo2LevelDesired&lt;$B43,"-",$D43))</f>
        <v>-</v>
      </c>
      <c r="BS43" s="21" t="str">
        <f t="shared" ref="BS43" si="2797">IF(MarGlo2LevelCurrent&gt;=$B43,"-",IF(MarGlo2LevelDesired&lt;$B43,"-",$E43))</f>
        <v>-</v>
      </c>
      <c r="BT43" s="15" t="str">
        <f t="shared" ref="BT43" si="2798">IF(MarBel2LevelCurrent&gt;=$B43,"-",IF(MarBel2LevelDesired&lt;$B43,"-",$C43))</f>
        <v>-</v>
      </c>
      <c r="BU43" s="1" t="str">
        <f t="shared" ref="BU43" si="2799">IF(MarBel2LevelCurrent&gt;=$B43,"-",IF(MarBel2LevelDesired&lt;$B43,"-",$D43))</f>
        <v>-</v>
      </c>
      <c r="BV43" s="21" t="str">
        <f t="shared" ref="BV43" si="2800">IF(MarBel2LevelCurrent&gt;=$B43,"-",IF(MarBel2LevelDesired&lt;$B43,"-",$E43))</f>
        <v>-</v>
      </c>
      <c r="BW43" s="15" t="str">
        <f t="shared" ref="BW43" si="2801">IF(MarBoo2LevelCurrent&gt;=$B43,"-",IF(MarBoo2LevelDesired&lt;$B43,"-",$C43))</f>
        <v>-</v>
      </c>
      <c r="BX43" s="1" t="str">
        <f t="shared" ref="BX43" si="2802">IF(MarBoo2LevelCurrent&gt;=$B43,"-",IF(MarBoo2LevelDesired&lt;$B43,"-",$D43))</f>
        <v>-</v>
      </c>
      <c r="BY43" s="21" t="str">
        <f t="shared" ref="BY43" si="2803">IF(MarBoo2LevelCurrent&gt;=$B43,"-",IF(MarBoo2LevelDesired&lt;$B43,"-",$E43))</f>
        <v>-</v>
      </c>
      <c r="BZ43" s="15" t="str">
        <f t="shared" si="2410"/>
        <v>-</v>
      </c>
      <c r="CA43" s="1" t="str" cm="1">
        <f t="array" ref="CA43">IF(InfGog3LevelCurrent&gt;=$B43,"-",IF(InfGog3LevelDesired&lt;$B43,"-",$D43))</f>
        <v>-</v>
      </c>
      <c r="CB43" s="21" t="str" cm="1">
        <f t="array" ref="CB43">IF(InfGog3LevelCurrent&gt;=$B43,"-",IF(InfGog3LevelDesired&lt;$B43,"-",$E43))</f>
        <v>-</v>
      </c>
      <c r="CC43" s="15" t="str">
        <f t="shared" si="2411"/>
        <v>-</v>
      </c>
      <c r="CD43" s="1" t="str">
        <f t="shared" si="2412"/>
        <v>-</v>
      </c>
      <c r="CE43" s="21" t="str">
        <f t="shared" si="2413"/>
        <v>-</v>
      </c>
      <c r="CF43" s="15" t="str">
        <f t="shared" si="2414"/>
        <v>-</v>
      </c>
      <c r="CG43" s="1" t="str">
        <f t="shared" si="2415"/>
        <v>-</v>
      </c>
      <c r="CH43" s="21" t="str">
        <f t="shared" si="2416"/>
        <v>-</v>
      </c>
      <c r="CI43" s="15" t="str">
        <f t="shared" si="2417"/>
        <v>-</v>
      </c>
      <c r="CJ43" s="1" t="str">
        <f t="shared" si="2418"/>
        <v>-</v>
      </c>
      <c r="CK43" s="21" t="str">
        <f t="shared" si="2419"/>
        <v>-</v>
      </c>
      <c r="CL43" s="15" t="str">
        <f t="shared" si="2420"/>
        <v>-</v>
      </c>
      <c r="CM43" s="1" t="str">
        <f t="shared" si="2421"/>
        <v>-</v>
      </c>
      <c r="CN43" s="21" t="str">
        <f t="shared" si="2422"/>
        <v>-</v>
      </c>
      <c r="CO43" s="15" t="str">
        <f t="shared" si="2423"/>
        <v>-</v>
      </c>
      <c r="CP43" s="1" t="str">
        <f t="shared" si="2424"/>
        <v>-</v>
      </c>
      <c r="CQ43" s="21" t="str">
        <f t="shared" si="2425"/>
        <v>-</v>
      </c>
      <c r="CR43" s="15" t="str">
        <f t="shared" si="2426"/>
        <v>-</v>
      </c>
      <c r="CS43" s="1" t="str">
        <f t="shared" si="2427"/>
        <v>-</v>
      </c>
      <c r="CT43" s="21" t="str">
        <f t="shared" si="2428"/>
        <v>-</v>
      </c>
      <c r="CU43" s="15" t="str">
        <f t="shared" si="2429"/>
        <v>-</v>
      </c>
      <c r="CV43" s="1" t="str">
        <f t="shared" si="2430"/>
        <v>-</v>
      </c>
      <c r="CW43" s="21" t="str">
        <f t="shared" si="2431"/>
        <v>-</v>
      </c>
      <c r="CX43" s="15" t="str">
        <f t="shared" si="2432"/>
        <v>-</v>
      </c>
      <c r="CY43" s="1" t="str">
        <f t="shared" si="2433"/>
        <v>-</v>
      </c>
      <c r="CZ43" s="21" t="str">
        <f t="shared" si="2434"/>
        <v>-</v>
      </c>
      <c r="DA43" s="15" t="str">
        <f t="shared" si="2435"/>
        <v>-</v>
      </c>
      <c r="DB43" s="1" t="str">
        <f t="shared" si="2436"/>
        <v>-</v>
      </c>
      <c r="DC43" s="21" t="str">
        <f t="shared" si="2437"/>
        <v>-</v>
      </c>
      <c r="DD43" s="15" t="str">
        <f t="shared" si="2438"/>
        <v>-</v>
      </c>
      <c r="DE43" s="1" t="str">
        <f t="shared" si="2439"/>
        <v>-</v>
      </c>
      <c r="DF43" s="21" t="str">
        <f t="shared" si="2440"/>
        <v>-</v>
      </c>
      <c r="DG43" s="15" t="str">
        <f t="shared" si="2441"/>
        <v>-</v>
      </c>
      <c r="DH43" s="1" t="str">
        <f t="shared" si="2442"/>
        <v>-</v>
      </c>
      <c r="DI43" s="21" t="str">
        <f t="shared" si="2443"/>
        <v>-</v>
      </c>
    </row>
    <row r="44" spans="2:113" x14ac:dyDescent="0.3">
      <c r="B44" s="1">
        <v>39</v>
      </c>
      <c r="C44" s="67">
        <v>250</v>
      </c>
      <c r="D44" s="88" t="s">
        <v>27</v>
      </c>
      <c r="E44" s="21" t="s">
        <v>27</v>
      </c>
      <c r="F44" s="15" t="str">
        <f t="shared" ref="F44" si="2804">IF(InfGog1LevelCurrent&gt;=$B44,"-",IF(InfGog1LevelDesired&lt;$B44,"-",$C44))</f>
        <v>-</v>
      </c>
      <c r="G44" s="1" t="str">
        <f t="shared" ref="G44" si="2805">IF(InfGog1LevelCurrent&gt;=$B44,"-",IF(InfGog1LevelDesired&lt;$B44,"-",$D44))</f>
        <v>-</v>
      </c>
      <c r="H44" s="21" t="str">
        <f t="shared" ref="H44" si="2806">IF(InfGog1LevelCurrent&gt;=$B44,"-",IF(InfGog1LevelDesired&lt;$B44,"-",$E44))</f>
        <v>-</v>
      </c>
      <c r="I44" s="15" t="str">
        <f t="shared" ref="I44" si="2807">IF(InfGlo1LevelCurrent&gt;=$B44,"-",IF(InfGlo1LevelDesired&lt;$B44,"-",$C44))</f>
        <v>-</v>
      </c>
      <c r="J44" s="1" t="str">
        <f t="shared" ref="J44" si="2808">IF(InfGlo1LevelCurrent&gt;=$B44,"-",IF(InfGlo1LevelDesired&lt;$B44,"-",$D44))</f>
        <v>-</v>
      </c>
      <c r="K44" s="21" t="str">
        <f t="shared" ref="K44" si="2809">IF(InfGlo1LevelCurrent&gt;=$B44,"-",IF(InfGlo1LevelDesired&lt;$B44,"-",$E44))</f>
        <v>-</v>
      </c>
      <c r="L44" s="15" t="str">
        <f t="shared" ref="L44" si="2810">IF(InfBel1LevelCurrent&gt;=$B44,"-",IF(InfBel1LevelDesired&lt;$B44,"-",$C44))</f>
        <v>-</v>
      </c>
      <c r="M44" s="1" t="str">
        <f t="shared" ref="M44" si="2811">IF(InfBel1LevelCurrent&gt;=$B44,"-",IF(InfBel1LevelDesired&lt;$B44,"-",$D44))</f>
        <v>-</v>
      </c>
      <c r="N44" s="21" t="str">
        <f t="shared" ref="N44" si="2812">IF(InfBel1LevelCurrent&gt;=$B44,"-",IF(InfBel1LevelDesired&lt;$B44,"-",$E44))</f>
        <v>-</v>
      </c>
      <c r="O44" s="15" t="str">
        <f t="shared" ref="O44" si="2813">IF(InfBoo1LevelCurrent&gt;=$B44,"-",IF(InfBoo1LevelDesired&lt;$B44,"-",$C44))</f>
        <v>-</v>
      </c>
      <c r="P44" s="1" t="str">
        <f t="shared" ref="P44" si="2814">IF(InfBoo1LevelCurrent&gt;=$B44,"-",IF(InfBoo1LevelDesired&lt;$B44,"-",$D44))</f>
        <v>-</v>
      </c>
      <c r="Q44" s="21" t="str">
        <f t="shared" ref="Q44" si="2815">IF(InfBoo1LevelCurrent&gt;=$B44,"-",IF(InfBoo1LevelDesired&lt;$B44,"-",$E44))</f>
        <v>-</v>
      </c>
      <c r="R44" s="15" t="str">
        <f t="shared" ref="R44" si="2816">IF(LanGog1LevelCurrent&gt;=$B44,"-",IF(LanGog1LevelDesired&lt;$B44,"-",$C44))</f>
        <v>-</v>
      </c>
      <c r="S44" s="1" t="str">
        <f t="shared" ref="S44" si="2817">IF(LanGog1LevelCurrent&gt;=$B44,"-",IF(LanGog1LevelDesired&lt;$B44,"-",$D44))</f>
        <v>-</v>
      </c>
      <c r="T44" s="21" t="str">
        <f t="shared" ref="T44" si="2818">IF(LanGog1LevelCurrent&gt;=$B44,"-",IF(LanGog1LevelDesired&lt;$B44,"-",$E44))</f>
        <v>-</v>
      </c>
      <c r="U44" s="15" t="str">
        <f t="shared" ref="U44" si="2819">IF(LanGlo1LevelCurrent&gt;=$B44,"-",IF(LanGlo1LevelDesired&lt;$B44,"-",$C44))</f>
        <v>-</v>
      </c>
      <c r="V44" s="1" t="str">
        <f t="shared" ref="V44" si="2820">IF(LanGlo1LevelCurrent&gt;=$B44,"-",IF(LanGlo1LevelDesired&lt;$B44,"-",$D44))</f>
        <v>-</v>
      </c>
      <c r="W44" s="21" t="str">
        <f t="shared" ref="W44" si="2821">IF(LanGlo1LevelCurrent&gt;=$B44,"-",IF(LanGlo1LevelDesired&lt;$B44,"-",$E44))</f>
        <v>-</v>
      </c>
      <c r="X44" s="15" t="str">
        <f t="shared" ref="X44" si="2822">IF(LanBel1LevelCurrent&gt;=$B44,"-",IF(LanBel1LevelDesired&lt;$B44,"-",$C44))</f>
        <v>-</v>
      </c>
      <c r="Y44" s="1" t="str">
        <f t="shared" ref="Y44" si="2823">IF(LanBel1LevelCurrent&gt;=$B44,"-",IF(LanBel1LevelDesired&lt;$B44,"-",$D44))</f>
        <v>-</v>
      </c>
      <c r="Z44" s="21" t="str">
        <f t="shared" ref="Z44" si="2824">IF(LanBel1LevelCurrent&gt;=$B44,"-",IF(LanBel1LevelDesired&lt;$B44,"-",$E44))</f>
        <v>-</v>
      </c>
      <c r="AA44" s="15" t="str">
        <f t="shared" ref="AA44" si="2825">IF(LanBoo1LevelCurrent&gt;=$B44,"-",IF(LanBoo1LevelDesired&lt;$B44,"-",$C44))</f>
        <v>-</v>
      </c>
      <c r="AB44" s="1" t="str">
        <f t="shared" ref="AB44" si="2826">IF(LanBoo1LevelCurrent&gt;=$B44,"-",IF(LanBoo1LevelDesired&lt;$B44,"-",$D44))</f>
        <v>-</v>
      </c>
      <c r="AC44" s="21" t="str">
        <f t="shared" ref="AC44" si="2827">IF(LanBoo1LevelCurrent&gt;=$B44,"-",IF(LanBoo1LevelDesired&lt;$B44,"-",$E44))</f>
        <v>-</v>
      </c>
      <c r="AD44" s="15" t="str">
        <f t="shared" ref="AD44" si="2828">IF(MarGog1LevelCurrent&gt;=$B44,"-",IF(MarGog1LevelDesired&lt;$B44,"-",$C44))</f>
        <v>-</v>
      </c>
      <c r="AE44" s="1" t="str">
        <f t="shared" ref="AE44" si="2829">IF(MarGog1LevelCurrent&gt;=$B44,"-",IF(MarGog1LevelDesired&lt;$B44,"-",$D44))</f>
        <v>-</v>
      </c>
      <c r="AF44" s="21" t="str">
        <f t="shared" ref="AF44" si="2830">IF(MarGog1LevelCurrent&gt;=$B44,"-",IF(MarGog1LevelDesired&lt;$B44,"-",$E44))</f>
        <v>-</v>
      </c>
      <c r="AG44" s="15" t="str">
        <f t="shared" ref="AG44" si="2831">IF(MarGlo1LevelCurrent&gt;=$B44,"-",IF(MarGlo1LevelDesired&lt;$B44,"-",$C44))</f>
        <v>-</v>
      </c>
      <c r="AH44" s="1" t="str">
        <f t="shared" ref="AH44" si="2832">IF(MarGlo1LevelCurrent&gt;=$B44,"-",IF(MarGlo1LevelDesired&lt;$B44,"-",$D44))</f>
        <v>-</v>
      </c>
      <c r="AI44" s="21" t="str">
        <f t="shared" ref="AI44" si="2833">IF(MarGlo1LevelCurrent&gt;=$B44,"-",IF(MarGlo1LevelDesired&lt;$B44,"-",$E44))</f>
        <v>-</v>
      </c>
      <c r="AJ44" s="15" t="str">
        <f t="shared" ref="AJ44" si="2834">IF(MarBel1LevelCurrent&gt;=$B44,"-",IF(MarBel1LevelDesired&lt;$B44,"-",$C44))</f>
        <v>-</v>
      </c>
      <c r="AK44" s="1" t="str">
        <f t="shared" ref="AK44" si="2835">IF(MarBel1LevelCurrent&gt;=$B44,"-",IF(MarBel1LevelDesired&lt;$B44,"-",$D44))</f>
        <v>-</v>
      </c>
      <c r="AL44" s="21" t="str">
        <f t="shared" ref="AL44" si="2836">IF(MarBel1LevelCurrent&gt;=$B44,"-",IF(MarBel1LevelDesired&lt;$B44,"-",$E44))</f>
        <v>-</v>
      </c>
      <c r="AM44" s="15" t="str">
        <f t="shared" ref="AM44" si="2837">IF(MarBoo1LevelCurrent&gt;=$B44,"-",IF(MarBoo1LevelDesired&lt;$B44,"-",$C44))</f>
        <v>-</v>
      </c>
      <c r="AN44" s="1" t="str">
        <f t="shared" ref="AN44" si="2838">IF(MarBoo1LevelCurrent&gt;=$B44,"-",IF(MarBoo1LevelDesired&lt;$B44,"-",$D44))</f>
        <v>-</v>
      </c>
      <c r="AO44" s="21" t="str">
        <f t="shared" ref="AO44" si="2839">IF(MarBoo1LevelCurrent&gt;=$B44,"-",IF(MarBoo1LevelDesired&lt;$B44,"-",$E44))</f>
        <v>-</v>
      </c>
      <c r="AP44" s="15" t="str">
        <f t="shared" ref="AP44" si="2840">IF(InfGog2LevelCurrent&gt;=$B44,"-",IF(InfGog2LevelDesired&lt;$B44,"-",$C44))</f>
        <v>-</v>
      </c>
      <c r="AQ44" s="1" t="str">
        <f t="shared" ref="AQ44" si="2841">IF(InfGog2LevelCurrent&gt;=$B44,"-",IF(InfGog2LevelDesired&lt;$B44,"-",$D44))</f>
        <v>-</v>
      </c>
      <c r="AR44" s="21" t="str">
        <f t="shared" ref="AR44" si="2842">IF(InfGog2LevelCurrent&gt;=$B44,"-",IF(InfGog2LevelDesired&lt;$B44,"-",$E44))</f>
        <v>-</v>
      </c>
      <c r="AS44" s="15" t="str">
        <f t="shared" ref="AS44" si="2843">IF(InfGlo2LevelCurrent&gt;=$B44,"-",IF(InfGlo2LevelDesired&lt;$B44,"-",$C44))</f>
        <v>-</v>
      </c>
      <c r="AT44" s="1" t="str">
        <f t="shared" ref="AT44" si="2844">IF(InfGlo2LevelCurrent&gt;=$B44,"-",IF(InfGlo2LevelDesired&lt;$B44,"-",$D44))</f>
        <v>-</v>
      </c>
      <c r="AU44" s="21" t="str">
        <f t="shared" ref="AU44" si="2845">IF(InfGlo2LevelCurrent&gt;=$B44,"-",IF(InfGlo2LevelDesired&lt;$B44,"-",$E44))</f>
        <v>-</v>
      </c>
      <c r="AV44" s="15" t="str">
        <f t="shared" ref="AV44" si="2846">IF(InfBel2LevelCurrent&gt;=$B44,"-",IF(InfBel2LevelDesired&lt;$B44,"-",$C44))</f>
        <v>-</v>
      </c>
      <c r="AW44" s="1" t="str">
        <f t="shared" ref="AW44" si="2847">IF(InfBel2LevelCurrent&gt;=$B44,"-",IF(InfBel2LevelDesired&lt;$B44,"-",$D44))</f>
        <v>-</v>
      </c>
      <c r="AX44" s="21" t="str">
        <f t="shared" ref="AX44" si="2848">IF(InfBel2LevelCurrent&gt;=$B44,"-",IF(InfBel2LevelDesired&lt;$B44,"-",$E44))</f>
        <v>-</v>
      </c>
      <c r="AY44" s="15" t="str">
        <f t="shared" ref="AY44" si="2849">IF(InfBoo2LevelCurrent&gt;=$B44,"-",IF(InfBoo2LevelDesired&lt;$B44,"-",$C44))</f>
        <v>-</v>
      </c>
      <c r="AZ44" s="1" t="str">
        <f t="shared" ref="AZ44" si="2850">IF(InfBoo2LevelCurrent&gt;=$B44,"-",IF(InfBoo2LevelDesired&lt;$B44,"-",$D44))</f>
        <v>-</v>
      </c>
      <c r="BA44" s="21" t="str">
        <f t="shared" ref="BA44" si="2851">IF(InfBoo2LevelCurrent&gt;=$B44,"-",IF(InfBoo2LevelDesired&lt;$B44,"-",$E44))</f>
        <v>-</v>
      </c>
      <c r="BB44" s="15" t="str">
        <f t="shared" ref="BB44" si="2852">IF(LanGog2LevelCurrent&gt;=$B44,"-",IF(LanGog2LevelDesired&lt;$B44,"-",$C44))</f>
        <v>-</v>
      </c>
      <c r="BC44" s="1" t="str">
        <f t="shared" ref="BC44" si="2853">IF(LanGog2LevelCurrent&gt;=$B44,"-",IF(LanGog2LevelDesired&lt;$B44,"-",$D44))</f>
        <v>-</v>
      </c>
      <c r="BD44" s="21" t="str">
        <f t="shared" ref="BD44" si="2854">IF(LanGog2LevelCurrent&gt;=$B44,"-",IF(LanGog2LevelDesired&lt;$B44,"-",$E44))</f>
        <v>-</v>
      </c>
      <c r="BE44" s="15" t="str">
        <f t="shared" ref="BE44" si="2855">IF(LanGlo2LevelCurrent&gt;=$B44,"-",IF(LanGlo2LevelDesired&lt;$B44,"-",$C44))</f>
        <v>-</v>
      </c>
      <c r="BF44" s="1" t="str">
        <f t="shared" ref="BF44" si="2856">IF(LanGlo2LevelCurrent&gt;=$B44,"-",IF(LanGlo2LevelDesired&lt;$B44,"-",$D44))</f>
        <v>-</v>
      </c>
      <c r="BG44" s="21" t="str">
        <f t="shared" ref="BG44" si="2857">IF(LanGlo2LevelCurrent&gt;=$B44,"-",IF(LanGlo2LevelDesired&lt;$B44,"-",$E44))</f>
        <v>-</v>
      </c>
      <c r="BH44" s="15" t="str">
        <f t="shared" ref="BH44" si="2858">IF(LanBel2LevelCurrent&gt;=$B44,"-",IF(LanBel2LevelDesired&lt;$B44,"-",$C44))</f>
        <v>-</v>
      </c>
      <c r="BI44" s="1" t="str">
        <f t="shared" ref="BI44" si="2859">IF(LanBel2LevelCurrent&gt;=$B44,"-",IF(LanBel2LevelDesired&lt;$B44,"-",$D44))</f>
        <v>-</v>
      </c>
      <c r="BJ44" s="21" t="str">
        <f t="shared" ref="BJ44" si="2860">IF(LanBel2LevelCurrent&gt;=$B44,"-",IF(LanBel2LevelDesired&lt;$B44,"-",$E44))</f>
        <v>-</v>
      </c>
      <c r="BK44" s="15" t="str">
        <f t="shared" ref="BK44" si="2861">IF(LanBoo2LevelCurrent&gt;=$B44,"-",IF(LanBoo2LevelDesired&lt;$B44,"-",$C44))</f>
        <v>-</v>
      </c>
      <c r="BL44" s="1" t="str">
        <f t="shared" ref="BL44" si="2862">IF(LanBoo2LevelCurrent&gt;=$B44,"-",IF(LanBoo2LevelDesired&lt;$B44,"-",$D44))</f>
        <v>-</v>
      </c>
      <c r="BM44" s="21" t="str">
        <f t="shared" ref="BM44" si="2863">IF(LanBoo2LevelCurrent&gt;=$B44,"-",IF(LanBoo2LevelDesired&lt;$B44,"-",$E44))</f>
        <v>-</v>
      </c>
      <c r="BN44" s="15" t="str">
        <f t="shared" ref="BN44" si="2864">IF(MarGog2LevelCurrent&gt;=$B44,"-",IF(MarGog2LevelDesired&lt;$B44,"-",$C44))</f>
        <v>-</v>
      </c>
      <c r="BO44" s="1" t="str">
        <f t="shared" ref="BO44" si="2865">IF(MarGog2LevelCurrent&gt;=$B44,"-",IF(MarGog2LevelDesired&lt;$B44,"-",$D44))</f>
        <v>-</v>
      </c>
      <c r="BP44" s="21" t="str">
        <f t="shared" ref="BP44" si="2866">IF(MarGog2LevelCurrent&gt;=$B44,"-",IF(MarGog2LevelDesired&lt;$B44,"-",$E44))</f>
        <v>-</v>
      </c>
      <c r="BQ44" s="15" t="str">
        <f t="shared" ref="BQ44" si="2867">IF(MarGlo2LevelCurrent&gt;=$B44,"-",IF(MarGlo2LevelDesired&lt;$B44,"-",$C44))</f>
        <v>-</v>
      </c>
      <c r="BR44" s="1" t="str">
        <f t="shared" ref="BR44" si="2868">IF(MarGlo2LevelCurrent&gt;=$B44,"-",IF(MarGlo2LevelDesired&lt;$B44,"-",$D44))</f>
        <v>-</v>
      </c>
      <c r="BS44" s="21" t="str">
        <f t="shared" ref="BS44" si="2869">IF(MarGlo2LevelCurrent&gt;=$B44,"-",IF(MarGlo2LevelDesired&lt;$B44,"-",$E44))</f>
        <v>-</v>
      </c>
      <c r="BT44" s="15" t="str">
        <f t="shared" ref="BT44" si="2870">IF(MarBel2LevelCurrent&gt;=$B44,"-",IF(MarBel2LevelDesired&lt;$B44,"-",$C44))</f>
        <v>-</v>
      </c>
      <c r="BU44" s="1" t="str">
        <f t="shared" ref="BU44" si="2871">IF(MarBel2LevelCurrent&gt;=$B44,"-",IF(MarBel2LevelDesired&lt;$B44,"-",$D44))</f>
        <v>-</v>
      </c>
      <c r="BV44" s="21" t="str">
        <f t="shared" ref="BV44" si="2872">IF(MarBel2LevelCurrent&gt;=$B44,"-",IF(MarBel2LevelDesired&lt;$B44,"-",$E44))</f>
        <v>-</v>
      </c>
      <c r="BW44" s="15" t="str">
        <f t="shared" ref="BW44" si="2873">IF(MarBoo2LevelCurrent&gt;=$B44,"-",IF(MarBoo2LevelDesired&lt;$B44,"-",$C44))</f>
        <v>-</v>
      </c>
      <c r="BX44" s="1" t="str">
        <f t="shared" ref="BX44" si="2874">IF(MarBoo2LevelCurrent&gt;=$B44,"-",IF(MarBoo2LevelDesired&lt;$B44,"-",$D44))</f>
        <v>-</v>
      </c>
      <c r="BY44" s="21" t="str">
        <f t="shared" ref="BY44" si="2875">IF(MarBoo2LevelCurrent&gt;=$B44,"-",IF(MarBoo2LevelDesired&lt;$B44,"-",$E44))</f>
        <v>-</v>
      </c>
      <c r="BZ44" s="15" t="str">
        <f t="shared" si="2410"/>
        <v>-</v>
      </c>
      <c r="CA44" s="1" t="str" cm="1">
        <f t="array" ref="CA44">IF(InfGog3LevelCurrent&gt;=$B44,"-",IF(InfGog3LevelDesired&lt;$B44,"-",$D44))</f>
        <v>-</v>
      </c>
      <c r="CB44" s="21" t="str" cm="1">
        <f t="array" ref="CB44">IF(InfGog3LevelCurrent&gt;=$B44,"-",IF(InfGog3LevelDesired&lt;$B44,"-",$E44))</f>
        <v>-</v>
      </c>
      <c r="CC44" s="15" t="str">
        <f t="shared" si="2411"/>
        <v>-</v>
      </c>
      <c r="CD44" s="1" t="str">
        <f t="shared" si="2412"/>
        <v>-</v>
      </c>
      <c r="CE44" s="21" t="str">
        <f t="shared" si="2413"/>
        <v>-</v>
      </c>
      <c r="CF44" s="15" t="str">
        <f t="shared" si="2414"/>
        <v>-</v>
      </c>
      <c r="CG44" s="1" t="str">
        <f t="shared" si="2415"/>
        <v>-</v>
      </c>
      <c r="CH44" s="21" t="str">
        <f t="shared" si="2416"/>
        <v>-</v>
      </c>
      <c r="CI44" s="15" t="str">
        <f t="shared" si="2417"/>
        <v>-</v>
      </c>
      <c r="CJ44" s="1" t="str">
        <f t="shared" si="2418"/>
        <v>-</v>
      </c>
      <c r="CK44" s="21" t="str">
        <f t="shared" si="2419"/>
        <v>-</v>
      </c>
      <c r="CL44" s="15" t="str">
        <f t="shared" si="2420"/>
        <v>-</v>
      </c>
      <c r="CM44" s="1" t="str">
        <f t="shared" si="2421"/>
        <v>-</v>
      </c>
      <c r="CN44" s="21" t="str">
        <f t="shared" si="2422"/>
        <v>-</v>
      </c>
      <c r="CO44" s="15" t="str">
        <f t="shared" si="2423"/>
        <v>-</v>
      </c>
      <c r="CP44" s="1" t="str">
        <f t="shared" si="2424"/>
        <v>-</v>
      </c>
      <c r="CQ44" s="21" t="str">
        <f t="shared" si="2425"/>
        <v>-</v>
      </c>
      <c r="CR44" s="15" t="str">
        <f t="shared" si="2426"/>
        <v>-</v>
      </c>
      <c r="CS44" s="1" t="str">
        <f t="shared" si="2427"/>
        <v>-</v>
      </c>
      <c r="CT44" s="21" t="str">
        <f t="shared" si="2428"/>
        <v>-</v>
      </c>
      <c r="CU44" s="15" t="str">
        <f t="shared" si="2429"/>
        <v>-</v>
      </c>
      <c r="CV44" s="1" t="str">
        <f t="shared" si="2430"/>
        <v>-</v>
      </c>
      <c r="CW44" s="21" t="str">
        <f t="shared" si="2431"/>
        <v>-</v>
      </c>
      <c r="CX44" s="15" t="str">
        <f t="shared" si="2432"/>
        <v>-</v>
      </c>
      <c r="CY44" s="1" t="str">
        <f t="shared" si="2433"/>
        <v>-</v>
      </c>
      <c r="CZ44" s="21" t="str">
        <f t="shared" si="2434"/>
        <v>-</v>
      </c>
      <c r="DA44" s="15" t="str">
        <f t="shared" si="2435"/>
        <v>-</v>
      </c>
      <c r="DB44" s="1" t="str">
        <f t="shared" si="2436"/>
        <v>-</v>
      </c>
      <c r="DC44" s="21" t="str">
        <f t="shared" si="2437"/>
        <v>-</v>
      </c>
      <c r="DD44" s="15" t="str">
        <f t="shared" si="2438"/>
        <v>-</v>
      </c>
      <c r="DE44" s="1" t="str">
        <f t="shared" si="2439"/>
        <v>-</v>
      </c>
      <c r="DF44" s="21" t="str">
        <f t="shared" si="2440"/>
        <v>-</v>
      </c>
      <c r="DG44" s="15" t="str">
        <f t="shared" si="2441"/>
        <v>-</v>
      </c>
      <c r="DH44" s="1" t="str">
        <f t="shared" si="2442"/>
        <v>-</v>
      </c>
      <c r="DI44" s="21" t="str">
        <f t="shared" si="2443"/>
        <v>-</v>
      </c>
    </row>
    <row r="45" spans="2:113" x14ac:dyDescent="0.3">
      <c r="B45" s="1">
        <v>40</v>
      </c>
      <c r="C45" s="67">
        <v>270</v>
      </c>
      <c r="D45" s="88" t="s">
        <v>27</v>
      </c>
      <c r="E45" s="21" t="s">
        <v>27</v>
      </c>
      <c r="F45" s="15" t="str">
        <f t="shared" ref="F45" si="2876">IF(InfGog1LevelCurrent&gt;=$B45,"-",IF(InfGog1LevelDesired&lt;$B45,"-",$C45))</f>
        <v>-</v>
      </c>
      <c r="G45" s="1" t="str">
        <f t="shared" ref="G45" si="2877">IF(InfGog1LevelCurrent&gt;=$B45,"-",IF(InfGog1LevelDesired&lt;$B45,"-",$D45))</f>
        <v>-</v>
      </c>
      <c r="H45" s="21" t="str">
        <f t="shared" ref="H45" si="2878">IF(InfGog1LevelCurrent&gt;=$B45,"-",IF(InfGog1LevelDesired&lt;$B45,"-",$E45))</f>
        <v>-</v>
      </c>
      <c r="I45" s="15" t="str">
        <f t="shared" ref="I45" si="2879">IF(InfGlo1LevelCurrent&gt;=$B45,"-",IF(InfGlo1LevelDesired&lt;$B45,"-",$C45))</f>
        <v>-</v>
      </c>
      <c r="J45" s="1" t="str">
        <f t="shared" ref="J45" si="2880">IF(InfGlo1LevelCurrent&gt;=$B45,"-",IF(InfGlo1LevelDesired&lt;$B45,"-",$D45))</f>
        <v>-</v>
      </c>
      <c r="K45" s="21" t="str">
        <f t="shared" ref="K45" si="2881">IF(InfGlo1LevelCurrent&gt;=$B45,"-",IF(InfGlo1LevelDesired&lt;$B45,"-",$E45))</f>
        <v>-</v>
      </c>
      <c r="L45" s="15" t="str">
        <f t="shared" ref="L45" si="2882">IF(InfBel1LevelCurrent&gt;=$B45,"-",IF(InfBel1LevelDesired&lt;$B45,"-",$C45))</f>
        <v>-</v>
      </c>
      <c r="M45" s="1" t="str">
        <f t="shared" ref="M45" si="2883">IF(InfBel1LevelCurrent&gt;=$B45,"-",IF(InfBel1LevelDesired&lt;$B45,"-",$D45))</f>
        <v>-</v>
      </c>
      <c r="N45" s="21" t="str">
        <f t="shared" ref="N45" si="2884">IF(InfBel1LevelCurrent&gt;=$B45,"-",IF(InfBel1LevelDesired&lt;$B45,"-",$E45))</f>
        <v>-</v>
      </c>
      <c r="O45" s="15" t="str">
        <f t="shared" ref="O45" si="2885">IF(InfBoo1LevelCurrent&gt;=$B45,"-",IF(InfBoo1LevelDesired&lt;$B45,"-",$C45))</f>
        <v>-</v>
      </c>
      <c r="P45" s="1" t="str">
        <f t="shared" ref="P45" si="2886">IF(InfBoo1LevelCurrent&gt;=$B45,"-",IF(InfBoo1LevelDesired&lt;$B45,"-",$D45))</f>
        <v>-</v>
      </c>
      <c r="Q45" s="21" t="str">
        <f t="shared" ref="Q45" si="2887">IF(InfBoo1LevelCurrent&gt;=$B45,"-",IF(InfBoo1LevelDesired&lt;$B45,"-",$E45))</f>
        <v>-</v>
      </c>
      <c r="R45" s="15" t="str">
        <f t="shared" ref="R45" si="2888">IF(LanGog1LevelCurrent&gt;=$B45,"-",IF(LanGog1LevelDesired&lt;$B45,"-",$C45))</f>
        <v>-</v>
      </c>
      <c r="S45" s="1" t="str">
        <f t="shared" ref="S45" si="2889">IF(LanGog1LevelCurrent&gt;=$B45,"-",IF(LanGog1LevelDesired&lt;$B45,"-",$D45))</f>
        <v>-</v>
      </c>
      <c r="T45" s="21" t="str">
        <f t="shared" ref="T45" si="2890">IF(LanGog1LevelCurrent&gt;=$B45,"-",IF(LanGog1LevelDesired&lt;$B45,"-",$E45))</f>
        <v>-</v>
      </c>
      <c r="U45" s="15" t="str">
        <f t="shared" ref="U45" si="2891">IF(LanGlo1LevelCurrent&gt;=$B45,"-",IF(LanGlo1LevelDesired&lt;$B45,"-",$C45))</f>
        <v>-</v>
      </c>
      <c r="V45" s="1" t="str">
        <f t="shared" ref="V45" si="2892">IF(LanGlo1LevelCurrent&gt;=$B45,"-",IF(LanGlo1LevelDesired&lt;$B45,"-",$D45))</f>
        <v>-</v>
      </c>
      <c r="W45" s="21" t="str">
        <f t="shared" ref="W45" si="2893">IF(LanGlo1LevelCurrent&gt;=$B45,"-",IF(LanGlo1LevelDesired&lt;$B45,"-",$E45))</f>
        <v>-</v>
      </c>
      <c r="X45" s="15" t="str">
        <f t="shared" ref="X45" si="2894">IF(LanBel1LevelCurrent&gt;=$B45,"-",IF(LanBel1LevelDesired&lt;$B45,"-",$C45))</f>
        <v>-</v>
      </c>
      <c r="Y45" s="1" t="str">
        <f t="shared" ref="Y45" si="2895">IF(LanBel1LevelCurrent&gt;=$B45,"-",IF(LanBel1LevelDesired&lt;$B45,"-",$D45))</f>
        <v>-</v>
      </c>
      <c r="Z45" s="21" t="str">
        <f t="shared" ref="Z45" si="2896">IF(LanBel1LevelCurrent&gt;=$B45,"-",IF(LanBel1LevelDesired&lt;$B45,"-",$E45))</f>
        <v>-</v>
      </c>
      <c r="AA45" s="15" t="str">
        <f t="shared" ref="AA45" si="2897">IF(LanBoo1LevelCurrent&gt;=$B45,"-",IF(LanBoo1LevelDesired&lt;$B45,"-",$C45))</f>
        <v>-</v>
      </c>
      <c r="AB45" s="1" t="str">
        <f t="shared" ref="AB45" si="2898">IF(LanBoo1LevelCurrent&gt;=$B45,"-",IF(LanBoo1LevelDesired&lt;$B45,"-",$D45))</f>
        <v>-</v>
      </c>
      <c r="AC45" s="21" t="str">
        <f t="shared" ref="AC45" si="2899">IF(LanBoo1LevelCurrent&gt;=$B45,"-",IF(LanBoo1LevelDesired&lt;$B45,"-",$E45))</f>
        <v>-</v>
      </c>
      <c r="AD45" s="15" t="str">
        <f t="shared" ref="AD45" si="2900">IF(MarGog1LevelCurrent&gt;=$B45,"-",IF(MarGog1LevelDesired&lt;$B45,"-",$C45))</f>
        <v>-</v>
      </c>
      <c r="AE45" s="1" t="str">
        <f t="shared" ref="AE45" si="2901">IF(MarGog1LevelCurrent&gt;=$B45,"-",IF(MarGog1LevelDesired&lt;$B45,"-",$D45))</f>
        <v>-</v>
      </c>
      <c r="AF45" s="21" t="str">
        <f t="shared" ref="AF45" si="2902">IF(MarGog1LevelCurrent&gt;=$B45,"-",IF(MarGog1LevelDesired&lt;$B45,"-",$E45))</f>
        <v>-</v>
      </c>
      <c r="AG45" s="15" t="str">
        <f t="shared" ref="AG45" si="2903">IF(MarGlo1LevelCurrent&gt;=$B45,"-",IF(MarGlo1LevelDesired&lt;$B45,"-",$C45))</f>
        <v>-</v>
      </c>
      <c r="AH45" s="1" t="str">
        <f t="shared" ref="AH45" si="2904">IF(MarGlo1LevelCurrent&gt;=$B45,"-",IF(MarGlo1LevelDesired&lt;$B45,"-",$D45))</f>
        <v>-</v>
      </c>
      <c r="AI45" s="21" t="str">
        <f t="shared" ref="AI45" si="2905">IF(MarGlo1LevelCurrent&gt;=$B45,"-",IF(MarGlo1LevelDesired&lt;$B45,"-",$E45))</f>
        <v>-</v>
      </c>
      <c r="AJ45" s="15" t="str">
        <f t="shared" ref="AJ45" si="2906">IF(MarBel1LevelCurrent&gt;=$B45,"-",IF(MarBel1LevelDesired&lt;$B45,"-",$C45))</f>
        <v>-</v>
      </c>
      <c r="AK45" s="1" t="str">
        <f t="shared" ref="AK45" si="2907">IF(MarBel1LevelCurrent&gt;=$B45,"-",IF(MarBel1LevelDesired&lt;$B45,"-",$D45))</f>
        <v>-</v>
      </c>
      <c r="AL45" s="21" t="str">
        <f t="shared" ref="AL45" si="2908">IF(MarBel1LevelCurrent&gt;=$B45,"-",IF(MarBel1LevelDesired&lt;$B45,"-",$E45))</f>
        <v>-</v>
      </c>
      <c r="AM45" s="15" t="str">
        <f t="shared" ref="AM45" si="2909">IF(MarBoo1LevelCurrent&gt;=$B45,"-",IF(MarBoo1LevelDesired&lt;$B45,"-",$C45))</f>
        <v>-</v>
      </c>
      <c r="AN45" s="1" t="str">
        <f t="shared" ref="AN45" si="2910">IF(MarBoo1LevelCurrent&gt;=$B45,"-",IF(MarBoo1LevelDesired&lt;$B45,"-",$D45))</f>
        <v>-</v>
      </c>
      <c r="AO45" s="21" t="str">
        <f t="shared" ref="AO45" si="2911">IF(MarBoo1LevelCurrent&gt;=$B45,"-",IF(MarBoo1LevelDesired&lt;$B45,"-",$E45))</f>
        <v>-</v>
      </c>
      <c r="AP45" s="15" t="str">
        <f t="shared" ref="AP45" si="2912">IF(InfGog2LevelCurrent&gt;=$B45,"-",IF(InfGog2LevelDesired&lt;$B45,"-",$C45))</f>
        <v>-</v>
      </c>
      <c r="AQ45" s="1" t="str">
        <f t="shared" ref="AQ45" si="2913">IF(InfGog2LevelCurrent&gt;=$B45,"-",IF(InfGog2LevelDesired&lt;$B45,"-",$D45))</f>
        <v>-</v>
      </c>
      <c r="AR45" s="21" t="str">
        <f t="shared" ref="AR45" si="2914">IF(InfGog2LevelCurrent&gt;=$B45,"-",IF(InfGog2LevelDesired&lt;$B45,"-",$E45))</f>
        <v>-</v>
      </c>
      <c r="AS45" s="15" t="str">
        <f t="shared" ref="AS45" si="2915">IF(InfGlo2LevelCurrent&gt;=$B45,"-",IF(InfGlo2LevelDesired&lt;$B45,"-",$C45))</f>
        <v>-</v>
      </c>
      <c r="AT45" s="1" t="str">
        <f t="shared" ref="AT45" si="2916">IF(InfGlo2LevelCurrent&gt;=$B45,"-",IF(InfGlo2LevelDesired&lt;$B45,"-",$D45))</f>
        <v>-</v>
      </c>
      <c r="AU45" s="21" t="str">
        <f t="shared" ref="AU45" si="2917">IF(InfGlo2LevelCurrent&gt;=$B45,"-",IF(InfGlo2LevelDesired&lt;$B45,"-",$E45))</f>
        <v>-</v>
      </c>
      <c r="AV45" s="15" t="str">
        <f t="shared" ref="AV45" si="2918">IF(InfBel2LevelCurrent&gt;=$B45,"-",IF(InfBel2LevelDesired&lt;$B45,"-",$C45))</f>
        <v>-</v>
      </c>
      <c r="AW45" s="1" t="str">
        <f t="shared" ref="AW45" si="2919">IF(InfBel2LevelCurrent&gt;=$B45,"-",IF(InfBel2LevelDesired&lt;$B45,"-",$D45))</f>
        <v>-</v>
      </c>
      <c r="AX45" s="21" t="str">
        <f t="shared" ref="AX45" si="2920">IF(InfBel2LevelCurrent&gt;=$B45,"-",IF(InfBel2LevelDesired&lt;$B45,"-",$E45))</f>
        <v>-</v>
      </c>
      <c r="AY45" s="15" t="str">
        <f t="shared" ref="AY45" si="2921">IF(InfBoo2LevelCurrent&gt;=$B45,"-",IF(InfBoo2LevelDesired&lt;$B45,"-",$C45))</f>
        <v>-</v>
      </c>
      <c r="AZ45" s="1" t="str">
        <f t="shared" ref="AZ45" si="2922">IF(InfBoo2LevelCurrent&gt;=$B45,"-",IF(InfBoo2LevelDesired&lt;$B45,"-",$D45))</f>
        <v>-</v>
      </c>
      <c r="BA45" s="21" t="str">
        <f t="shared" ref="BA45" si="2923">IF(InfBoo2LevelCurrent&gt;=$B45,"-",IF(InfBoo2LevelDesired&lt;$B45,"-",$E45))</f>
        <v>-</v>
      </c>
      <c r="BB45" s="15" t="str">
        <f t="shared" ref="BB45" si="2924">IF(LanGog2LevelCurrent&gt;=$B45,"-",IF(LanGog2LevelDesired&lt;$B45,"-",$C45))</f>
        <v>-</v>
      </c>
      <c r="BC45" s="1" t="str">
        <f t="shared" ref="BC45" si="2925">IF(LanGog2LevelCurrent&gt;=$B45,"-",IF(LanGog2LevelDesired&lt;$B45,"-",$D45))</f>
        <v>-</v>
      </c>
      <c r="BD45" s="21" t="str">
        <f t="shared" ref="BD45" si="2926">IF(LanGog2LevelCurrent&gt;=$B45,"-",IF(LanGog2LevelDesired&lt;$B45,"-",$E45))</f>
        <v>-</v>
      </c>
      <c r="BE45" s="15" t="str">
        <f t="shared" ref="BE45" si="2927">IF(LanGlo2LevelCurrent&gt;=$B45,"-",IF(LanGlo2LevelDesired&lt;$B45,"-",$C45))</f>
        <v>-</v>
      </c>
      <c r="BF45" s="1" t="str">
        <f t="shared" ref="BF45" si="2928">IF(LanGlo2LevelCurrent&gt;=$B45,"-",IF(LanGlo2LevelDesired&lt;$B45,"-",$D45))</f>
        <v>-</v>
      </c>
      <c r="BG45" s="21" t="str">
        <f t="shared" ref="BG45" si="2929">IF(LanGlo2LevelCurrent&gt;=$B45,"-",IF(LanGlo2LevelDesired&lt;$B45,"-",$E45))</f>
        <v>-</v>
      </c>
      <c r="BH45" s="15" t="str">
        <f t="shared" ref="BH45" si="2930">IF(LanBel2LevelCurrent&gt;=$B45,"-",IF(LanBel2LevelDesired&lt;$B45,"-",$C45))</f>
        <v>-</v>
      </c>
      <c r="BI45" s="1" t="str">
        <f t="shared" ref="BI45" si="2931">IF(LanBel2LevelCurrent&gt;=$B45,"-",IF(LanBel2LevelDesired&lt;$B45,"-",$D45))</f>
        <v>-</v>
      </c>
      <c r="BJ45" s="21" t="str">
        <f t="shared" ref="BJ45" si="2932">IF(LanBel2LevelCurrent&gt;=$B45,"-",IF(LanBel2LevelDesired&lt;$B45,"-",$E45))</f>
        <v>-</v>
      </c>
      <c r="BK45" s="15" t="str">
        <f t="shared" ref="BK45" si="2933">IF(LanBoo2LevelCurrent&gt;=$B45,"-",IF(LanBoo2LevelDesired&lt;$B45,"-",$C45))</f>
        <v>-</v>
      </c>
      <c r="BL45" s="1" t="str">
        <f t="shared" ref="BL45" si="2934">IF(LanBoo2LevelCurrent&gt;=$B45,"-",IF(LanBoo2LevelDesired&lt;$B45,"-",$D45))</f>
        <v>-</v>
      </c>
      <c r="BM45" s="21" t="str">
        <f t="shared" ref="BM45" si="2935">IF(LanBoo2LevelCurrent&gt;=$B45,"-",IF(LanBoo2LevelDesired&lt;$B45,"-",$E45))</f>
        <v>-</v>
      </c>
      <c r="BN45" s="15" t="str">
        <f t="shared" ref="BN45" si="2936">IF(MarGog2LevelCurrent&gt;=$B45,"-",IF(MarGog2LevelDesired&lt;$B45,"-",$C45))</f>
        <v>-</v>
      </c>
      <c r="BO45" s="1" t="str">
        <f t="shared" ref="BO45" si="2937">IF(MarGog2LevelCurrent&gt;=$B45,"-",IF(MarGog2LevelDesired&lt;$B45,"-",$D45))</f>
        <v>-</v>
      </c>
      <c r="BP45" s="21" t="str">
        <f t="shared" ref="BP45" si="2938">IF(MarGog2LevelCurrent&gt;=$B45,"-",IF(MarGog2LevelDesired&lt;$B45,"-",$E45))</f>
        <v>-</v>
      </c>
      <c r="BQ45" s="15" t="str">
        <f t="shared" ref="BQ45" si="2939">IF(MarGlo2LevelCurrent&gt;=$B45,"-",IF(MarGlo2LevelDesired&lt;$B45,"-",$C45))</f>
        <v>-</v>
      </c>
      <c r="BR45" s="1" t="str">
        <f t="shared" ref="BR45" si="2940">IF(MarGlo2LevelCurrent&gt;=$B45,"-",IF(MarGlo2LevelDesired&lt;$B45,"-",$D45))</f>
        <v>-</v>
      </c>
      <c r="BS45" s="21" t="str">
        <f t="shared" ref="BS45" si="2941">IF(MarGlo2LevelCurrent&gt;=$B45,"-",IF(MarGlo2LevelDesired&lt;$B45,"-",$E45))</f>
        <v>-</v>
      </c>
      <c r="BT45" s="15" t="str">
        <f t="shared" ref="BT45" si="2942">IF(MarBel2LevelCurrent&gt;=$B45,"-",IF(MarBel2LevelDesired&lt;$B45,"-",$C45))</f>
        <v>-</v>
      </c>
      <c r="BU45" s="1" t="str">
        <f t="shared" ref="BU45" si="2943">IF(MarBel2LevelCurrent&gt;=$B45,"-",IF(MarBel2LevelDesired&lt;$B45,"-",$D45))</f>
        <v>-</v>
      </c>
      <c r="BV45" s="21" t="str">
        <f t="shared" ref="BV45" si="2944">IF(MarBel2LevelCurrent&gt;=$B45,"-",IF(MarBel2LevelDesired&lt;$B45,"-",$E45))</f>
        <v>-</v>
      </c>
      <c r="BW45" s="15" t="str">
        <f t="shared" ref="BW45" si="2945">IF(MarBoo2LevelCurrent&gt;=$B45,"-",IF(MarBoo2LevelDesired&lt;$B45,"-",$C45))</f>
        <v>-</v>
      </c>
      <c r="BX45" s="1" t="str">
        <f t="shared" ref="BX45" si="2946">IF(MarBoo2LevelCurrent&gt;=$B45,"-",IF(MarBoo2LevelDesired&lt;$B45,"-",$D45))</f>
        <v>-</v>
      </c>
      <c r="BY45" s="21" t="str">
        <f t="shared" ref="BY45" si="2947">IF(MarBoo2LevelCurrent&gt;=$B45,"-",IF(MarBoo2LevelDesired&lt;$B45,"-",$E45))</f>
        <v>-</v>
      </c>
      <c r="BZ45" s="15" t="str">
        <f t="shared" si="2410"/>
        <v>-</v>
      </c>
      <c r="CA45" s="1" t="str" cm="1">
        <f t="array" ref="CA45">IF(InfGog3LevelCurrent&gt;=$B45,"-",IF(InfGog3LevelDesired&lt;$B45,"-",$D45))</f>
        <v>-</v>
      </c>
      <c r="CB45" s="21" t="str" cm="1">
        <f t="array" ref="CB45">IF(InfGog3LevelCurrent&gt;=$B45,"-",IF(InfGog3LevelDesired&lt;$B45,"-",$E45))</f>
        <v>-</v>
      </c>
      <c r="CC45" s="15" t="str">
        <f t="shared" si="2411"/>
        <v>-</v>
      </c>
      <c r="CD45" s="1" t="str">
        <f t="shared" si="2412"/>
        <v>-</v>
      </c>
      <c r="CE45" s="21" t="str">
        <f t="shared" si="2413"/>
        <v>-</v>
      </c>
      <c r="CF45" s="15" t="str">
        <f t="shared" si="2414"/>
        <v>-</v>
      </c>
      <c r="CG45" s="1" t="str">
        <f t="shared" si="2415"/>
        <v>-</v>
      </c>
      <c r="CH45" s="21" t="str">
        <f t="shared" si="2416"/>
        <v>-</v>
      </c>
      <c r="CI45" s="15" t="str">
        <f t="shared" si="2417"/>
        <v>-</v>
      </c>
      <c r="CJ45" s="1" t="str">
        <f t="shared" si="2418"/>
        <v>-</v>
      </c>
      <c r="CK45" s="21" t="str">
        <f t="shared" si="2419"/>
        <v>-</v>
      </c>
      <c r="CL45" s="15" t="str">
        <f t="shared" si="2420"/>
        <v>-</v>
      </c>
      <c r="CM45" s="1" t="str">
        <f t="shared" si="2421"/>
        <v>-</v>
      </c>
      <c r="CN45" s="21" t="str">
        <f t="shared" si="2422"/>
        <v>-</v>
      </c>
      <c r="CO45" s="15" t="str">
        <f t="shared" si="2423"/>
        <v>-</v>
      </c>
      <c r="CP45" s="1" t="str">
        <f t="shared" si="2424"/>
        <v>-</v>
      </c>
      <c r="CQ45" s="21" t="str">
        <f t="shared" si="2425"/>
        <v>-</v>
      </c>
      <c r="CR45" s="15" t="str">
        <f t="shared" si="2426"/>
        <v>-</v>
      </c>
      <c r="CS45" s="1" t="str">
        <f t="shared" si="2427"/>
        <v>-</v>
      </c>
      <c r="CT45" s="21" t="str">
        <f t="shared" si="2428"/>
        <v>-</v>
      </c>
      <c r="CU45" s="15" t="str">
        <f t="shared" si="2429"/>
        <v>-</v>
      </c>
      <c r="CV45" s="1" t="str">
        <f t="shared" si="2430"/>
        <v>-</v>
      </c>
      <c r="CW45" s="21" t="str">
        <f t="shared" si="2431"/>
        <v>-</v>
      </c>
      <c r="CX45" s="15" t="str">
        <f t="shared" si="2432"/>
        <v>-</v>
      </c>
      <c r="CY45" s="1" t="str">
        <f t="shared" si="2433"/>
        <v>-</v>
      </c>
      <c r="CZ45" s="21" t="str">
        <f t="shared" si="2434"/>
        <v>-</v>
      </c>
      <c r="DA45" s="15" t="str">
        <f t="shared" si="2435"/>
        <v>-</v>
      </c>
      <c r="DB45" s="1" t="str">
        <f t="shared" si="2436"/>
        <v>-</v>
      </c>
      <c r="DC45" s="21" t="str">
        <f t="shared" si="2437"/>
        <v>-</v>
      </c>
      <c r="DD45" s="15" t="str">
        <f t="shared" si="2438"/>
        <v>-</v>
      </c>
      <c r="DE45" s="1" t="str">
        <f t="shared" si="2439"/>
        <v>-</v>
      </c>
      <c r="DF45" s="21" t="str">
        <f t="shared" si="2440"/>
        <v>-</v>
      </c>
      <c r="DG45" s="15" t="str">
        <f t="shared" si="2441"/>
        <v>-</v>
      </c>
      <c r="DH45" s="1" t="str">
        <f t="shared" si="2442"/>
        <v>-</v>
      </c>
      <c r="DI45" s="21" t="str">
        <f t="shared" si="2443"/>
        <v>-</v>
      </c>
    </row>
    <row r="46" spans="2:113" x14ac:dyDescent="0.3">
      <c r="B46" s="1">
        <v>41</v>
      </c>
      <c r="C46" s="67">
        <v>290</v>
      </c>
      <c r="D46" s="88" t="s">
        <v>27</v>
      </c>
      <c r="E46" s="21" t="s">
        <v>27</v>
      </c>
      <c r="F46" s="15" t="str">
        <f t="shared" ref="F46" si="2948">IF(InfGog1LevelCurrent&gt;=$B46,"-",IF(InfGog1LevelDesired&lt;$B46,"-",$C46))</f>
        <v>-</v>
      </c>
      <c r="G46" s="1" t="str">
        <f t="shared" ref="G46" si="2949">IF(InfGog1LevelCurrent&gt;=$B46,"-",IF(InfGog1LevelDesired&lt;$B46,"-",$D46))</f>
        <v>-</v>
      </c>
      <c r="H46" s="21" t="str">
        <f t="shared" ref="H46" si="2950">IF(InfGog1LevelCurrent&gt;=$B46,"-",IF(InfGog1LevelDesired&lt;$B46,"-",$E46))</f>
        <v>-</v>
      </c>
      <c r="I46" s="15" t="str">
        <f t="shared" ref="I46" si="2951">IF(InfGlo1LevelCurrent&gt;=$B46,"-",IF(InfGlo1LevelDesired&lt;$B46,"-",$C46))</f>
        <v>-</v>
      </c>
      <c r="J46" s="1" t="str">
        <f t="shared" ref="J46" si="2952">IF(InfGlo1LevelCurrent&gt;=$B46,"-",IF(InfGlo1LevelDesired&lt;$B46,"-",$D46))</f>
        <v>-</v>
      </c>
      <c r="K46" s="21" t="str">
        <f t="shared" ref="K46" si="2953">IF(InfGlo1LevelCurrent&gt;=$B46,"-",IF(InfGlo1LevelDesired&lt;$B46,"-",$E46))</f>
        <v>-</v>
      </c>
      <c r="L46" s="15" t="str">
        <f t="shared" ref="L46" si="2954">IF(InfBel1LevelCurrent&gt;=$B46,"-",IF(InfBel1LevelDesired&lt;$B46,"-",$C46))</f>
        <v>-</v>
      </c>
      <c r="M46" s="1" t="str">
        <f t="shared" ref="M46" si="2955">IF(InfBel1LevelCurrent&gt;=$B46,"-",IF(InfBel1LevelDesired&lt;$B46,"-",$D46))</f>
        <v>-</v>
      </c>
      <c r="N46" s="21" t="str">
        <f t="shared" ref="N46" si="2956">IF(InfBel1LevelCurrent&gt;=$B46,"-",IF(InfBel1LevelDesired&lt;$B46,"-",$E46))</f>
        <v>-</v>
      </c>
      <c r="O46" s="15" t="str">
        <f t="shared" ref="O46" si="2957">IF(InfBoo1LevelCurrent&gt;=$B46,"-",IF(InfBoo1LevelDesired&lt;$B46,"-",$C46))</f>
        <v>-</v>
      </c>
      <c r="P46" s="1" t="str">
        <f t="shared" ref="P46" si="2958">IF(InfBoo1LevelCurrent&gt;=$B46,"-",IF(InfBoo1LevelDesired&lt;$B46,"-",$D46))</f>
        <v>-</v>
      </c>
      <c r="Q46" s="21" t="str">
        <f t="shared" ref="Q46" si="2959">IF(InfBoo1LevelCurrent&gt;=$B46,"-",IF(InfBoo1LevelDesired&lt;$B46,"-",$E46))</f>
        <v>-</v>
      </c>
      <c r="R46" s="15" t="str">
        <f t="shared" ref="R46" si="2960">IF(LanGog1LevelCurrent&gt;=$B46,"-",IF(LanGog1LevelDesired&lt;$B46,"-",$C46))</f>
        <v>-</v>
      </c>
      <c r="S46" s="1" t="str">
        <f t="shared" ref="S46" si="2961">IF(LanGog1LevelCurrent&gt;=$B46,"-",IF(LanGog1LevelDesired&lt;$B46,"-",$D46))</f>
        <v>-</v>
      </c>
      <c r="T46" s="21" t="str">
        <f t="shared" ref="T46" si="2962">IF(LanGog1LevelCurrent&gt;=$B46,"-",IF(LanGog1LevelDesired&lt;$B46,"-",$E46))</f>
        <v>-</v>
      </c>
      <c r="U46" s="15" t="str">
        <f t="shared" ref="U46" si="2963">IF(LanGlo1LevelCurrent&gt;=$B46,"-",IF(LanGlo1LevelDesired&lt;$B46,"-",$C46))</f>
        <v>-</v>
      </c>
      <c r="V46" s="1" t="str">
        <f t="shared" ref="V46" si="2964">IF(LanGlo1LevelCurrent&gt;=$B46,"-",IF(LanGlo1LevelDesired&lt;$B46,"-",$D46))</f>
        <v>-</v>
      </c>
      <c r="W46" s="21" t="str">
        <f t="shared" ref="W46" si="2965">IF(LanGlo1LevelCurrent&gt;=$B46,"-",IF(LanGlo1LevelDesired&lt;$B46,"-",$E46))</f>
        <v>-</v>
      </c>
      <c r="X46" s="15" t="str">
        <f t="shared" ref="X46" si="2966">IF(LanBel1LevelCurrent&gt;=$B46,"-",IF(LanBel1LevelDesired&lt;$B46,"-",$C46))</f>
        <v>-</v>
      </c>
      <c r="Y46" s="1" t="str">
        <f t="shared" ref="Y46" si="2967">IF(LanBel1LevelCurrent&gt;=$B46,"-",IF(LanBel1LevelDesired&lt;$B46,"-",$D46))</f>
        <v>-</v>
      </c>
      <c r="Z46" s="21" t="str">
        <f t="shared" ref="Z46" si="2968">IF(LanBel1LevelCurrent&gt;=$B46,"-",IF(LanBel1LevelDesired&lt;$B46,"-",$E46))</f>
        <v>-</v>
      </c>
      <c r="AA46" s="15" t="str">
        <f t="shared" ref="AA46" si="2969">IF(LanBoo1LevelCurrent&gt;=$B46,"-",IF(LanBoo1LevelDesired&lt;$B46,"-",$C46))</f>
        <v>-</v>
      </c>
      <c r="AB46" s="1" t="str">
        <f t="shared" ref="AB46" si="2970">IF(LanBoo1LevelCurrent&gt;=$B46,"-",IF(LanBoo1LevelDesired&lt;$B46,"-",$D46))</f>
        <v>-</v>
      </c>
      <c r="AC46" s="21" t="str">
        <f t="shared" ref="AC46" si="2971">IF(LanBoo1LevelCurrent&gt;=$B46,"-",IF(LanBoo1LevelDesired&lt;$B46,"-",$E46))</f>
        <v>-</v>
      </c>
      <c r="AD46" s="15" t="str">
        <f t="shared" ref="AD46" si="2972">IF(MarGog1LevelCurrent&gt;=$B46,"-",IF(MarGog1LevelDesired&lt;$B46,"-",$C46))</f>
        <v>-</v>
      </c>
      <c r="AE46" s="1" t="str">
        <f t="shared" ref="AE46" si="2973">IF(MarGog1LevelCurrent&gt;=$B46,"-",IF(MarGog1LevelDesired&lt;$B46,"-",$D46))</f>
        <v>-</v>
      </c>
      <c r="AF46" s="21" t="str">
        <f t="shared" ref="AF46" si="2974">IF(MarGog1LevelCurrent&gt;=$B46,"-",IF(MarGog1LevelDesired&lt;$B46,"-",$E46))</f>
        <v>-</v>
      </c>
      <c r="AG46" s="15" t="str">
        <f t="shared" ref="AG46" si="2975">IF(MarGlo1LevelCurrent&gt;=$B46,"-",IF(MarGlo1LevelDesired&lt;$B46,"-",$C46))</f>
        <v>-</v>
      </c>
      <c r="AH46" s="1" t="str">
        <f t="shared" ref="AH46" si="2976">IF(MarGlo1LevelCurrent&gt;=$B46,"-",IF(MarGlo1LevelDesired&lt;$B46,"-",$D46))</f>
        <v>-</v>
      </c>
      <c r="AI46" s="21" t="str">
        <f t="shared" ref="AI46" si="2977">IF(MarGlo1LevelCurrent&gt;=$B46,"-",IF(MarGlo1LevelDesired&lt;$B46,"-",$E46))</f>
        <v>-</v>
      </c>
      <c r="AJ46" s="15" t="str">
        <f t="shared" ref="AJ46" si="2978">IF(MarBel1LevelCurrent&gt;=$B46,"-",IF(MarBel1LevelDesired&lt;$B46,"-",$C46))</f>
        <v>-</v>
      </c>
      <c r="AK46" s="1" t="str">
        <f t="shared" ref="AK46" si="2979">IF(MarBel1LevelCurrent&gt;=$B46,"-",IF(MarBel1LevelDesired&lt;$B46,"-",$D46))</f>
        <v>-</v>
      </c>
      <c r="AL46" s="21" t="str">
        <f t="shared" ref="AL46" si="2980">IF(MarBel1LevelCurrent&gt;=$B46,"-",IF(MarBel1LevelDesired&lt;$B46,"-",$E46))</f>
        <v>-</v>
      </c>
      <c r="AM46" s="15" t="str">
        <f t="shared" ref="AM46" si="2981">IF(MarBoo1LevelCurrent&gt;=$B46,"-",IF(MarBoo1LevelDesired&lt;$B46,"-",$C46))</f>
        <v>-</v>
      </c>
      <c r="AN46" s="1" t="str">
        <f t="shared" ref="AN46" si="2982">IF(MarBoo1LevelCurrent&gt;=$B46,"-",IF(MarBoo1LevelDesired&lt;$B46,"-",$D46))</f>
        <v>-</v>
      </c>
      <c r="AO46" s="21" t="str">
        <f t="shared" ref="AO46" si="2983">IF(MarBoo1LevelCurrent&gt;=$B46,"-",IF(MarBoo1LevelDesired&lt;$B46,"-",$E46))</f>
        <v>-</v>
      </c>
      <c r="AP46" s="15" t="str">
        <f t="shared" ref="AP46" si="2984">IF(InfGog2LevelCurrent&gt;=$B46,"-",IF(InfGog2LevelDesired&lt;$B46,"-",$C46))</f>
        <v>-</v>
      </c>
      <c r="AQ46" s="1" t="str">
        <f t="shared" ref="AQ46" si="2985">IF(InfGog2LevelCurrent&gt;=$B46,"-",IF(InfGog2LevelDesired&lt;$B46,"-",$D46))</f>
        <v>-</v>
      </c>
      <c r="AR46" s="21" t="str">
        <f t="shared" ref="AR46" si="2986">IF(InfGog2LevelCurrent&gt;=$B46,"-",IF(InfGog2LevelDesired&lt;$B46,"-",$E46))</f>
        <v>-</v>
      </c>
      <c r="AS46" s="15" t="str">
        <f t="shared" ref="AS46" si="2987">IF(InfGlo2LevelCurrent&gt;=$B46,"-",IF(InfGlo2LevelDesired&lt;$B46,"-",$C46))</f>
        <v>-</v>
      </c>
      <c r="AT46" s="1" t="str">
        <f t="shared" ref="AT46" si="2988">IF(InfGlo2LevelCurrent&gt;=$B46,"-",IF(InfGlo2LevelDesired&lt;$B46,"-",$D46))</f>
        <v>-</v>
      </c>
      <c r="AU46" s="21" t="str">
        <f t="shared" ref="AU46" si="2989">IF(InfGlo2LevelCurrent&gt;=$B46,"-",IF(InfGlo2LevelDesired&lt;$B46,"-",$E46))</f>
        <v>-</v>
      </c>
      <c r="AV46" s="15" t="str">
        <f t="shared" ref="AV46" si="2990">IF(InfBel2LevelCurrent&gt;=$B46,"-",IF(InfBel2LevelDesired&lt;$B46,"-",$C46))</f>
        <v>-</v>
      </c>
      <c r="AW46" s="1" t="str">
        <f t="shared" ref="AW46" si="2991">IF(InfBel2LevelCurrent&gt;=$B46,"-",IF(InfBel2LevelDesired&lt;$B46,"-",$D46))</f>
        <v>-</v>
      </c>
      <c r="AX46" s="21" t="str">
        <f t="shared" ref="AX46" si="2992">IF(InfBel2LevelCurrent&gt;=$B46,"-",IF(InfBel2LevelDesired&lt;$B46,"-",$E46))</f>
        <v>-</v>
      </c>
      <c r="AY46" s="15" t="str">
        <f t="shared" ref="AY46" si="2993">IF(InfBoo2LevelCurrent&gt;=$B46,"-",IF(InfBoo2LevelDesired&lt;$B46,"-",$C46))</f>
        <v>-</v>
      </c>
      <c r="AZ46" s="1" t="str">
        <f t="shared" ref="AZ46" si="2994">IF(InfBoo2LevelCurrent&gt;=$B46,"-",IF(InfBoo2LevelDesired&lt;$B46,"-",$D46))</f>
        <v>-</v>
      </c>
      <c r="BA46" s="21" t="str">
        <f t="shared" ref="BA46" si="2995">IF(InfBoo2LevelCurrent&gt;=$B46,"-",IF(InfBoo2LevelDesired&lt;$B46,"-",$E46))</f>
        <v>-</v>
      </c>
      <c r="BB46" s="15" t="str">
        <f t="shared" ref="BB46" si="2996">IF(LanGog2LevelCurrent&gt;=$B46,"-",IF(LanGog2LevelDesired&lt;$B46,"-",$C46))</f>
        <v>-</v>
      </c>
      <c r="BC46" s="1" t="str">
        <f t="shared" ref="BC46" si="2997">IF(LanGog2LevelCurrent&gt;=$B46,"-",IF(LanGog2LevelDesired&lt;$B46,"-",$D46))</f>
        <v>-</v>
      </c>
      <c r="BD46" s="21" t="str">
        <f t="shared" ref="BD46" si="2998">IF(LanGog2LevelCurrent&gt;=$B46,"-",IF(LanGog2LevelDesired&lt;$B46,"-",$E46))</f>
        <v>-</v>
      </c>
      <c r="BE46" s="15" t="str">
        <f t="shared" ref="BE46" si="2999">IF(LanGlo2LevelCurrent&gt;=$B46,"-",IF(LanGlo2LevelDesired&lt;$B46,"-",$C46))</f>
        <v>-</v>
      </c>
      <c r="BF46" s="1" t="str">
        <f t="shared" ref="BF46" si="3000">IF(LanGlo2LevelCurrent&gt;=$B46,"-",IF(LanGlo2LevelDesired&lt;$B46,"-",$D46))</f>
        <v>-</v>
      </c>
      <c r="BG46" s="21" t="str">
        <f t="shared" ref="BG46" si="3001">IF(LanGlo2LevelCurrent&gt;=$B46,"-",IF(LanGlo2LevelDesired&lt;$B46,"-",$E46))</f>
        <v>-</v>
      </c>
      <c r="BH46" s="15" t="str">
        <f t="shared" ref="BH46" si="3002">IF(LanBel2LevelCurrent&gt;=$B46,"-",IF(LanBel2LevelDesired&lt;$B46,"-",$C46))</f>
        <v>-</v>
      </c>
      <c r="BI46" s="1" t="str">
        <f t="shared" ref="BI46" si="3003">IF(LanBel2LevelCurrent&gt;=$B46,"-",IF(LanBel2LevelDesired&lt;$B46,"-",$D46))</f>
        <v>-</v>
      </c>
      <c r="BJ46" s="21" t="str">
        <f t="shared" ref="BJ46" si="3004">IF(LanBel2LevelCurrent&gt;=$B46,"-",IF(LanBel2LevelDesired&lt;$B46,"-",$E46))</f>
        <v>-</v>
      </c>
      <c r="BK46" s="15" t="str">
        <f t="shared" ref="BK46" si="3005">IF(LanBoo2LevelCurrent&gt;=$B46,"-",IF(LanBoo2LevelDesired&lt;$B46,"-",$C46))</f>
        <v>-</v>
      </c>
      <c r="BL46" s="1" t="str">
        <f t="shared" ref="BL46" si="3006">IF(LanBoo2LevelCurrent&gt;=$B46,"-",IF(LanBoo2LevelDesired&lt;$B46,"-",$D46))</f>
        <v>-</v>
      </c>
      <c r="BM46" s="21" t="str">
        <f t="shared" ref="BM46" si="3007">IF(LanBoo2LevelCurrent&gt;=$B46,"-",IF(LanBoo2LevelDesired&lt;$B46,"-",$E46))</f>
        <v>-</v>
      </c>
      <c r="BN46" s="15" t="str">
        <f t="shared" ref="BN46" si="3008">IF(MarGog2LevelCurrent&gt;=$B46,"-",IF(MarGog2LevelDesired&lt;$B46,"-",$C46))</f>
        <v>-</v>
      </c>
      <c r="BO46" s="1" t="str">
        <f t="shared" ref="BO46" si="3009">IF(MarGog2LevelCurrent&gt;=$B46,"-",IF(MarGog2LevelDesired&lt;$B46,"-",$D46))</f>
        <v>-</v>
      </c>
      <c r="BP46" s="21" t="str">
        <f t="shared" ref="BP46" si="3010">IF(MarGog2LevelCurrent&gt;=$B46,"-",IF(MarGog2LevelDesired&lt;$B46,"-",$E46))</f>
        <v>-</v>
      </c>
      <c r="BQ46" s="15" t="str">
        <f t="shared" ref="BQ46" si="3011">IF(MarGlo2LevelCurrent&gt;=$B46,"-",IF(MarGlo2LevelDesired&lt;$B46,"-",$C46))</f>
        <v>-</v>
      </c>
      <c r="BR46" s="1" t="str">
        <f t="shared" ref="BR46" si="3012">IF(MarGlo2LevelCurrent&gt;=$B46,"-",IF(MarGlo2LevelDesired&lt;$B46,"-",$D46))</f>
        <v>-</v>
      </c>
      <c r="BS46" s="21" t="str">
        <f t="shared" ref="BS46" si="3013">IF(MarGlo2LevelCurrent&gt;=$B46,"-",IF(MarGlo2LevelDesired&lt;$B46,"-",$E46))</f>
        <v>-</v>
      </c>
      <c r="BT46" s="15" t="str">
        <f t="shared" ref="BT46" si="3014">IF(MarBel2LevelCurrent&gt;=$B46,"-",IF(MarBel2LevelDesired&lt;$B46,"-",$C46))</f>
        <v>-</v>
      </c>
      <c r="BU46" s="1" t="str">
        <f t="shared" ref="BU46" si="3015">IF(MarBel2LevelCurrent&gt;=$B46,"-",IF(MarBel2LevelDesired&lt;$B46,"-",$D46))</f>
        <v>-</v>
      </c>
      <c r="BV46" s="21" t="str">
        <f t="shared" ref="BV46" si="3016">IF(MarBel2LevelCurrent&gt;=$B46,"-",IF(MarBel2LevelDesired&lt;$B46,"-",$E46))</f>
        <v>-</v>
      </c>
      <c r="BW46" s="15" t="str">
        <f t="shared" ref="BW46" si="3017">IF(MarBoo2LevelCurrent&gt;=$B46,"-",IF(MarBoo2LevelDesired&lt;$B46,"-",$C46))</f>
        <v>-</v>
      </c>
      <c r="BX46" s="1" t="str">
        <f t="shared" ref="BX46" si="3018">IF(MarBoo2LevelCurrent&gt;=$B46,"-",IF(MarBoo2LevelDesired&lt;$B46,"-",$D46))</f>
        <v>-</v>
      </c>
      <c r="BY46" s="21" t="str">
        <f t="shared" ref="BY46" si="3019">IF(MarBoo2LevelCurrent&gt;=$B46,"-",IF(MarBoo2LevelDesired&lt;$B46,"-",$E46))</f>
        <v>-</v>
      </c>
      <c r="BZ46" s="15" t="str">
        <f t="shared" si="2410"/>
        <v>-</v>
      </c>
      <c r="CA46" s="1" t="str" cm="1">
        <f t="array" ref="CA46">IF(InfGog3LevelCurrent&gt;=$B46,"-",IF(InfGog3LevelDesired&lt;$B46,"-",$D46))</f>
        <v>-</v>
      </c>
      <c r="CB46" s="21" t="str" cm="1">
        <f t="array" ref="CB46">IF(InfGog3LevelCurrent&gt;=$B46,"-",IF(InfGog3LevelDesired&lt;$B46,"-",$E46))</f>
        <v>-</v>
      </c>
      <c r="CC46" s="15" t="str">
        <f t="shared" si="2411"/>
        <v>-</v>
      </c>
      <c r="CD46" s="1" t="str">
        <f t="shared" si="2412"/>
        <v>-</v>
      </c>
      <c r="CE46" s="21" t="str">
        <f t="shared" si="2413"/>
        <v>-</v>
      </c>
      <c r="CF46" s="15" t="str">
        <f t="shared" si="2414"/>
        <v>-</v>
      </c>
      <c r="CG46" s="1" t="str">
        <f t="shared" si="2415"/>
        <v>-</v>
      </c>
      <c r="CH46" s="21" t="str">
        <f t="shared" si="2416"/>
        <v>-</v>
      </c>
      <c r="CI46" s="15" t="str">
        <f t="shared" si="2417"/>
        <v>-</v>
      </c>
      <c r="CJ46" s="1" t="str">
        <f t="shared" si="2418"/>
        <v>-</v>
      </c>
      <c r="CK46" s="21" t="str">
        <f t="shared" si="2419"/>
        <v>-</v>
      </c>
      <c r="CL46" s="15" t="str">
        <f t="shared" si="2420"/>
        <v>-</v>
      </c>
      <c r="CM46" s="1" t="str">
        <f t="shared" si="2421"/>
        <v>-</v>
      </c>
      <c r="CN46" s="21" t="str">
        <f t="shared" si="2422"/>
        <v>-</v>
      </c>
      <c r="CO46" s="15" t="str">
        <f t="shared" si="2423"/>
        <v>-</v>
      </c>
      <c r="CP46" s="1" t="str">
        <f t="shared" si="2424"/>
        <v>-</v>
      </c>
      <c r="CQ46" s="21" t="str">
        <f t="shared" si="2425"/>
        <v>-</v>
      </c>
      <c r="CR46" s="15" t="str">
        <f t="shared" si="2426"/>
        <v>-</v>
      </c>
      <c r="CS46" s="1" t="str">
        <f t="shared" si="2427"/>
        <v>-</v>
      </c>
      <c r="CT46" s="21" t="str">
        <f t="shared" si="2428"/>
        <v>-</v>
      </c>
      <c r="CU46" s="15" t="str">
        <f t="shared" si="2429"/>
        <v>-</v>
      </c>
      <c r="CV46" s="1" t="str">
        <f t="shared" si="2430"/>
        <v>-</v>
      </c>
      <c r="CW46" s="21" t="str">
        <f t="shared" si="2431"/>
        <v>-</v>
      </c>
      <c r="CX46" s="15" t="str">
        <f t="shared" si="2432"/>
        <v>-</v>
      </c>
      <c r="CY46" s="1" t="str">
        <f t="shared" si="2433"/>
        <v>-</v>
      </c>
      <c r="CZ46" s="21" t="str">
        <f t="shared" si="2434"/>
        <v>-</v>
      </c>
      <c r="DA46" s="15" t="str">
        <f t="shared" si="2435"/>
        <v>-</v>
      </c>
      <c r="DB46" s="1" t="str">
        <f t="shared" si="2436"/>
        <v>-</v>
      </c>
      <c r="DC46" s="21" t="str">
        <f t="shared" si="2437"/>
        <v>-</v>
      </c>
      <c r="DD46" s="15" t="str">
        <f t="shared" si="2438"/>
        <v>-</v>
      </c>
      <c r="DE46" s="1" t="str">
        <f t="shared" si="2439"/>
        <v>-</v>
      </c>
      <c r="DF46" s="21" t="str">
        <f t="shared" si="2440"/>
        <v>-</v>
      </c>
      <c r="DG46" s="15" t="str">
        <f t="shared" si="2441"/>
        <v>-</v>
      </c>
      <c r="DH46" s="1" t="str">
        <f t="shared" si="2442"/>
        <v>-</v>
      </c>
      <c r="DI46" s="21" t="str">
        <f t="shared" si="2443"/>
        <v>-</v>
      </c>
    </row>
    <row r="47" spans="2:113" x14ac:dyDescent="0.3">
      <c r="B47" s="1">
        <v>42</v>
      </c>
      <c r="C47" s="67">
        <v>310</v>
      </c>
      <c r="D47" s="88" t="s">
        <v>27</v>
      </c>
      <c r="E47" s="21" t="s">
        <v>27</v>
      </c>
      <c r="F47" s="15" t="str">
        <f t="shared" ref="F47" si="3020">IF(InfGog1LevelCurrent&gt;=$B47,"-",IF(InfGog1LevelDesired&lt;$B47,"-",$C47))</f>
        <v>-</v>
      </c>
      <c r="G47" s="1" t="str">
        <f t="shared" ref="G47" si="3021">IF(InfGog1LevelCurrent&gt;=$B47,"-",IF(InfGog1LevelDesired&lt;$B47,"-",$D47))</f>
        <v>-</v>
      </c>
      <c r="H47" s="21" t="str">
        <f t="shared" ref="H47" si="3022">IF(InfGog1LevelCurrent&gt;=$B47,"-",IF(InfGog1LevelDesired&lt;$B47,"-",$E47))</f>
        <v>-</v>
      </c>
      <c r="I47" s="15" t="str">
        <f t="shared" ref="I47" si="3023">IF(InfGlo1LevelCurrent&gt;=$B47,"-",IF(InfGlo1LevelDesired&lt;$B47,"-",$C47))</f>
        <v>-</v>
      </c>
      <c r="J47" s="1" t="str">
        <f t="shared" ref="J47" si="3024">IF(InfGlo1LevelCurrent&gt;=$B47,"-",IF(InfGlo1LevelDesired&lt;$B47,"-",$D47))</f>
        <v>-</v>
      </c>
      <c r="K47" s="21" t="str">
        <f t="shared" ref="K47" si="3025">IF(InfGlo1LevelCurrent&gt;=$B47,"-",IF(InfGlo1LevelDesired&lt;$B47,"-",$E47))</f>
        <v>-</v>
      </c>
      <c r="L47" s="15" t="str">
        <f t="shared" ref="L47" si="3026">IF(InfBel1LevelCurrent&gt;=$B47,"-",IF(InfBel1LevelDesired&lt;$B47,"-",$C47))</f>
        <v>-</v>
      </c>
      <c r="M47" s="1" t="str">
        <f t="shared" ref="M47" si="3027">IF(InfBel1LevelCurrent&gt;=$B47,"-",IF(InfBel1LevelDesired&lt;$B47,"-",$D47))</f>
        <v>-</v>
      </c>
      <c r="N47" s="21" t="str">
        <f t="shared" ref="N47" si="3028">IF(InfBel1LevelCurrent&gt;=$B47,"-",IF(InfBel1LevelDesired&lt;$B47,"-",$E47))</f>
        <v>-</v>
      </c>
      <c r="O47" s="15" t="str">
        <f t="shared" ref="O47" si="3029">IF(InfBoo1LevelCurrent&gt;=$B47,"-",IF(InfBoo1LevelDesired&lt;$B47,"-",$C47))</f>
        <v>-</v>
      </c>
      <c r="P47" s="1" t="str">
        <f t="shared" ref="P47" si="3030">IF(InfBoo1LevelCurrent&gt;=$B47,"-",IF(InfBoo1LevelDesired&lt;$B47,"-",$D47))</f>
        <v>-</v>
      </c>
      <c r="Q47" s="21" t="str">
        <f t="shared" ref="Q47" si="3031">IF(InfBoo1LevelCurrent&gt;=$B47,"-",IF(InfBoo1LevelDesired&lt;$B47,"-",$E47))</f>
        <v>-</v>
      </c>
      <c r="R47" s="15" t="str">
        <f t="shared" ref="R47" si="3032">IF(LanGog1LevelCurrent&gt;=$B47,"-",IF(LanGog1LevelDesired&lt;$B47,"-",$C47))</f>
        <v>-</v>
      </c>
      <c r="S47" s="1" t="str">
        <f t="shared" ref="S47" si="3033">IF(LanGog1LevelCurrent&gt;=$B47,"-",IF(LanGog1LevelDesired&lt;$B47,"-",$D47))</f>
        <v>-</v>
      </c>
      <c r="T47" s="21" t="str">
        <f t="shared" ref="T47" si="3034">IF(LanGog1LevelCurrent&gt;=$B47,"-",IF(LanGog1LevelDesired&lt;$B47,"-",$E47))</f>
        <v>-</v>
      </c>
      <c r="U47" s="15" t="str">
        <f t="shared" ref="U47" si="3035">IF(LanGlo1LevelCurrent&gt;=$B47,"-",IF(LanGlo1LevelDesired&lt;$B47,"-",$C47))</f>
        <v>-</v>
      </c>
      <c r="V47" s="1" t="str">
        <f t="shared" ref="V47" si="3036">IF(LanGlo1LevelCurrent&gt;=$B47,"-",IF(LanGlo1LevelDesired&lt;$B47,"-",$D47))</f>
        <v>-</v>
      </c>
      <c r="W47" s="21" t="str">
        <f t="shared" ref="W47" si="3037">IF(LanGlo1LevelCurrent&gt;=$B47,"-",IF(LanGlo1LevelDesired&lt;$B47,"-",$E47))</f>
        <v>-</v>
      </c>
      <c r="X47" s="15" t="str">
        <f t="shared" ref="X47" si="3038">IF(LanBel1LevelCurrent&gt;=$B47,"-",IF(LanBel1LevelDesired&lt;$B47,"-",$C47))</f>
        <v>-</v>
      </c>
      <c r="Y47" s="1" t="str">
        <f t="shared" ref="Y47" si="3039">IF(LanBel1LevelCurrent&gt;=$B47,"-",IF(LanBel1LevelDesired&lt;$B47,"-",$D47))</f>
        <v>-</v>
      </c>
      <c r="Z47" s="21" t="str">
        <f t="shared" ref="Z47" si="3040">IF(LanBel1LevelCurrent&gt;=$B47,"-",IF(LanBel1LevelDesired&lt;$B47,"-",$E47))</f>
        <v>-</v>
      </c>
      <c r="AA47" s="15" t="str">
        <f t="shared" ref="AA47" si="3041">IF(LanBoo1LevelCurrent&gt;=$B47,"-",IF(LanBoo1LevelDesired&lt;$B47,"-",$C47))</f>
        <v>-</v>
      </c>
      <c r="AB47" s="1" t="str">
        <f t="shared" ref="AB47" si="3042">IF(LanBoo1LevelCurrent&gt;=$B47,"-",IF(LanBoo1LevelDesired&lt;$B47,"-",$D47))</f>
        <v>-</v>
      </c>
      <c r="AC47" s="21" t="str">
        <f t="shared" ref="AC47" si="3043">IF(LanBoo1LevelCurrent&gt;=$B47,"-",IF(LanBoo1LevelDesired&lt;$B47,"-",$E47))</f>
        <v>-</v>
      </c>
      <c r="AD47" s="15" t="str">
        <f t="shared" ref="AD47" si="3044">IF(MarGog1LevelCurrent&gt;=$B47,"-",IF(MarGog1LevelDesired&lt;$B47,"-",$C47))</f>
        <v>-</v>
      </c>
      <c r="AE47" s="1" t="str">
        <f t="shared" ref="AE47" si="3045">IF(MarGog1LevelCurrent&gt;=$B47,"-",IF(MarGog1LevelDesired&lt;$B47,"-",$D47))</f>
        <v>-</v>
      </c>
      <c r="AF47" s="21" t="str">
        <f t="shared" ref="AF47" si="3046">IF(MarGog1LevelCurrent&gt;=$B47,"-",IF(MarGog1LevelDesired&lt;$B47,"-",$E47))</f>
        <v>-</v>
      </c>
      <c r="AG47" s="15" t="str">
        <f t="shared" ref="AG47" si="3047">IF(MarGlo1LevelCurrent&gt;=$B47,"-",IF(MarGlo1LevelDesired&lt;$B47,"-",$C47))</f>
        <v>-</v>
      </c>
      <c r="AH47" s="1" t="str">
        <f t="shared" ref="AH47" si="3048">IF(MarGlo1LevelCurrent&gt;=$B47,"-",IF(MarGlo1LevelDesired&lt;$B47,"-",$D47))</f>
        <v>-</v>
      </c>
      <c r="AI47" s="21" t="str">
        <f t="shared" ref="AI47" si="3049">IF(MarGlo1LevelCurrent&gt;=$B47,"-",IF(MarGlo1LevelDesired&lt;$B47,"-",$E47))</f>
        <v>-</v>
      </c>
      <c r="AJ47" s="15" t="str">
        <f t="shared" ref="AJ47" si="3050">IF(MarBel1LevelCurrent&gt;=$B47,"-",IF(MarBel1LevelDesired&lt;$B47,"-",$C47))</f>
        <v>-</v>
      </c>
      <c r="AK47" s="1" t="str">
        <f t="shared" ref="AK47" si="3051">IF(MarBel1LevelCurrent&gt;=$B47,"-",IF(MarBel1LevelDesired&lt;$B47,"-",$D47))</f>
        <v>-</v>
      </c>
      <c r="AL47" s="21" t="str">
        <f t="shared" ref="AL47" si="3052">IF(MarBel1LevelCurrent&gt;=$B47,"-",IF(MarBel1LevelDesired&lt;$B47,"-",$E47))</f>
        <v>-</v>
      </c>
      <c r="AM47" s="15" t="str">
        <f t="shared" ref="AM47" si="3053">IF(MarBoo1LevelCurrent&gt;=$B47,"-",IF(MarBoo1LevelDesired&lt;$B47,"-",$C47))</f>
        <v>-</v>
      </c>
      <c r="AN47" s="1" t="str">
        <f t="shared" ref="AN47" si="3054">IF(MarBoo1LevelCurrent&gt;=$B47,"-",IF(MarBoo1LevelDesired&lt;$B47,"-",$D47))</f>
        <v>-</v>
      </c>
      <c r="AO47" s="21" t="str">
        <f t="shared" ref="AO47" si="3055">IF(MarBoo1LevelCurrent&gt;=$B47,"-",IF(MarBoo1LevelDesired&lt;$B47,"-",$E47))</f>
        <v>-</v>
      </c>
      <c r="AP47" s="15" t="str">
        <f t="shared" ref="AP47" si="3056">IF(InfGog2LevelCurrent&gt;=$B47,"-",IF(InfGog2LevelDesired&lt;$B47,"-",$C47))</f>
        <v>-</v>
      </c>
      <c r="AQ47" s="1" t="str">
        <f t="shared" ref="AQ47" si="3057">IF(InfGog2LevelCurrent&gt;=$B47,"-",IF(InfGog2LevelDesired&lt;$B47,"-",$D47))</f>
        <v>-</v>
      </c>
      <c r="AR47" s="21" t="str">
        <f t="shared" ref="AR47" si="3058">IF(InfGog2LevelCurrent&gt;=$B47,"-",IF(InfGog2LevelDesired&lt;$B47,"-",$E47))</f>
        <v>-</v>
      </c>
      <c r="AS47" s="15" t="str">
        <f t="shared" ref="AS47" si="3059">IF(InfGlo2LevelCurrent&gt;=$B47,"-",IF(InfGlo2LevelDesired&lt;$B47,"-",$C47))</f>
        <v>-</v>
      </c>
      <c r="AT47" s="1" t="str">
        <f t="shared" ref="AT47" si="3060">IF(InfGlo2LevelCurrent&gt;=$B47,"-",IF(InfGlo2LevelDesired&lt;$B47,"-",$D47))</f>
        <v>-</v>
      </c>
      <c r="AU47" s="21" t="str">
        <f t="shared" ref="AU47" si="3061">IF(InfGlo2LevelCurrent&gt;=$B47,"-",IF(InfGlo2LevelDesired&lt;$B47,"-",$E47))</f>
        <v>-</v>
      </c>
      <c r="AV47" s="15" t="str">
        <f t="shared" ref="AV47" si="3062">IF(InfBel2LevelCurrent&gt;=$B47,"-",IF(InfBel2LevelDesired&lt;$B47,"-",$C47))</f>
        <v>-</v>
      </c>
      <c r="AW47" s="1" t="str">
        <f t="shared" ref="AW47" si="3063">IF(InfBel2LevelCurrent&gt;=$B47,"-",IF(InfBel2LevelDesired&lt;$B47,"-",$D47))</f>
        <v>-</v>
      </c>
      <c r="AX47" s="21" t="str">
        <f t="shared" ref="AX47" si="3064">IF(InfBel2LevelCurrent&gt;=$B47,"-",IF(InfBel2LevelDesired&lt;$B47,"-",$E47))</f>
        <v>-</v>
      </c>
      <c r="AY47" s="15" t="str">
        <f t="shared" ref="AY47" si="3065">IF(InfBoo2LevelCurrent&gt;=$B47,"-",IF(InfBoo2LevelDesired&lt;$B47,"-",$C47))</f>
        <v>-</v>
      </c>
      <c r="AZ47" s="1" t="str">
        <f t="shared" ref="AZ47" si="3066">IF(InfBoo2LevelCurrent&gt;=$B47,"-",IF(InfBoo2LevelDesired&lt;$B47,"-",$D47))</f>
        <v>-</v>
      </c>
      <c r="BA47" s="21" t="str">
        <f t="shared" ref="BA47" si="3067">IF(InfBoo2LevelCurrent&gt;=$B47,"-",IF(InfBoo2LevelDesired&lt;$B47,"-",$E47))</f>
        <v>-</v>
      </c>
      <c r="BB47" s="15" t="str">
        <f t="shared" ref="BB47" si="3068">IF(LanGog2LevelCurrent&gt;=$B47,"-",IF(LanGog2LevelDesired&lt;$B47,"-",$C47))</f>
        <v>-</v>
      </c>
      <c r="BC47" s="1" t="str">
        <f t="shared" ref="BC47" si="3069">IF(LanGog2LevelCurrent&gt;=$B47,"-",IF(LanGog2LevelDesired&lt;$B47,"-",$D47))</f>
        <v>-</v>
      </c>
      <c r="BD47" s="21" t="str">
        <f t="shared" ref="BD47" si="3070">IF(LanGog2LevelCurrent&gt;=$B47,"-",IF(LanGog2LevelDesired&lt;$B47,"-",$E47))</f>
        <v>-</v>
      </c>
      <c r="BE47" s="15" t="str">
        <f t="shared" ref="BE47" si="3071">IF(LanGlo2LevelCurrent&gt;=$B47,"-",IF(LanGlo2LevelDesired&lt;$B47,"-",$C47))</f>
        <v>-</v>
      </c>
      <c r="BF47" s="1" t="str">
        <f t="shared" ref="BF47" si="3072">IF(LanGlo2LevelCurrent&gt;=$B47,"-",IF(LanGlo2LevelDesired&lt;$B47,"-",$D47))</f>
        <v>-</v>
      </c>
      <c r="BG47" s="21" t="str">
        <f t="shared" ref="BG47" si="3073">IF(LanGlo2LevelCurrent&gt;=$B47,"-",IF(LanGlo2LevelDesired&lt;$B47,"-",$E47))</f>
        <v>-</v>
      </c>
      <c r="BH47" s="15" t="str">
        <f t="shared" ref="BH47" si="3074">IF(LanBel2LevelCurrent&gt;=$B47,"-",IF(LanBel2LevelDesired&lt;$B47,"-",$C47))</f>
        <v>-</v>
      </c>
      <c r="BI47" s="1" t="str">
        <f t="shared" ref="BI47" si="3075">IF(LanBel2LevelCurrent&gt;=$B47,"-",IF(LanBel2LevelDesired&lt;$B47,"-",$D47))</f>
        <v>-</v>
      </c>
      <c r="BJ47" s="21" t="str">
        <f t="shared" ref="BJ47" si="3076">IF(LanBel2LevelCurrent&gt;=$B47,"-",IF(LanBel2LevelDesired&lt;$B47,"-",$E47))</f>
        <v>-</v>
      </c>
      <c r="BK47" s="15" t="str">
        <f t="shared" ref="BK47" si="3077">IF(LanBoo2LevelCurrent&gt;=$B47,"-",IF(LanBoo2LevelDesired&lt;$B47,"-",$C47))</f>
        <v>-</v>
      </c>
      <c r="BL47" s="1" t="str">
        <f t="shared" ref="BL47" si="3078">IF(LanBoo2LevelCurrent&gt;=$B47,"-",IF(LanBoo2LevelDesired&lt;$B47,"-",$D47))</f>
        <v>-</v>
      </c>
      <c r="BM47" s="21" t="str">
        <f t="shared" ref="BM47" si="3079">IF(LanBoo2LevelCurrent&gt;=$B47,"-",IF(LanBoo2LevelDesired&lt;$B47,"-",$E47))</f>
        <v>-</v>
      </c>
      <c r="BN47" s="15" t="str">
        <f t="shared" ref="BN47" si="3080">IF(MarGog2LevelCurrent&gt;=$B47,"-",IF(MarGog2LevelDesired&lt;$B47,"-",$C47))</f>
        <v>-</v>
      </c>
      <c r="BO47" s="1" t="str">
        <f t="shared" ref="BO47" si="3081">IF(MarGog2LevelCurrent&gt;=$B47,"-",IF(MarGog2LevelDesired&lt;$B47,"-",$D47))</f>
        <v>-</v>
      </c>
      <c r="BP47" s="21" t="str">
        <f t="shared" ref="BP47" si="3082">IF(MarGog2LevelCurrent&gt;=$B47,"-",IF(MarGog2LevelDesired&lt;$B47,"-",$E47))</f>
        <v>-</v>
      </c>
      <c r="BQ47" s="15" t="str">
        <f t="shared" ref="BQ47" si="3083">IF(MarGlo2LevelCurrent&gt;=$B47,"-",IF(MarGlo2LevelDesired&lt;$B47,"-",$C47))</f>
        <v>-</v>
      </c>
      <c r="BR47" s="1" t="str">
        <f t="shared" ref="BR47" si="3084">IF(MarGlo2LevelCurrent&gt;=$B47,"-",IF(MarGlo2LevelDesired&lt;$B47,"-",$D47))</f>
        <v>-</v>
      </c>
      <c r="BS47" s="21" t="str">
        <f t="shared" ref="BS47" si="3085">IF(MarGlo2LevelCurrent&gt;=$B47,"-",IF(MarGlo2LevelDesired&lt;$B47,"-",$E47))</f>
        <v>-</v>
      </c>
      <c r="BT47" s="15" t="str">
        <f t="shared" ref="BT47" si="3086">IF(MarBel2LevelCurrent&gt;=$B47,"-",IF(MarBel2LevelDesired&lt;$B47,"-",$C47))</f>
        <v>-</v>
      </c>
      <c r="BU47" s="1" t="str">
        <f t="shared" ref="BU47" si="3087">IF(MarBel2LevelCurrent&gt;=$B47,"-",IF(MarBel2LevelDesired&lt;$B47,"-",$D47))</f>
        <v>-</v>
      </c>
      <c r="BV47" s="21" t="str">
        <f t="shared" ref="BV47" si="3088">IF(MarBel2LevelCurrent&gt;=$B47,"-",IF(MarBel2LevelDesired&lt;$B47,"-",$E47))</f>
        <v>-</v>
      </c>
      <c r="BW47" s="15" t="str">
        <f t="shared" ref="BW47" si="3089">IF(MarBoo2LevelCurrent&gt;=$B47,"-",IF(MarBoo2LevelDesired&lt;$B47,"-",$C47))</f>
        <v>-</v>
      </c>
      <c r="BX47" s="1" t="str">
        <f t="shared" ref="BX47" si="3090">IF(MarBoo2LevelCurrent&gt;=$B47,"-",IF(MarBoo2LevelDesired&lt;$B47,"-",$D47))</f>
        <v>-</v>
      </c>
      <c r="BY47" s="21" t="str">
        <f t="shared" ref="BY47" si="3091">IF(MarBoo2LevelCurrent&gt;=$B47,"-",IF(MarBoo2LevelDesired&lt;$B47,"-",$E47))</f>
        <v>-</v>
      </c>
      <c r="BZ47" s="15" t="str">
        <f t="shared" si="2410"/>
        <v>-</v>
      </c>
      <c r="CA47" s="1" t="str" cm="1">
        <f t="array" ref="CA47">IF(InfGog3LevelCurrent&gt;=$B47,"-",IF(InfGog3LevelDesired&lt;$B47,"-",$D47))</f>
        <v>-</v>
      </c>
      <c r="CB47" s="21" t="str" cm="1">
        <f t="array" ref="CB47">IF(InfGog3LevelCurrent&gt;=$B47,"-",IF(InfGog3LevelDesired&lt;$B47,"-",$E47))</f>
        <v>-</v>
      </c>
      <c r="CC47" s="15" t="str">
        <f t="shared" si="2411"/>
        <v>-</v>
      </c>
      <c r="CD47" s="1" t="str">
        <f t="shared" si="2412"/>
        <v>-</v>
      </c>
      <c r="CE47" s="21" t="str">
        <f t="shared" si="2413"/>
        <v>-</v>
      </c>
      <c r="CF47" s="15" t="str">
        <f t="shared" si="2414"/>
        <v>-</v>
      </c>
      <c r="CG47" s="1" t="str">
        <f t="shared" si="2415"/>
        <v>-</v>
      </c>
      <c r="CH47" s="21" t="str">
        <f t="shared" si="2416"/>
        <v>-</v>
      </c>
      <c r="CI47" s="15" t="str">
        <f t="shared" si="2417"/>
        <v>-</v>
      </c>
      <c r="CJ47" s="1" t="str">
        <f t="shared" si="2418"/>
        <v>-</v>
      </c>
      <c r="CK47" s="21" t="str">
        <f t="shared" si="2419"/>
        <v>-</v>
      </c>
      <c r="CL47" s="15" t="str">
        <f t="shared" si="2420"/>
        <v>-</v>
      </c>
      <c r="CM47" s="1" t="str">
        <f t="shared" si="2421"/>
        <v>-</v>
      </c>
      <c r="CN47" s="21" t="str">
        <f t="shared" si="2422"/>
        <v>-</v>
      </c>
      <c r="CO47" s="15" t="str">
        <f t="shared" si="2423"/>
        <v>-</v>
      </c>
      <c r="CP47" s="1" t="str">
        <f t="shared" si="2424"/>
        <v>-</v>
      </c>
      <c r="CQ47" s="21" t="str">
        <f t="shared" si="2425"/>
        <v>-</v>
      </c>
      <c r="CR47" s="15" t="str">
        <f t="shared" si="2426"/>
        <v>-</v>
      </c>
      <c r="CS47" s="1" t="str">
        <f t="shared" si="2427"/>
        <v>-</v>
      </c>
      <c r="CT47" s="21" t="str">
        <f t="shared" si="2428"/>
        <v>-</v>
      </c>
      <c r="CU47" s="15" t="str">
        <f t="shared" si="2429"/>
        <v>-</v>
      </c>
      <c r="CV47" s="1" t="str">
        <f t="shared" si="2430"/>
        <v>-</v>
      </c>
      <c r="CW47" s="21" t="str">
        <f t="shared" si="2431"/>
        <v>-</v>
      </c>
      <c r="CX47" s="15" t="str">
        <f t="shared" si="2432"/>
        <v>-</v>
      </c>
      <c r="CY47" s="1" t="str">
        <f t="shared" si="2433"/>
        <v>-</v>
      </c>
      <c r="CZ47" s="21" t="str">
        <f t="shared" si="2434"/>
        <v>-</v>
      </c>
      <c r="DA47" s="15" t="str">
        <f t="shared" si="2435"/>
        <v>-</v>
      </c>
      <c r="DB47" s="1" t="str">
        <f t="shared" si="2436"/>
        <v>-</v>
      </c>
      <c r="DC47" s="21" t="str">
        <f t="shared" si="2437"/>
        <v>-</v>
      </c>
      <c r="DD47" s="15" t="str">
        <f t="shared" si="2438"/>
        <v>-</v>
      </c>
      <c r="DE47" s="1" t="str">
        <f t="shared" si="2439"/>
        <v>-</v>
      </c>
      <c r="DF47" s="21" t="str">
        <f t="shared" si="2440"/>
        <v>-</v>
      </c>
      <c r="DG47" s="15" t="str">
        <f t="shared" si="2441"/>
        <v>-</v>
      </c>
      <c r="DH47" s="1" t="str">
        <f t="shared" si="2442"/>
        <v>-</v>
      </c>
      <c r="DI47" s="21" t="str">
        <f t="shared" si="2443"/>
        <v>-</v>
      </c>
    </row>
    <row r="48" spans="2:113" x14ac:dyDescent="0.3">
      <c r="B48" s="1">
        <v>43</v>
      </c>
      <c r="C48" s="67">
        <v>330</v>
      </c>
      <c r="D48" s="88" t="s">
        <v>27</v>
      </c>
      <c r="E48" s="21" t="s">
        <v>27</v>
      </c>
      <c r="F48" s="15" t="str">
        <f t="shared" ref="F48" si="3092">IF(InfGog1LevelCurrent&gt;=$B48,"-",IF(InfGog1LevelDesired&lt;$B48,"-",$C48))</f>
        <v>-</v>
      </c>
      <c r="G48" s="1" t="str">
        <f t="shared" ref="G48" si="3093">IF(InfGog1LevelCurrent&gt;=$B48,"-",IF(InfGog1LevelDesired&lt;$B48,"-",$D48))</f>
        <v>-</v>
      </c>
      <c r="H48" s="21" t="str">
        <f t="shared" ref="H48" si="3094">IF(InfGog1LevelCurrent&gt;=$B48,"-",IF(InfGog1LevelDesired&lt;$B48,"-",$E48))</f>
        <v>-</v>
      </c>
      <c r="I48" s="15" t="str">
        <f t="shared" ref="I48" si="3095">IF(InfGlo1LevelCurrent&gt;=$B48,"-",IF(InfGlo1LevelDesired&lt;$B48,"-",$C48))</f>
        <v>-</v>
      </c>
      <c r="J48" s="1" t="str">
        <f t="shared" ref="J48" si="3096">IF(InfGlo1LevelCurrent&gt;=$B48,"-",IF(InfGlo1LevelDesired&lt;$B48,"-",$D48))</f>
        <v>-</v>
      </c>
      <c r="K48" s="21" t="str">
        <f t="shared" ref="K48" si="3097">IF(InfGlo1LevelCurrent&gt;=$B48,"-",IF(InfGlo1LevelDesired&lt;$B48,"-",$E48))</f>
        <v>-</v>
      </c>
      <c r="L48" s="15" t="str">
        <f t="shared" ref="L48" si="3098">IF(InfBel1LevelCurrent&gt;=$B48,"-",IF(InfBel1LevelDesired&lt;$B48,"-",$C48))</f>
        <v>-</v>
      </c>
      <c r="M48" s="1" t="str">
        <f t="shared" ref="M48" si="3099">IF(InfBel1LevelCurrent&gt;=$B48,"-",IF(InfBel1LevelDesired&lt;$B48,"-",$D48))</f>
        <v>-</v>
      </c>
      <c r="N48" s="21" t="str">
        <f t="shared" ref="N48" si="3100">IF(InfBel1LevelCurrent&gt;=$B48,"-",IF(InfBel1LevelDesired&lt;$B48,"-",$E48))</f>
        <v>-</v>
      </c>
      <c r="O48" s="15" t="str">
        <f t="shared" ref="O48" si="3101">IF(InfBoo1LevelCurrent&gt;=$B48,"-",IF(InfBoo1LevelDesired&lt;$B48,"-",$C48))</f>
        <v>-</v>
      </c>
      <c r="P48" s="1" t="str">
        <f t="shared" ref="P48" si="3102">IF(InfBoo1LevelCurrent&gt;=$B48,"-",IF(InfBoo1LevelDesired&lt;$B48,"-",$D48))</f>
        <v>-</v>
      </c>
      <c r="Q48" s="21" t="str">
        <f t="shared" ref="Q48" si="3103">IF(InfBoo1LevelCurrent&gt;=$B48,"-",IF(InfBoo1LevelDesired&lt;$B48,"-",$E48))</f>
        <v>-</v>
      </c>
      <c r="R48" s="15" t="str">
        <f t="shared" ref="R48" si="3104">IF(LanGog1LevelCurrent&gt;=$B48,"-",IF(LanGog1LevelDesired&lt;$B48,"-",$C48))</f>
        <v>-</v>
      </c>
      <c r="S48" s="1" t="str">
        <f t="shared" ref="S48" si="3105">IF(LanGog1LevelCurrent&gt;=$B48,"-",IF(LanGog1LevelDesired&lt;$B48,"-",$D48))</f>
        <v>-</v>
      </c>
      <c r="T48" s="21" t="str">
        <f t="shared" ref="T48" si="3106">IF(LanGog1LevelCurrent&gt;=$B48,"-",IF(LanGog1LevelDesired&lt;$B48,"-",$E48))</f>
        <v>-</v>
      </c>
      <c r="U48" s="15" t="str">
        <f t="shared" ref="U48" si="3107">IF(LanGlo1LevelCurrent&gt;=$B48,"-",IF(LanGlo1LevelDesired&lt;$B48,"-",$C48))</f>
        <v>-</v>
      </c>
      <c r="V48" s="1" t="str">
        <f t="shared" ref="V48" si="3108">IF(LanGlo1LevelCurrent&gt;=$B48,"-",IF(LanGlo1LevelDesired&lt;$B48,"-",$D48))</f>
        <v>-</v>
      </c>
      <c r="W48" s="21" t="str">
        <f t="shared" ref="W48" si="3109">IF(LanGlo1LevelCurrent&gt;=$B48,"-",IF(LanGlo1LevelDesired&lt;$B48,"-",$E48))</f>
        <v>-</v>
      </c>
      <c r="X48" s="15" t="str">
        <f t="shared" ref="X48" si="3110">IF(LanBel1LevelCurrent&gt;=$B48,"-",IF(LanBel1LevelDesired&lt;$B48,"-",$C48))</f>
        <v>-</v>
      </c>
      <c r="Y48" s="1" t="str">
        <f t="shared" ref="Y48" si="3111">IF(LanBel1LevelCurrent&gt;=$B48,"-",IF(LanBel1LevelDesired&lt;$B48,"-",$D48))</f>
        <v>-</v>
      </c>
      <c r="Z48" s="21" t="str">
        <f t="shared" ref="Z48" si="3112">IF(LanBel1LevelCurrent&gt;=$B48,"-",IF(LanBel1LevelDesired&lt;$B48,"-",$E48))</f>
        <v>-</v>
      </c>
      <c r="AA48" s="15" t="str">
        <f t="shared" ref="AA48" si="3113">IF(LanBoo1LevelCurrent&gt;=$B48,"-",IF(LanBoo1LevelDesired&lt;$B48,"-",$C48))</f>
        <v>-</v>
      </c>
      <c r="AB48" s="1" t="str">
        <f t="shared" ref="AB48" si="3114">IF(LanBoo1LevelCurrent&gt;=$B48,"-",IF(LanBoo1LevelDesired&lt;$B48,"-",$D48))</f>
        <v>-</v>
      </c>
      <c r="AC48" s="21" t="str">
        <f t="shared" ref="AC48" si="3115">IF(LanBoo1LevelCurrent&gt;=$B48,"-",IF(LanBoo1LevelDesired&lt;$B48,"-",$E48))</f>
        <v>-</v>
      </c>
      <c r="AD48" s="15" t="str">
        <f t="shared" ref="AD48" si="3116">IF(MarGog1LevelCurrent&gt;=$B48,"-",IF(MarGog1LevelDesired&lt;$B48,"-",$C48))</f>
        <v>-</v>
      </c>
      <c r="AE48" s="1" t="str">
        <f t="shared" ref="AE48" si="3117">IF(MarGog1LevelCurrent&gt;=$B48,"-",IF(MarGog1LevelDesired&lt;$B48,"-",$D48))</f>
        <v>-</v>
      </c>
      <c r="AF48" s="21" t="str">
        <f t="shared" ref="AF48" si="3118">IF(MarGog1LevelCurrent&gt;=$B48,"-",IF(MarGog1LevelDesired&lt;$B48,"-",$E48))</f>
        <v>-</v>
      </c>
      <c r="AG48" s="15" t="str">
        <f t="shared" ref="AG48" si="3119">IF(MarGlo1LevelCurrent&gt;=$B48,"-",IF(MarGlo1LevelDesired&lt;$B48,"-",$C48))</f>
        <v>-</v>
      </c>
      <c r="AH48" s="1" t="str">
        <f t="shared" ref="AH48" si="3120">IF(MarGlo1LevelCurrent&gt;=$B48,"-",IF(MarGlo1LevelDesired&lt;$B48,"-",$D48))</f>
        <v>-</v>
      </c>
      <c r="AI48" s="21" t="str">
        <f t="shared" ref="AI48" si="3121">IF(MarGlo1LevelCurrent&gt;=$B48,"-",IF(MarGlo1LevelDesired&lt;$B48,"-",$E48))</f>
        <v>-</v>
      </c>
      <c r="AJ48" s="15" t="str">
        <f t="shared" ref="AJ48" si="3122">IF(MarBel1LevelCurrent&gt;=$B48,"-",IF(MarBel1LevelDesired&lt;$B48,"-",$C48))</f>
        <v>-</v>
      </c>
      <c r="AK48" s="1" t="str">
        <f t="shared" ref="AK48" si="3123">IF(MarBel1LevelCurrent&gt;=$B48,"-",IF(MarBel1LevelDesired&lt;$B48,"-",$D48))</f>
        <v>-</v>
      </c>
      <c r="AL48" s="21" t="str">
        <f t="shared" ref="AL48" si="3124">IF(MarBel1LevelCurrent&gt;=$B48,"-",IF(MarBel1LevelDesired&lt;$B48,"-",$E48))</f>
        <v>-</v>
      </c>
      <c r="AM48" s="15" t="str">
        <f t="shared" ref="AM48" si="3125">IF(MarBoo1LevelCurrent&gt;=$B48,"-",IF(MarBoo1LevelDesired&lt;$B48,"-",$C48))</f>
        <v>-</v>
      </c>
      <c r="AN48" s="1" t="str">
        <f t="shared" ref="AN48" si="3126">IF(MarBoo1LevelCurrent&gt;=$B48,"-",IF(MarBoo1LevelDesired&lt;$B48,"-",$D48))</f>
        <v>-</v>
      </c>
      <c r="AO48" s="21" t="str">
        <f t="shared" ref="AO48" si="3127">IF(MarBoo1LevelCurrent&gt;=$B48,"-",IF(MarBoo1LevelDesired&lt;$B48,"-",$E48))</f>
        <v>-</v>
      </c>
      <c r="AP48" s="15" t="str">
        <f t="shared" ref="AP48" si="3128">IF(InfGog2LevelCurrent&gt;=$B48,"-",IF(InfGog2LevelDesired&lt;$B48,"-",$C48))</f>
        <v>-</v>
      </c>
      <c r="AQ48" s="1" t="str">
        <f t="shared" ref="AQ48" si="3129">IF(InfGog2LevelCurrent&gt;=$B48,"-",IF(InfGog2LevelDesired&lt;$B48,"-",$D48))</f>
        <v>-</v>
      </c>
      <c r="AR48" s="21" t="str">
        <f t="shared" ref="AR48" si="3130">IF(InfGog2LevelCurrent&gt;=$B48,"-",IF(InfGog2LevelDesired&lt;$B48,"-",$E48))</f>
        <v>-</v>
      </c>
      <c r="AS48" s="15" t="str">
        <f t="shared" ref="AS48" si="3131">IF(InfGlo2LevelCurrent&gt;=$B48,"-",IF(InfGlo2LevelDesired&lt;$B48,"-",$C48))</f>
        <v>-</v>
      </c>
      <c r="AT48" s="1" t="str">
        <f t="shared" ref="AT48" si="3132">IF(InfGlo2LevelCurrent&gt;=$B48,"-",IF(InfGlo2LevelDesired&lt;$B48,"-",$D48))</f>
        <v>-</v>
      </c>
      <c r="AU48" s="21" t="str">
        <f t="shared" ref="AU48" si="3133">IF(InfGlo2LevelCurrent&gt;=$B48,"-",IF(InfGlo2LevelDesired&lt;$B48,"-",$E48))</f>
        <v>-</v>
      </c>
      <c r="AV48" s="15" t="str">
        <f t="shared" ref="AV48" si="3134">IF(InfBel2LevelCurrent&gt;=$B48,"-",IF(InfBel2LevelDesired&lt;$B48,"-",$C48))</f>
        <v>-</v>
      </c>
      <c r="AW48" s="1" t="str">
        <f t="shared" ref="AW48" si="3135">IF(InfBel2LevelCurrent&gt;=$B48,"-",IF(InfBel2LevelDesired&lt;$B48,"-",$D48))</f>
        <v>-</v>
      </c>
      <c r="AX48" s="21" t="str">
        <f t="shared" ref="AX48" si="3136">IF(InfBel2LevelCurrent&gt;=$B48,"-",IF(InfBel2LevelDesired&lt;$B48,"-",$E48))</f>
        <v>-</v>
      </c>
      <c r="AY48" s="15" t="str">
        <f t="shared" ref="AY48" si="3137">IF(InfBoo2LevelCurrent&gt;=$B48,"-",IF(InfBoo2LevelDesired&lt;$B48,"-",$C48))</f>
        <v>-</v>
      </c>
      <c r="AZ48" s="1" t="str">
        <f t="shared" ref="AZ48" si="3138">IF(InfBoo2LevelCurrent&gt;=$B48,"-",IF(InfBoo2LevelDesired&lt;$B48,"-",$D48))</f>
        <v>-</v>
      </c>
      <c r="BA48" s="21" t="str">
        <f t="shared" ref="BA48" si="3139">IF(InfBoo2LevelCurrent&gt;=$B48,"-",IF(InfBoo2LevelDesired&lt;$B48,"-",$E48))</f>
        <v>-</v>
      </c>
      <c r="BB48" s="15" t="str">
        <f t="shared" ref="BB48" si="3140">IF(LanGog2LevelCurrent&gt;=$B48,"-",IF(LanGog2LevelDesired&lt;$B48,"-",$C48))</f>
        <v>-</v>
      </c>
      <c r="BC48" s="1" t="str">
        <f t="shared" ref="BC48" si="3141">IF(LanGog2LevelCurrent&gt;=$B48,"-",IF(LanGog2LevelDesired&lt;$B48,"-",$D48))</f>
        <v>-</v>
      </c>
      <c r="BD48" s="21" t="str">
        <f t="shared" ref="BD48" si="3142">IF(LanGog2LevelCurrent&gt;=$B48,"-",IF(LanGog2LevelDesired&lt;$B48,"-",$E48))</f>
        <v>-</v>
      </c>
      <c r="BE48" s="15" t="str">
        <f t="shared" ref="BE48" si="3143">IF(LanGlo2LevelCurrent&gt;=$B48,"-",IF(LanGlo2LevelDesired&lt;$B48,"-",$C48))</f>
        <v>-</v>
      </c>
      <c r="BF48" s="1" t="str">
        <f t="shared" ref="BF48" si="3144">IF(LanGlo2LevelCurrent&gt;=$B48,"-",IF(LanGlo2LevelDesired&lt;$B48,"-",$D48))</f>
        <v>-</v>
      </c>
      <c r="BG48" s="21" t="str">
        <f t="shared" ref="BG48" si="3145">IF(LanGlo2LevelCurrent&gt;=$B48,"-",IF(LanGlo2LevelDesired&lt;$B48,"-",$E48))</f>
        <v>-</v>
      </c>
      <c r="BH48" s="15" t="str">
        <f t="shared" ref="BH48" si="3146">IF(LanBel2LevelCurrent&gt;=$B48,"-",IF(LanBel2LevelDesired&lt;$B48,"-",$C48))</f>
        <v>-</v>
      </c>
      <c r="BI48" s="1" t="str">
        <f t="shared" ref="BI48" si="3147">IF(LanBel2LevelCurrent&gt;=$B48,"-",IF(LanBel2LevelDesired&lt;$B48,"-",$D48))</f>
        <v>-</v>
      </c>
      <c r="BJ48" s="21" t="str">
        <f t="shared" ref="BJ48" si="3148">IF(LanBel2LevelCurrent&gt;=$B48,"-",IF(LanBel2LevelDesired&lt;$B48,"-",$E48))</f>
        <v>-</v>
      </c>
      <c r="BK48" s="15" t="str">
        <f t="shared" ref="BK48" si="3149">IF(LanBoo2LevelCurrent&gt;=$B48,"-",IF(LanBoo2LevelDesired&lt;$B48,"-",$C48))</f>
        <v>-</v>
      </c>
      <c r="BL48" s="1" t="str">
        <f t="shared" ref="BL48" si="3150">IF(LanBoo2LevelCurrent&gt;=$B48,"-",IF(LanBoo2LevelDesired&lt;$B48,"-",$D48))</f>
        <v>-</v>
      </c>
      <c r="BM48" s="21" t="str">
        <f t="shared" ref="BM48" si="3151">IF(LanBoo2LevelCurrent&gt;=$B48,"-",IF(LanBoo2LevelDesired&lt;$B48,"-",$E48))</f>
        <v>-</v>
      </c>
      <c r="BN48" s="15" t="str">
        <f t="shared" ref="BN48" si="3152">IF(MarGog2LevelCurrent&gt;=$B48,"-",IF(MarGog2LevelDesired&lt;$B48,"-",$C48))</f>
        <v>-</v>
      </c>
      <c r="BO48" s="1" t="str">
        <f t="shared" ref="BO48" si="3153">IF(MarGog2LevelCurrent&gt;=$B48,"-",IF(MarGog2LevelDesired&lt;$B48,"-",$D48))</f>
        <v>-</v>
      </c>
      <c r="BP48" s="21" t="str">
        <f t="shared" ref="BP48" si="3154">IF(MarGog2LevelCurrent&gt;=$B48,"-",IF(MarGog2LevelDesired&lt;$B48,"-",$E48))</f>
        <v>-</v>
      </c>
      <c r="BQ48" s="15" t="str">
        <f t="shared" ref="BQ48" si="3155">IF(MarGlo2LevelCurrent&gt;=$B48,"-",IF(MarGlo2LevelDesired&lt;$B48,"-",$C48))</f>
        <v>-</v>
      </c>
      <c r="BR48" s="1" t="str">
        <f t="shared" ref="BR48" si="3156">IF(MarGlo2LevelCurrent&gt;=$B48,"-",IF(MarGlo2LevelDesired&lt;$B48,"-",$D48))</f>
        <v>-</v>
      </c>
      <c r="BS48" s="21" t="str">
        <f t="shared" ref="BS48" si="3157">IF(MarGlo2LevelCurrent&gt;=$B48,"-",IF(MarGlo2LevelDesired&lt;$B48,"-",$E48))</f>
        <v>-</v>
      </c>
      <c r="BT48" s="15" t="str">
        <f t="shared" ref="BT48" si="3158">IF(MarBel2LevelCurrent&gt;=$B48,"-",IF(MarBel2LevelDesired&lt;$B48,"-",$C48))</f>
        <v>-</v>
      </c>
      <c r="BU48" s="1" t="str">
        <f t="shared" ref="BU48" si="3159">IF(MarBel2LevelCurrent&gt;=$B48,"-",IF(MarBel2LevelDesired&lt;$B48,"-",$D48))</f>
        <v>-</v>
      </c>
      <c r="BV48" s="21" t="str">
        <f t="shared" ref="BV48" si="3160">IF(MarBel2LevelCurrent&gt;=$B48,"-",IF(MarBel2LevelDesired&lt;$B48,"-",$E48))</f>
        <v>-</v>
      </c>
      <c r="BW48" s="15" t="str">
        <f t="shared" ref="BW48" si="3161">IF(MarBoo2LevelCurrent&gt;=$B48,"-",IF(MarBoo2LevelDesired&lt;$B48,"-",$C48))</f>
        <v>-</v>
      </c>
      <c r="BX48" s="1" t="str">
        <f t="shared" ref="BX48" si="3162">IF(MarBoo2LevelCurrent&gt;=$B48,"-",IF(MarBoo2LevelDesired&lt;$B48,"-",$D48))</f>
        <v>-</v>
      </c>
      <c r="BY48" s="21" t="str">
        <f t="shared" ref="BY48" si="3163">IF(MarBoo2LevelCurrent&gt;=$B48,"-",IF(MarBoo2LevelDesired&lt;$B48,"-",$E48))</f>
        <v>-</v>
      </c>
      <c r="BZ48" s="15" t="str">
        <f t="shared" si="2410"/>
        <v>-</v>
      </c>
      <c r="CA48" s="1" t="str" cm="1">
        <f t="array" ref="CA48">IF(InfGog3LevelCurrent&gt;=$B48,"-",IF(InfGog3LevelDesired&lt;$B48,"-",$D48))</f>
        <v>-</v>
      </c>
      <c r="CB48" s="21" t="str" cm="1">
        <f t="array" ref="CB48">IF(InfGog3LevelCurrent&gt;=$B48,"-",IF(InfGog3LevelDesired&lt;$B48,"-",$E48))</f>
        <v>-</v>
      </c>
      <c r="CC48" s="15" t="str">
        <f t="shared" si="2411"/>
        <v>-</v>
      </c>
      <c r="CD48" s="1" t="str">
        <f t="shared" si="2412"/>
        <v>-</v>
      </c>
      <c r="CE48" s="21" t="str">
        <f t="shared" si="2413"/>
        <v>-</v>
      </c>
      <c r="CF48" s="15" t="str">
        <f t="shared" si="2414"/>
        <v>-</v>
      </c>
      <c r="CG48" s="1" t="str">
        <f t="shared" si="2415"/>
        <v>-</v>
      </c>
      <c r="CH48" s="21" t="str">
        <f t="shared" si="2416"/>
        <v>-</v>
      </c>
      <c r="CI48" s="15" t="str">
        <f t="shared" si="2417"/>
        <v>-</v>
      </c>
      <c r="CJ48" s="1" t="str">
        <f t="shared" si="2418"/>
        <v>-</v>
      </c>
      <c r="CK48" s="21" t="str">
        <f t="shared" si="2419"/>
        <v>-</v>
      </c>
      <c r="CL48" s="15" t="str">
        <f t="shared" si="2420"/>
        <v>-</v>
      </c>
      <c r="CM48" s="1" t="str">
        <f t="shared" si="2421"/>
        <v>-</v>
      </c>
      <c r="CN48" s="21" t="str">
        <f t="shared" si="2422"/>
        <v>-</v>
      </c>
      <c r="CO48" s="15" t="str">
        <f t="shared" si="2423"/>
        <v>-</v>
      </c>
      <c r="CP48" s="1" t="str">
        <f t="shared" si="2424"/>
        <v>-</v>
      </c>
      <c r="CQ48" s="21" t="str">
        <f t="shared" si="2425"/>
        <v>-</v>
      </c>
      <c r="CR48" s="15" t="str">
        <f t="shared" si="2426"/>
        <v>-</v>
      </c>
      <c r="CS48" s="1" t="str">
        <f t="shared" si="2427"/>
        <v>-</v>
      </c>
      <c r="CT48" s="21" t="str">
        <f t="shared" si="2428"/>
        <v>-</v>
      </c>
      <c r="CU48" s="15" t="str">
        <f t="shared" si="2429"/>
        <v>-</v>
      </c>
      <c r="CV48" s="1" t="str">
        <f t="shared" si="2430"/>
        <v>-</v>
      </c>
      <c r="CW48" s="21" t="str">
        <f t="shared" si="2431"/>
        <v>-</v>
      </c>
      <c r="CX48" s="15" t="str">
        <f t="shared" si="2432"/>
        <v>-</v>
      </c>
      <c r="CY48" s="1" t="str">
        <f t="shared" si="2433"/>
        <v>-</v>
      </c>
      <c r="CZ48" s="21" t="str">
        <f t="shared" si="2434"/>
        <v>-</v>
      </c>
      <c r="DA48" s="15" t="str">
        <f t="shared" si="2435"/>
        <v>-</v>
      </c>
      <c r="DB48" s="1" t="str">
        <f t="shared" si="2436"/>
        <v>-</v>
      </c>
      <c r="DC48" s="21" t="str">
        <f t="shared" si="2437"/>
        <v>-</v>
      </c>
      <c r="DD48" s="15" t="str">
        <f t="shared" si="2438"/>
        <v>-</v>
      </c>
      <c r="DE48" s="1" t="str">
        <f t="shared" si="2439"/>
        <v>-</v>
      </c>
      <c r="DF48" s="21" t="str">
        <f t="shared" si="2440"/>
        <v>-</v>
      </c>
      <c r="DG48" s="15" t="str">
        <f t="shared" si="2441"/>
        <v>-</v>
      </c>
      <c r="DH48" s="1" t="str">
        <f t="shared" si="2442"/>
        <v>-</v>
      </c>
      <c r="DI48" s="21" t="str">
        <f t="shared" si="2443"/>
        <v>-</v>
      </c>
    </row>
    <row r="49" spans="2:113" x14ac:dyDescent="0.3">
      <c r="B49" s="1">
        <v>44</v>
      </c>
      <c r="C49" s="67">
        <v>350</v>
      </c>
      <c r="D49" s="88" t="s">
        <v>27</v>
      </c>
      <c r="E49" s="21" t="s">
        <v>27</v>
      </c>
      <c r="F49" s="15" t="str">
        <f t="shared" ref="F49" si="3164">IF(InfGog1LevelCurrent&gt;=$B49,"-",IF(InfGog1LevelDesired&lt;$B49,"-",$C49))</f>
        <v>-</v>
      </c>
      <c r="G49" s="1" t="str">
        <f t="shared" ref="G49" si="3165">IF(InfGog1LevelCurrent&gt;=$B49,"-",IF(InfGog1LevelDesired&lt;$B49,"-",$D49))</f>
        <v>-</v>
      </c>
      <c r="H49" s="21" t="str">
        <f t="shared" ref="H49" si="3166">IF(InfGog1LevelCurrent&gt;=$B49,"-",IF(InfGog1LevelDesired&lt;$B49,"-",$E49))</f>
        <v>-</v>
      </c>
      <c r="I49" s="15" t="str">
        <f t="shared" ref="I49" si="3167">IF(InfGlo1LevelCurrent&gt;=$B49,"-",IF(InfGlo1LevelDesired&lt;$B49,"-",$C49))</f>
        <v>-</v>
      </c>
      <c r="J49" s="1" t="str">
        <f t="shared" ref="J49" si="3168">IF(InfGlo1LevelCurrent&gt;=$B49,"-",IF(InfGlo1LevelDesired&lt;$B49,"-",$D49))</f>
        <v>-</v>
      </c>
      <c r="K49" s="21" t="str">
        <f t="shared" ref="K49" si="3169">IF(InfGlo1LevelCurrent&gt;=$B49,"-",IF(InfGlo1LevelDesired&lt;$B49,"-",$E49))</f>
        <v>-</v>
      </c>
      <c r="L49" s="15" t="str">
        <f t="shared" ref="L49" si="3170">IF(InfBel1LevelCurrent&gt;=$B49,"-",IF(InfBel1LevelDesired&lt;$B49,"-",$C49))</f>
        <v>-</v>
      </c>
      <c r="M49" s="1" t="str">
        <f t="shared" ref="M49" si="3171">IF(InfBel1LevelCurrent&gt;=$B49,"-",IF(InfBel1LevelDesired&lt;$B49,"-",$D49))</f>
        <v>-</v>
      </c>
      <c r="N49" s="21" t="str">
        <f t="shared" ref="N49" si="3172">IF(InfBel1LevelCurrent&gt;=$B49,"-",IF(InfBel1LevelDesired&lt;$B49,"-",$E49))</f>
        <v>-</v>
      </c>
      <c r="O49" s="15" t="str">
        <f t="shared" ref="O49" si="3173">IF(InfBoo1LevelCurrent&gt;=$B49,"-",IF(InfBoo1LevelDesired&lt;$B49,"-",$C49))</f>
        <v>-</v>
      </c>
      <c r="P49" s="1" t="str">
        <f t="shared" ref="P49" si="3174">IF(InfBoo1LevelCurrent&gt;=$B49,"-",IF(InfBoo1LevelDesired&lt;$B49,"-",$D49))</f>
        <v>-</v>
      </c>
      <c r="Q49" s="21" t="str">
        <f t="shared" ref="Q49" si="3175">IF(InfBoo1LevelCurrent&gt;=$B49,"-",IF(InfBoo1LevelDesired&lt;$B49,"-",$E49))</f>
        <v>-</v>
      </c>
      <c r="R49" s="15" t="str">
        <f t="shared" ref="R49" si="3176">IF(LanGog1LevelCurrent&gt;=$B49,"-",IF(LanGog1LevelDesired&lt;$B49,"-",$C49))</f>
        <v>-</v>
      </c>
      <c r="S49" s="1" t="str">
        <f t="shared" ref="S49" si="3177">IF(LanGog1LevelCurrent&gt;=$B49,"-",IF(LanGog1LevelDesired&lt;$B49,"-",$D49))</f>
        <v>-</v>
      </c>
      <c r="T49" s="21" t="str">
        <f t="shared" ref="T49" si="3178">IF(LanGog1LevelCurrent&gt;=$B49,"-",IF(LanGog1LevelDesired&lt;$B49,"-",$E49))</f>
        <v>-</v>
      </c>
      <c r="U49" s="15" t="str">
        <f t="shared" ref="U49" si="3179">IF(LanGlo1LevelCurrent&gt;=$B49,"-",IF(LanGlo1LevelDesired&lt;$B49,"-",$C49))</f>
        <v>-</v>
      </c>
      <c r="V49" s="1" t="str">
        <f t="shared" ref="V49" si="3180">IF(LanGlo1LevelCurrent&gt;=$B49,"-",IF(LanGlo1LevelDesired&lt;$B49,"-",$D49))</f>
        <v>-</v>
      </c>
      <c r="W49" s="21" t="str">
        <f t="shared" ref="W49" si="3181">IF(LanGlo1LevelCurrent&gt;=$B49,"-",IF(LanGlo1LevelDesired&lt;$B49,"-",$E49))</f>
        <v>-</v>
      </c>
      <c r="X49" s="15" t="str">
        <f t="shared" ref="X49" si="3182">IF(LanBel1LevelCurrent&gt;=$B49,"-",IF(LanBel1LevelDesired&lt;$B49,"-",$C49))</f>
        <v>-</v>
      </c>
      <c r="Y49" s="1" t="str">
        <f t="shared" ref="Y49" si="3183">IF(LanBel1LevelCurrent&gt;=$B49,"-",IF(LanBel1LevelDesired&lt;$B49,"-",$D49))</f>
        <v>-</v>
      </c>
      <c r="Z49" s="21" t="str">
        <f t="shared" ref="Z49" si="3184">IF(LanBel1LevelCurrent&gt;=$B49,"-",IF(LanBel1LevelDesired&lt;$B49,"-",$E49))</f>
        <v>-</v>
      </c>
      <c r="AA49" s="15" t="str">
        <f t="shared" ref="AA49" si="3185">IF(LanBoo1LevelCurrent&gt;=$B49,"-",IF(LanBoo1LevelDesired&lt;$B49,"-",$C49))</f>
        <v>-</v>
      </c>
      <c r="AB49" s="1" t="str">
        <f t="shared" ref="AB49" si="3186">IF(LanBoo1LevelCurrent&gt;=$B49,"-",IF(LanBoo1LevelDesired&lt;$B49,"-",$D49))</f>
        <v>-</v>
      </c>
      <c r="AC49" s="21" t="str">
        <f t="shared" ref="AC49" si="3187">IF(LanBoo1LevelCurrent&gt;=$B49,"-",IF(LanBoo1LevelDesired&lt;$B49,"-",$E49))</f>
        <v>-</v>
      </c>
      <c r="AD49" s="15" t="str">
        <f t="shared" ref="AD49" si="3188">IF(MarGog1LevelCurrent&gt;=$B49,"-",IF(MarGog1LevelDesired&lt;$B49,"-",$C49))</f>
        <v>-</v>
      </c>
      <c r="AE49" s="1" t="str">
        <f t="shared" ref="AE49" si="3189">IF(MarGog1LevelCurrent&gt;=$B49,"-",IF(MarGog1LevelDesired&lt;$B49,"-",$D49))</f>
        <v>-</v>
      </c>
      <c r="AF49" s="21" t="str">
        <f t="shared" ref="AF49" si="3190">IF(MarGog1LevelCurrent&gt;=$B49,"-",IF(MarGog1LevelDesired&lt;$B49,"-",$E49))</f>
        <v>-</v>
      </c>
      <c r="AG49" s="15" t="str">
        <f t="shared" ref="AG49" si="3191">IF(MarGlo1LevelCurrent&gt;=$B49,"-",IF(MarGlo1LevelDesired&lt;$B49,"-",$C49))</f>
        <v>-</v>
      </c>
      <c r="AH49" s="1" t="str">
        <f t="shared" ref="AH49" si="3192">IF(MarGlo1LevelCurrent&gt;=$B49,"-",IF(MarGlo1LevelDesired&lt;$B49,"-",$D49))</f>
        <v>-</v>
      </c>
      <c r="AI49" s="21" t="str">
        <f t="shared" ref="AI49" si="3193">IF(MarGlo1LevelCurrent&gt;=$B49,"-",IF(MarGlo1LevelDesired&lt;$B49,"-",$E49))</f>
        <v>-</v>
      </c>
      <c r="AJ49" s="15" t="str">
        <f t="shared" ref="AJ49" si="3194">IF(MarBel1LevelCurrent&gt;=$B49,"-",IF(MarBel1LevelDesired&lt;$B49,"-",$C49))</f>
        <v>-</v>
      </c>
      <c r="AK49" s="1" t="str">
        <f t="shared" ref="AK49" si="3195">IF(MarBel1LevelCurrent&gt;=$B49,"-",IF(MarBel1LevelDesired&lt;$B49,"-",$D49))</f>
        <v>-</v>
      </c>
      <c r="AL49" s="21" t="str">
        <f t="shared" ref="AL49" si="3196">IF(MarBel1LevelCurrent&gt;=$B49,"-",IF(MarBel1LevelDesired&lt;$B49,"-",$E49))</f>
        <v>-</v>
      </c>
      <c r="AM49" s="15" t="str">
        <f t="shared" ref="AM49" si="3197">IF(MarBoo1LevelCurrent&gt;=$B49,"-",IF(MarBoo1LevelDesired&lt;$B49,"-",$C49))</f>
        <v>-</v>
      </c>
      <c r="AN49" s="1" t="str">
        <f t="shared" ref="AN49" si="3198">IF(MarBoo1LevelCurrent&gt;=$B49,"-",IF(MarBoo1LevelDesired&lt;$B49,"-",$D49))</f>
        <v>-</v>
      </c>
      <c r="AO49" s="21" t="str">
        <f t="shared" ref="AO49" si="3199">IF(MarBoo1LevelCurrent&gt;=$B49,"-",IF(MarBoo1LevelDesired&lt;$B49,"-",$E49))</f>
        <v>-</v>
      </c>
      <c r="AP49" s="15" t="str">
        <f t="shared" ref="AP49" si="3200">IF(InfGog2LevelCurrent&gt;=$B49,"-",IF(InfGog2LevelDesired&lt;$B49,"-",$C49))</f>
        <v>-</v>
      </c>
      <c r="AQ49" s="1" t="str">
        <f t="shared" ref="AQ49" si="3201">IF(InfGog2LevelCurrent&gt;=$B49,"-",IF(InfGog2LevelDesired&lt;$B49,"-",$D49))</f>
        <v>-</v>
      </c>
      <c r="AR49" s="21" t="str">
        <f t="shared" ref="AR49" si="3202">IF(InfGog2LevelCurrent&gt;=$B49,"-",IF(InfGog2LevelDesired&lt;$B49,"-",$E49))</f>
        <v>-</v>
      </c>
      <c r="AS49" s="15" t="str">
        <f t="shared" ref="AS49" si="3203">IF(InfGlo2LevelCurrent&gt;=$B49,"-",IF(InfGlo2LevelDesired&lt;$B49,"-",$C49))</f>
        <v>-</v>
      </c>
      <c r="AT49" s="1" t="str">
        <f t="shared" ref="AT49" si="3204">IF(InfGlo2LevelCurrent&gt;=$B49,"-",IF(InfGlo2LevelDesired&lt;$B49,"-",$D49))</f>
        <v>-</v>
      </c>
      <c r="AU49" s="21" t="str">
        <f t="shared" ref="AU49" si="3205">IF(InfGlo2LevelCurrent&gt;=$B49,"-",IF(InfGlo2LevelDesired&lt;$B49,"-",$E49))</f>
        <v>-</v>
      </c>
      <c r="AV49" s="15" t="str">
        <f t="shared" ref="AV49" si="3206">IF(InfBel2LevelCurrent&gt;=$B49,"-",IF(InfBel2LevelDesired&lt;$B49,"-",$C49))</f>
        <v>-</v>
      </c>
      <c r="AW49" s="1" t="str">
        <f t="shared" ref="AW49" si="3207">IF(InfBel2LevelCurrent&gt;=$B49,"-",IF(InfBel2LevelDesired&lt;$B49,"-",$D49))</f>
        <v>-</v>
      </c>
      <c r="AX49" s="21" t="str">
        <f t="shared" ref="AX49" si="3208">IF(InfBel2LevelCurrent&gt;=$B49,"-",IF(InfBel2LevelDesired&lt;$B49,"-",$E49))</f>
        <v>-</v>
      </c>
      <c r="AY49" s="15" t="str">
        <f t="shared" ref="AY49" si="3209">IF(InfBoo2LevelCurrent&gt;=$B49,"-",IF(InfBoo2LevelDesired&lt;$B49,"-",$C49))</f>
        <v>-</v>
      </c>
      <c r="AZ49" s="1" t="str">
        <f t="shared" ref="AZ49" si="3210">IF(InfBoo2LevelCurrent&gt;=$B49,"-",IF(InfBoo2LevelDesired&lt;$B49,"-",$D49))</f>
        <v>-</v>
      </c>
      <c r="BA49" s="21" t="str">
        <f t="shared" ref="BA49" si="3211">IF(InfBoo2LevelCurrent&gt;=$B49,"-",IF(InfBoo2LevelDesired&lt;$B49,"-",$E49))</f>
        <v>-</v>
      </c>
      <c r="BB49" s="15" t="str">
        <f t="shared" ref="BB49" si="3212">IF(LanGog2LevelCurrent&gt;=$B49,"-",IF(LanGog2LevelDesired&lt;$B49,"-",$C49))</f>
        <v>-</v>
      </c>
      <c r="BC49" s="1" t="str">
        <f t="shared" ref="BC49" si="3213">IF(LanGog2LevelCurrent&gt;=$B49,"-",IF(LanGog2LevelDesired&lt;$B49,"-",$D49))</f>
        <v>-</v>
      </c>
      <c r="BD49" s="21" t="str">
        <f t="shared" ref="BD49" si="3214">IF(LanGog2LevelCurrent&gt;=$B49,"-",IF(LanGog2LevelDesired&lt;$B49,"-",$E49))</f>
        <v>-</v>
      </c>
      <c r="BE49" s="15" t="str">
        <f t="shared" ref="BE49" si="3215">IF(LanGlo2LevelCurrent&gt;=$B49,"-",IF(LanGlo2LevelDesired&lt;$B49,"-",$C49))</f>
        <v>-</v>
      </c>
      <c r="BF49" s="1" t="str">
        <f t="shared" ref="BF49" si="3216">IF(LanGlo2LevelCurrent&gt;=$B49,"-",IF(LanGlo2LevelDesired&lt;$B49,"-",$D49))</f>
        <v>-</v>
      </c>
      <c r="BG49" s="21" t="str">
        <f t="shared" ref="BG49" si="3217">IF(LanGlo2LevelCurrent&gt;=$B49,"-",IF(LanGlo2LevelDesired&lt;$B49,"-",$E49))</f>
        <v>-</v>
      </c>
      <c r="BH49" s="15" t="str">
        <f t="shared" ref="BH49" si="3218">IF(LanBel2LevelCurrent&gt;=$B49,"-",IF(LanBel2LevelDesired&lt;$B49,"-",$C49))</f>
        <v>-</v>
      </c>
      <c r="BI49" s="1" t="str">
        <f t="shared" ref="BI49" si="3219">IF(LanBel2LevelCurrent&gt;=$B49,"-",IF(LanBel2LevelDesired&lt;$B49,"-",$D49))</f>
        <v>-</v>
      </c>
      <c r="BJ49" s="21" t="str">
        <f t="shared" ref="BJ49" si="3220">IF(LanBel2LevelCurrent&gt;=$B49,"-",IF(LanBel2LevelDesired&lt;$B49,"-",$E49))</f>
        <v>-</v>
      </c>
      <c r="BK49" s="15" t="str">
        <f t="shared" ref="BK49" si="3221">IF(LanBoo2LevelCurrent&gt;=$B49,"-",IF(LanBoo2LevelDesired&lt;$B49,"-",$C49))</f>
        <v>-</v>
      </c>
      <c r="BL49" s="1" t="str">
        <f t="shared" ref="BL49" si="3222">IF(LanBoo2LevelCurrent&gt;=$B49,"-",IF(LanBoo2LevelDesired&lt;$B49,"-",$D49))</f>
        <v>-</v>
      </c>
      <c r="BM49" s="21" t="str">
        <f t="shared" ref="BM49" si="3223">IF(LanBoo2LevelCurrent&gt;=$B49,"-",IF(LanBoo2LevelDesired&lt;$B49,"-",$E49))</f>
        <v>-</v>
      </c>
      <c r="BN49" s="15" t="str">
        <f t="shared" ref="BN49" si="3224">IF(MarGog2LevelCurrent&gt;=$B49,"-",IF(MarGog2LevelDesired&lt;$B49,"-",$C49))</f>
        <v>-</v>
      </c>
      <c r="BO49" s="1" t="str">
        <f t="shared" ref="BO49" si="3225">IF(MarGog2LevelCurrent&gt;=$B49,"-",IF(MarGog2LevelDesired&lt;$B49,"-",$D49))</f>
        <v>-</v>
      </c>
      <c r="BP49" s="21" t="str">
        <f t="shared" ref="BP49" si="3226">IF(MarGog2LevelCurrent&gt;=$B49,"-",IF(MarGog2LevelDesired&lt;$B49,"-",$E49))</f>
        <v>-</v>
      </c>
      <c r="BQ49" s="15" t="str">
        <f t="shared" ref="BQ49" si="3227">IF(MarGlo2LevelCurrent&gt;=$B49,"-",IF(MarGlo2LevelDesired&lt;$B49,"-",$C49))</f>
        <v>-</v>
      </c>
      <c r="BR49" s="1" t="str">
        <f t="shared" ref="BR49" si="3228">IF(MarGlo2LevelCurrent&gt;=$B49,"-",IF(MarGlo2LevelDesired&lt;$B49,"-",$D49))</f>
        <v>-</v>
      </c>
      <c r="BS49" s="21" t="str">
        <f t="shared" ref="BS49" si="3229">IF(MarGlo2LevelCurrent&gt;=$B49,"-",IF(MarGlo2LevelDesired&lt;$B49,"-",$E49))</f>
        <v>-</v>
      </c>
      <c r="BT49" s="15" t="str">
        <f t="shared" ref="BT49" si="3230">IF(MarBel2LevelCurrent&gt;=$B49,"-",IF(MarBel2LevelDesired&lt;$B49,"-",$C49))</f>
        <v>-</v>
      </c>
      <c r="BU49" s="1" t="str">
        <f t="shared" ref="BU49" si="3231">IF(MarBel2LevelCurrent&gt;=$B49,"-",IF(MarBel2LevelDesired&lt;$B49,"-",$D49))</f>
        <v>-</v>
      </c>
      <c r="BV49" s="21" t="str">
        <f t="shared" ref="BV49" si="3232">IF(MarBel2LevelCurrent&gt;=$B49,"-",IF(MarBel2LevelDesired&lt;$B49,"-",$E49))</f>
        <v>-</v>
      </c>
      <c r="BW49" s="15" t="str">
        <f t="shared" ref="BW49" si="3233">IF(MarBoo2LevelCurrent&gt;=$B49,"-",IF(MarBoo2LevelDesired&lt;$B49,"-",$C49))</f>
        <v>-</v>
      </c>
      <c r="BX49" s="1" t="str">
        <f t="shared" ref="BX49" si="3234">IF(MarBoo2LevelCurrent&gt;=$B49,"-",IF(MarBoo2LevelDesired&lt;$B49,"-",$D49))</f>
        <v>-</v>
      </c>
      <c r="BY49" s="21" t="str">
        <f t="shared" ref="BY49" si="3235">IF(MarBoo2LevelCurrent&gt;=$B49,"-",IF(MarBoo2LevelDesired&lt;$B49,"-",$E49))</f>
        <v>-</v>
      </c>
      <c r="BZ49" s="15" t="str">
        <f t="shared" si="2410"/>
        <v>-</v>
      </c>
      <c r="CA49" s="1" t="str" cm="1">
        <f t="array" ref="CA49">IF(InfGog3LevelCurrent&gt;=$B49,"-",IF(InfGog3LevelDesired&lt;$B49,"-",$D49))</f>
        <v>-</v>
      </c>
      <c r="CB49" s="21" t="str" cm="1">
        <f t="array" ref="CB49">IF(InfGog3LevelCurrent&gt;=$B49,"-",IF(InfGog3LevelDesired&lt;$B49,"-",$E49))</f>
        <v>-</v>
      </c>
      <c r="CC49" s="15" t="str">
        <f t="shared" si="2411"/>
        <v>-</v>
      </c>
      <c r="CD49" s="1" t="str">
        <f t="shared" si="2412"/>
        <v>-</v>
      </c>
      <c r="CE49" s="21" t="str">
        <f t="shared" si="2413"/>
        <v>-</v>
      </c>
      <c r="CF49" s="15" t="str">
        <f t="shared" si="2414"/>
        <v>-</v>
      </c>
      <c r="CG49" s="1" t="str">
        <f t="shared" si="2415"/>
        <v>-</v>
      </c>
      <c r="CH49" s="21" t="str">
        <f t="shared" si="2416"/>
        <v>-</v>
      </c>
      <c r="CI49" s="15" t="str">
        <f t="shared" si="2417"/>
        <v>-</v>
      </c>
      <c r="CJ49" s="1" t="str">
        <f t="shared" si="2418"/>
        <v>-</v>
      </c>
      <c r="CK49" s="21" t="str">
        <f t="shared" si="2419"/>
        <v>-</v>
      </c>
      <c r="CL49" s="15" t="str">
        <f t="shared" si="2420"/>
        <v>-</v>
      </c>
      <c r="CM49" s="1" t="str">
        <f t="shared" si="2421"/>
        <v>-</v>
      </c>
      <c r="CN49" s="21" t="str">
        <f t="shared" si="2422"/>
        <v>-</v>
      </c>
      <c r="CO49" s="15" t="str">
        <f t="shared" si="2423"/>
        <v>-</v>
      </c>
      <c r="CP49" s="1" t="str">
        <f t="shared" si="2424"/>
        <v>-</v>
      </c>
      <c r="CQ49" s="21" t="str">
        <f t="shared" si="2425"/>
        <v>-</v>
      </c>
      <c r="CR49" s="15" t="str">
        <f t="shared" si="2426"/>
        <v>-</v>
      </c>
      <c r="CS49" s="1" t="str">
        <f t="shared" si="2427"/>
        <v>-</v>
      </c>
      <c r="CT49" s="21" t="str">
        <f t="shared" si="2428"/>
        <v>-</v>
      </c>
      <c r="CU49" s="15" t="str">
        <f t="shared" si="2429"/>
        <v>-</v>
      </c>
      <c r="CV49" s="1" t="str">
        <f t="shared" si="2430"/>
        <v>-</v>
      </c>
      <c r="CW49" s="21" t="str">
        <f t="shared" si="2431"/>
        <v>-</v>
      </c>
      <c r="CX49" s="15" t="str">
        <f t="shared" si="2432"/>
        <v>-</v>
      </c>
      <c r="CY49" s="1" t="str">
        <f t="shared" si="2433"/>
        <v>-</v>
      </c>
      <c r="CZ49" s="21" t="str">
        <f t="shared" si="2434"/>
        <v>-</v>
      </c>
      <c r="DA49" s="15" t="str">
        <f t="shared" si="2435"/>
        <v>-</v>
      </c>
      <c r="DB49" s="1" t="str">
        <f t="shared" si="2436"/>
        <v>-</v>
      </c>
      <c r="DC49" s="21" t="str">
        <f t="shared" si="2437"/>
        <v>-</v>
      </c>
      <c r="DD49" s="15" t="str">
        <f t="shared" si="2438"/>
        <v>-</v>
      </c>
      <c r="DE49" s="1" t="str">
        <f t="shared" si="2439"/>
        <v>-</v>
      </c>
      <c r="DF49" s="21" t="str">
        <f t="shared" si="2440"/>
        <v>-</v>
      </c>
      <c r="DG49" s="15" t="str">
        <f t="shared" si="2441"/>
        <v>-</v>
      </c>
      <c r="DH49" s="1" t="str">
        <f t="shared" si="2442"/>
        <v>-</v>
      </c>
      <c r="DI49" s="21" t="str">
        <f t="shared" si="2443"/>
        <v>-</v>
      </c>
    </row>
    <row r="50" spans="2:113" x14ac:dyDescent="0.3">
      <c r="B50" s="1">
        <v>45</v>
      </c>
      <c r="C50" s="67">
        <v>370</v>
      </c>
      <c r="D50" s="88" t="s">
        <v>27</v>
      </c>
      <c r="E50" s="21" t="s">
        <v>27</v>
      </c>
      <c r="F50" s="15" t="str">
        <f t="shared" ref="F50" si="3236">IF(InfGog1LevelCurrent&gt;=$B50,"-",IF(InfGog1LevelDesired&lt;$B50,"-",$C50))</f>
        <v>-</v>
      </c>
      <c r="G50" s="1" t="str">
        <f t="shared" ref="G50" si="3237">IF(InfGog1LevelCurrent&gt;=$B50,"-",IF(InfGog1LevelDesired&lt;$B50,"-",$D50))</f>
        <v>-</v>
      </c>
      <c r="H50" s="21" t="str">
        <f t="shared" ref="H50" si="3238">IF(InfGog1LevelCurrent&gt;=$B50,"-",IF(InfGog1LevelDesired&lt;$B50,"-",$E50))</f>
        <v>-</v>
      </c>
      <c r="I50" s="15" t="str">
        <f t="shared" ref="I50" si="3239">IF(InfGlo1LevelCurrent&gt;=$B50,"-",IF(InfGlo1LevelDesired&lt;$B50,"-",$C50))</f>
        <v>-</v>
      </c>
      <c r="J50" s="1" t="str">
        <f t="shared" ref="J50" si="3240">IF(InfGlo1LevelCurrent&gt;=$B50,"-",IF(InfGlo1LevelDesired&lt;$B50,"-",$D50))</f>
        <v>-</v>
      </c>
      <c r="K50" s="21" t="str">
        <f t="shared" ref="K50" si="3241">IF(InfGlo1LevelCurrent&gt;=$B50,"-",IF(InfGlo1LevelDesired&lt;$B50,"-",$E50))</f>
        <v>-</v>
      </c>
      <c r="L50" s="15" t="str">
        <f t="shared" ref="L50" si="3242">IF(InfBel1LevelCurrent&gt;=$B50,"-",IF(InfBel1LevelDesired&lt;$B50,"-",$C50))</f>
        <v>-</v>
      </c>
      <c r="M50" s="1" t="str">
        <f t="shared" ref="M50" si="3243">IF(InfBel1LevelCurrent&gt;=$B50,"-",IF(InfBel1LevelDesired&lt;$B50,"-",$D50))</f>
        <v>-</v>
      </c>
      <c r="N50" s="21" t="str">
        <f t="shared" ref="N50" si="3244">IF(InfBel1LevelCurrent&gt;=$B50,"-",IF(InfBel1LevelDesired&lt;$B50,"-",$E50))</f>
        <v>-</v>
      </c>
      <c r="O50" s="15" t="str">
        <f t="shared" ref="O50" si="3245">IF(InfBoo1LevelCurrent&gt;=$B50,"-",IF(InfBoo1LevelDesired&lt;$B50,"-",$C50))</f>
        <v>-</v>
      </c>
      <c r="P50" s="1" t="str">
        <f t="shared" ref="P50" si="3246">IF(InfBoo1LevelCurrent&gt;=$B50,"-",IF(InfBoo1LevelDesired&lt;$B50,"-",$D50))</f>
        <v>-</v>
      </c>
      <c r="Q50" s="21" t="str">
        <f t="shared" ref="Q50" si="3247">IF(InfBoo1LevelCurrent&gt;=$B50,"-",IF(InfBoo1LevelDesired&lt;$B50,"-",$E50))</f>
        <v>-</v>
      </c>
      <c r="R50" s="15" t="str">
        <f t="shared" ref="R50" si="3248">IF(LanGog1LevelCurrent&gt;=$B50,"-",IF(LanGog1LevelDesired&lt;$B50,"-",$C50))</f>
        <v>-</v>
      </c>
      <c r="S50" s="1" t="str">
        <f t="shared" ref="S50" si="3249">IF(LanGog1LevelCurrent&gt;=$B50,"-",IF(LanGog1LevelDesired&lt;$B50,"-",$D50))</f>
        <v>-</v>
      </c>
      <c r="T50" s="21" t="str">
        <f t="shared" ref="T50" si="3250">IF(LanGog1LevelCurrent&gt;=$B50,"-",IF(LanGog1LevelDesired&lt;$B50,"-",$E50))</f>
        <v>-</v>
      </c>
      <c r="U50" s="15" t="str">
        <f t="shared" ref="U50" si="3251">IF(LanGlo1LevelCurrent&gt;=$B50,"-",IF(LanGlo1LevelDesired&lt;$B50,"-",$C50))</f>
        <v>-</v>
      </c>
      <c r="V50" s="1" t="str">
        <f t="shared" ref="V50" si="3252">IF(LanGlo1LevelCurrent&gt;=$B50,"-",IF(LanGlo1LevelDesired&lt;$B50,"-",$D50))</f>
        <v>-</v>
      </c>
      <c r="W50" s="21" t="str">
        <f t="shared" ref="W50" si="3253">IF(LanGlo1LevelCurrent&gt;=$B50,"-",IF(LanGlo1LevelDesired&lt;$B50,"-",$E50))</f>
        <v>-</v>
      </c>
      <c r="X50" s="15" t="str">
        <f t="shared" ref="X50" si="3254">IF(LanBel1LevelCurrent&gt;=$B50,"-",IF(LanBel1LevelDesired&lt;$B50,"-",$C50))</f>
        <v>-</v>
      </c>
      <c r="Y50" s="1" t="str">
        <f t="shared" ref="Y50" si="3255">IF(LanBel1LevelCurrent&gt;=$B50,"-",IF(LanBel1LevelDesired&lt;$B50,"-",$D50))</f>
        <v>-</v>
      </c>
      <c r="Z50" s="21" t="str">
        <f t="shared" ref="Z50" si="3256">IF(LanBel1LevelCurrent&gt;=$B50,"-",IF(LanBel1LevelDesired&lt;$B50,"-",$E50))</f>
        <v>-</v>
      </c>
      <c r="AA50" s="15" t="str">
        <f t="shared" ref="AA50" si="3257">IF(LanBoo1LevelCurrent&gt;=$B50,"-",IF(LanBoo1LevelDesired&lt;$B50,"-",$C50))</f>
        <v>-</v>
      </c>
      <c r="AB50" s="1" t="str">
        <f t="shared" ref="AB50" si="3258">IF(LanBoo1LevelCurrent&gt;=$B50,"-",IF(LanBoo1LevelDesired&lt;$B50,"-",$D50))</f>
        <v>-</v>
      </c>
      <c r="AC50" s="21" t="str">
        <f t="shared" ref="AC50" si="3259">IF(LanBoo1LevelCurrent&gt;=$B50,"-",IF(LanBoo1LevelDesired&lt;$B50,"-",$E50))</f>
        <v>-</v>
      </c>
      <c r="AD50" s="15" t="str">
        <f t="shared" ref="AD50" si="3260">IF(MarGog1LevelCurrent&gt;=$B50,"-",IF(MarGog1LevelDesired&lt;$B50,"-",$C50))</f>
        <v>-</v>
      </c>
      <c r="AE50" s="1" t="str">
        <f t="shared" ref="AE50" si="3261">IF(MarGog1LevelCurrent&gt;=$B50,"-",IF(MarGog1LevelDesired&lt;$B50,"-",$D50))</f>
        <v>-</v>
      </c>
      <c r="AF50" s="21" t="str">
        <f t="shared" ref="AF50" si="3262">IF(MarGog1LevelCurrent&gt;=$B50,"-",IF(MarGog1LevelDesired&lt;$B50,"-",$E50))</f>
        <v>-</v>
      </c>
      <c r="AG50" s="15" t="str">
        <f t="shared" ref="AG50" si="3263">IF(MarGlo1LevelCurrent&gt;=$B50,"-",IF(MarGlo1LevelDesired&lt;$B50,"-",$C50))</f>
        <v>-</v>
      </c>
      <c r="AH50" s="1" t="str">
        <f t="shared" ref="AH50" si="3264">IF(MarGlo1LevelCurrent&gt;=$B50,"-",IF(MarGlo1LevelDesired&lt;$B50,"-",$D50))</f>
        <v>-</v>
      </c>
      <c r="AI50" s="21" t="str">
        <f t="shared" ref="AI50" si="3265">IF(MarGlo1LevelCurrent&gt;=$B50,"-",IF(MarGlo1LevelDesired&lt;$B50,"-",$E50))</f>
        <v>-</v>
      </c>
      <c r="AJ50" s="15" t="str">
        <f t="shared" ref="AJ50" si="3266">IF(MarBel1LevelCurrent&gt;=$B50,"-",IF(MarBel1LevelDesired&lt;$B50,"-",$C50))</f>
        <v>-</v>
      </c>
      <c r="AK50" s="1" t="str">
        <f t="shared" ref="AK50" si="3267">IF(MarBel1LevelCurrent&gt;=$B50,"-",IF(MarBel1LevelDesired&lt;$B50,"-",$D50))</f>
        <v>-</v>
      </c>
      <c r="AL50" s="21" t="str">
        <f t="shared" ref="AL50" si="3268">IF(MarBel1LevelCurrent&gt;=$B50,"-",IF(MarBel1LevelDesired&lt;$B50,"-",$E50))</f>
        <v>-</v>
      </c>
      <c r="AM50" s="15" t="str">
        <f t="shared" ref="AM50" si="3269">IF(MarBoo1LevelCurrent&gt;=$B50,"-",IF(MarBoo1LevelDesired&lt;$B50,"-",$C50))</f>
        <v>-</v>
      </c>
      <c r="AN50" s="1" t="str">
        <f t="shared" ref="AN50" si="3270">IF(MarBoo1LevelCurrent&gt;=$B50,"-",IF(MarBoo1LevelDesired&lt;$B50,"-",$D50))</f>
        <v>-</v>
      </c>
      <c r="AO50" s="21" t="str">
        <f t="shared" ref="AO50" si="3271">IF(MarBoo1LevelCurrent&gt;=$B50,"-",IF(MarBoo1LevelDesired&lt;$B50,"-",$E50))</f>
        <v>-</v>
      </c>
      <c r="AP50" s="15" t="str">
        <f t="shared" ref="AP50" si="3272">IF(InfGog2LevelCurrent&gt;=$B50,"-",IF(InfGog2LevelDesired&lt;$B50,"-",$C50))</f>
        <v>-</v>
      </c>
      <c r="AQ50" s="1" t="str">
        <f t="shared" ref="AQ50" si="3273">IF(InfGog2LevelCurrent&gt;=$B50,"-",IF(InfGog2LevelDesired&lt;$B50,"-",$D50))</f>
        <v>-</v>
      </c>
      <c r="AR50" s="21" t="str">
        <f t="shared" ref="AR50" si="3274">IF(InfGog2LevelCurrent&gt;=$B50,"-",IF(InfGog2LevelDesired&lt;$B50,"-",$E50))</f>
        <v>-</v>
      </c>
      <c r="AS50" s="15" t="str">
        <f t="shared" ref="AS50" si="3275">IF(InfGlo2LevelCurrent&gt;=$B50,"-",IF(InfGlo2LevelDesired&lt;$B50,"-",$C50))</f>
        <v>-</v>
      </c>
      <c r="AT50" s="1" t="str">
        <f t="shared" ref="AT50" si="3276">IF(InfGlo2LevelCurrent&gt;=$B50,"-",IF(InfGlo2LevelDesired&lt;$B50,"-",$D50))</f>
        <v>-</v>
      </c>
      <c r="AU50" s="21" t="str">
        <f t="shared" ref="AU50" si="3277">IF(InfGlo2LevelCurrent&gt;=$B50,"-",IF(InfGlo2LevelDesired&lt;$B50,"-",$E50))</f>
        <v>-</v>
      </c>
      <c r="AV50" s="15" t="str">
        <f t="shared" ref="AV50" si="3278">IF(InfBel2LevelCurrent&gt;=$B50,"-",IF(InfBel2LevelDesired&lt;$B50,"-",$C50))</f>
        <v>-</v>
      </c>
      <c r="AW50" s="1" t="str">
        <f t="shared" ref="AW50" si="3279">IF(InfBel2LevelCurrent&gt;=$B50,"-",IF(InfBel2LevelDesired&lt;$B50,"-",$D50))</f>
        <v>-</v>
      </c>
      <c r="AX50" s="21" t="str">
        <f t="shared" ref="AX50" si="3280">IF(InfBel2LevelCurrent&gt;=$B50,"-",IF(InfBel2LevelDesired&lt;$B50,"-",$E50))</f>
        <v>-</v>
      </c>
      <c r="AY50" s="15" t="str">
        <f t="shared" ref="AY50" si="3281">IF(InfBoo2LevelCurrent&gt;=$B50,"-",IF(InfBoo2LevelDesired&lt;$B50,"-",$C50))</f>
        <v>-</v>
      </c>
      <c r="AZ50" s="1" t="str">
        <f t="shared" ref="AZ50" si="3282">IF(InfBoo2LevelCurrent&gt;=$B50,"-",IF(InfBoo2LevelDesired&lt;$B50,"-",$D50))</f>
        <v>-</v>
      </c>
      <c r="BA50" s="21" t="str">
        <f t="shared" ref="BA50" si="3283">IF(InfBoo2LevelCurrent&gt;=$B50,"-",IF(InfBoo2LevelDesired&lt;$B50,"-",$E50))</f>
        <v>-</v>
      </c>
      <c r="BB50" s="15" t="str">
        <f t="shared" ref="BB50" si="3284">IF(LanGog2LevelCurrent&gt;=$B50,"-",IF(LanGog2LevelDesired&lt;$B50,"-",$C50))</f>
        <v>-</v>
      </c>
      <c r="BC50" s="1" t="str">
        <f t="shared" ref="BC50" si="3285">IF(LanGog2LevelCurrent&gt;=$B50,"-",IF(LanGog2LevelDesired&lt;$B50,"-",$D50))</f>
        <v>-</v>
      </c>
      <c r="BD50" s="21" t="str">
        <f t="shared" ref="BD50" si="3286">IF(LanGog2LevelCurrent&gt;=$B50,"-",IF(LanGog2LevelDesired&lt;$B50,"-",$E50))</f>
        <v>-</v>
      </c>
      <c r="BE50" s="15" t="str">
        <f t="shared" ref="BE50" si="3287">IF(LanGlo2LevelCurrent&gt;=$B50,"-",IF(LanGlo2LevelDesired&lt;$B50,"-",$C50))</f>
        <v>-</v>
      </c>
      <c r="BF50" s="1" t="str">
        <f t="shared" ref="BF50" si="3288">IF(LanGlo2LevelCurrent&gt;=$B50,"-",IF(LanGlo2LevelDesired&lt;$B50,"-",$D50))</f>
        <v>-</v>
      </c>
      <c r="BG50" s="21" t="str">
        <f t="shared" ref="BG50" si="3289">IF(LanGlo2LevelCurrent&gt;=$B50,"-",IF(LanGlo2LevelDesired&lt;$B50,"-",$E50))</f>
        <v>-</v>
      </c>
      <c r="BH50" s="15" t="str">
        <f t="shared" ref="BH50" si="3290">IF(LanBel2LevelCurrent&gt;=$B50,"-",IF(LanBel2LevelDesired&lt;$B50,"-",$C50))</f>
        <v>-</v>
      </c>
      <c r="BI50" s="1" t="str">
        <f t="shared" ref="BI50" si="3291">IF(LanBel2LevelCurrent&gt;=$B50,"-",IF(LanBel2LevelDesired&lt;$B50,"-",$D50))</f>
        <v>-</v>
      </c>
      <c r="BJ50" s="21" t="str">
        <f t="shared" ref="BJ50" si="3292">IF(LanBel2LevelCurrent&gt;=$B50,"-",IF(LanBel2LevelDesired&lt;$B50,"-",$E50))</f>
        <v>-</v>
      </c>
      <c r="BK50" s="15" t="str">
        <f t="shared" ref="BK50" si="3293">IF(LanBoo2LevelCurrent&gt;=$B50,"-",IF(LanBoo2LevelDesired&lt;$B50,"-",$C50))</f>
        <v>-</v>
      </c>
      <c r="BL50" s="1" t="str">
        <f t="shared" ref="BL50" si="3294">IF(LanBoo2LevelCurrent&gt;=$B50,"-",IF(LanBoo2LevelDesired&lt;$B50,"-",$D50))</f>
        <v>-</v>
      </c>
      <c r="BM50" s="21" t="str">
        <f t="shared" ref="BM50" si="3295">IF(LanBoo2LevelCurrent&gt;=$B50,"-",IF(LanBoo2LevelDesired&lt;$B50,"-",$E50))</f>
        <v>-</v>
      </c>
      <c r="BN50" s="15" t="str">
        <f t="shared" ref="BN50" si="3296">IF(MarGog2LevelCurrent&gt;=$B50,"-",IF(MarGog2LevelDesired&lt;$B50,"-",$C50))</f>
        <v>-</v>
      </c>
      <c r="BO50" s="1" t="str">
        <f t="shared" ref="BO50" si="3297">IF(MarGog2LevelCurrent&gt;=$B50,"-",IF(MarGog2LevelDesired&lt;$B50,"-",$D50))</f>
        <v>-</v>
      </c>
      <c r="BP50" s="21" t="str">
        <f t="shared" ref="BP50" si="3298">IF(MarGog2LevelCurrent&gt;=$B50,"-",IF(MarGog2LevelDesired&lt;$B50,"-",$E50))</f>
        <v>-</v>
      </c>
      <c r="BQ50" s="15" t="str">
        <f t="shared" ref="BQ50" si="3299">IF(MarGlo2LevelCurrent&gt;=$B50,"-",IF(MarGlo2LevelDesired&lt;$B50,"-",$C50))</f>
        <v>-</v>
      </c>
      <c r="BR50" s="1" t="str">
        <f t="shared" ref="BR50" si="3300">IF(MarGlo2LevelCurrent&gt;=$B50,"-",IF(MarGlo2LevelDesired&lt;$B50,"-",$D50))</f>
        <v>-</v>
      </c>
      <c r="BS50" s="21" t="str">
        <f t="shared" ref="BS50" si="3301">IF(MarGlo2LevelCurrent&gt;=$B50,"-",IF(MarGlo2LevelDesired&lt;$B50,"-",$E50))</f>
        <v>-</v>
      </c>
      <c r="BT50" s="15" t="str">
        <f t="shared" ref="BT50" si="3302">IF(MarBel2LevelCurrent&gt;=$B50,"-",IF(MarBel2LevelDesired&lt;$B50,"-",$C50))</f>
        <v>-</v>
      </c>
      <c r="BU50" s="1" t="str">
        <f t="shared" ref="BU50" si="3303">IF(MarBel2LevelCurrent&gt;=$B50,"-",IF(MarBel2LevelDesired&lt;$B50,"-",$D50))</f>
        <v>-</v>
      </c>
      <c r="BV50" s="21" t="str">
        <f t="shared" ref="BV50" si="3304">IF(MarBel2LevelCurrent&gt;=$B50,"-",IF(MarBel2LevelDesired&lt;$B50,"-",$E50))</f>
        <v>-</v>
      </c>
      <c r="BW50" s="15" t="str">
        <f t="shared" ref="BW50" si="3305">IF(MarBoo2LevelCurrent&gt;=$B50,"-",IF(MarBoo2LevelDesired&lt;$B50,"-",$C50))</f>
        <v>-</v>
      </c>
      <c r="BX50" s="1" t="str">
        <f t="shared" ref="BX50" si="3306">IF(MarBoo2LevelCurrent&gt;=$B50,"-",IF(MarBoo2LevelDesired&lt;$B50,"-",$D50))</f>
        <v>-</v>
      </c>
      <c r="BY50" s="21" t="str">
        <f t="shared" ref="BY50" si="3307">IF(MarBoo2LevelCurrent&gt;=$B50,"-",IF(MarBoo2LevelDesired&lt;$B50,"-",$E50))</f>
        <v>-</v>
      </c>
      <c r="BZ50" s="15" t="str">
        <f t="shared" si="2410"/>
        <v>-</v>
      </c>
      <c r="CA50" s="1" t="str" cm="1">
        <f t="array" ref="CA50">IF(InfGog3LevelCurrent&gt;=$B50,"-",IF(InfGog3LevelDesired&lt;$B50,"-",$D50))</f>
        <v>-</v>
      </c>
      <c r="CB50" s="21" t="str" cm="1">
        <f t="array" ref="CB50">IF(InfGog3LevelCurrent&gt;=$B50,"-",IF(InfGog3LevelDesired&lt;$B50,"-",$E50))</f>
        <v>-</v>
      </c>
      <c r="CC50" s="15" t="str">
        <f t="shared" si="2411"/>
        <v>-</v>
      </c>
      <c r="CD50" s="1" t="str">
        <f t="shared" si="2412"/>
        <v>-</v>
      </c>
      <c r="CE50" s="21" t="str">
        <f t="shared" si="2413"/>
        <v>-</v>
      </c>
      <c r="CF50" s="15" t="str">
        <f t="shared" si="2414"/>
        <v>-</v>
      </c>
      <c r="CG50" s="1" t="str">
        <f t="shared" si="2415"/>
        <v>-</v>
      </c>
      <c r="CH50" s="21" t="str">
        <f t="shared" si="2416"/>
        <v>-</v>
      </c>
      <c r="CI50" s="15" t="str">
        <f t="shared" si="2417"/>
        <v>-</v>
      </c>
      <c r="CJ50" s="1" t="str">
        <f t="shared" si="2418"/>
        <v>-</v>
      </c>
      <c r="CK50" s="21" t="str">
        <f t="shared" si="2419"/>
        <v>-</v>
      </c>
      <c r="CL50" s="15" t="str">
        <f t="shared" si="2420"/>
        <v>-</v>
      </c>
      <c r="CM50" s="1" t="str">
        <f t="shared" si="2421"/>
        <v>-</v>
      </c>
      <c r="CN50" s="21" t="str">
        <f t="shared" si="2422"/>
        <v>-</v>
      </c>
      <c r="CO50" s="15" t="str">
        <f t="shared" si="2423"/>
        <v>-</v>
      </c>
      <c r="CP50" s="1" t="str">
        <f t="shared" si="2424"/>
        <v>-</v>
      </c>
      <c r="CQ50" s="21" t="str">
        <f t="shared" si="2425"/>
        <v>-</v>
      </c>
      <c r="CR50" s="15" t="str">
        <f t="shared" si="2426"/>
        <v>-</v>
      </c>
      <c r="CS50" s="1" t="str">
        <f t="shared" si="2427"/>
        <v>-</v>
      </c>
      <c r="CT50" s="21" t="str">
        <f t="shared" si="2428"/>
        <v>-</v>
      </c>
      <c r="CU50" s="15" t="str">
        <f t="shared" si="2429"/>
        <v>-</v>
      </c>
      <c r="CV50" s="1" t="str">
        <f t="shared" si="2430"/>
        <v>-</v>
      </c>
      <c r="CW50" s="21" t="str">
        <f t="shared" si="2431"/>
        <v>-</v>
      </c>
      <c r="CX50" s="15" t="str">
        <f t="shared" si="2432"/>
        <v>-</v>
      </c>
      <c r="CY50" s="1" t="str">
        <f t="shared" si="2433"/>
        <v>-</v>
      </c>
      <c r="CZ50" s="21" t="str">
        <f t="shared" si="2434"/>
        <v>-</v>
      </c>
      <c r="DA50" s="15" t="str">
        <f t="shared" si="2435"/>
        <v>-</v>
      </c>
      <c r="DB50" s="1" t="str">
        <f t="shared" si="2436"/>
        <v>-</v>
      </c>
      <c r="DC50" s="21" t="str">
        <f t="shared" si="2437"/>
        <v>-</v>
      </c>
      <c r="DD50" s="15" t="str">
        <f t="shared" si="2438"/>
        <v>-</v>
      </c>
      <c r="DE50" s="1" t="str">
        <f t="shared" si="2439"/>
        <v>-</v>
      </c>
      <c r="DF50" s="21" t="str">
        <f t="shared" si="2440"/>
        <v>-</v>
      </c>
      <c r="DG50" s="15" t="str">
        <f t="shared" si="2441"/>
        <v>-</v>
      </c>
      <c r="DH50" s="1" t="str">
        <f t="shared" si="2442"/>
        <v>-</v>
      </c>
      <c r="DI50" s="21" t="str">
        <f t="shared" si="2443"/>
        <v>-</v>
      </c>
    </row>
    <row r="51" spans="2:113" x14ac:dyDescent="0.3">
      <c r="B51" s="1">
        <v>46</v>
      </c>
      <c r="C51" s="67">
        <v>390</v>
      </c>
      <c r="D51" s="88" t="s">
        <v>27</v>
      </c>
      <c r="E51" s="21" t="s">
        <v>27</v>
      </c>
      <c r="F51" s="15" t="str">
        <f t="shared" ref="F51" si="3308">IF(InfGog1LevelCurrent&gt;=$B51,"-",IF(InfGog1LevelDesired&lt;$B51,"-",$C51))</f>
        <v>-</v>
      </c>
      <c r="G51" s="1" t="str">
        <f t="shared" ref="G51" si="3309">IF(InfGog1LevelCurrent&gt;=$B51,"-",IF(InfGog1LevelDesired&lt;$B51,"-",$D51))</f>
        <v>-</v>
      </c>
      <c r="H51" s="21" t="str">
        <f t="shared" ref="H51" si="3310">IF(InfGog1LevelCurrent&gt;=$B51,"-",IF(InfGog1LevelDesired&lt;$B51,"-",$E51))</f>
        <v>-</v>
      </c>
      <c r="I51" s="15" t="str">
        <f t="shared" ref="I51" si="3311">IF(InfGlo1LevelCurrent&gt;=$B51,"-",IF(InfGlo1LevelDesired&lt;$B51,"-",$C51))</f>
        <v>-</v>
      </c>
      <c r="J51" s="1" t="str">
        <f t="shared" ref="J51" si="3312">IF(InfGlo1LevelCurrent&gt;=$B51,"-",IF(InfGlo1LevelDesired&lt;$B51,"-",$D51))</f>
        <v>-</v>
      </c>
      <c r="K51" s="21" t="str">
        <f t="shared" ref="K51" si="3313">IF(InfGlo1LevelCurrent&gt;=$B51,"-",IF(InfGlo1LevelDesired&lt;$B51,"-",$E51))</f>
        <v>-</v>
      </c>
      <c r="L51" s="15" t="str">
        <f t="shared" ref="L51" si="3314">IF(InfBel1LevelCurrent&gt;=$B51,"-",IF(InfBel1LevelDesired&lt;$B51,"-",$C51))</f>
        <v>-</v>
      </c>
      <c r="M51" s="1" t="str">
        <f t="shared" ref="M51" si="3315">IF(InfBel1LevelCurrent&gt;=$B51,"-",IF(InfBel1LevelDesired&lt;$B51,"-",$D51))</f>
        <v>-</v>
      </c>
      <c r="N51" s="21" t="str">
        <f t="shared" ref="N51" si="3316">IF(InfBel1LevelCurrent&gt;=$B51,"-",IF(InfBel1LevelDesired&lt;$B51,"-",$E51))</f>
        <v>-</v>
      </c>
      <c r="O51" s="15" t="str">
        <f t="shared" ref="O51" si="3317">IF(InfBoo1LevelCurrent&gt;=$B51,"-",IF(InfBoo1LevelDesired&lt;$B51,"-",$C51))</f>
        <v>-</v>
      </c>
      <c r="P51" s="1" t="str">
        <f t="shared" ref="P51" si="3318">IF(InfBoo1LevelCurrent&gt;=$B51,"-",IF(InfBoo1LevelDesired&lt;$B51,"-",$D51))</f>
        <v>-</v>
      </c>
      <c r="Q51" s="21" t="str">
        <f t="shared" ref="Q51" si="3319">IF(InfBoo1LevelCurrent&gt;=$B51,"-",IF(InfBoo1LevelDesired&lt;$B51,"-",$E51))</f>
        <v>-</v>
      </c>
      <c r="R51" s="15" t="str">
        <f t="shared" ref="R51" si="3320">IF(LanGog1LevelCurrent&gt;=$B51,"-",IF(LanGog1LevelDesired&lt;$B51,"-",$C51))</f>
        <v>-</v>
      </c>
      <c r="S51" s="1" t="str">
        <f t="shared" ref="S51" si="3321">IF(LanGog1LevelCurrent&gt;=$B51,"-",IF(LanGog1LevelDesired&lt;$B51,"-",$D51))</f>
        <v>-</v>
      </c>
      <c r="T51" s="21" t="str">
        <f t="shared" ref="T51" si="3322">IF(LanGog1LevelCurrent&gt;=$B51,"-",IF(LanGog1LevelDesired&lt;$B51,"-",$E51))</f>
        <v>-</v>
      </c>
      <c r="U51" s="15" t="str">
        <f t="shared" ref="U51" si="3323">IF(LanGlo1LevelCurrent&gt;=$B51,"-",IF(LanGlo1LevelDesired&lt;$B51,"-",$C51))</f>
        <v>-</v>
      </c>
      <c r="V51" s="1" t="str">
        <f t="shared" ref="V51" si="3324">IF(LanGlo1LevelCurrent&gt;=$B51,"-",IF(LanGlo1LevelDesired&lt;$B51,"-",$D51))</f>
        <v>-</v>
      </c>
      <c r="W51" s="21" t="str">
        <f t="shared" ref="W51" si="3325">IF(LanGlo1LevelCurrent&gt;=$B51,"-",IF(LanGlo1LevelDesired&lt;$B51,"-",$E51))</f>
        <v>-</v>
      </c>
      <c r="X51" s="15" t="str">
        <f t="shared" ref="X51" si="3326">IF(LanBel1LevelCurrent&gt;=$B51,"-",IF(LanBel1LevelDesired&lt;$B51,"-",$C51))</f>
        <v>-</v>
      </c>
      <c r="Y51" s="1" t="str">
        <f t="shared" ref="Y51" si="3327">IF(LanBel1LevelCurrent&gt;=$B51,"-",IF(LanBel1LevelDesired&lt;$B51,"-",$D51))</f>
        <v>-</v>
      </c>
      <c r="Z51" s="21" t="str">
        <f t="shared" ref="Z51" si="3328">IF(LanBel1LevelCurrent&gt;=$B51,"-",IF(LanBel1LevelDesired&lt;$B51,"-",$E51))</f>
        <v>-</v>
      </c>
      <c r="AA51" s="15" t="str">
        <f t="shared" ref="AA51" si="3329">IF(LanBoo1LevelCurrent&gt;=$B51,"-",IF(LanBoo1LevelDesired&lt;$B51,"-",$C51))</f>
        <v>-</v>
      </c>
      <c r="AB51" s="1" t="str">
        <f t="shared" ref="AB51" si="3330">IF(LanBoo1LevelCurrent&gt;=$B51,"-",IF(LanBoo1LevelDesired&lt;$B51,"-",$D51))</f>
        <v>-</v>
      </c>
      <c r="AC51" s="21" t="str">
        <f t="shared" ref="AC51" si="3331">IF(LanBoo1LevelCurrent&gt;=$B51,"-",IF(LanBoo1LevelDesired&lt;$B51,"-",$E51))</f>
        <v>-</v>
      </c>
      <c r="AD51" s="15" t="str">
        <f t="shared" ref="AD51" si="3332">IF(MarGog1LevelCurrent&gt;=$B51,"-",IF(MarGog1LevelDesired&lt;$B51,"-",$C51))</f>
        <v>-</v>
      </c>
      <c r="AE51" s="1" t="str">
        <f t="shared" ref="AE51" si="3333">IF(MarGog1LevelCurrent&gt;=$B51,"-",IF(MarGog1LevelDesired&lt;$B51,"-",$D51))</f>
        <v>-</v>
      </c>
      <c r="AF51" s="21" t="str">
        <f t="shared" ref="AF51" si="3334">IF(MarGog1LevelCurrent&gt;=$B51,"-",IF(MarGog1LevelDesired&lt;$B51,"-",$E51))</f>
        <v>-</v>
      </c>
      <c r="AG51" s="15" t="str">
        <f t="shared" ref="AG51" si="3335">IF(MarGlo1LevelCurrent&gt;=$B51,"-",IF(MarGlo1LevelDesired&lt;$B51,"-",$C51))</f>
        <v>-</v>
      </c>
      <c r="AH51" s="1" t="str">
        <f t="shared" ref="AH51" si="3336">IF(MarGlo1LevelCurrent&gt;=$B51,"-",IF(MarGlo1LevelDesired&lt;$B51,"-",$D51))</f>
        <v>-</v>
      </c>
      <c r="AI51" s="21" t="str">
        <f t="shared" ref="AI51" si="3337">IF(MarGlo1LevelCurrent&gt;=$B51,"-",IF(MarGlo1LevelDesired&lt;$B51,"-",$E51))</f>
        <v>-</v>
      </c>
      <c r="AJ51" s="15" t="str">
        <f t="shared" ref="AJ51" si="3338">IF(MarBel1LevelCurrent&gt;=$B51,"-",IF(MarBel1LevelDesired&lt;$B51,"-",$C51))</f>
        <v>-</v>
      </c>
      <c r="AK51" s="1" t="str">
        <f t="shared" ref="AK51" si="3339">IF(MarBel1LevelCurrent&gt;=$B51,"-",IF(MarBel1LevelDesired&lt;$B51,"-",$D51))</f>
        <v>-</v>
      </c>
      <c r="AL51" s="21" t="str">
        <f t="shared" ref="AL51" si="3340">IF(MarBel1LevelCurrent&gt;=$B51,"-",IF(MarBel1LevelDesired&lt;$B51,"-",$E51))</f>
        <v>-</v>
      </c>
      <c r="AM51" s="15" t="str">
        <f t="shared" ref="AM51" si="3341">IF(MarBoo1LevelCurrent&gt;=$B51,"-",IF(MarBoo1LevelDesired&lt;$B51,"-",$C51))</f>
        <v>-</v>
      </c>
      <c r="AN51" s="1" t="str">
        <f t="shared" ref="AN51" si="3342">IF(MarBoo1LevelCurrent&gt;=$B51,"-",IF(MarBoo1LevelDesired&lt;$B51,"-",$D51))</f>
        <v>-</v>
      </c>
      <c r="AO51" s="21" t="str">
        <f t="shared" ref="AO51" si="3343">IF(MarBoo1LevelCurrent&gt;=$B51,"-",IF(MarBoo1LevelDesired&lt;$B51,"-",$E51))</f>
        <v>-</v>
      </c>
      <c r="AP51" s="15" t="str">
        <f t="shared" ref="AP51" si="3344">IF(InfGog2LevelCurrent&gt;=$B51,"-",IF(InfGog2LevelDesired&lt;$B51,"-",$C51))</f>
        <v>-</v>
      </c>
      <c r="AQ51" s="1" t="str">
        <f t="shared" ref="AQ51" si="3345">IF(InfGog2LevelCurrent&gt;=$B51,"-",IF(InfGog2LevelDesired&lt;$B51,"-",$D51))</f>
        <v>-</v>
      </c>
      <c r="AR51" s="21" t="str">
        <f t="shared" ref="AR51" si="3346">IF(InfGog2LevelCurrent&gt;=$B51,"-",IF(InfGog2LevelDesired&lt;$B51,"-",$E51))</f>
        <v>-</v>
      </c>
      <c r="AS51" s="15" t="str">
        <f t="shared" ref="AS51" si="3347">IF(InfGlo2LevelCurrent&gt;=$B51,"-",IF(InfGlo2LevelDesired&lt;$B51,"-",$C51))</f>
        <v>-</v>
      </c>
      <c r="AT51" s="1" t="str">
        <f t="shared" ref="AT51" si="3348">IF(InfGlo2LevelCurrent&gt;=$B51,"-",IF(InfGlo2LevelDesired&lt;$B51,"-",$D51))</f>
        <v>-</v>
      </c>
      <c r="AU51" s="21" t="str">
        <f t="shared" ref="AU51" si="3349">IF(InfGlo2LevelCurrent&gt;=$B51,"-",IF(InfGlo2LevelDesired&lt;$B51,"-",$E51))</f>
        <v>-</v>
      </c>
      <c r="AV51" s="15" t="str">
        <f t="shared" ref="AV51" si="3350">IF(InfBel2LevelCurrent&gt;=$B51,"-",IF(InfBel2LevelDesired&lt;$B51,"-",$C51))</f>
        <v>-</v>
      </c>
      <c r="AW51" s="1" t="str">
        <f t="shared" ref="AW51" si="3351">IF(InfBel2LevelCurrent&gt;=$B51,"-",IF(InfBel2LevelDesired&lt;$B51,"-",$D51))</f>
        <v>-</v>
      </c>
      <c r="AX51" s="21" t="str">
        <f t="shared" ref="AX51" si="3352">IF(InfBel2LevelCurrent&gt;=$B51,"-",IF(InfBel2LevelDesired&lt;$B51,"-",$E51))</f>
        <v>-</v>
      </c>
      <c r="AY51" s="15" t="str">
        <f t="shared" ref="AY51" si="3353">IF(InfBoo2LevelCurrent&gt;=$B51,"-",IF(InfBoo2LevelDesired&lt;$B51,"-",$C51))</f>
        <v>-</v>
      </c>
      <c r="AZ51" s="1" t="str">
        <f t="shared" ref="AZ51" si="3354">IF(InfBoo2LevelCurrent&gt;=$B51,"-",IF(InfBoo2LevelDesired&lt;$B51,"-",$D51))</f>
        <v>-</v>
      </c>
      <c r="BA51" s="21" t="str">
        <f t="shared" ref="BA51" si="3355">IF(InfBoo2LevelCurrent&gt;=$B51,"-",IF(InfBoo2LevelDesired&lt;$B51,"-",$E51))</f>
        <v>-</v>
      </c>
      <c r="BB51" s="15" t="str">
        <f t="shared" ref="BB51" si="3356">IF(LanGog2LevelCurrent&gt;=$B51,"-",IF(LanGog2LevelDesired&lt;$B51,"-",$C51))</f>
        <v>-</v>
      </c>
      <c r="BC51" s="1" t="str">
        <f t="shared" ref="BC51" si="3357">IF(LanGog2LevelCurrent&gt;=$B51,"-",IF(LanGog2LevelDesired&lt;$B51,"-",$D51))</f>
        <v>-</v>
      </c>
      <c r="BD51" s="21" t="str">
        <f t="shared" ref="BD51" si="3358">IF(LanGog2LevelCurrent&gt;=$B51,"-",IF(LanGog2LevelDesired&lt;$B51,"-",$E51))</f>
        <v>-</v>
      </c>
      <c r="BE51" s="15" t="str">
        <f t="shared" ref="BE51" si="3359">IF(LanGlo2LevelCurrent&gt;=$B51,"-",IF(LanGlo2LevelDesired&lt;$B51,"-",$C51))</f>
        <v>-</v>
      </c>
      <c r="BF51" s="1" t="str">
        <f t="shared" ref="BF51" si="3360">IF(LanGlo2LevelCurrent&gt;=$B51,"-",IF(LanGlo2LevelDesired&lt;$B51,"-",$D51))</f>
        <v>-</v>
      </c>
      <c r="BG51" s="21" t="str">
        <f t="shared" ref="BG51" si="3361">IF(LanGlo2LevelCurrent&gt;=$B51,"-",IF(LanGlo2LevelDesired&lt;$B51,"-",$E51))</f>
        <v>-</v>
      </c>
      <c r="BH51" s="15" t="str">
        <f t="shared" ref="BH51" si="3362">IF(LanBel2LevelCurrent&gt;=$B51,"-",IF(LanBel2LevelDesired&lt;$B51,"-",$C51))</f>
        <v>-</v>
      </c>
      <c r="BI51" s="1" t="str">
        <f t="shared" ref="BI51" si="3363">IF(LanBel2LevelCurrent&gt;=$B51,"-",IF(LanBel2LevelDesired&lt;$B51,"-",$D51))</f>
        <v>-</v>
      </c>
      <c r="BJ51" s="21" t="str">
        <f t="shared" ref="BJ51" si="3364">IF(LanBel2LevelCurrent&gt;=$B51,"-",IF(LanBel2LevelDesired&lt;$B51,"-",$E51))</f>
        <v>-</v>
      </c>
      <c r="BK51" s="15" t="str">
        <f t="shared" ref="BK51" si="3365">IF(LanBoo2LevelCurrent&gt;=$B51,"-",IF(LanBoo2LevelDesired&lt;$B51,"-",$C51))</f>
        <v>-</v>
      </c>
      <c r="BL51" s="1" t="str">
        <f t="shared" ref="BL51" si="3366">IF(LanBoo2LevelCurrent&gt;=$B51,"-",IF(LanBoo2LevelDesired&lt;$B51,"-",$D51))</f>
        <v>-</v>
      </c>
      <c r="BM51" s="21" t="str">
        <f t="shared" ref="BM51" si="3367">IF(LanBoo2LevelCurrent&gt;=$B51,"-",IF(LanBoo2LevelDesired&lt;$B51,"-",$E51))</f>
        <v>-</v>
      </c>
      <c r="BN51" s="15" t="str">
        <f t="shared" ref="BN51" si="3368">IF(MarGog2LevelCurrent&gt;=$B51,"-",IF(MarGog2LevelDesired&lt;$B51,"-",$C51))</f>
        <v>-</v>
      </c>
      <c r="BO51" s="1" t="str">
        <f t="shared" ref="BO51" si="3369">IF(MarGog2LevelCurrent&gt;=$B51,"-",IF(MarGog2LevelDesired&lt;$B51,"-",$D51))</f>
        <v>-</v>
      </c>
      <c r="BP51" s="21" t="str">
        <f t="shared" ref="BP51" si="3370">IF(MarGog2LevelCurrent&gt;=$B51,"-",IF(MarGog2LevelDesired&lt;$B51,"-",$E51))</f>
        <v>-</v>
      </c>
      <c r="BQ51" s="15" t="str">
        <f t="shared" ref="BQ51" si="3371">IF(MarGlo2LevelCurrent&gt;=$B51,"-",IF(MarGlo2LevelDesired&lt;$B51,"-",$C51))</f>
        <v>-</v>
      </c>
      <c r="BR51" s="1" t="str">
        <f t="shared" ref="BR51" si="3372">IF(MarGlo2LevelCurrent&gt;=$B51,"-",IF(MarGlo2LevelDesired&lt;$B51,"-",$D51))</f>
        <v>-</v>
      </c>
      <c r="BS51" s="21" t="str">
        <f t="shared" ref="BS51" si="3373">IF(MarGlo2LevelCurrent&gt;=$B51,"-",IF(MarGlo2LevelDesired&lt;$B51,"-",$E51))</f>
        <v>-</v>
      </c>
      <c r="BT51" s="15" t="str">
        <f t="shared" ref="BT51" si="3374">IF(MarBel2LevelCurrent&gt;=$B51,"-",IF(MarBel2LevelDesired&lt;$B51,"-",$C51))</f>
        <v>-</v>
      </c>
      <c r="BU51" s="1" t="str">
        <f t="shared" ref="BU51" si="3375">IF(MarBel2LevelCurrent&gt;=$B51,"-",IF(MarBel2LevelDesired&lt;$B51,"-",$D51))</f>
        <v>-</v>
      </c>
      <c r="BV51" s="21" t="str">
        <f t="shared" ref="BV51" si="3376">IF(MarBel2LevelCurrent&gt;=$B51,"-",IF(MarBel2LevelDesired&lt;$B51,"-",$E51))</f>
        <v>-</v>
      </c>
      <c r="BW51" s="15" t="str">
        <f t="shared" ref="BW51" si="3377">IF(MarBoo2LevelCurrent&gt;=$B51,"-",IF(MarBoo2LevelDesired&lt;$B51,"-",$C51))</f>
        <v>-</v>
      </c>
      <c r="BX51" s="1" t="str">
        <f t="shared" ref="BX51" si="3378">IF(MarBoo2LevelCurrent&gt;=$B51,"-",IF(MarBoo2LevelDesired&lt;$B51,"-",$D51))</f>
        <v>-</v>
      </c>
      <c r="BY51" s="21" t="str">
        <f t="shared" ref="BY51" si="3379">IF(MarBoo2LevelCurrent&gt;=$B51,"-",IF(MarBoo2LevelDesired&lt;$B51,"-",$E51))</f>
        <v>-</v>
      </c>
      <c r="BZ51" s="15" t="str">
        <f t="shared" si="2410"/>
        <v>-</v>
      </c>
      <c r="CA51" s="1" t="str" cm="1">
        <f t="array" ref="CA51">IF(InfGog3LevelCurrent&gt;=$B51,"-",IF(InfGog3LevelDesired&lt;$B51,"-",$D51))</f>
        <v>-</v>
      </c>
      <c r="CB51" s="21" t="str" cm="1">
        <f t="array" ref="CB51">IF(InfGog3LevelCurrent&gt;=$B51,"-",IF(InfGog3LevelDesired&lt;$B51,"-",$E51))</f>
        <v>-</v>
      </c>
      <c r="CC51" s="15" t="str">
        <f t="shared" si="2411"/>
        <v>-</v>
      </c>
      <c r="CD51" s="1" t="str">
        <f t="shared" si="2412"/>
        <v>-</v>
      </c>
      <c r="CE51" s="21" t="str">
        <f t="shared" si="2413"/>
        <v>-</v>
      </c>
      <c r="CF51" s="15" t="str">
        <f t="shared" si="2414"/>
        <v>-</v>
      </c>
      <c r="CG51" s="1" t="str">
        <f t="shared" si="2415"/>
        <v>-</v>
      </c>
      <c r="CH51" s="21" t="str">
        <f t="shared" si="2416"/>
        <v>-</v>
      </c>
      <c r="CI51" s="15" t="str">
        <f t="shared" si="2417"/>
        <v>-</v>
      </c>
      <c r="CJ51" s="1" t="str">
        <f t="shared" si="2418"/>
        <v>-</v>
      </c>
      <c r="CK51" s="21" t="str">
        <f t="shared" si="2419"/>
        <v>-</v>
      </c>
      <c r="CL51" s="15" t="str">
        <f t="shared" si="2420"/>
        <v>-</v>
      </c>
      <c r="CM51" s="1" t="str">
        <f t="shared" si="2421"/>
        <v>-</v>
      </c>
      <c r="CN51" s="21" t="str">
        <f t="shared" si="2422"/>
        <v>-</v>
      </c>
      <c r="CO51" s="15" t="str">
        <f t="shared" si="2423"/>
        <v>-</v>
      </c>
      <c r="CP51" s="1" t="str">
        <f t="shared" si="2424"/>
        <v>-</v>
      </c>
      <c r="CQ51" s="21" t="str">
        <f t="shared" si="2425"/>
        <v>-</v>
      </c>
      <c r="CR51" s="15" t="str">
        <f t="shared" si="2426"/>
        <v>-</v>
      </c>
      <c r="CS51" s="1" t="str">
        <f t="shared" si="2427"/>
        <v>-</v>
      </c>
      <c r="CT51" s="21" t="str">
        <f t="shared" si="2428"/>
        <v>-</v>
      </c>
      <c r="CU51" s="15" t="str">
        <f t="shared" si="2429"/>
        <v>-</v>
      </c>
      <c r="CV51" s="1" t="str">
        <f t="shared" si="2430"/>
        <v>-</v>
      </c>
      <c r="CW51" s="21" t="str">
        <f t="shared" si="2431"/>
        <v>-</v>
      </c>
      <c r="CX51" s="15" t="str">
        <f t="shared" si="2432"/>
        <v>-</v>
      </c>
      <c r="CY51" s="1" t="str">
        <f t="shared" si="2433"/>
        <v>-</v>
      </c>
      <c r="CZ51" s="21" t="str">
        <f t="shared" si="2434"/>
        <v>-</v>
      </c>
      <c r="DA51" s="15" t="str">
        <f t="shared" si="2435"/>
        <v>-</v>
      </c>
      <c r="DB51" s="1" t="str">
        <f t="shared" si="2436"/>
        <v>-</v>
      </c>
      <c r="DC51" s="21" t="str">
        <f t="shared" si="2437"/>
        <v>-</v>
      </c>
      <c r="DD51" s="15" t="str">
        <f t="shared" si="2438"/>
        <v>-</v>
      </c>
      <c r="DE51" s="1" t="str">
        <f t="shared" si="2439"/>
        <v>-</v>
      </c>
      <c r="DF51" s="21" t="str">
        <f t="shared" si="2440"/>
        <v>-</v>
      </c>
      <c r="DG51" s="15" t="str">
        <f t="shared" si="2441"/>
        <v>-</v>
      </c>
      <c r="DH51" s="1" t="str">
        <f t="shared" si="2442"/>
        <v>-</v>
      </c>
      <c r="DI51" s="21" t="str">
        <f t="shared" si="2443"/>
        <v>-</v>
      </c>
    </row>
    <row r="52" spans="2:113" x14ac:dyDescent="0.3">
      <c r="B52" s="1">
        <v>47</v>
      </c>
      <c r="C52" s="67">
        <v>410</v>
      </c>
      <c r="D52" s="88" t="s">
        <v>27</v>
      </c>
      <c r="E52" s="21" t="s">
        <v>27</v>
      </c>
      <c r="F52" s="15" t="str">
        <f t="shared" ref="F52" si="3380">IF(InfGog1LevelCurrent&gt;=$B52,"-",IF(InfGog1LevelDesired&lt;$B52,"-",$C52))</f>
        <v>-</v>
      </c>
      <c r="G52" s="1" t="str">
        <f t="shared" ref="G52" si="3381">IF(InfGog1LevelCurrent&gt;=$B52,"-",IF(InfGog1LevelDesired&lt;$B52,"-",$D52))</f>
        <v>-</v>
      </c>
      <c r="H52" s="21" t="str">
        <f t="shared" ref="H52" si="3382">IF(InfGog1LevelCurrent&gt;=$B52,"-",IF(InfGog1LevelDesired&lt;$B52,"-",$E52))</f>
        <v>-</v>
      </c>
      <c r="I52" s="15" t="str">
        <f t="shared" ref="I52" si="3383">IF(InfGlo1LevelCurrent&gt;=$B52,"-",IF(InfGlo1LevelDesired&lt;$B52,"-",$C52))</f>
        <v>-</v>
      </c>
      <c r="J52" s="1" t="str">
        <f t="shared" ref="J52" si="3384">IF(InfGlo1LevelCurrent&gt;=$B52,"-",IF(InfGlo1LevelDesired&lt;$B52,"-",$D52))</f>
        <v>-</v>
      </c>
      <c r="K52" s="21" t="str">
        <f t="shared" ref="K52" si="3385">IF(InfGlo1LevelCurrent&gt;=$B52,"-",IF(InfGlo1LevelDesired&lt;$B52,"-",$E52))</f>
        <v>-</v>
      </c>
      <c r="L52" s="15" t="str">
        <f t="shared" ref="L52" si="3386">IF(InfBel1LevelCurrent&gt;=$B52,"-",IF(InfBel1LevelDesired&lt;$B52,"-",$C52))</f>
        <v>-</v>
      </c>
      <c r="M52" s="1" t="str">
        <f t="shared" ref="M52" si="3387">IF(InfBel1LevelCurrent&gt;=$B52,"-",IF(InfBel1LevelDesired&lt;$B52,"-",$D52))</f>
        <v>-</v>
      </c>
      <c r="N52" s="21" t="str">
        <f t="shared" ref="N52" si="3388">IF(InfBel1LevelCurrent&gt;=$B52,"-",IF(InfBel1LevelDesired&lt;$B52,"-",$E52))</f>
        <v>-</v>
      </c>
      <c r="O52" s="15" t="str">
        <f t="shared" ref="O52" si="3389">IF(InfBoo1LevelCurrent&gt;=$B52,"-",IF(InfBoo1LevelDesired&lt;$B52,"-",$C52))</f>
        <v>-</v>
      </c>
      <c r="P52" s="1" t="str">
        <f t="shared" ref="P52" si="3390">IF(InfBoo1LevelCurrent&gt;=$B52,"-",IF(InfBoo1LevelDesired&lt;$B52,"-",$D52))</f>
        <v>-</v>
      </c>
      <c r="Q52" s="21" t="str">
        <f t="shared" ref="Q52" si="3391">IF(InfBoo1LevelCurrent&gt;=$B52,"-",IF(InfBoo1LevelDesired&lt;$B52,"-",$E52))</f>
        <v>-</v>
      </c>
      <c r="R52" s="15" t="str">
        <f t="shared" ref="R52" si="3392">IF(LanGog1LevelCurrent&gt;=$B52,"-",IF(LanGog1LevelDesired&lt;$B52,"-",$C52))</f>
        <v>-</v>
      </c>
      <c r="S52" s="1" t="str">
        <f t="shared" ref="S52" si="3393">IF(LanGog1LevelCurrent&gt;=$B52,"-",IF(LanGog1LevelDesired&lt;$B52,"-",$D52))</f>
        <v>-</v>
      </c>
      <c r="T52" s="21" t="str">
        <f t="shared" ref="T52" si="3394">IF(LanGog1LevelCurrent&gt;=$B52,"-",IF(LanGog1LevelDesired&lt;$B52,"-",$E52))</f>
        <v>-</v>
      </c>
      <c r="U52" s="15" t="str">
        <f t="shared" ref="U52" si="3395">IF(LanGlo1LevelCurrent&gt;=$B52,"-",IF(LanGlo1LevelDesired&lt;$B52,"-",$C52))</f>
        <v>-</v>
      </c>
      <c r="V52" s="1" t="str">
        <f t="shared" ref="V52" si="3396">IF(LanGlo1LevelCurrent&gt;=$B52,"-",IF(LanGlo1LevelDesired&lt;$B52,"-",$D52))</f>
        <v>-</v>
      </c>
      <c r="W52" s="21" t="str">
        <f t="shared" ref="W52" si="3397">IF(LanGlo1LevelCurrent&gt;=$B52,"-",IF(LanGlo1LevelDesired&lt;$B52,"-",$E52))</f>
        <v>-</v>
      </c>
      <c r="X52" s="15" t="str">
        <f t="shared" ref="X52" si="3398">IF(LanBel1LevelCurrent&gt;=$B52,"-",IF(LanBel1LevelDesired&lt;$B52,"-",$C52))</f>
        <v>-</v>
      </c>
      <c r="Y52" s="1" t="str">
        <f t="shared" ref="Y52" si="3399">IF(LanBel1LevelCurrent&gt;=$B52,"-",IF(LanBel1LevelDesired&lt;$B52,"-",$D52))</f>
        <v>-</v>
      </c>
      <c r="Z52" s="21" t="str">
        <f t="shared" ref="Z52" si="3400">IF(LanBel1LevelCurrent&gt;=$B52,"-",IF(LanBel1LevelDesired&lt;$B52,"-",$E52))</f>
        <v>-</v>
      </c>
      <c r="AA52" s="15" t="str">
        <f t="shared" ref="AA52" si="3401">IF(LanBoo1LevelCurrent&gt;=$B52,"-",IF(LanBoo1LevelDesired&lt;$B52,"-",$C52))</f>
        <v>-</v>
      </c>
      <c r="AB52" s="1" t="str">
        <f t="shared" ref="AB52" si="3402">IF(LanBoo1LevelCurrent&gt;=$B52,"-",IF(LanBoo1LevelDesired&lt;$B52,"-",$D52))</f>
        <v>-</v>
      </c>
      <c r="AC52" s="21" t="str">
        <f t="shared" ref="AC52" si="3403">IF(LanBoo1LevelCurrent&gt;=$B52,"-",IF(LanBoo1LevelDesired&lt;$B52,"-",$E52))</f>
        <v>-</v>
      </c>
      <c r="AD52" s="15" t="str">
        <f t="shared" ref="AD52" si="3404">IF(MarGog1LevelCurrent&gt;=$B52,"-",IF(MarGog1LevelDesired&lt;$B52,"-",$C52))</f>
        <v>-</v>
      </c>
      <c r="AE52" s="1" t="str">
        <f t="shared" ref="AE52" si="3405">IF(MarGog1LevelCurrent&gt;=$B52,"-",IF(MarGog1LevelDesired&lt;$B52,"-",$D52))</f>
        <v>-</v>
      </c>
      <c r="AF52" s="21" t="str">
        <f t="shared" ref="AF52" si="3406">IF(MarGog1LevelCurrent&gt;=$B52,"-",IF(MarGog1LevelDesired&lt;$B52,"-",$E52))</f>
        <v>-</v>
      </c>
      <c r="AG52" s="15" t="str">
        <f t="shared" ref="AG52" si="3407">IF(MarGlo1LevelCurrent&gt;=$B52,"-",IF(MarGlo1LevelDesired&lt;$B52,"-",$C52))</f>
        <v>-</v>
      </c>
      <c r="AH52" s="1" t="str">
        <f t="shared" ref="AH52" si="3408">IF(MarGlo1LevelCurrent&gt;=$B52,"-",IF(MarGlo1LevelDesired&lt;$B52,"-",$D52))</f>
        <v>-</v>
      </c>
      <c r="AI52" s="21" t="str">
        <f t="shared" ref="AI52" si="3409">IF(MarGlo1LevelCurrent&gt;=$B52,"-",IF(MarGlo1LevelDesired&lt;$B52,"-",$E52))</f>
        <v>-</v>
      </c>
      <c r="AJ52" s="15" t="str">
        <f t="shared" ref="AJ52" si="3410">IF(MarBel1LevelCurrent&gt;=$B52,"-",IF(MarBel1LevelDesired&lt;$B52,"-",$C52))</f>
        <v>-</v>
      </c>
      <c r="AK52" s="1" t="str">
        <f t="shared" ref="AK52" si="3411">IF(MarBel1LevelCurrent&gt;=$B52,"-",IF(MarBel1LevelDesired&lt;$B52,"-",$D52))</f>
        <v>-</v>
      </c>
      <c r="AL52" s="21" t="str">
        <f t="shared" ref="AL52" si="3412">IF(MarBel1LevelCurrent&gt;=$B52,"-",IF(MarBel1LevelDesired&lt;$B52,"-",$E52))</f>
        <v>-</v>
      </c>
      <c r="AM52" s="15" t="str">
        <f t="shared" ref="AM52" si="3413">IF(MarBoo1LevelCurrent&gt;=$B52,"-",IF(MarBoo1LevelDesired&lt;$B52,"-",$C52))</f>
        <v>-</v>
      </c>
      <c r="AN52" s="1" t="str">
        <f t="shared" ref="AN52" si="3414">IF(MarBoo1LevelCurrent&gt;=$B52,"-",IF(MarBoo1LevelDesired&lt;$B52,"-",$D52))</f>
        <v>-</v>
      </c>
      <c r="AO52" s="21" t="str">
        <f t="shared" ref="AO52" si="3415">IF(MarBoo1LevelCurrent&gt;=$B52,"-",IF(MarBoo1LevelDesired&lt;$B52,"-",$E52))</f>
        <v>-</v>
      </c>
      <c r="AP52" s="15" t="str">
        <f t="shared" ref="AP52" si="3416">IF(InfGog2LevelCurrent&gt;=$B52,"-",IF(InfGog2LevelDesired&lt;$B52,"-",$C52))</f>
        <v>-</v>
      </c>
      <c r="AQ52" s="1" t="str">
        <f t="shared" ref="AQ52" si="3417">IF(InfGog2LevelCurrent&gt;=$B52,"-",IF(InfGog2LevelDesired&lt;$B52,"-",$D52))</f>
        <v>-</v>
      </c>
      <c r="AR52" s="21" t="str">
        <f t="shared" ref="AR52" si="3418">IF(InfGog2LevelCurrent&gt;=$B52,"-",IF(InfGog2LevelDesired&lt;$B52,"-",$E52))</f>
        <v>-</v>
      </c>
      <c r="AS52" s="15" t="str">
        <f t="shared" ref="AS52" si="3419">IF(InfGlo2LevelCurrent&gt;=$B52,"-",IF(InfGlo2LevelDesired&lt;$B52,"-",$C52))</f>
        <v>-</v>
      </c>
      <c r="AT52" s="1" t="str">
        <f t="shared" ref="AT52" si="3420">IF(InfGlo2LevelCurrent&gt;=$B52,"-",IF(InfGlo2LevelDesired&lt;$B52,"-",$D52))</f>
        <v>-</v>
      </c>
      <c r="AU52" s="21" t="str">
        <f t="shared" ref="AU52" si="3421">IF(InfGlo2LevelCurrent&gt;=$B52,"-",IF(InfGlo2LevelDesired&lt;$B52,"-",$E52))</f>
        <v>-</v>
      </c>
      <c r="AV52" s="15" t="str">
        <f t="shared" ref="AV52" si="3422">IF(InfBel2LevelCurrent&gt;=$B52,"-",IF(InfBel2LevelDesired&lt;$B52,"-",$C52))</f>
        <v>-</v>
      </c>
      <c r="AW52" s="1" t="str">
        <f t="shared" ref="AW52" si="3423">IF(InfBel2LevelCurrent&gt;=$B52,"-",IF(InfBel2LevelDesired&lt;$B52,"-",$D52))</f>
        <v>-</v>
      </c>
      <c r="AX52" s="21" t="str">
        <f t="shared" ref="AX52" si="3424">IF(InfBel2LevelCurrent&gt;=$B52,"-",IF(InfBel2LevelDesired&lt;$B52,"-",$E52))</f>
        <v>-</v>
      </c>
      <c r="AY52" s="15" t="str">
        <f t="shared" ref="AY52" si="3425">IF(InfBoo2LevelCurrent&gt;=$B52,"-",IF(InfBoo2LevelDesired&lt;$B52,"-",$C52))</f>
        <v>-</v>
      </c>
      <c r="AZ52" s="1" t="str">
        <f t="shared" ref="AZ52" si="3426">IF(InfBoo2LevelCurrent&gt;=$B52,"-",IF(InfBoo2LevelDesired&lt;$B52,"-",$D52))</f>
        <v>-</v>
      </c>
      <c r="BA52" s="21" t="str">
        <f t="shared" ref="BA52" si="3427">IF(InfBoo2LevelCurrent&gt;=$B52,"-",IF(InfBoo2LevelDesired&lt;$B52,"-",$E52))</f>
        <v>-</v>
      </c>
      <c r="BB52" s="15" t="str">
        <f t="shared" ref="BB52" si="3428">IF(LanGog2LevelCurrent&gt;=$B52,"-",IF(LanGog2LevelDesired&lt;$B52,"-",$C52))</f>
        <v>-</v>
      </c>
      <c r="BC52" s="1" t="str">
        <f t="shared" ref="BC52" si="3429">IF(LanGog2LevelCurrent&gt;=$B52,"-",IF(LanGog2LevelDesired&lt;$B52,"-",$D52))</f>
        <v>-</v>
      </c>
      <c r="BD52" s="21" t="str">
        <f t="shared" ref="BD52" si="3430">IF(LanGog2LevelCurrent&gt;=$B52,"-",IF(LanGog2LevelDesired&lt;$B52,"-",$E52))</f>
        <v>-</v>
      </c>
      <c r="BE52" s="15" t="str">
        <f t="shared" ref="BE52" si="3431">IF(LanGlo2LevelCurrent&gt;=$B52,"-",IF(LanGlo2LevelDesired&lt;$B52,"-",$C52))</f>
        <v>-</v>
      </c>
      <c r="BF52" s="1" t="str">
        <f t="shared" ref="BF52" si="3432">IF(LanGlo2LevelCurrent&gt;=$B52,"-",IF(LanGlo2LevelDesired&lt;$B52,"-",$D52))</f>
        <v>-</v>
      </c>
      <c r="BG52" s="21" t="str">
        <f t="shared" ref="BG52" si="3433">IF(LanGlo2LevelCurrent&gt;=$B52,"-",IF(LanGlo2LevelDesired&lt;$B52,"-",$E52))</f>
        <v>-</v>
      </c>
      <c r="BH52" s="15" t="str">
        <f t="shared" ref="BH52" si="3434">IF(LanBel2LevelCurrent&gt;=$B52,"-",IF(LanBel2LevelDesired&lt;$B52,"-",$C52))</f>
        <v>-</v>
      </c>
      <c r="BI52" s="1" t="str">
        <f t="shared" ref="BI52" si="3435">IF(LanBel2LevelCurrent&gt;=$B52,"-",IF(LanBel2LevelDesired&lt;$B52,"-",$D52))</f>
        <v>-</v>
      </c>
      <c r="BJ52" s="21" t="str">
        <f t="shared" ref="BJ52" si="3436">IF(LanBel2LevelCurrent&gt;=$B52,"-",IF(LanBel2LevelDesired&lt;$B52,"-",$E52))</f>
        <v>-</v>
      </c>
      <c r="BK52" s="15" t="str">
        <f t="shared" ref="BK52" si="3437">IF(LanBoo2LevelCurrent&gt;=$B52,"-",IF(LanBoo2LevelDesired&lt;$B52,"-",$C52))</f>
        <v>-</v>
      </c>
      <c r="BL52" s="1" t="str">
        <f t="shared" ref="BL52" si="3438">IF(LanBoo2LevelCurrent&gt;=$B52,"-",IF(LanBoo2LevelDesired&lt;$B52,"-",$D52))</f>
        <v>-</v>
      </c>
      <c r="BM52" s="21" t="str">
        <f t="shared" ref="BM52" si="3439">IF(LanBoo2LevelCurrent&gt;=$B52,"-",IF(LanBoo2LevelDesired&lt;$B52,"-",$E52))</f>
        <v>-</v>
      </c>
      <c r="BN52" s="15" t="str">
        <f t="shared" ref="BN52" si="3440">IF(MarGog2LevelCurrent&gt;=$B52,"-",IF(MarGog2LevelDesired&lt;$B52,"-",$C52))</f>
        <v>-</v>
      </c>
      <c r="BO52" s="1" t="str">
        <f t="shared" ref="BO52" si="3441">IF(MarGog2LevelCurrent&gt;=$B52,"-",IF(MarGog2LevelDesired&lt;$B52,"-",$D52))</f>
        <v>-</v>
      </c>
      <c r="BP52" s="21" t="str">
        <f t="shared" ref="BP52" si="3442">IF(MarGog2LevelCurrent&gt;=$B52,"-",IF(MarGog2LevelDesired&lt;$B52,"-",$E52))</f>
        <v>-</v>
      </c>
      <c r="BQ52" s="15" t="str">
        <f t="shared" ref="BQ52" si="3443">IF(MarGlo2LevelCurrent&gt;=$B52,"-",IF(MarGlo2LevelDesired&lt;$B52,"-",$C52))</f>
        <v>-</v>
      </c>
      <c r="BR52" s="1" t="str">
        <f t="shared" ref="BR52" si="3444">IF(MarGlo2LevelCurrent&gt;=$B52,"-",IF(MarGlo2LevelDesired&lt;$B52,"-",$D52))</f>
        <v>-</v>
      </c>
      <c r="BS52" s="21" t="str">
        <f t="shared" ref="BS52" si="3445">IF(MarGlo2LevelCurrent&gt;=$B52,"-",IF(MarGlo2LevelDesired&lt;$B52,"-",$E52))</f>
        <v>-</v>
      </c>
      <c r="BT52" s="15" t="str">
        <f t="shared" ref="BT52" si="3446">IF(MarBel2LevelCurrent&gt;=$B52,"-",IF(MarBel2LevelDesired&lt;$B52,"-",$C52))</f>
        <v>-</v>
      </c>
      <c r="BU52" s="1" t="str">
        <f t="shared" ref="BU52" si="3447">IF(MarBel2LevelCurrent&gt;=$B52,"-",IF(MarBel2LevelDesired&lt;$B52,"-",$D52))</f>
        <v>-</v>
      </c>
      <c r="BV52" s="21" t="str">
        <f t="shared" ref="BV52" si="3448">IF(MarBel2LevelCurrent&gt;=$B52,"-",IF(MarBel2LevelDesired&lt;$B52,"-",$E52))</f>
        <v>-</v>
      </c>
      <c r="BW52" s="15" t="str">
        <f t="shared" ref="BW52" si="3449">IF(MarBoo2LevelCurrent&gt;=$B52,"-",IF(MarBoo2LevelDesired&lt;$B52,"-",$C52))</f>
        <v>-</v>
      </c>
      <c r="BX52" s="1" t="str">
        <f t="shared" ref="BX52" si="3450">IF(MarBoo2LevelCurrent&gt;=$B52,"-",IF(MarBoo2LevelDesired&lt;$B52,"-",$D52))</f>
        <v>-</v>
      </c>
      <c r="BY52" s="21" t="str">
        <f t="shared" ref="BY52" si="3451">IF(MarBoo2LevelCurrent&gt;=$B52,"-",IF(MarBoo2LevelDesired&lt;$B52,"-",$E52))</f>
        <v>-</v>
      </c>
      <c r="BZ52" s="15" t="str">
        <f t="shared" si="2410"/>
        <v>-</v>
      </c>
      <c r="CA52" s="1" t="str" cm="1">
        <f t="array" ref="CA52">IF(InfGog3LevelCurrent&gt;=$B52,"-",IF(InfGog3LevelDesired&lt;$B52,"-",$D52))</f>
        <v>-</v>
      </c>
      <c r="CB52" s="21" t="str" cm="1">
        <f t="array" ref="CB52">IF(InfGog3LevelCurrent&gt;=$B52,"-",IF(InfGog3LevelDesired&lt;$B52,"-",$E52))</f>
        <v>-</v>
      </c>
      <c r="CC52" s="15" t="str">
        <f t="shared" si="2411"/>
        <v>-</v>
      </c>
      <c r="CD52" s="1" t="str">
        <f t="shared" si="2412"/>
        <v>-</v>
      </c>
      <c r="CE52" s="21" t="str">
        <f t="shared" si="2413"/>
        <v>-</v>
      </c>
      <c r="CF52" s="15" t="str">
        <f t="shared" si="2414"/>
        <v>-</v>
      </c>
      <c r="CG52" s="1" t="str">
        <f t="shared" si="2415"/>
        <v>-</v>
      </c>
      <c r="CH52" s="21" t="str">
        <f t="shared" si="2416"/>
        <v>-</v>
      </c>
      <c r="CI52" s="15" t="str">
        <f t="shared" si="2417"/>
        <v>-</v>
      </c>
      <c r="CJ52" s="1" t="str">
        <f t="shared" si="2418"/>
        <v>-</v>
      </c>
      <c r="CK52" s="21" t="str">
        <f t="shared" si="2419"/>
        <v>-</v>
      </c>
      <c r="CL52" s="15" t="str">
        <f t="shared" si="2420"/>
        <v>-</v>
      </c>
      <c r="CM52" s="1" t="str">
        <f t="shared" si="2421"/>
        <v>-</v>
      </c>
      <c r="CN52" s="21" t="str">
        <f t="shared" si="2422"/>
        <v>-</v>
      </c>
      <c r="CO52" s="15" t="str">
        <f t="shared" si="2423"/>
        <v>-</v>
      </c>
      <c r="CP52" s="1" t="str">
        <f t="shared" si="2424"/>
        <v>-</v>
      </c>
      <c r="CQ52" s="21" t="str">
        <f t="shared" si="2425"/>
        <v>-</v>
      </c>
      <c r="CR52" s="15" t="str">
        <f t="shared" si="2426"/>
        <v>-</v>
      </c>
      <c r="CS52" s="1" t="str">
        <f t="shared" si="2427"/>
        <v>-</v>
      </c>
      <c r="CT52" s="21" t="str">
        <f t="shared" si="2428"/>
        <v>-</v>
      </c>
      <c r="CU52" s="15" t="str">
        <f t="shared" si="2429"/>
        <v>-</v>
      </c>
      <c r="CV52" s="1" t="str">
        <f t="shared" si="2430"/>
        <v>-</v>
      </c>
      <c r="CW52" s="21" t="str">
        <f t="shared" si="2431"/>
        <v>-</v>
      </c>
      <c r="CX52" s="15" t="str">
        <f t="shared" si="2432"/>
        <v>-</v>
      </c>
      <c r="CY52" s="1" t="str">
        <f t="shared" si="2433"/>
        <v>-</v>
      </c>
      <c r="CZ52" s="21" t="str">
        <f t="shared" si="2434"/>
        <v>-</v>
      </c>
      <c r="DA52" s="15" t="str">
        <f t="shared" si="2435"/>
        <v>-</v>
      </c>
      <c r="DB52" s="1" t="str">
        <f t="shared" si="2436"/>
        <v>-</v>
      </c>
      <c r="DC52" s="21" t="str">
        <f t="shared" si="2437"/>
        <v>-</v>
      </c>
      <c r="DD52" s="15" t="str">
        <f t="shared" si="2438"/>
        <v>-</v>
      </c>
      <c r="DE52" s="1" t="str">
        <f t="shared" si="2439"/>
        <v>-</v>
      </c>
      <c r="DF52" s="21" t="str">
        <f t="shared" si="2440"/>
        <v>-</v>
      </c>
      <c r="DG52" s="15" t="str">
        <f t="shared" si="2441"/>
        <v>-</v>
      </c>
      <c r="DH52" s="1" t="str">
        <f t="shared" si="2442"/>
        <v>-</v>
      </c>
      <c r="DI52" s="21" t="str">
        <f t="shared" si="2443"/>
        <v>-</v>
      </c>
    </row>
    <row r="53" spans="2:113" x14ac:dyDescent="0.3">
      <c r="B53" s="1">
        <v>48</v>
      </c>
      <c r="C53" s="67">
        <v>430</v>
      </c>
      <c r="D53" s="88" t="s">
        <v>27</v>
      </c>
      <c r="E53" s="21" t="s">
        <v>27</v>
      </c>
      <c r="F53" s="15" t="str">
        <f t="shared" ref="F53" si="3452">IF(InfGog1LevelCurrent&gt;=$B53,"-",IF(InfGog1LevelDesired&lt;$B53,"-",$C53))</f>
        <v>-</v>
      </c>
      <c r="G53" s="1" t="str">
        <f t="shared" ref="G53" si="3453">IF(InfGog1LevelCurrent&gt;=$B53,"-",IF(InfGog1LevelDesired&lt;$B53,"-",$D53))</f>
        <v>-</v>
      </c>
      <c r="H53" s="21" t="str">
        <f t="shared" ref="H53" si="3454">IF(InfGog1LevelCurrent&gt;=$B53,"-",IF(InfGog1LevelDesired&lt;$B53,"-",$E53))</f>
        <v>-</v>
      </c>
      <c r="I53" s="15" t="str">
        <f t="shared" ref="I53" si="3455">IF(InfGlo1LevelCurrent&gt;=$B53,"-",IF(InfGlo1LevelDesired&lt;$B53,"-",$C53))</f>
        <v>-</v>
      </c>
      <c r="J53" s="1" t="str">
        <f t="shared" ref="J53" si="3456">IF(InfGlo1LevelCurrent&gt;=$B53,"-",IF(InfGlo1LevelDesired&lt;$B53,"-",$D53))</f>
        <v>-</v>
      </c>
      <c r="K53" s="21" t="str">
        <f t="shared" ref="K53" si="3457">IF(InfGlo1LevelCurrent&gt;=$B53,"-",IF(InfGlo1LevelDesired&lt;$B53,"-",$E53))</f>
        <v>-</v>
      </c>
      <c r="L53" s="15" t="str">
        <f t="shared" ref="L53" si="3458">IF(InfBel1LevelCurrent&gt;=$B53,"-",IF(InfBel1LevelDesired&lt;$B53,"-",$C53))</f>
        <v>-</v>
      </c>
      <c r="M53" s="1" t="str">
        <f t="shared" ref="M53" si="3459">IF(InfBel1LevelCurrent&gt;=$B53,"-",IF(InfBel1LevelDesired&lt;$B53,"-",$D53))</f>
        <v>-</v>
      </c>
      <c r="N53" s="21" t="str">
        <f t="shared" ref="N53" si="3460">IF(InfBel1LevelCurrent&gt;=$B53,"-",IF(InfBel1LevelDesired&lt;$B53,"-",$E53))</f>
        <v>-</v>
      </c>
      <c r="O53" s="15" t="str">
        <f t="shared" ref="O53" si="3461">IF(InfBoo1LevelCurrent&gt;=$B53,"-",IF(InfBoo1LevelDesired&lt;$B53,"-",$C53))</f>
        <v>-</v>
      </c>
      <c r="P53" s="1" t="str">
        <f t="shared" ref="P53" si="3462">IF(InfBoo1LevelCurrent&gt;=$B53,"-",IF(InfBoo1LevelDesired&lt;$B53,"-",$D53))</f>
        <v>-</v>
      </c>
      <c r="Q53" s="21" t="str">
        <f t="shared" ref="Q53" si="3463">IF(InfBoo1LevelCurrent&gt;=$B53,"-",IF(InfBoo1LevelDesired&lt;$B53,"-",$E53))</f>
        <v>-</v>
      </c>
      <c r="R53" s="15" t="str">
        <f t="shared" ref="R53" si="3464">IF(LanGog1LevelCurrent&gt;=$B53,"-",IF(LanGog1LevelDesired&lt;$B53,"-",$C53))</f>
        <v>-</v>
      </c>
      <c r="S53" s="1" t="str">
        <f t="shared" ref="S53" si="3465">IF(LanGog1LevelCurrent&gt;=$B53,"-",IF(LanGog1LevelDesired&lt;$B53,"-",$D53))</f>
        <v>-</v>
      </c>
      <c r="T53" s="21" t="str">
        <f t="shared" ref="T53" si="3466">IF(LanGog1LevelCurrent&gt;=$B53,"-",IF(LanGog1LevelDesired&lt;$B53,"-",$E53))</f>
        <v>-</v>
      </c>
      <c r="U53" s="15" t="str">
        <f t="shared" ref="U53" si="3467">IF(LanGlo1LevelCurrent&gt;=$B53,"-",IF(LanGlo1LevelDesired&lt;$B53,"-",$C53))</f>
        <v>-</v>
      </c>
      <c r="V53" s="1" t="str">
        <f t="shared" ref="V53" si="3468">IF(LanGlo1LevelCurrent&gt;=$B53,"-",IF(LanGlo1LevelDesired&lt;$B53,"-",$D53))</f>
        <v>-</v>
      </c>
      <c r="W53" s="21" t="str">
        <f t="shared" ref="W53" si="3469">IF(LanGlo1LevelCurrent&gt;=$B53,"-",IF(LanGlo1LevelDesired&lt;$B53,"-",$E53))</f>
        <v>-</v>
      </c>
      <c r="X53" s="15" t="str">
        <f t="shared" ref="X53" si="3470">IF(LanBel1LevelCurrent&gt;=$B53,"-",IF(LanBel1LevelDesired&lt;$B53,"-",$C53))</f>
        <v>-</v>
      </c>
      <c r="Y53" s="1" t="str">
        <f t="shared" ref="Y53" si="3471">IF(LanBel1LevelCurrent&gt;=$B53,"-",IF(LanBel1LevelDesired&lt;$B53,"-",$D53))</f>
        <v>-</v>
      </c>
      <c r="Z53" s="21" t="str">
        <f t="shared" ref="Z53" si="3472">IF(LanBel1LevelCurrent&gt;=$B53,"-",IF(LanBel1LevelDesired&lt;$B53,"-",$E53))</f>
        <v>-</v>
      </c>
      <c r="AA53" s="15" t="str">
        <f t="shared" ref="AA53" si="3473">IF(LanBoo1LevelCurrent&gt;=$B53,"-",IF(LanBoo1LevelDesired&lt;$B53,"-",$C53))</f>
        <v>-</v>
      </c>
      <c r="AB53" s="1" t="str">
        <f t="shared" ref="AB53" si="3474">IF(LanBoo1LevelCurrent&gt;=$B53,"-",IF(LanBoo1LevelDesired&lt;$B53,"-",$D53))</f>
        <v>-</v>
      </c>
      <c r="AC53" s="21" t="str">
        <f t="shared" ref="AC53" si="3475">IF(LanBoo1LevelCurrent&gt;=$B53,"-",IF(LanBoo1LevelDesired&lt;$B53,"-",$E53))</f>
        <v>-</v>
      </c>
      <c r="AD53" s="15" t="str">
        <f t="shared" ref="AD53" si="3476">IF(MarGog1LevelCurrent&gt;=$B53,"-",IF(MarGog1LevelDesired&lt;$B53,"-",$C53))</f>
        <v>-</v>
      </c>
      <c r="AE53" s="1" t="str">
        <f t="shared" ref="AE53" si="3477">IF(MarGog1LevelCurrent&gt;=$B53,"-",IF(MarGog1LevelDesired&lt;$B53,"-",$D53))</f>
        <v>-</v>
      </c>
      <c r="AF53" s="21" t="str">
        <f t="shared" ref="AF53" si="3478">IF(MarGog1LevelCurrent&gt;=$B53,"-",IF(MarGog1LevelDesired&lt;$B53,"-",$E53))</f>
        <v>-</v>
      </c>
      <c r="AG53" s="15" t="str">
        <f t="shared" ref="AG53" si="3479">IF(MarGlo1LevelCurrent&gt;=$B53,"-",IF(MarGlo1LevelDesired&lt;$B53,"-",$C53))</f>
        <v>-</v>
      </c>
      <c r="AH53" s="1" t="str">
        <f t="shared" ref="AH53" si="3480">IF(MarGlo1LevelCurrent&gt;=$B53,"-",IF(MarGlo1LevelDesired&lt;$B53,"-",$D53))</f>
        <v>-</v>
      </c>
      <c r="AI53" s="21" t="str">
        <f t="shared" ref="AI53" si="3481">IF(MarGlo1LevelCurrent&gt;=$B53,"-",IF(MarGlo1LevelDesired&lt;$B53,"-",$E53))</f>
        <v>-</v>
      </c>
      <c r="AJ53" s="15" t="str">
        <f t="shared" ref="AJ53" si="3482">IF(MarBel1LevelCurrent&gt;=$B53,"-",IF(MarBel1LevelDesired&lt;$B53,"-",$C53))</f>
        <v>-</v>
      </c>
      <c r="AK53" s="1" t="str">
        <f t="shared" ref="AK53" si="3483">IF(MarBel1LevelCurrent&gt;=$B53,"-",IF(MarBel1LevelDesired&lt;$B53,"-",$D53))</f>
        <v>-</v>
      </c>
      <c r="AL53" s="21" t="str">
        <f t="shared" ref="AL53" si="3484">IF(MarBel1LevelCurrent&gt;=$B53,"-",IF(MarBel1LevelDesired&lt;$B53,"-",$E53))</f>
        <v>-</v>
      </c>
      <c r="AM53" s="15" t="str">
        <f t="shared" ref="AM53" si="3485">IF(MarBoo1LevelCurrent&gt;=$B53,"-",IF(MarBoo1LevelDesired&lt;$B53,"-",$C53))</f>
        <v>-</v>
      </c>
      <c r="AN53" s="1" t="str">
        <f t="shared" ref="AN53" si="3486">IF(MarBoo1LevelCurrent&gt;=$B53,"-",IF(MarBoo1LevelDesired&lt;$B53,"-",$D53))</f>
        <v>-</v>
      </c>
      <c r="AO53" s="21" t="str">
        <f t="shared" ref="AO53" si="3487">IF(MarBoo1LevelCurrent&gt;=$B53,"-",IF(MarBoo1LevelDesired&lt;$B53,"-",$E53))</f>
        <v>-</v>
      </c>
      <c r="AP53" s="15" t="str">
        <f t="shared" ref="AP53" si="3488">IF(InfGog2LevelCurrent&gt;=$B53,"-",IF(InfGog2LevelDesired&lt;$B53,"-",$C53))</f>
        <v>-</v>
      </c>
      <c r="AQ53" s="1" t="str">
        <f t="shared" ref="AQ53" si="3489">IF(InfGog2LevelCurrent&gt;=$B53,"-",IF(InfGog2LevelDesired&lt;$B53,"-",$D53))</f>
        <v>-</v>
      </c>
      <c r="AR53" s="21" t="str">
        <f t="shared" ref="AR53" si="3490">IF(InfGog2LevelCurrent&gt;=$B53,"-",IF(InfGog2LevelDesired&lt;$B53,"-",$E53))</f>
        <v>-</v>
      </c>
      <c r="AS53" s="15" t="str">
        <f t="shared" ref="AS53" si="3491">IF(InfGlo2LevelCurrent&gt;=$B53,"-",IF(InfGlo2LevelDesired&lt;$B53,"-",$C53))</f>
        <v>-</v>
      </c>
      <c r="AT53" s="1" t="str">
        <f t="shared" ref="AT53" si="3492">IF(InfGlo2LevelCurrent&gt;=$B53,"-",IF(InfGlo2LevelDesired&lt;$B53,"-",$D53))</f>
        <v>-</v>
      </c>
      <c r="AU53" s="21" t="str">
        <f t="shared" ref="AU53" si="3493">IF(InfGlo2LevelCurrent&gt;=$B53,"-",IF(InfGlo2LevelDesired&lt;$B53,"-",$E53))</f>
        <v>-</v>
      </c>
      <c r="AV53" s="15" t="str">
        <f t="shared" ref="AV53" si="3494">IF(InfBel2LevelCurrent&gt;=$B53,"-",IF(InfBel2LevelDesired&lt;$B53,"-",$C53))</f>
        <v>-</v>
      </c>
      <c r="AW53" s="1" t="str">
        <f t="shared" ref="AW53" si="3495">IF(InfBel2LevelCurrent&gt;=$B53,"-",IF(InfBel2LevelDesired&lt;$B53,"-",$D53))</f>
        <v>-</v>
      </c>
      <c r="AX53" s="21" t="str">
        <f t="shared" ref="AX53" si="3496">IF(InfBel2LevelCurrent&gt;=$B53,"-",IF(InfBel2LevelDesired&lt;$B53,"-",$E53))</f>
        <v>-</v>
      </c>
      <c r="AY53" s="15" t="str">
        <f t="shared" ref="AY53" si="3497">IF(InfBoo2LevelCurrent&gt;=$B53,"-",IF(InfBoo2LevelDesired&lt;$B53,"-",$C53))</f>
        <v>-</v>
      </c>
      <c r="AZ53" s="1" t="str">
        <f t="shared" ref="AZ53" si="3498">IF(InfBoo2LevelCurrent&gt;=$B53,"-",IF(InfBoo2LevelDesired&lt;$B53,"-",$D53))</f>
        <v>-</v>
      </c>
      <c r="BA53" s="21" t="str">
        <f t="shared" ref="BA53" si="3499">IF(InfBoo2LevelCurrent&gt;=$B53,"-",IF(InfBoo2LevelDesired&lt;$B53,"-",$E53))</f>
        <v>-</v>
      </c>
      <c r="BB53" s="15" t="str">
        <f t="shared" ref="BB53" si="3500">IF(LanGog2LevelCurrent&gt;=$B53,"-",IF(LanGog2LevelDesired&lt;$B53,"-",$C53))</f>
        <v>-</v>
      </c>
      <c r="BC53" s="1" t="str">
        <f t="shared" ref="BC53" si="3501">IF(LanGog2LevelCurrent&gt;=$B53,"-",IF(LanGog2LevelDesired&lt;$B53,"-",$D53))</f>
        <v>-</v>
      </c>
      <c r="BD53" s="21" t="str">
        <f t="shared" ref="BD53" si="3502">IF(LanGog2LevelCurrent&gt;=$B53,"-",IF(LanGog2LevelDesired&lt;$B53,"-",$E53))</f>
        <v>-</v>
      </c>
      <c r="BE53" s="15" t="str">
        <f t="shared" ref="BE53" si="3503">IF(LanGlo2LevelCurrent&gt;=$B53,"-",IF(LanGlo2LevelDesired&lt;$B53,"-",$C53))</f>
        <v>-</v>
      </c>
      <c r="BF53" s="1" t="str">
        <f t="shared" ref="BF53" si="3504">IF(LanGlo2LevelCurrent&gt;=$B53,"-",IF(LanGlo2LevelDesired&lt;$B53,"-",$D53))</f>
        <v>-</v>
      </c>
      <c r="BG53" s="21" t="str">
        <f t="shared" ref="BG53" si="3505">IF(LanGlo2LevelCurrent&gt;=$B53,"-",IF(LanGlo2LevelDesired&lt;$B53,"-",$E53))</f>
        <v>-</v>
      </c>
      <c r="BH53" s="15" t="str">
        <f t="shared" ref="BH53" si="3506">IF(LanBel2LevelCurrent&gt;=$B53,"-",IF(LanBel2LevelDesired&lt;$B53,"-",$C53))</f>
        <v>-</v>
      </c>
      <c r="BI53" s="1" t="str">
        <f t="shared" ref="BI53" si="3507">IF(LanBel2LevelCurrent&gt;=$B53,"-",IF(LanBel2LevelDesired&lt;$B53,"-",$D53))</f>
        <v>-</v>
      </c>
      <c r="BJ53" s="21" t="str">
        <f t="shared" ref="BJ53" si="3508">IF(LanBel2LevelCurrent&gt;=$B53,"-",IF(LanBel2LevelDesired&lt;$B53,"-",$E53))</f>
        <v>-</v>
      </c>
      <c r="BK53" s="15" t="str">
        <f t="shared" ref="BK53" si="3509">IF(LanBoo2LevelCurrent&gt;=$B53,"-",IF(LanBoo2LevelDesired&lt;$B53,"-",$C53))</f>
        <v>-</v>
      </c>
      <c r="BL53" s="1" t="str">
        <f t="shared" ref="BL53" si="3510">IF(LanBoo2LevelCurrent&gt;=$B53,"-",IF(LanBoo2LevelDesired&lt;$B53,"-",$D53))</f>
        <v>-</v>
      </c>
      <c r="BM53" s="21" t="str">
        <f t="shared" ref="BM53" si="3511">IF(LanBoo2LevelCurrent&gt;=$B53,"-",IF(LanBoo2LevelDesired&lt;$B53,"-",$E53))</f>
        <v>-</v>
      </c>
      <c r="BN53" s="15" t="str">
        <f t="shared" ref="BN53" si="3512">IF(MarGog2LevelCurrent&gt;=$B53,"-",IF(MarGog2LevelDesired&lt;$B53,"-",$C53))</f>
        <v>-</v>
      </c>
      <c r="BO53" s="1" t="str">
        <f t="shared" ref="BO53" si="3513">IF(MarGog2LevelCurrent&gt;=$B53,"-",IF(MarGog2LevelDesired&lt;$B53,"-",$D53))</f>
        <v>-</v>
      </c>
      <c r="BP53" s="21" t="str">
        <f t="shared" ref="BP53" si="3514">IF(MarGog2LevelCurrent&gt;=$B53,"-",IF(MarGog2LevelDesired&lt;$B53,"-",$E53))</f>
        <v>-</v>
      </c>
      <c r="BQ53" s="15" t="str">
        <f t="shared" ref="BQ53" si="3515">IF(MarGlo2LevelCurrent&gt;=$B53,"-",IF(MarGlo2LevelDesired&lt;$B53,"-",$C53))</f>
        <v>-</v>
      </c>
      <c r="BR53" s="1" t="str">
        <f t="shared" ref="BR53" si="3516">IF(MarGlo2LevelCurrent&gt;=$B53,"-",IF(MarGlo2LevelDesired&lt;$B53,"-",$D53))</f>
        <v>-</v>
      </c>
      <c r="BS53" s="21" t="str">
        <f t="shared" ref="BS53" si="3517">IF(MarGlo2LevelCurrent&gt;=$B53,"-",IF(MarGlo2LevelDesired&lt;$B53,"-",$E53))</f>
        <v>-</v>
      </c>
      <c r="BT53" s="15" t="str">
        <f t="shared" ref="BT53" si="3518">IF(MarBel2LevelCurrent&gt;=$B53,"-",IF(MarBel2LevelDesired&lt;$B53,"-",$C53))</f>
        <v>-</v>
      </c>
      <c r="BU53" s="1" t="str">
        <f t="shared" ref="BU53" si="3519">IF(MarBel2LevelCurrent&gt;=$B53,"-",IF(MarBel2LevelDesired&lt;$B53,"-",$D53))</f>
        <v>-</v>
      </c>
      <c r="BV53" s="21" t="str">
        <f t="shared" ref="BV53" si="3520">IF(MarBel2LevelCurrent&gt;=$B53,"-",IF(MarBel2LevelDesired&lt;$B53,"-",$E53))</f>
        <v>-</v>
      </c>
      <c r="BW53" s="15" t="str">
        <f t="shared" ref="BW53" si="3521">IF(MarBoo2LevelCurrent&gt;=$B53,"-",IF(MarBoo2LevelDesired&lt;$B53,"-",$C53))</f>
        <v>-</v>
      </c>
      <c r="BX53" s="1" t="str">
        <f t="shared" ref="BX53" si="3522">IF(MarBoo2LevelCurrent&gt;=$B53,"-",IF(MarBoo2LevelDesired&lt;$B53,"-",$D53))</f>
        <v>-</v>
      </c>
      <c r="BY53" s="21" t="str">
        <f t="shared" ref="BY53" si="3523">IF(MarBoo2LevelCurrent&gt;=$B53,"-",IF(MarBoo2LevelDesired&lt;$B53,"-",$E53))</f>
        <v>-</v>
      </c>
      <c r="BZ53" s="15" t="str">
        <f t="shared" si="2410"/>
        <v>-</v>
      </c>
      <c r="CA53" s="1" t="str" cm="1">
        <f t="array" ref="CA53">IF(InfGog3LevelCurrent&gt;=$B53,"-",IF(InfGog3LevelDesired&lt;$B53,"-",$D53))</f>
        <v>-</v>
      </c>
      <c r="CB53" s="21" t="str" cm="1">
        <f t="array" ref="CB53">IF(InfGog3LevelCurrent&gt;=$B53,"-",IF(InfGog3LevelDesired&lt;$B53,"-",$E53))</f>
        <v>-</v>
      </c>
      <c r="CC53" s="15" t="str">
        <f t="shared" si="2411"/>
        <v>-</v>
      </c>
      <c r="CD53" s="1" t="str">
        <f t="shared" si="2412"/>
        <v>-</v>
      </c>
      <c r="CE53" s="21" t="str">
        <f t="shared" si="2413"/>
        <v>-</v>
      </c>
      <c r="CF53" s="15" t="str">
        <f t="shared" si="2414"/>
        <v>-</v>
      </c>
      <c r="CG53" s="1" t="str">
        <f t="shared" si="2415"/>
        <v>-</v>
      </c>
      <c r="CH53" s="21" t="str">
        <f t="shared" si="2416"/>
        <v>-</v>
      </c>
      <c r="CI53" s="15" t="str">
        <f t="shared" si="2417"/>
        <v>-</v>
      </c>
      <c r="CJ53" s="1" t="str">
        <f t="shared" si="2418"/>
        <v>-</v>
      </c>
      <c r="CK53" s="21" t="str">
        <f t="shared" si="2419"/>
        <v>-</v>
      </c>
      <c r="CL53" s="15" t="str">
        <f t="shared" si="2420"/>
        <v>-</v>
      </c>
      <c r="CM53" s="1" t="str">
        <f t="shared" si="2421"/>
        <v>-</v>
      </c>
      <c r="CN53" s="21" t="str">
        <f t="shared" si="2422"/>
        <v>-</v>
      </c>
      <c r="CO53" s="15" t="str">
        <f t="shared" si="2423"/>
        <v>-</v>
      </c>
      <c r="CP53" s="1" t="str">
        <f t="shared" si="2424"/>
        <v>-</v>
      </c>
      <c r="CQ53" s="21" t="str">
        <f t="shared" si="2425"/>
        <v>-</v>
      </c>
      <c r="CR53" s="15" t="str">
        <f t="shared" si="2426"/>
        <v>-</v>
      </c>
      <c r="CS53" s="1" t="str">
        <f t="shared" si="2427"/>
        <v>-</v>
      </c>
      <c r="CT53" s="21" t="str">
        <f t="shared" si="2428"/>
        <v>-</v>
      </c>
      <c r="CU53" s="15" t="str">
        <f t="shared" si="2429"/>
        <v>-</v>
      </c>
      <c r="CV53" s="1" t="str">
        <f t="shared" si="2430"/>
        <v>-</v>
      </c>
      <c r="CW53" s="21" t="str">
        <f t="shared" si="2431"/>
        <v>-</v>
      </c>
      <c r="CX53" s="15" t="str">
        <f t="shared" si="2432"/>
        <v>-</v>
      </c>
      <c r="CY53" s="1" t="str">
        <f t="shared" si="2433"/>
        <v>-</v>
      </c>
      <c r="CZ53" s="21" t="str">
        <f t="shared" si="2434"/>
        <v>-</v>
      </c>
      <c r="DA53" s="15" t="str">
        <f t="shared" si="2435"/>
        <v>-</v>
      </c>
      <c r="DB53" s="1" t="str">
        <f t="shared" si="2436"/>
        <v>-</v>
      </c>
      <c r="DC53" s="21" t="str">
        <f t="shared" si="2437"/>
        <v>-</v>
      </c>
      <c r="DD53" s="15" t="str">
        <f t="shared" si="2438"/>
        <v>-</v>
      </c>
      <c r="DE53" s="1" t="str">
        <f t="shared" si="2439"/>
        <v>-</v>
      </c>
      <c r="DF53" s="21" t="str">
        <f t="shared" si="2440"/>
        <v>-</v>
      </c>
      <c r="DG53" s="15" t="str">
        <f t="shared" si="2441"/>
        <v>-</v>
      </c>
      <c r="DH53" s="1" t="str">
        <f t="shared" si="2442"/>
        <v>-</v>
      </c>
      <c r="DI53" s="21" t="str">
        <f t="shared" si="2443"/>
        <v>-</v>
      </c>
    </row>
    <row r="54" spans="2:113" x14ac:dyDescent="0.3">
      <c r="B54" s="1">
        <v>49</v>
      </c>
      <c r="C54" s="67">
        <v>450</v>
      </c>
      <c r="D54" s="88" t="s">
        <v>27</v>
      </c>
      <c r="E54" s="21" t="s">
        <v>27</v>
      </c>
      <c r="F54" s="15" t="str">
        <f t="shared" ref="F54" si="3524">IF(InfGog1LevelCurrent&gt;=$B54,"-",IF(InfGog1LevelDesired&lt;$B54,"-",$C54))</f>
        <v>-</v>
      </c>
      <c r="G54" s="1" t="str">
        <f t="shared" ref="G54" si="3525">IF(InfGog1LevelCurrent&gt;=$B54,"-",IF(InfGog1LevelDesired&lt;$B54,"-",$D54))</f>
        <v>-</v>
      </c>
      <c r="H54" s="21" t="str">
        <f t="shared" ref="H54" si="3526">IF(InfGog1LevelCurrent&gt;=$B54,"-",IF(InfGog1LevelDesired&lt;$B54,"-",$E54))</f>
        <v>-</v>
      </c>
      <c r="I54" s="15" t="str">
        <f t="shared" ref="I54" si="3527">IF(InfGlo1LevelCurrent&gt;=$B54,"-",IF(InfGlo1LevelDesired&lt;$B54,"-",$C54))</f>
        <v>-</v>
      </c>
      <c r="J54" s="1" t="str">
        <f t="shared" ref="J54" si="3528">IF(InfGlo1LevelCurrent&gt;=$B54,"-",IF(InfGlo1LevelDesired&lt;$B54,"-",$D54))</f>
        <v>-</v>
      </c>
      <c r="K54" s="21" t="str">
        <f t="shared" ref="K54" si="3529">IF(InfGlo1LevelCurrent&gt;=$B54,"-",IF(InfGlo1LevelDesired&lt;$B54,"-",$E54))</f>
        <v>-</v>
      </c>
      <c r="L54" s="15" t="str">
        <f t="shared" ref="L54" si="3530">IF(InfBel1LevelCurrent&gt;=$B54,"-",IF(InfBel1LevelDesired&lt;$B54,"-",$C54))</f>
        <v>-</v>
      </c>
      <c r="M54" s="1" t="str">
        <f t="shared" ref="M54" si="3531">IF(InfBel1LevelCurrent&gt;=$B54,"-",IF(InfBel1LevelDesired&lt;$B54,"-",$D54))</f>
        <v>-</v>
      </c>
      <c r="N54" s="21" t="str">
        <f t="shared" ref="N54" si="3532">IF(InfBel1LevelCurrent&gt;=$B54,"-",IF(InfBel1LevelDesired&lt;$B54,"-",$E54))</f>
        <v>-</v>
      </c>
      <c r="O54" s="15" t="str">
        <f t="shared" ref="O54" si="3533">IF(InfBoo1LevelCurrent&gt;=$B54,"-",IF(InfBoo1LevelDesired&lt;$B54,"-",$C54))</f>
        <v>-</v>
      </c>
      <c r="P54" s="1" t="str">
        <f t="shared" ref="P54" si="3534">IF(InfBoo1LevelCurrent&gt;=$B54,"-",IF(InfBoo1LevelDesired&lt;$B54,"-",$D54))</f>
        <v>-</v>
      </c>
      <c r="Q54" s="21" t="str">
        <f t="shared" ref="Q54" si="3535">IF(InfBoo1LevelCurrent&gt;=$B54,"-",IF(InfBoo1LevelDesired&lt;$B54,"-",$E54))</f>
        <v>-</v>
      </c>
      <c r="R54" s="15" t="str">
        <f t="shared" ref="R54" si="3536">IF(LanGog1LevelCurrent&gt;=$B54,"-",IF(LanGog1LevelDesired&lt;$B54,"-",$C54))</f>
        <v>-</v>
      </c>
      <c r="S54" s="1" t="str">
        <f t="shared" ref="S54" si="3537">IF(LanGog1LevelCurrent&gt;=$B54,"-",IF(LanGog1LevelDesired&lt;$B54,"-",$D54))</f>
        <v>-</v>
      </c>
      <c r="T54" s="21" t="str">
        <f t="shared" ref="T54" si="3538">IF(LanGog1LevelCurrent&gt;=$B54,"-",IF(LanGog1LevelDesired&lt;$B54,"-",$E54))</f>
        <v>-</v>
      </c>
      <c r="U54" s="15" t="str">
        <f t="shared" ref="U54" si="3539">IF(LanGlo1LevelCurrent&gt;=$B54,"-",IF(LanGlo1LevelDesired&lt;$B54,"-",$C54))</f>
        <v>-</v>
      </c>
      <c r="V54" s="1" t="str">
        <f t="shared" ref="V54" si="3540">IF(LanGlo1LevelCurrent&gt;=$B54,"-",IF(LanGlo1LevelDesired&lt;$B54,"-",$D54))</f>
        <v>-</v>
      </c>
      <c r="W54" s="21" t="str">
        <f t="shared" ref="W54" si="3541">IF(LanGlo1LevelCurrent&gt;=$B54,"-",IF(LanGlo1LevelDesired&lt;$B54,"-",$E54))</f>
        <v>-</v>
      </c>
      <c r="X54" s="15" t="str">
        <f t="shared" ref="X54" si="3542">IF(LanBel1LevelCurrent&gt;=$B54,"-",IF(LanBel1LevelDesired&lt;$B54,"-",$C54))</f>
        <v>-</v>
      </c>
      <c r="Y54" s="1" t="str">
        <f t="shared" ref="Y54" si="3543">IF(LanBel1LevelCurrent&gt;=$B54,"-",IF(LanBel1LevelDesired&lt;$B54,"-",$D54))</f>
        <v>-</v>
      </c>
      <c r="Z54" s="21" t="str">
        <f t="shared" ref="Z54" si="3544">IF(LanBel1LevelCurrent&gt;=$B54,"-",IF(LanBel1LevelDesired&lt;$B54,"-",$E54))</f>
        <v>-</v>
      </c>
      <c r="AA54" s="15" t="str">
        <f t="shared" ref="AA54" si="3545">IF(LanBoo1LevelCurrent&gt;=$B54,"-",IF(LanBoo1LevelDesired&lt;$B54,"-",$C54))</f>
        <v>-</v>
      </c>
      <c r="AB54" s="1" t="str">
        <f t="shared" ref="AB54" si="3546">IF(LanBoo1LevelCurrent&gt;=$B54,"-",IF(LanBoo1LevelDesired&lt;$B54,"-",$D54))</f>
        <v>-</v>
      </c>
      <c r="AC54" s="21" t="str">
        <f t="shared" ref="AC54" si="3547">IF(LanBoo1LevelCurrent&gt;=$B54,"-",IF(LanBoo1LevelDesired&lt;$B54,"-",$E54))</f>
        <v>-</v>
      </c>
      <c r="AD54" s="15" t="str">
        <f t="shared" ref="AD54" si="3548">IF(MarGog1LevelCurrent&gt;=$B54,"-",IF(MarGog1LevelDesired&lt;$B54,"-",$C54))</f>
        <v>-</v>
      </c>
      <c r="AE54" s="1" t="str">
        <f t="shared" ref="AE54" si="3549">IF(MarGog1LevelCurrent&gt;=$B54,"-",IF(MarGog1LevelDesired&lt;$B54,"-",$D54))</f>
        <v>-</v>
      </c>
      <c r="AF54" s="21" t="str">
        <f t="shared" ref="AF54" si="3550">IF(MarGog1LevelCurrent&gt;=$B54,"-",IF(MarGog1LevelDesired&lt;$B54,"-",$E54))</f>
        <v>-</v>
      </c>
      <c r="AG54" s="15" t="str">
        <f t="shared" ref="AG54" si="3551">IF(MarGlo1LevelCurrent&gt;=$B54,"-",IF(MarGlo1LevelDesired&lt;$B54,"-",$C54))</f>
        <v>-</v>
      </c>
      <c r="AH54" s="1" t="str">
        <f t="shared" ref="AH54" si="3552">IF(MarGlo1LevelCurrent&gt;=$B54,"-",IF(MarGlo1LevelDesired&lt;$B54,"-",$D54))</f>
        <v>-</v>
      </c>
      <c r="AI54" s="21" t="str">
        <f t="shared" ref="AI54" si="3553">IF(MarGlo1LevelCurrent&gt;=$B54,"-",IF(MarGlo1LevelDesired&lt;$B54,"-",$E54))</f>
        <v>-</v>
      </c>
      <c r="AJ54" s="15" t="str">
        <f t="shared" ref="AJ54" si="3554">IF(MarBel1LevelCurrent&gt;=$B54,"-",IF(MarBel1LevelDesired&lt;$B54,"-",$C54))</f>
        <v>-</v>
      </c>
      <c r="AK54" s="1" t="str">
        <f t="shared" ref="AK54" si="3555">IF(MarBel1LevelCurrent&gt;=$B54,"-",IF(MarBel1LevelDesired&lt;$B54,"-",$D54))</f>
        <v>-</v>
      </c>
      <c r="AL54" s="21" t="str">
        <f t="shared" ref="AL54" si="3556">IF(MarBel1LevelCurrent&gt;=$B54,"-",IF(MarBel1LevelDesired&lt;$B54,"-",$E54))</f>
        <v>-</v>
      </c>
      <c r="AM54" s="15" t="str">
        <f t="shared" ref="AM54" si="3557">IF(MarBoo1LevelCurrent&gt;=$B54,"-",IF(MarBoo1LevelDesired&lt;$B54,"-",$C54))</f>
        <v>-</v>
      </c>
      <c r="AN54" s="1" t="str">
        <f t="shared" ref="AN54" si="3558">IF(MarBoo1LevelCurrent&gt;=$B54,"-",IF(MarBoo1LevelDesired&lt;$B54,"-",$D54))</f>
        <v>-</v>
      </c>
      <c r="AO54" s="21" t="str">
        <f t="shared" ref="AO54" si="3559">IF(MarBoo1LevelCurrent&gt;=$B54,"-",IF(MarBoo1LevelDesired&lt;$B54,"-",$E54))</f>
        <v>-</v>
      </c>
      <c r="AP54" s="15" t="str">
        <f t="shared" ref="AP54" si="3560">IF(InfGog2LevelCurrent&gt;=$B54,"-",IF(InfGog2LevelDesired&lt;$B54,"-",$C54))</f>
        <v>-</v>
      </c>
      <c r="AQ54" s="1" t="str">
        <f t="shared" ref="AQ54" si="3561">IF(InfGog2LevelCurrent&gt;=$B54,"-",IF(InfGog2LevelDesired&lt;$B54,"-",$D54))</f>
        <v>-</v>
      </c>
      <c r="AR54" s="21" t="str">
        <f t="shared" ref="AR54" si="3562">IF(InfGog2LevelCurrent&gt;=$B54,"-",IF(InfGog2LevelDesired&lt;$B54,"-",$E54))</f>
        <v>-</v>
      </c>
      <c r="AS54" s="15" t="str">
        <f t="shared" ref="AS54" si="3563">IF(InfGlo2LevelCurrent&gt;=$B54,"-",IF(InfGlo2LevelDesired&lt;$B54,"-",$C54))</f>
        <v>-</v>
      </c>
      <c r="AT54" s="1" t="str">
        <f t="shared" ref="AT54" si="3564">IF(InfGlo2LevelCurrent&gt;=$B54,"-",IF(InfGlo2LevelDesired&lt;$B54,"-",$D54))</f>
        <v>-</v>
      </c>
      <c r="AU54" s="21" t="str">
        <f t="shared" ref="AU54" si="3565">IF(InfGlo2LevelCurrent&gt;=$B54,"-",IF(InfGlo2LevelDesired&lt;$B54,"-",$E54))</f>
        <v>-</v>
      </c>
      <c r="AV54" s="15" t="str">
        <f t="shared" ref="AV54" si="3566">IF(InfBel2LevelCurrent&gt;=$B54,"-",IF(InfBel2LevelDesired&lt;$B54,"-",$C54))</f>
        <v>-</v>
      </c>
      <c r="AW54" s="1" t="str">
        <f t="shared" ref="AW54" si="3567">IF(InfBel2LevelCurrent&gt;=$B54,"-",IF(InfBel2LevelDesired&lt;$B54,"-",$D54))</f>
        <v>-</v>
      </c>
      <c r="AX54" s="21" t="str">
        <f t="shared" ref="AX54" si="3568">IF(InfBel2LevelCurrent&gt;=$B54,"-",IF(InfBel2LevelDesired&lt;$B54,"-",$E54))</f>
        <v>-</v>
      </c>
      <c r="AY54" s="15" t="str">
        <f t="shared" ref="AY54" si="3569">IF(InfBoo2LevelCurrent&gt;=$B54,"-",IF(InfBoo2LevelDesired&lt;$B54,"-",$C54))</f>
        <v>-</v>
      </c>
      <c r="AZ54" s="1" t="str">
        <f t="shared" ref="AZ54" si="3570">IF(InfBoo2LevelCurrent&gt;=$B54,"-",IF(InfBoo2LevelDesired&lt;$B54,"-",$D54))</f>
        <v>-</v>
      </c>
      <c r="BA54" s="21" t="str">
        <f t="shared" ref="BA54" si="3571">IF(InfBoo2LevelCurrent&gt;=$B54,"-",IF(InfBoo2LevelDesired&lt;$B54,"-",$E54))</f>
        <v>-</v>
      </c>
      <c r="BB54" s="15" t="str">
        <f t="shared" ref="BB54" si="3572">IF(LanGog2LevelCurrent&gt;=$B54,"-",IF(LanGog2LevelDesired&lt;$B54,"-",$C54))</f>
        <v>-</v>
      </c>
      <c r="BC54" s="1" t="str">
        <f t="shared" ref="BC54" si="3573">IF(LanGog2LevelCurrent&gt;=$B54,"-",IF(LanGog2LevelDesired&lt;$B54,"-",$D54))</f>
        <v>-</v>
      </c>
      <c r="BD54" s="21" t="str">
        <f t="shared" ref="BD54" si="3574">IF(LanGog2LevelCurrent&gt;=$B54,"-",IF(LanGog2LevelDesired&lt;$B54,"-",$E54))</f>
        <v>-</v>
      </c>
      <c r="BE54" s="15" t="str">
        <f t="shared" ref="BE54" si="3575">IF(LanGlo2LevelCurrent&gt;=$B54,"-",IF(LanGlo2LevelDesired&lt;$B54,"-",$C54))</f>
        <v>-</v>
      </c>
      <c r="BF54" s="1" t="str">
        <f t="shared" ref="BF54" si="3576">IF(LanGlo2LevelCurrent&gt;=$B54,"-",IF(LanGlo2LevelDesired&lt;$B54,"-",$D54))</f>
        <v>-</v>
      </c>
      <c r="BG54" s="21" t="str">
        <f t="shared" ref="BG54" si="3577">IF(LanGlo2LevelCurrent&gt;=$B54,"-",IF(LanGlo2LevelDesired&lt;$B54,"-",$E54))</f>
        <v>-</v>
      </c>
      <c r="BH54" s="15" t="str">
        <f t="shared" ref="BH54" si="3578">IF(LanBel2LevelCurrent&gt;=$B54,"-",IF(LanBel2LevelDesired&lt;$B54,"-",$C54))</f>
        <v>-</v>
      </c>
      <c r="BI54" s="1" t="str">
        <f t="shared" ref="BI54" si="3579">IF(LanBel2LevelCurrent&gt;=$B54,"-",IF(LanBel2LevelDesired&lt;$B54,"-",$D54))</f>
        <v>-</v>
      </c>
      <c r="BJ54" s="21" t="str">
        <f t="shared" ref="BJ54" si="3580">IF(LanBel2LevelCurrent&gt;=$B54,"-",IF(LanBel2LevelDesired&lt;$B54,"-",$E54))</f>
        <v>-</v>
      </c>
      <c r="BK54" s="15" t="str">
        <f t="shared" ref="BK54" si="3581">IF(LanBoo2LevelCurrent&gt;=$B54,"-",IF(LanBoo2LevelDesired&lt;$B54,"-",$C54))</f>
        <v>-</v>
      </c>
      <c r="BL54" s="1" t="str">
        <f t="shared" ref="BL54" si="3582">IF(LanBoo2LevelCurrent&gt;=$B54,"-",IF(LanBoo2LevelDesired&lt;$B54,"-",$D54))</f>
        <v>-</v>
      </c>
      <c r="BM54" s="21" t="str">
        <f t="shared" ref="BM54" si="3583">IF(LanBoo2LevelCurrent&gt;=$B54,"-",IF(LanBoo2LevelDesired&lt;$B54,"-",$E54))</f>
        <v>-</v>
      </c>
      <c r="BN54" s="15" t="str">
        <f t="shared" ref="BN54" si="3584">IF(MarGog2LevelCurrent&gt;=$B54,"-",IF(MarGog2LevelDesired&lt;$B54,"-",$C54))</f>
        <v>-</v>
      </c>
      <c r="BO54" s="1" t="str">
        <f t="shared" ref="BO54" si="3585">IF(MarGog2LevelCurrent&gt;=$B54,"-",IF(MarGog2LevelDesired&lt;$B54,"-",$D54))</f>
        <v>-</v>
      </c>
      <c r="BP54" s="21" t="str">
        <f t="shared" ref="BP54" si="3586">IF(MarGog2LevelCurrent&gt;=$B54,"-",IF(MarGog2LevelDesired&lt;$B54,"-",$E54))</f>
        <v>-</v>
      </c>
      <c r="BQ54" s="15" t="str">
        <f t="shared" ref="BQ54" si="3587">IF(MarGlo2LevelCurrent&gt;=$B54,"-",IF(MarGlo2LevelDesired&lt;$B54,"-",$C54))</f>
        <v>-</v>
      </c>
      <c r="BR54" s="1" t="str">
        <f t="shared" ref="BR54" si="3588">IF(MarGlo2LevelCurrent&gt;=$B54,"-",IF(MarGlo2LevelDesired&lt;$B54,"-",$D54))</f>
        <v>-</v>
      </c>
      <c r="BS54" s="21" t="str">
        <f t="shared" ref="BS54" si="3589">IF(MarGlo2LevelCurrent&gt;=$B54,"-",IF(MarGlo2LevelDesired&lt;$B54,"-",$E54))</f>
        <v>-</v>
      </c>
      <c r="BT54" s="15" t="str">
        <f t="shared" ref="BT54" si="3590">IF(MarBel2LevelCurrent&gt;=$B54,"-",IF(MarBel2LevelDesired&lt;$B54,"-",$C54))</f>
        <v>-</v>
      </c>
      <c r="BU54" s="1" t="str">
        <f t="shared" ref="BU54" si="3591">IF(MarBel2LevelCurrent&gt;=$B54,"-",IF(MarBel2LevelDesired&lt;$B54,"-",$D54))</f>
        <v>-</v>
      </c>
      <c r="BV54" s="21" t="str">
        <f t="shared" ref="BV54" si="3592">IF(MarBel2LevelCurrent&gt;=$B54,"-",IF(MarBel2LevelDesired&lt;$B54,"-",$E54))</f>
        <v>-</v>
      </c>
      <c r="BW54" s="15" t="str">
        <f t="shared" ref="BW54" si="3593">IF(MarBoo2LevelCurrent&gt;=$B54,"-",IF(MarBoo2LevelDesired&lt;$B54,"-",$C54))</f>
        <v>-</v>
      </c>
      <c r="BX54" s="1" t="str">
        <f t="shared" ref="BX54" si="3594">IF(MarBoo2LevelCurrent&gt;=$B54,"-",IF(MarBoo2LevelDesired&lt;$B54,"-",$D54))</f>
        <v>-</v>
      </c>
      <c r="BY54" s="21" t="str">
        <f t="shared" ref="BY54" si="3595">IF(MarBoo2LevelCurrent&gt;=$B54,"-",IF(MarBoo2LevelDesired&lt;$B54,"-",$E54))</f>
        <v>-</v>
      </c>
      <c r="BZ54" s="15" t="str">
        <f t="shared" si="2410"/>
        <v>-</v>
      </c>
      <c r="CA54" s="1" t="str" cm="1">
        <f t="array" ref="CA54">IF(InfGog3LevelCurrent&gt;=$B54,"-",IF(InfGog3LevelDesired&lt;$B54,"-",$D54))</f>
        <v>-</v>
      </c>
      <c r="CB54" s="21" t="str" cm="1">
        <f t="array" ref="CB54">IF(InfGog3LevelCurrent&gt;=$B54,"-",IF(InfGog3LevelDesired&lt;$B54,"-",$E54))</f>
        <v>-</v>
      </c>
      <c r="CC54" s="15" t="str">
        <f t="shared" si="2411"/>
        <v>-</v>
      </c>
      <c r="CD54" s="1" t="str">
        <f t="shared" si="2412"/>
        <v>-</v>
      </c>
      <c r="CE54" s="21" t="str">
        <f t="shared" si="2413"/>
        <v>-</v>
      </c>
      <c r="CF54" s="15" t="str">
        <f t="shared" si="2414"/>
        <v>-</v>
      </c>
      <c r="CG54" s="1" t="str">
        <f t="shared" si="2415"/>
        <v>-</v>
      </c>
      <c r="CH54" s="21" t="str">
        <f t="shared" si="2416"/>
        <v>-</v>
      </c>
      <c r="CI54" s="15" t="str">
        <f t="shared" si="2417"/>
        <v>-</v>
      </c>
      <c r="CJ54" s="1" t="str">
        <f t="shared" si="2418"/>
        <v>-</v>
      </c>
      <c r="CK54" s="21" t="str">
        <f t="shared" si="2419"/>
        <v>-</v>
      </c>
      <c r="CL54" s="15" t="str">
        <f t="shared" si="2420"/>
        <v>-</v>
      </c>
      <c r="CM54" s="1" t="str">
        <f t="shared" si="2421"/>
        <v>-</v>
      </c>
      <c r="CN54" s="21" t="str">
        <f t="shared" si="2422"/>
        <v>-</v>
      </c>
      <c r="CO54" s="15" t="str">
        <f t="shared" si="2423"/>
        <v>-</v>
      </c>
      <c r="CP54" s="1" t="str">
        <f t="shared" si="2424"/>
        <v>-</v>
      </c>
      <c r="CQ54" s="21" t="str">
        <f t="shared" si="2425"/>
        <v>-</v>
      </c>
      <c r="CR54" s="15" t="str">
        <f t="shared" si="2426"/>
        <v>-</v>
      </c>
      <c r="CS54" s="1" t="str">
        <f t="shared" si="2427"/>
        <v>-</v>
      </c>
      <c r="CT54" s="21" t="str">
        <f t="shared" si="2428"/>
        <v>-</v>
      </c>
      <c r="CU54" s="15" t="str">
        <f t="shared" si="2429"/>
        <v>-</v>
      </c>
      <c r="CV54" s="1" t="str">
        <f t="shared" si="2430"/>
        <v>-</v>
      </c>
      <c r="CW54" s="21" t="str">
        <f t="shared" si="2431"/>
        <v>-</v>
      </c>
      <c r="CX54" s="15" t="str">
        <f t="shared" si="2432"/>
        <v>-</v>
      </c>
      <c r="CY54" s="1" t="str">
        <f t="shared" si="2433"/>
        <v>-</v>
      </c>
      <c r="CZ54" s="21" t="str">
        <f t="shared" si="2434"/>
        <v>-</v>
      </c>
      <c r="DA54" s="15" t="str">
        <f t="shared" si="2435"/>
        <v>-</v>
      </c>
      <c r="DB54" s="1" t="str">
        <f t="shared" si="2436"/>
        <v>-</v>
      </c>
      <c r="DC54" s="21" t="str">
        <f t="shared" si="2437"/>
        <v>-</v>
      </c>
      <c r="DD54" s="15" t="str">
        <f t="shared" si="2438"/>
        <v>-</v>
      </c>
      <c r="DE54" s="1" t="str">
        <f t="shared" si="2439"/>
        <v>-</v>
      </c>
      <c r="DF54" s="21" t="str">
        <f t="shared" si="2440"/>
        <v>-</v>
      </c>
      <c r="DG54" s="15" t="str">
        <f t="shared" si="2441"/>
        <v>-</v>
      </c>
      <c r="DH54" s="1" t="str">
        <f t="shared" si="2442"/>
        <v>-</v>
      </c>
      <c r="DI54" s="21" t="str">
        <f t="shared" si="2443"/>
        <v>-</v>
      </c>
    </row>
    <row r="55" spans="2:113" x14ac:dyDescent="0.3">
      <c r="B55" s="1">
        <v>50</v>
      </c>
      <c r="C55" s="67">
        <v>470</v>
      </c>
      <c r="D55" s="88" t="s">
        <v>27</v>
      </c>
      <c r="E55" s="21" t="s">
        <v>27</v>
      </c>
      <c r="F55" s="15" t="str">
        <f t="shared" ref="F55" si="3596">IF(InfGog1LevelCurrent&gt;=$B55,"-",IF(InfGog1LevelDesired&lt;$B55,"-",$C55))</f>
        <v>-</v>
      </c>
      <c r="G55" s="1" t="str">
        <f t="shared" ref="G55" si="3597">IF(InfGog1LevelCurrent&gt;=$B55,"-",IF(InfGog1LevelDesired&lt;$B55,"-",$D55))</f>
        <v>-</v>
      </c>
      <c r="H55" s="21" t="str">
        <f t="shared" ref="H55" si="3598">IF(InfGog1LevelCurrent&gt;=$B55,"-",IF(InfGog1LevelDesired&lt;$B55,"-",$E55))</f>
        <v>-</v>
      </c>
      <c r="I55" s="15" t="str">
        <f t="shared" ref="I55" si="3599">IF(InfGlo1LevelCurrent&gt;=$B55,"-",IF(InfGlo1LevelDesired&lt;$B55,"-",$C55))</f>
        <v>-</v>
      </c>
      <c r="J55" s="1" t="str">
        <f t="shared" ref="J55" si="3600">IF(InfGlo1LevelCurrent&gt;=$B55,"-",IF(InfGlo1LevelDesired&lt;$B55,"-",$D55))</f>
        <v>-</v>
      </c>
      <c r="K55" s="21" t="str">
        <f t="shared" ref="K55" si="3601">IF(InfGlo1LevelCurrent&gt;=$B55,"-",IF(InfGlo1LevelDesired&lt;$B55,"-",$E55))</f>
        <v>-</v>
      </c>
      <c r="L55" s="15" t="str">
        <f t="shared" ref="L55" si="3602">IF(InfBel1LevelCurrent&gt;=$B55,"-",IF(InfBel1LevelDesired&lt;$B55,"-",$C55))</f>
        <v>-</v>
      </c>
      <c r="M55" s="1" t="str">
        <f t="shared" ref="M55" si="3603">IF(InfBel1LevelCurrent&gt;=$B55,"-",IF(InfBel1LevelDesired&lt;$B55,"-",$D55))</f>
        <v>-</v>
      </c>
      <c r="N55" s="21" t="str">
        <f t="shared" ref="N55" si="3604">IF(InfBel1LevelCurrent&gt;=$B55,"-",IF(InfBel1LevelDesired&lt;$B55,"-",$E55))</f>
        <v>-</v>
      </c>
      <c r="O55" s="15" t="str">
        <f t="shared" ref="O55" si="3605">IF(InfBoo1LevelCurrent&gt;=$B55,"-",IF(InfBoo1LevelDesired&lt;$B55,"-",$C55))</f>
        <v>-</v>
      </c>
      <c r="P55" s="1" t="str">
        <f t="shared" ref="P55" si="3606">IF(InfBoo1LevelCurrent&gt;=$B55,"-",IF(InfBoo1LevelDesired&lt;$B55,"-",$D55))</f>
        <v>-</v>
      </c>
      <c r="Q55" s="21" t="str">
        <f t="shared" ref="Q55" si="3607">IF(InfBoo1LevelCurrent&gt;=$B55,"-",IF(InfBoo1LevelDesired&lt;$B55,"-",$E55))</f>
        <v>-</v>
      </c>
      <c r="R55" s="15" t="str">
        <f t="shared" ref="R55" si="3608">IF(LanGog1LevelCurrent&gt;=$B55,"-",IF(LanGog1LevelDesired&lt;$B55,"-",$C55))</f>
        <v>-</v>
      </c>
      <c r="S55" s="1" t="str">
        <f t="shared" ref="S55" si="3609">IF(LanGog1LevelCurrent&gt;=$B55,"-",IF(LanGog1LevelDesired&lt;$B55,"-",$D55))</f>
        <v>-</v>
      </c>
      <c r="T55" s="21" t="str">
        <f t="shared" ref="T55" si="3610">IF(LanGog1LevelCurrent&gt;=$B55,"-",IF(LanGog1LevelDesired&lt;$B55,"-",$E55))</f>
        <v>-</v>
      </c>
      <c r="U55" s="15" t="str">
        <f t="shared" ref="U55" si="3611">IF(LanGlo1LevelCurrent&gt;=$B55,"-",IF(LanGlo1LevelDesired&lt;$B55,"-",$C55))</f>
        <v>-</v>
      </c>
      <c r="V55" s="1" t="str">
        <f t="shared" ref="V55" si="3612">IF(LanGlo1LevelCurrent&gt;=$B55,"-",IF(LanGlo1LevelDesired&lt;$B55,"-",$D55))</f>
        <v>-</v>
      </c>
      <c r="W55" s="21" t="str">
        <f t="shared" ref="W55" si="3613">IF(LanGlo1LevelCurrent&gt;=$B55,"-",IF(LanGlo1LevelDesired&lt;$B55,"-",$E55))</f>
        <v>-</v>
      </c>
      <c r="X55" s="15" t="str">
        <f t="shared" ref="X55" si="3614">IF(LanBel1LevelCurrent&gt;=$B55,"-",IF(LanBel1LevelDesired&lt;$B55,"-",$C55))</f>
        <v>-</v>
      </c>
      <c r="Y55" s="1" t="str">
        <f t="shared" ref="Y55" si="3615">IF(LanBel1LevelCurrent&gt;=$B55,"-",IF(LanBel1LevelDesired&lt;$B55,"-",$D55))</f>
        <v>-</v>
      </c>
      <c r="Z55" s="21" t="str">
        <f t="shared" ref="Z55" si="3616">IF(LanBel1LevelCurrent&gt;=$B55,"-",IF(LanBel1LevelDesired&lt;$B55,"-",$E55))</f>
        <v>-</v>
      </c>
      <c r="AA55" s="15" t="str">
        <f t="shared" ref="AA55" si="3617">IF(LanBoo1LevelCurrent&gt;=$B55,"-",IF(LanBoo1LevelDesired&lt;$B55,"-",$C55))</f>
        <v>-</v>
      </c>
      <c r="AB55" s="1" t="str">
        <f t="shared" ref="AB55" si="3618">IF(LanBoo1LevelCurrent&gt;=$B55,"-",IF(LanBoo1LevelDesired&lt;$B55,"-",$D55))</f>
        <v>-</v>
      </c>
      <c r="AC55" s="21" t="str">
        <f t="shared" ref="AC55" si="3619">IF(LanBoo1LevelCurrent&gt;=$B55,"-",IF(LanBoo1LevelDesired&lt;$B55,"-",$E55))</f>
        <v>-</v>
      </c>
      <c r="AD55" s="15" t="str">
        <f t="shared" ref="AD55" si="3620">IF(MarGog1LevelCurrent&gt;=$B55,"-",IF(MarGog1LevelDesired&lt;$B55,"-",$C55))</f>
        <v>-</v>
      </c>
      <c r="AE55" s="1" t="str">
        <f t="shared" ref="AE55" si="3621">IF(MarGog1LevelCurrent&gt;=$B55,"-",IF(MarGog1LevelDesired&lt;$B55,"-",$D55))</f>
        <v>-</v>
      </c>
      <c r="AF55" s="21" t="str">
        <f t="shared" ref="AF55" si="3622">IF(MarGog1LevelCurrent&gt;=$B55,"-",IF(MarGog1LevelDesired&lt;$B55,"-",$E55))</f>
        <v>-</v>
      </c>
      <c r="AG55" s="15" t="str">
        <f t="shared" ref="AG55" si="3623">IF(MarGlo1LevelCurrent&gt;=$B55,"-",IF(MarGlo1LevelDesired&lt;$B55,"-",$C55))</f>
        <v>-</v>
      </c>
      <c r="AH55" s="1" t="str">
        <f t="shared" ref="AH55" si="3624">IF(MarGlo1LevelCurrent&gt;=$B55,"-",IF(MarGlo1LevelDesired&lt;$B55,"-",$D55))</f>
        <v>-</v>
      </c>
      <c r="AI55" s="21" t="str">
        <f t="shared" ref="AI55" si="3625">IF(MarGlo1LevelCurrent&gt;=$B55,"-",IF(MarGlo1LevelDesired&lt;$B55,"-",$E55))</f>
        <v>-</v>
      </c>
      <c r="AJ55" s="15" t="str">
        <f t="shared" ref="AJ55" si="3626">IF(MarBel1LevelCurrent&gt;=$B55,"-",IF(MarBel1LevelDesired&lt;$B55,"-",$C55))</f>
        <v>-</v>
      </c>
      <c r="AK55" s="1" t="str">
        <f t="shared" ref="AK55" si="3627">IF(MarBel1LevelCurrent&gt;=$B55,"-",IF(MarBel1LevelDesired&lt;$B55,"-",$D55))</f>
        <v>-</v>
      </c>
      <c r="AL55" s="21" t="str">
        <f t="shared" ref="AL55" si="3628">IF(MarBel1LevelCurrent&gt;=$B55,"-",IF(MarBel1LevelDesired&lt;$B55,"-",$E55))</f>
        <v>-</v>
      </c>
      <c r="AM55" s="15" t="str">
        <f t="shared" ref="AM55" si="3629">IF(MarBoo1LevelCurrent&gt;=$B55,"-",IF(MarBoo1LevelDesired&lt;$B55,"-",$C55))</f>
        <v>-</v>
      </c>
      <c r="AN55" s="1" t="str">
        <f t="shared" ref="AN55" si="3630">IF(MarBoo1LevelCurrent&gt;=$B55,"-",IF(MarBoo1LevelDesired&lt;$B55,"-",$D55))</f>
        <v>-</v>
      </c>
      <c r="AO55" s="21" t="str">
        <f t="shared" ref="AO55" si="3631">IF(MarBoo1LevelCurrent&gt;=$B55,"-",IF(MarBoo1LevelDesired&lt;$B55,"-",$E55))</f>
        <v>-</v>
      </c>
      <c r="AP55" s="15" t="str">
        <f t="shared" ref="AP55" si="3632">IF(InfGog2LevelCurrent&gt;=$B55,"-",IF(InfGog2LevelDesired&lt;$B55,"-",$C55))</f>
        <v>-</v>
      </c>
      <c r="AQ55" s="1" t="str">
        <f t="shared" ref="AQ55" si="3633">IF(InfGog2LevelCurrent&gt;=$B55,"-",IF(InfGog2LevelDesired&lt;$B55,"-",$D55))</f>
        <v>-</v>
      </c>
      <c r="AR55" s="21" t="str">
        <f t="shared" ref="AR55" si="3634">IF(InfGog2LevelCurrent&gt;=$B55,"-",IF(InfGog2LevelDesired&lt;$B55,"-",$E55))</f>
        <v>-</v>
      </c>
      <c r="AS55" s="15" t="str">
        <f t="shared" ref="AS55" si="3635">IF(InfGlo2LevelCurrent&gt;=$B55,"-",IF(InfGlo2LevelDesired&lt;$B55,"-",$C55))</f>
        <v>-</v>
      </c>
      <c r="AT55" s="1" t="str">
        <f t="shared" ref="AT55" si="3636">IF(InfGlo2LevelCurrent&gt;=$B55,"-",IF(InfGlo2LevelDesired&lt;$B55,"-",$D55))</f>
        <v>-</v>
      </c>
      <c r="AU55" s="21" t="str">
        <f t="shared" ref="AU55" si="3637">IF(InfGlo2LevelCurrent&gt;=$B55,"-",IF(InfGlo2LevelDesired&lt;$B55,"-",$E55))</f>
        <v>-</v>
      </c>
      <c r="AV55" s="15" t="str">
        <f t="shared" ref="AV55" si="3638">IF(InfBel2LevelCurrent&gt;=$B55,"-",IF(InfBel2LevelDesired&lt;$B55,"-",$C55))</f>
        <v>-</v>
      </c>
      <c r="AW55" s="1" t="str">
        <f t="shared" ref="AW55" si="3639">IF(InfBel2LevelCurrent&gt;=$B55,"-",IF(InfBel2LevelDesired&lt;$B55,"-",$D55))</f>
        <v>-</v>
      </c>
      <c r="AX55" s="21" t="str">
        <f t="shared" ref="AX55" si="3640">IF(InfBel2LevelCurrent&gt;=$B55,"-",IF(InfBel2LevelDesired&lt;$B55,"-",$E55))</f>
        <v>-</v>
      </c>
      <c r="AY55" s="15" t="str">
        <f t="shared" ref="AY55" si="3641">IF(InfBoo2LevelCurrent&gt;=$B55,"-",IF(InfBoo2LevelDesired&lt;$B55,"-",$C55))</f>
        <v>-</v>
      </c>
      <c r="AZ55" s="1" t="str">
        <f t="shared" ref="AZ55" si="3642">IF(InfBoo2LevelCurrent&gt;=$B55,"-",IF(InfBoo2LevelDesired&lt;$B55,"-",$D55))</f>
        <v>-</v>
      </c>
      <c r="BA55" s="21" t="str">
        <f t="shared" ref="BA55" si="3643">IF(InfBoo2LevelCurrent&gt;=$B55,"-",IF(InfBoo2LevelDesired&lt;$B55,"-",$E55))</f>
        <v>-</v>
      </c>
      <c r="BB55" s="15" t="str">
        <f t="shared" ref="BB55" si="3644">IF(LanGog2LevelCurrent&gt;=$B55,"-",IF(LanGog2LevelDesired&lt;$B55,"-",$C55))</f>
        <v>-</v>
      </c>
      <c r="BC55" s="1" t="str">
        <f t="shared" ref="BC55" si="3645">IF(LanGog2LevelCurrent&gt;=$B55,"-",IF(LanGog2LevelDesired&lt;$B55,"-",$D55))</f>
        <v>-</v>
      </c>
      <c r="BD55" s="21" t="str">
        <f t="shared" ref="BD55" si="3646">IF(LanGog2LevelCurrent&gt;=$B55,"-",IF(LanGog2LevelDesired&lt;$B55,"-",$E55))</f>
        <v>-</v>
      </c>
      <c r="BE55" s="15" t="str">
        <f t="shared" ref="BE55" si="3647">IF(LanGlo2LevelCurrent&gt;=$B55,"-",IF(LanGlo2LevelDesired&lt;$B55,"-",$C55))</f>
        <v>-</v>
      </c>
      <c r="BF55" s="1" t="str">
        <f t="shared" ref="BF55" si="3648">IF(LanGlo2LevelCurrent&gt;=$B55,"-",IF(LanGlo2LevelDesired&lt;$B55,"-",$D55))</f>
        <v>-</v>
      </c>
      <c r="BG55" s="21" t="str">
        <f t="shared" ref="BG55" si="3649">IF(LanGlo2LevelCurrent&gt;=$B55,"-",IF(LanGlo2LevelDesired&lt;$B55,"-",$E55))</f>
        <v>-</v>
      </c>
      <c r="BH55" s="15" t="str">
        <f t="shared" ref="BH55" si="3650">IF(LanBel2LevelCurrent&gt;=$B55,"-",IF(LanBel2LevelDesired&lt;$B55,"-",$C55))</f>
        <v>-</v>
      </c>
      <c r="BI55" s="1" t="str">
        <f t="shared" ref="BI55" si="3651">IF(LanBel2LevelCurrent&gt;=$B55,"-",IF(LanBel2LevelDesired&lt;$B55,"-",$D55))</f>
        <v>-</v>
      </c>
      <c r="BJ55" s="21" t="str">
        <f t="shared" ref="BJ55" si="3652">IF(LanBel2LevelCurrent&gt;=$B55,"-",IF(LanBel2LevelDesired&lt;$B55,"-",$E55))</f>
        <v>-</v>
      </c>
      <c r="BK55" s="15" t="str">
        <f t="shared" ref="BK55" si="3653">IF(LanBoo2LevelCurrent&gt;=$B55,"-",IF(LanBoo2LevelDesired&lt;$B55,"-",$C55))</f>
        <v>-</v>
      </c>
      <c r="BL55" s="1" t="str">
        <f t="shared" ref="BL55" si="3654">IF(LanBoo2LevelCurrent&gt;=$B55,"-",IF(LanBoo2LevelDesired&lt;$B55,"-",$D55))</f>
        <v>-</v>
      </c>
      <c r="BM55" s="21" t="str">
        <f t="shared" ref="BM55" si="3655">IF(LanBoo2LevelCurrent&gt;=$B55,"-",IF(LanBoo2LevelDesired&lt;$B55,"-",$E55))</f>
        <v>-</v>
      </c>
      <c r="BN55" s="15" t="str">
        <f t="shared" ref="BN55" si="3656">IF(MarGog2LevelCurrent&gt;=$B55,"-",IF(MarGog2LevelDesired&lt;$B55,"-",$C55))</f>
        <v>-</v>
      </c>
      <c r="BO55" s="1" t="str">
        <f t="shared" ref="BO55" si="3657">IF(MarGog2LevelCurrent&gt;=$B55,"-",IF(MarGog2LevelDesired&lt;$B55,"-",$D55))</f>
        <v>-</v>
      </c>
      <c r="BP55" s="21" t="str">
        <f t="shared" ref="BP55" si="3658">IF(MarGog2LevelCurrent&gt;=$B55,"-",IF(MarGog2LevelDesired&lt;$B55,"-",$E55))</f>
        <v>-</v>
      </c>
      <c r="BQ55" s="15" t="str">
        <f t="shared" ref="BQ55" si="3659">IF(MarGlo2LevelCurrent&gt;=$B55,"-",IF(MarGlo2LevelDesired&lt;$B55,"-",$C55))</f>
        <v>-</v>
      </c>
      <c r="BR55" s="1" t="str">
        <f t="shared" ref="BR55" si="3660">IF(MarGlo2LevelCurrent&gt;=$B55,"-",IF(MarGlo2LevelDesired&lt;$B55,"-",$D55))</f>
        <v>-</v>
      </c>
      <c r="BS55" s="21" t="str">
        <f t="shared" ref="BS55" si="3661">IF(MarGlo2LevelCurrent&gt;=$B55,"-",IF(MarGlo2LevelDesired&lt;$B55,"-",$E55))</f>
        <v>-</v>
      </c>
      <c r="BT55" s="15" t="str">
        <f t="shared" ref="BT55" si="3662">IF(MarBel2LevelCurrent&gt;=$B55,"-",IF(MarBel2LevelDesired&lt;$B55,"-",$C55))</f>
        <v>-</v>
      </c>
      <c r="BU55" s="1" t="str">
        <f t="shared" ref="BU55" si="3663">IF(MarBel2LevelCurrent&gt;=$B55,"-",IF(MarBel2LevelDesired&lt;$B55,"-",$D55))</f>
        <v>-</v>
      </c>
      <c r="BV55" s="21" t="str">
        <f t="shared" ref="BV55" si="3664">IF(MarBel2LevelCurrent&gt;=$B55,"-",IF(MarBel2LevelDesired&lt;$B55,"-",$E55))</f>
        <v>-</v>
      </c>
      <c r="BW55" s="15" t="str">
        <f t="shared" ref="BW55" si="3665">IF(MarBoo2LevelCurrent&gt;=$B55,"-",IF(MarBoo2LevelDesired&lt;$B55,"-",$C55))</f>
        <v>-</v>
      </c>
      <c r="BX55" s="1" t="str">
        <f t="shared" ref="BX55" si="3666">IF(MarBoo2LevelCurrent&gt;=$B55,"-",IF(MarBoo2LevelDesired&lt;$B55,"-",$D55))</f>
        <v>-</v>
      </c>
      <c r="BY55" s="21" t="str">
        <f t="shared" ref="BY55" si="3667">IF(MarBoo2LevelCurrent&gt;=$B55,"-",IF(MarBoo2LevelDesired&lt;$B55,"-",$E55))</f>
        <v>-</v>
      </c>
      <c r="BZ55" s="15" t="str">
        <f t="shared" si="2410"/>
        <v>-</v>
      </c>
      <c r="CA55" s="1" t="str" cm="1">
        <f t="array" ref="CA55">IF(InfGog3LevelCurrent&gt;=$B55,"-",IF(InfGog3LevelDesired&lt;$B55,"-",$D55))</f>
        <v>-</v>
      </c>
      <c r="CB55" s="21" t="str" cm="1">
        <f t="array" ref="CB55">IF(InfGog3LevelCurrent&gt;=$B55,"-",IF(InfGog3LevelDesired&lt;$B55,"-",$E55))</f>
        <v>-</v>
      </c>
      <c r="CC55" s="15" t="str">
        <f t="shared" si="2411"/>
        <v>-</v>
      </c>
      <c r="CD55" s="1" t="str">
        <f t="shared" si="2412"/>
        <v>-</v>
      </c>
      <c r="CE55" s="21" t="str">
        <f t="shared" si="2413"/>
        <v>-</v>
      </c>
      <c r="CF55" s="15" t="str">
        <f t="shared" si="2414"/>
        <v>-</v>
      </c>
      <c r="CG55" s="1" t="str">
        <f t="shared" si="2415"/>
        <v>-</v>
      </c>
      <c r="CH55" s="21" t="str">
        <f t="shared" si="2416"/>
        <v>-</v>
      </c>
      <c r="CI55" s="15" t="str">
        <f t="shared" si="2417"/>
        <v>-</v>
      </c>
      <c r="CJ55" s="1" t="str">
        <f t="shared" si="2418"/>
        <v>-</v>
      </c>
      <c r="CK55" s="21" t="str">
        <f t="shared" si="2419"/>
        <v>-</v>
      </c>
      <c r="CL55" s="15" t="str">
        <f t="shared" si="2420"/>
        <v>-</v>
      </c>
      <c r="CM55" s="1" t="str">
        <f t="shared" si="2421"/>
        <v>-</v>
      </c>
      <c r="CN55" s="21" t="str">
        <f t="shared" si="2422"/>
        <v>-</v>
      </c>
      <c r="CO55" s="15" t="str">
        <f t="shared" si="2423"/>
        <v>-</v>
      </c>
      <c r="CP55" s="1" t="str">
        <f t="shared" si="2424"/>
        <v>-</v>
      </c>
      <c r="CQ55" s="21" t="str">
        <f t="shared" si="2425"/>
        <v>-</v>
      </c>
      <c r="CR55" s="15" t="str">
        <f t="shared" si="2426"/>
        <v>-</v>
      </c>
      <c r="CS55" s="1" t="str">
        <f t="shared" si="2427"/>
        <v>-</v>
      </c>
      <c r="CT55" s="21" t="str">
        <f t="shared" si="2428"/>
        <v>-</v>
      </c>
      <c r="CU55" s="15" t="str">
        <f t="shared" si="2429"/>
        <v>-</v>
      </c>
      <c r="CV55" s="1" t="str">
        <f t="shared" si="2430"/>
        <v>-</v>
      </c>
      <c r="CW55" s="21" t="str">
        <f t="shared" si="2431"/>
        <v>-</v>
      </c>
      <c r="CX55" s="15" t="str">
        <f t="shared" si="2432"/>
        <v>-</v>
      </c>
      <c r="CY55" s="1" t="str">
        <f t="shared" si="2433"/>
        <v>-</v>
      </c>
      <c r="CZ55" s="21" t="str">
        <f t="shared" si="2434"/>
        <v>-</v>
      </c>
      <c r="DA55" s="15" t="str">
        <f t="shared" si="2435"/>
        <v>-</v>
      </c>
      <c r="DB55" s="1" t="str">
        <f t="shared" si="2436"/>
        <v>-</v>
      </c>
      <c r="DC55" s="21" t="str">
        <f t="shared" si="2437"/>
        <v>-</v>
      </c>
      <c r="DD55" s="15" t="str">
        <f t="shared" si="2438"/>
        <v>-</v>
      </c>
      <c r="DE55" s="1" t="str">
        <f t="shared" si="2439"/>
        <v>-</v>
      </c>
      <c r="DF55" s="21" t="str">
        <f t="shared" si="2440"/>
        <v>-</v>
      </c>
      <c r="DG55" s="15" t="str">
        <f t="shared" si="2441"/>
        <v>-</v>
      </c>
      <c r="DH55" s="1" t="str">
        <f t="shared" si="2442"/>
        <v>-</v>
      </c>
      <c r="DI55" s="21" t="str">
        <f t="shared" si="2443"/>
        <v>-</v>
      </c>
    </row>
    <row r="56" spans="2:113" x14ac:dyDescent="0.3">
      <c r="B56" s="1">
        <v>51</v>
      </c>
      <c r="C56" s="67">
        <v>490</v>
      </c>
      <c r="D56" s="88" t="s">
        <v>27</v>
      </c>
      <c r="E56" s="21" t="s">
        <v>27</v>
      </c>
      <c r="F56" s="15" t="str">
        <f t="shared" ref="F56" si="3668">IF(InfGog1LevelCurrent&gt;=$B56,"-",IF(InfGog1LevelDesired&lt;$B56,"-",$C56))</f>
        <v>-</v>
      </c>
      <c r="G56" s="1" t="str">
        <f t="shared" ref="G56" si="3669">IF(InfGog1LevelCurrent&gt;=$B56,"-",IF(InfGog1LevelDesired&lt;$B56,"-",$D56))</f>
        <v>-</v>
      </c>
      <c r="H56" s="21" t="str">
        <f t="shared" ref="H56" si="3670">IF(InfGog1LevelCurrent&gt;=$B56,"-",IF(InfGog1LevelDesired&lt;$B56,"-",$E56))</f>
        <v>-</v>
      </c>
      <c r="I56" s="15" t="str">
        <f t="shared" ref="I56" si="3671">IF(InfGlo1LevelCurrent&gt;=$B56,"-",IF(InfGlo1LevelDesired&lt;$B56,"-",$C56))</f>
        <v>-</v>
      </c>
      <c r="J56" s="1" t="str">
        <f t="shared" ref="J56" si="3672">IF(InfGlo1LevelCurrent&gt;=$B56,"-",IF(InfGlo1LevelDesired&lt;$B56,"-",$D56))</f>
        <v>-</v>
      </c>
      <c r="K56" s="21" t="str">
        <f t="shared" ref="K56" si="3673">IF(InfGlo1LevelCurrent&gt;=$B56,"-",IF(InfGlo1LevelDesired&lt;$B56,"-",$E56))</f>
        <v>-</v>
      </c>
      <c r="L56" s="15" t="str">
        <f t="shared" ref="L56" si="3674">IF(InfBel1LevelCurrent&gt;=$B56,"-",IF(InfBel1LevelDesired&lt;$B56,"-",$C56))</f>
        <v>-</v>
      </c>
      <c r="M56" s="1" t="str">
        <f t="shared" ref="M56" si="3675">IF(InfBel1LevelCurrent&gt;=$B56,"-",IF(InfBel1LevelDesired&lt;$B56,"-",$D56))</f>
        <v>-</v>
      </c>
      <c r="N56" s="21" t="str">
        <f t="shared" ref="N56" si="3676">IF(InfBel1LevelCurrent&gt;=$B56,"-",IF(InfBel1LevelDesired&lt;$B56,"-",$E56))</f>
        <v>-</v>
      </c>
      <c r="O56" s="15" t="str">
        <f t="shared" ref="O56" si="3677">IF(InfBoo1LevelCurrent&gt;=$B56,"-",IF(InfBoo1LevelDesired&lt;$B56,"-",$C56))</f>
        <v>-</v>
      </c>
      <c r="P56" s="1" t="str">
        <f t="shared" ref="P56" si="3678">IF(InfBoo1LevelCurrent&gt;=$B56,"-",IF(InfBoo1LevelDesired&lt;$B56,"-",$D56))</f>
        <v>-</v>
      </c>
      <c r="Q56" s="21" t="str">
        <f t="shared" ref="Q56" si="3679">IF(InfBoo1LevelCurrent&gt;=$B56,"-",IF(InfBoo1LevelDesired&lt;$B56,"-",$E56))</f>
        <v>-</v>
      </c>
      <c r="R56" s="15" t="str">
        <f t="shared" ref="R56" si="3680">IF(LanGog1LevelCurrent&gt;=$B56,"-",IF(LanGog1LevelDesired&lt;$B56,"-",$C56))</f>
        <v>-</v>
      </c>
      <c r="S56" s="1" t="str">
        <f t="shared" ref="S56" si="3681">IF(LanGog1LevelCurrent&gt;=$B56,"-",IF(LanGog1LevelDesired&lt;$B56,"-",$D56))</f>
        <v>-</v>
      </c>
      <c r="T56" s="21" t="str">
        <f t="shared" ref="T56" si="3682">IF(LanGog1LevelCurrent&gt;=$B56,"-",IF(LanGog1LevelDesired&lt;$B56,"-",$E56))</f>
        <v>-</v>
      </c>
      <c r="U56" s="15" t="str">
        <f t="shared" ref="U56" si="3683">IF(LanGlo1LevelCurrent&gt;=$B56,"-",IF(LanGlo1LevelDesired&lt;$B56,"-",$C56))</f>
        <v>-</v>
      </c>
      <c r="V56" s="1" t="str">
        <f t="shared" ref="V56" si="3684">IF(LanGlo1LevelCurrent&gt;=$B56,"-",IF(LanGlo1LevelDesired&lt;$B56,"-",$D56))</f>
        <v>-</v>
      </c>
      <c r="W56" s="21" t="str">
        <f t="shared" ref="W56" si="3685">IF(LanGlo1LevelCurrent&gt;=$B56,"-",IF(LanGlo1LevelDesired&lt;$B56,"-",$E56))</f>
        <v>-</v>
      </c>
      <c r="X56" s="15" t="str">
        <f t="shared" ref="X56" si="3686">IF(LanBel1LevelCurrent&gt;=$B56,"-",IF(LanBel1LevelDesired&lt;$B56,"-",$C56))</f>
        <v>-</v>
      </c>
      <c r="Y56" s="1" t="str">
        <f t="shared" ref="Y56" si="3687">IF(LanBel1LevelCurrent&gt;=$B56,"-",IF(LanBel1LevelDesired&lt;$B56,"-",$D56))</f>
        <v>-</v>
      </c>
      <c r="Z56" s="21" t="str">
        <f t="shared" ref="Z56" si="3688">IF(LanBel1LevelCurrent&gt;=$B56,"-",IF(LanBel1LevelDesired&lt;$B56,"-",$E56))</f>
        <v>-</v>
      </c>
      <c r="AA56" s="15" t="str">
        <f t="shared" ref="AA56" si="3689">IF(LanBoo1LevelCurrent&gt;=$B56,"-",IF(LanBoo1LevelDesired&lt;$B56,"-",$C56))</f>
        <v>-</v>
      </c>
      <c r="AB56" s="1" t="str">
        <f t="shared" ref="AB56" si="3690">IF(LanBoo1LevelCurrent&gt;=$B56,"-",IF(LanBoo1LevelDesired&lt;$B56,"-",$D56))</f>
        <v>-</v>
      </c>
      <c r="AC56" s="21" t="str">
        <f t="shared" ref="AC56" si="3691">IF(LanBoo1LevelCurrent&gt;=$B56,"-",IF(LanBoo1LevelDesired&lt;$B56,"-",$E56))</f>
        <v>-</v>
      </c>
      <c r="AD56" s="15" t="str">
        <f t="shared" ref="AD56" si="3692">IF(MarGog1LevelCurrent&gt;=$B56,"-",IF(MarGog1LevelDesired&lt;$B56,"-",$C56))</f>
        <v>-</v>
      </c>
      <c r="AE56" s="1" t="str">
        <f t="shared" ref="AE56" si="3693">IF(MarGog1LevelCurrent&gt;=$B56,"-",IF(MarGog1LevelDesired&lt;$B56,"-",$D56))</f>
        <v>-</v>
      </c>
      <c r="AF56" s="21" t="str">
        <f t="shared" ref="AF56" si="3694">IF(MarGog1LevelCurrent&gt;=$B56,"-",IF(MarGog1LevelDesired&lt;$B56,"-",$E56))</f>
        <v>-</v>
      </c>
      <c r="AG56" s="15" t="str">
        <f t="shared" ref="AG56" si="3695">IF(MarGlo1LevelCurrent&gt;=$B56,"-",IF(MarGlo1LevelDesired&lt;$B56,"-",$C56))</f>
        <v>-</v>
      </c>
      <c r="AH56" s="1" t="str">
        <f t="shared" ref="AH56" si="3696">IF(MarGlo1LevelCurrent&gt;=$B56,"-",IF(MarGlo1LevelDesired&lt;$B56,"-",$D56))</f>
        <v>-</v>
      </c>
      <c r="AI56" s="21" t="str">
        <f t="shared" ref="AI56" si="3697">IF(MarGlo1LevelCurrent&gt;=$B56,"-",IF(MarGlo1LevelDesired&lt;$B56,"-",$E56))</f>
        <v>-</v>
      </c>
      <c r="AJ56" s="15" t="str">
        <f t="shared" ref="AJ56" si="3698">IF(MarBel1LevelCurrent&gt;=$B56,"-",IF(MarBel1LevelDesired&lt;$B56,"-",$C56))</f>
        <v>-</v>
      </c>
      <c r="AK56" s="1" t="str">
        <f t="shared" ref="AK56" si="3699">IF(MarBel1LevelCurrent&gt;=$B56,"-",IF(MarBel1LevelDesired&lt;$B56,"-",$D56))</f>
        <v>-</v>
      </c>
      <c r="AL56" s="21" t="str">
        <f t="shared" ref="AL56" si="3700">IF(MarBel1LevelCurrent&gt;=$B56,"-",IF(MarBel1LevelDesired&lt;$B56,"-",$E56))</f>
        <v>-</v>
      </c>
      <c r="AM56" s="15" t="str">
        <f t="shared" ref="AM56" si="3701">IF(MarBoo1LevelCurrent&gt;=$B56,"-",IF(MarBoo1LevelDesired&lt;$B56,"-",$C56))</f>
        <v>-</v>
      </c>
      <c r="AN56" s="1" t="str">
        <f t="shared" ref="AN56" si="3702">IF(MarBoo1LevelCurrent&gt;=$B56,"-",IF(MarBoo1LevelDesired&lt;$B56,"-",$D56))</f>
        <v>-</v>
      </c>
      <c r="AO56" s="21" t="str">
        <f t="shared" ref="AO56" si="3703">IF(MarBoo1LevelCurrent&gt;=$B56,"-",IF(MarBoo1LevelDesired&lt;$B56,"-",$E56))</f>
        <v>-</v>
      </c>
      <c r="AP56" s="15" t="str">
        <f t="shared" ref="AP56" si="3704">IF(InfGog2LevelCurrent&gt;=$B56,"-",IF(InfGog2LevelDesired&lt;$B56,"-",$C56))</f>
        <v>-</v>
      </c>
      <c r="AQ56" s="1" t="str">
        <f t="shared" ref="AQ56" si="3705">IF(InfGog2LevelCurrent&gt;=$B56,"-",IF(InfGog2LevelDesired&lt;$B56,"-",$D56))</f>
        <v>-</v>
      </c>
      <c r="AR56" s="21" t="str">
        <f t="shared" ref="AR56" si="3706">IF(InfGog2LevelCurrent&gt;=$B56,"-",IF(InfGog2LevelDesired&lt;$B56,"-",$E56))</f>
        <v>-</v>
      </c>
      <c r="AS56" s="15" t="str">
        <f t="shared" ref="AS56" si="3707">IF(InfGlo2LevelCurrent&gt;=$B56,"-",IF(InfGlo2LevelDesired&lt;$B56,"-",$C56))</f>
        <v>-</v>
      </c>
      <c r="AT56" s="1" t="str">
        <f t="shared" ref="AT56" si="3708">IF(InfGlo2LevelCurrent&gt;=$B56,"-",IF(InfGlo2LevelDesired&lt;$B56,"-",$D56))</f>
        <v>-</v>
      </c>
      <c r="AU56" s="21" t="str">
        <f t="shared" ref="AU56" si="3709">IF(InfGlo2LevelCurrent&gt;=$B56,"-",IF(InfGlo2LevelDesired&lt;$B56,"-",$E56))</f>
        <v>-</v>
      </c>
      <c r="AV56" s="15" t="str">
        <f t="shared" ref="AV56" si="3710">IF(InfBel2LevelCurrent&gt;=$B56,"-",IF(InfBel2LevelDesired&lt;$B56,"-",$C56))</f>
        <v>-</v>
      </c>
      <c r="AW56" s="1" t="str">
        <f t="shared" ref="AW56" si="3711">IF(InfBel2LevelCurrent&gt;=$B56,"-",IF(InfBel2LevelDesired&lt;$B56,"-",$D56))</f>
        <v>-</v>
      </c>
      <c r="AX56" s="21" t="str">
        <f t="shared" ref="AX56" si="3712">IF(InfBel2LevelCurrent&gt;=$B56,"-",IF(InfBel2LevelDesired&lt;$B56,"-",$E56))</f>
        <v>-</v>
      </c>
      <c r="AY56" s="15" t="str">
        <f t="shared" ref="AY56" si="3713">IF(InfBoo2LevelCurrent&gt;=$B56,"-",IF(InfBoo2LevelDesired&lt;$B56,"-",$C56))</f>
        <v>-</v>
      </c>
      <c r="AZ56" s="1" t="str">
        <f t="shared" ref="AZ56" si="3714">IF(InfBoo2LevelCurrent&gt;=$B56,"-",IF(InfBoo2LevelDesired&lt;$B56,"-",$D56))</f>
        <v>-</v>
      </c>
      <c r="BA56" s="21" t="str">
        <f t="shared" ref="BA56" si="3715">IF(InfBoo2LevelCurrent&gt;=$B56,"-",IF(InfBoo2LevelDesired&lt;$B56,"-",$E56))</f>
        <v>-</v>
      </c>
      <c r="BB56" s="15" t="str">
        <f t="shared" ref="BB56" si="3716">IF(LanGog2LevelCurrent&gt;=$B56,"-",IF(LanGog2LevelDesired&lt;$B56,"-",$C56))</f>
        <v>-</v>
      </c>
      <c r="BC56" s="1" t="str">
        <f t="shared" ref="BC56" si="3717">IF(LanGog2LevelCurrent&gt;=$B56,"-",IF(LanGog2LevelDesired&lt;$B56,"-",$D56))</f>
        <v>-</v>
      </c>
      <c r="BD56" s="21" t="str">
        <f t="shared" ref="BD56" si="3718">IF(LanGog2LevelCurrent&gt;=$B56,"-",IF(LanGog2LevelDesired&lt;$B56,"-",$E56))</f>
        <v>-</v>
      </c>
      <c r="BE56" s="15" t="str">
        <f t="shared" ref="BE56" si="3719">IF(LanGlo2LevelCurrent&gt;=$B56,"-",IF(LanGlo2LevelDesired&lt;$B56,"-",$C56))</f>
        <v>-</v>
      </c>
      <c r="BF56" s="1" t="str">
        <f t="shared" ref="BF56" si="3720">IF(LanGlo2LevelCurrent&gt;=$B56,"-",IF(LanGlo2LevelDesired&lt;$B56,"-",$D56))</f>
        <v>-</v>
      </c>
      <c r="BG56" s="21" t="str">
        <f t="shared" ref="BG56" si="3721">IF(LanGlo2LevelCurrent&gt;=$B56,"-",IF(LanGlo2LevelDesired&lt;$B56,"-",$E56))</f>
        <v>-</v>
      </c>
      <c r="BH56" s="15" t="str">
        <f t="shared" ref="BH56" si="3722">IF(LanBel2LevelCurrent&gt;=$B56,"-",IF(LanBel2LevelDesired&lt;$B56,"-",$C56))</f>
        <v>-</v>
      </c>
      <c r="BI56" s="1" t="str">
        <f t="shared" ref="BI56" si="3723">IF(LanBel2LevelCurrent&gt;=$B56,"-",IF(LanBel2LevelDesired&lt;$B56,"-",$D56))</f>
        <v>-</v>
      </c>
      <c r="BJ56" s="21" t="str">
        <f t="shared" ref="BJ56" si="3724">IF(LanBel2LevelCurrent&gt;=$B56,"-",IF(LanBel2LevelDesired&lt;$B56,"-",$E56))</f>
        <v>-</v>
      </c>
      <c r="BK56" s="15" t="str">
        <f t="shared" ref="BK56" si="3725">IF(LanBoo2LevelCurrent&gt;=$B56,"-",IF(LanBoo2LevelDesired&lt;$B56,"-",$C56))</f>
        <v>-</v>
      </c>
      <c r="BL56" s="1" t="str">
        <f t="shared" ref="BL56" si="3726">IF(LanBoo2LevelCurrent&gt;=$B56,"-",IF(LanBoo2LevelDesired&lt;$B56,"-",$D56))</f>
        <v>-</v>
      </c>
      <c r="BM56" s="21" t="str">
        <f t="shared" ref="BM56" si="3727">IF(LanBoo2LevelCurrent&gt;=$B56,"-",IF(LanBoo2LevelDesired&lt;$B56,"-",$E56))</f>
        <v>-</v>
      </c>
      <c r="BN56" s="15" t="str">
        <f t="shared" ref="BN56" si="3728">IF(MarGog2LevelCurrent&gt;=$B56,"-",IF(MarGog2LevelDesired&lt;$B56,"-",$C56))</f>
        <v>-</v>
      </c>
      <c r="BO56" s="1" t="str">
        <f t="shared" ref="BO56" si="3729">IF(MarGog2LevelCurrent&gt;=$B56,"-",IF(MarGog2LevelDesired&lt;$B56,"-",$D56))</f>
        <v>-</v>
      </c>
      <c r="BP56" s="21" t="str">
        <f t="shared" ref="BP56" si="3730">IF(MarGog2LevelCurrent&gt;=$B56,"-",IF(MarGog2LevelDesired&lt;$B56,"-",$E56))</f>
        <v>-</v>
      </c>
      <c r="BQ56" s="15" t="str">
        <f t="shared" ref="BQ56" si="3731">IF(MarGlo2LevelCurrent&gt;=$B56,"-",IF(MarGlo2LevelDesired&lt;$B56,"-",$C56))</f>
        <v>-</v>
      </c>
      <c r="BR56" s="1" t="str">
        <f t="shared" ref="BR56" si="3732">IF(MarGlo2LevelCurrent&gt;=$B56,"-",IF(MarGlo2LevelDesired&lt;$B56,"-",$D56))</f>
        <v>-</v>
      </c>
      <c r="BS56" s="21" t="str">
        <f t="shared" ref="BS56" si="3733">IF(MarGlo2LevelCurrent&gt;=$B56,"-",IF(MarGlo2LevelDesired&lt;$B56,"-",$E56))</f>
        <v>-</v>
      </c>
      <c r="BT56" s="15" t="str">
        <f t="shared" ref="BT56" si="3734">IF(MarBel2LevelCurrent&gt;=$B56,"-",IF(MarBel2LevelDesired&lt;$B56,"-",$C56))</f>
        <v>-</v>
      </c>
      <c r="BU56" s="1" t="str">
        <f t="shared" ref="BU56" si="3735">IF(MarBel2LevelCurrent&gt;=$B56,"-",IF(MarBel2LevelDesired&lt;$B56,"-",$D56))</f>
        <v>-</v>
      </c>
      <c r="BV56" s="21" t="str">
        <f t="shared" ref="BV56" si="3736">IF(MarBel2LevelCurrent&gt;=$B56,"-",IF(MarBel2LevelDesired&lt;$B56,"-",$E56))</f>
        <v>-</v>
      </c>
      <c r="BW56" s="15" t="str">
        <f t="shared" ref="BW56" si="3737">IF(MarBoo2LevelCurrent&gt;=$B56,"-",IF(MarBoo2LevelDesired&lt;$B56,"-",$C56))</f>
        <v>-</v>
      </c>
      <c r="BX56" s="1" t="str">
        <f t="shared" ref="BX56" si="3738">IF(MarBoo2LevelCurrent&gt;=$B56,"-",IF(MarBoo2LevelDesired&lt;$B56,"-",$D56))</f>
        <v>-</v>
      </c>
      <c r="BY56" s="21" t="str">
        <f t="shared" ref="BY56" si="3739">IF(MarBoo2LevelCurrent&gt;=$B56,"-",IF(MarBoo2LevelDesired&lt;$B56,"-",$E56))</f>
        <v>-</v>
      </c>
      <c r="BZ56" s="15" t="str">
        <f t="shared" si="2410"/>
        <v>-</v>
      </c>
      <c r="CA56" s="1" t="str" cm="1">
        <f t="array" ref="CA56">IF(InfGog3LevelCurrent&gt;=$B56,"-",IF(InfGog3LevelDesired&lt;$B56,"-",$D56))</f>
        <v>-</v>
      </c>
      <c r="CB56" s="21" t="str" cm="1">
        <f t="array" ref="CB56">IF(InfGog3LevelCurrent&gt;=$B56,"-",IF(InfGog3LevelDesired&lt;$B56,"-",$E56))</f>
        <v>-</v>
      </c>
      <c r="CC56" s="15" t="str">
        <f t="shared" si="2411"/>
        <v>-</v>
      </c>
      <c r="CD56" s="1" t="str">
        <f t="shared" si="2412"/>
        <v>-</v>
      </c>
      <c r="CE56" s="21" t="str">
        <f t="shared" si="2413"/>
        <v>-</v>
      </c>
      <c r="CF56" s="15" t="str">
        <f t="shared" si="2414"/>
        <v>-</v>
      </c>
      <c r="CG56" s="1" t="str">
        <f t="shared" si="2415"/>
        <v>-</v>
      </c>
      <c r="CH56" s="21" t="str">
        <f t="shared" si="2416"/>
        <v>-</v>
      </c>
      <c r="CI56" s="15" t="str">
        <f t="shared" si="2417"/>
        <v>-</v>
      </c>
      <c r="CJ56" s="1" t="str">
        <f t="shared" si="2418"/>
        <v>-</v>
      </c>
      <c r="CK56" s="21" t="str">
        <f t="shared" si="2419"/>
        <v>-</v>
      </c>
      <c r="CL56" s="15" t="str">
        <f t="shared" si="2420"/>
        <v>-</v>
      </c>
      <c r="CM56" s="1" t="str">
        <f t="shared" si="2421"/>
        <v>-</v>
      </c>
      <c r="CN56" s="21" t="str">
        <f t="shared" si="2422"/>
        <v>-</v>
      </c>
      <c r="CO56" s="15" t="str">
        <f t="shared" si="2423"/>
        <v>-</v>
      </c>
      <c r="CP56" s="1" t="str">
        <f t="shared" si="2424"/>
        <v>-</v>
      </c>
      <c r="CQ56" s="21" t="str">
        <f t="shared" si="2425"/>
        <v>-</v>
      </c>
      <c r="CR56" s="15" t="str">
        <f t="shared" si="2426"/>
        <v>-</v>
      </c>
      <c r="CS56" s="1" t="str">
        <f t="shared" si="2427"/>
        <v>-</v>
      </c>
      <c r="CT56" s="21" t="str">
        <f t="shared" si="2428"/>
        <v>-</v>
      </c>
      <c r="CU56" s="15" t="str">
        <f t="shared" si="2429"/>
        <v>-</v>
      </c>
      <c r="CV56" s="1" t="str">
        <f t="shared" si="2430"/>
        <v>-</v>
      </c>
      <c r="CW56" s="21" t="str">
        <f t="shared" si="2431"/>
        <v>-</v>
      </c>
      <c r="CX56" s="15" t="str">
        <f t="shared" si="2432"/>
        <v>-</v>
      </c>
      <c r="CY56" s="1" t="str">
        <f t="shared" si="2433"/>
        <v>-</v>
      </c>
      <c r="CZ56" s="21" t="str">
        <f t="shared" si="2434"/>
        <v>-</v>
      </c>
      <c r="DA56" s="15" t="str">
        <f t="shared" si="2435"/>
        <v>-</v>
      </c>
      <c r="DB56" s="1" t="str">
        <f t="shared" si="2436"/>
        <v>-</v>
      </c>
      <c r="DC56" s="21" t="str">
        <f t="shared" si="2437"/>
        <v>-</v>
      </c>
      <c r="DD56" s="15" t="str">
        <f t="shared" si="2438"/>
        <v>-</v>
      </c>
      <c r="DE56" s="1" t="str">
        <f t="shared" si="2439"/>
        <v>-</v>
      </c>
      <c r="DF56" s="21" t="str">
        <f t="shared" si="2440"/>
        <v>-</v>
      </c>
      <c r="DG56" s="15" t="str">
        <f t="shared" si="2441"/>
        <v>-</v>
      </c>
      <c r="DH56" s="1" t="str">
        <f t="shared" si="2442"/>
        <v>-</v>
      </c>
      <c r="DI56" s="21" t="str">
        <f t="shared" si="2443"/>
        <v>-</v>
      </c>
    </row>
    <row r="57" spans="2:113" x14ac:dyDescent="0.3">
      <c r="B57" s="1">
        <v>52</v>
      </c>
      <c r="C57" s="67">
        <v>510</v>
      </c>
      <c r="D57" s="88" t="s">
        <v>27</v>
      </c>
      <c r="E57" s="21" t="s">
        <v>27</v>
      </c>
      <c r="F57" s="15" t="str">
        <f t="shared" ref="F57" si="3740">IF(InfGog1LevelCurrent&gt;=$B57,"-",IF(InfGog1LevelDesired&lt;$B57,"-",$C57))</f>
        <v>-</v>
      </c>
      <c r="G57" s="1" t="str">
        <f t="shared" ref="G57" si="3741">IF(InfGog1LevelCurrent&gt;=$B57,"-",IF(InfGog1LevelDesired&lt;$B57,"-",$D57))</f>
        <v>-</v>
      </c>
      <c r="H57" s="21" t="str">
        <f t="shared" ref="H57" si="3742">IF(InfGog1LevelCurrent&gt;=$B57,"-",IF(InfGog1LevelDesired&lt;$B57,"-",$E57))</f>
        <v>-</v>
      </c>
      <c r="I57" s="15" t="str">
        <f t="shared" ref="I57" si="3743">IF(InfGlo1LevelCurrent&gt;=$B57,"-",IF(InfGlo1LevelDesired&lt;$B57,"-",$C57))</f>
        <v>-</v>
      </c>
      <c r="J57" s="1" t="str">
        <f t="shared" ref="J57" si="3744">IF(InfGlo1LevelCurrent&gt;=$B57,"-",IF(InfGlo1LevelDesired&lt;$B57,"-",$D57))</f>
        <v>-</v>
      </c>
      <c r="K57" s="21" t="str">
        <f t="shared" ref="K57" si="3745">IF(InfGlo1LevelCurrent&gt;=$B57,"-",IF(InfGlo1LevelDesired&lt;$B57,"-",$E57))</f>
        <v>-</v>
      </c>
      <c r="L57" s="15" t="str">
        <f t="shared" ref="L57" si="3746">IF(InfBel1LevelCurrent&gt;=$B57,"-",IF(InfBel1LevelDesired&lt;$B57,"-",$C57))</f>
        <v>-</v>
      </c>
      <c r="M57" s="1" t="str">
        <f t="shared" ref="M57" si="3747">IF(InfBel1LevelCurrent&gt;=$B57,"-",IF(InfBel1LevelDesired&lt;$B57,"-",$D57))</f>
        <v>-</v>
      </c>
      <c r="N57" s="21" t="str">
        <f t="shared" ref="N57" si="3748">IF(InfBel1LevelCurrent&gt;=$B57,"-",IF(InfBel1LevelDesired&lt;$B57,"-",$E57))</f>
        <v>-</v>
      </c>
      <c r="O57" s="15" t="str">
        <f t="shared" ref="O57" si="3749">IF(InfBoo1LevelCurrent&gt;=$B57,"-",IF(InfBoo1LevelDesired&lt;$B57,"-",$C57))</f>
        <v>-</v>
      </c>
      <c r="P57" s="1" t="str">
        <f t="shared" ref="P57" si="3750">IF(InfBoo1LevelCurrent&gt;=$B57,"-",IF(InfBoo1LevelDesired&lt;$B57,"-",$D57))</f>
        <v>-</v>
      </c>
      <c r="Q57" s="21" t="str">
        <f t="shared" ref="Q57" si="3751">IF(InfBoo1LevelCurrent&gt;=$B57,"-",IF(InfBoo1LevelDesired&lt;$B57,"-",$E57))</f>
        <v>-</v>
      </c>
      <c r="R57" s="15" t="str">
        <f t="shared" ref="R57" si="3752">IF(LanGog1LevelCurrent&gt;=$B57,"-",IF(LanGog1LevelDesired&lt;$B57,"-",$C57))</f>
        <v>-</v>
      </c>
      <c r="S57" s="1" t="str">
        <f t="shared" ref="S57" si="3753">IF(LanGog1LevelCurrent&gt;=$B57,"-",IF(LanGog1LevelDesired&lt;$B57,"-",$D57))</f>
        <v>-</v>
      </c>
      <c r="T57" s="21" t="str">
        <f t="shared" ref="T57" si="3754">IF(LanGog1LevelCurrent&gt;=$B57,"-",IF(LanGog1LevelDesired&lt;$B57,"-",$E57))</f>
        <v>-</v>
      </c>
      <c r="U57" s="15" t="str">
        <f t="shared" ref="U57" si="3755">IF(LanGlo1LevelCurrent&gt;=$B57,"-",IF(LanGlo1LevelDesired&lt;$B57,"-",$C57))</f>
        <v>-</v>
      </c>
      <c r="V57" s="1" t="str">
        <f t="shared" ref="V57" si="3756">IF(LanGlo1LevelCurrent&gt;=$B57,"-",IF(LanGlo1LevelDesired&lt;$B57,"-",$D57))</f>
        <v>-</v>
      </c>
      <c r="W57" s="21" t="str">
        <f t="shared" ref="W57" si="3757">IF(LanGlo1LevelCurrent&gt;=$B57,"-",IF(LanGlo1LevelDesired&lt;$B57,"-",$E57))</f>
        <v>-</v>
      </c>
      <c r="X57" s="15" t="str">
        <f t="shared" ref="X57" si="3758">IF(LanBel1LevelCurrent&gt;=$B57,"-",IF(LanBel1LevelDesired&lt;$B57,"-",$C57))</f>
        <v>-</v>
      </c>
      <c r="Y57" s="1" t="str">
        <f t="shared" ref="Y57" si="3759">IF(LanBel1LevelCurrent&gt;=$B57,"-",IF(LanBel1LevelDesired&lt;$B57,"-",$D57))</f>
        <v>-</v>
      </c>
      <c r="Z57" s="21" t="str">
        <f t="shared" ref="Z57" si="3760">IF(LanBel1LevelCurrent&gt;=$B57,"-",IF(LanBel1LevelDesired&lt;$B57,"-",$E57))</f>
        <v>-</v>
      </c>
      <c r="AA57" s="15" t="str">
        <f t="shared" ref="AA57" si="3761">IF(LanBoo1LevelCurrent&gt;=$B57,"-",IF(LanBoo1LevelDesired&lt;$B57,"-",$C57))</f>
        <v>-</v>
      </c>
      <c r="AB57" s="1" t="str">
        <f t="shared" ref="AB57" si="3762">IF(LanBoo1LevelCurrent&gt;=$B57,"-",IF(LanBoo1LevelDesired&lt;$B57,"-",$D57))</f>
        <v>-</v>
      </c>
      <c r="AC57" s="21" t="str">
        <f t="shared" ref="AC57" si="3763">IF(LanBoo1LevelCurrent&gt;=$B57,"-",IF(LanBoo1LevelDesired&lt;$B57,"-",$E57))</f>
        <v>-</v>
      </c>
      <c r="AD57" s="15" t="str">
        <f t="shared" ref="AD57" si="3764">IF(MarGog1LevelCurrent&gt;=$B57,"-",IF(MarGog1LevelDesired&lt;$B57,"-",$C57))</f>
        <v>-</v>
      </c>
      <c r="AE57" s="1" t="str">
        <f t="shared" ref="AE57" si="3765">IF(MarGog1LevelCurrent&gt;=$B57,"-",IF(MarGog1LevelDesired&lt;$B57,"-",$D57))</f>
        <v>-</v>
      </c>
      <c r="AF57" s="21" t="str">
        <f t="shared" ref="AF57" si="3766">IF(MarGog1LevelCurrent&gt;=$B57,"-",IF(MarGog1LevelDesired&lt;$B57,"-",$E57))</f>
        <v>-</v>
      </c>
      <c r="AG57" s="15" t="str">
        <f t="shared" ref="AG57" si="3767">IF(MarGlo1LevelCurrent&gt;=$B57,"-",IF(MarGlo1LevelDesired&lt;$B57,"-",$C57))</f>
        <v>-</v>
      </c>
      <c r="AH57" s="1" t="str">
        <f t="shared" ref="AH57" si="3768">IF(MarGlo1LevelCurrent&gt;=$B57,"-",IF(MarGlo1LevelDesired&lt;$B57,"-",$D57))</f>
        <v>-</v>
      </c>
      <c r="AI57" s="21" t="str">
        <f t="shared" ref="AI57" si="3769">IF(MarGlo1LevelCurrent&gt;=$B57,"-",IF(MarGlo1LevelDesired&lt;$B57,"-",$E57))</f>
        <v>-</v>
      </c>
      <c r="AJ57" s="15" t="str">
        <f t="shared" ref="AJ57" si="3770">IF(MarBel1LevelCurrent&gt;=$B57,"-",IF(MarBel1LevelDesired&lt;$B57,"-",$C57))</f>
        <v>-</v>
      </c>
      <c r="AK57" s="1" t="str">
        <f t="shared" ref="AK57" si="3771">IF(MarBel1LevelCurrent&gt;=$B57,"-",IF(MarBel1LevelDesired&lt;$B57,"-",$D57))</f>
        <v>-</v>
      </c>
      <c r="AL57" s="21" t="str">
        <f t="shared" ref="AL57" si="3772">IF(MarBel1LevelCurrent&gt;=$B57,"-",IF(MarBel1LevelDesired&lt;$B57,"-",$E57))</f>
        <v>-</v>
      </c>
      <c r="AM57" s="15" t="str">
        <f t="shared" ref="AM57" si="3773">IF(MarBoo1LevelCurrent&gt;=$B57,"-",IF(MarBoo1LevelDesired&lt;$B57,"-",$C57))</f>
        <v>-</v>
      </c>
      <c r="AN57" s="1" t="str">
        <f t="shared" ref="AN57" si="3774">IF(MarBoo1LevelCurrent&gt;=$B57,"-",IF(MarBoo1LevelDesired&lt;$B57,"-",$D57))</f>
        <v>-</v>
      </c>
      <c r="AO57" s="21" t="str">
        <f t="shared" ref="AO57" si="3775">IF(MarBoo1LevelCurrent&gt;=$B57,"-",IF(MarBoo1LevelDesired&lt;$B57,"-",$E57))</f>
        <v>-</v>
      </c>
      <c r="AP57" s="15" t="str">
        <f t="shared" ref="AP57" si="3776">IF(InfGog2LevelCurrent&gt;=$B57,"-",IF(InfGog2LevelDesired&lt;$B57,"-",$C57))</f>
        <v>-</v>
      </c>
      <c r="AQ57" s="1" t="str">
        <f t="shared" ref="AQ57" si="3777">IF(InfGog2LevelCurrent&gt;=$B57,"-",IF(InfGog2LevelDesired&lt;$B57,"-",$D57))</f>
        <v>-</v>
      </c>
      <c r="AR57" s="21" t="str">
        <f t="shared" ref="AR57" si="3778">IF(InfGog2LevelCurrent&gt;=$B57,"-",IF(InfGog2LevelDesired&lt;$B57,"-",$E57))</f>
        <v>-</v>
      </c>
      <c r="AS57" s="15" t="str">
        <f t="shared" ref="AS57" si="3779">IF(InfGlo2LevelCurrent&gt;=$B57,"-",IF(InfGlo2LevelDesired&lt;$B57,"-",$C57))</f>
        <v>-</v>
      </c>
      <c r="AT57" s="1" t="str">
        <f t="shared" ref="AT57" si="3780">IF(InfGlo2LevelCurrent&gt;=$B57,"-",IF(InfGlo2LevelDesired&lt;$B57,"-",$D57))</f>
        <v>-</v>
      </c>
      <c r="AU57" s="21" t="str">
        <f t="shared" ref="AU57" si="3781">IF(InfGlo2LevelCurrent&gt;=$B57,"-",IF(InfGlo2LevelDesired&lt;$B57,"-",$E57))</f>
        <v>-</v>
      </c>
      <c r="AV57" s="15" t="str">
        <f t="shared" ref="AV57" si="3782">IF(InfBel2LevelCurrent&gt;=$B57,"-",IF(InfBel2LevelDesired&lt;$B57,"-",$C57))</f>
        <v>-</v>
      </c>
      <c r="AW57" s="1" t="str">
        <f t="shared" ref="AW57" si="3783">IF(InfBel2LevelCurrent&gt;=$B57,"-",IF(InfBel2LevelDesired&lt;$B57,"-",$D57))</f>
        <v>-</v>
      </c>
      <c r="AX57" s="21" t="str">
        <f t="shared" ref="AX57" si="3784">IF(InfBel2LevelCurrent&gt;=$B57,"-",IF(InfBel2LevelDesired&lt;$B57,"-",$E57))</f>
        <v>-</v>
      </c>
      <c r="AY57" s="15" t="str">
        <f t="shared" ref="AY57" si="3785">IF(InfBoo2LevelCurrent&gt;=$B57,"-",IF(InfBoo2LevelDesired&lt;$B57,"-",$C57))</f>
        <v>-</v>
      </c>
      <c r="AZ57" s="1" t="str">
        <f t="shared" ref="AZ57" si="3786">IF(InfBoo2LevelCurrent&gt;=$B57,"-",IF(InfBoo2LevelDesired&lt;$B57,"-",$D57))</f>
        <v>-</v>
      </c>
      <c r="BA57" s="21" t="str">
        <f t="shared" ref="BA57" si="3787">IF(InfBoo2LevelCurrent&gt;=$B57,"-",IF(InfBoo2LevelDesired&lt;$B57,"-",$E57))</f>
        <v>-</v>
      </c>
      <c r="BB57" s="15" t="str">
        <f t="shared" ref="BB57" si="3788">IF(LanGog2LevelCurrent&gt;=$B57,"-",IF(LanGog2LevelDesired&lt;$B57,"-",$C57))</f>
        <v>-</v>
      </c>
      <c r="BC57" s="1" t="str">
        <f t="shared" ref="BC57" si="3789">IF(LanGog2LevelCurrent&gt;=$B57,"-",IF(LanGog2LevelDesired&lt;$B57,"-",$D57))</f>
        <v>-</v>
      </c>
      <c r="BD57" s="21" t="str">
        <f t="shared" ref="BD57" si="3790">IF(LanGog2LevelCurrent&gt;=$B57,"-",IF(LanGog2LevelDesired&lt;$B57,"-",$E57))</f>
        <v>-</v>
      </c>
      <c r="BE57" s="15" t="str">
        <f t="shared" ref="BE57" si="3791">IF(LanGlo2LevelCurrent&gt;=$B57,"-",IF(LanGlo2LevelDesired&lt;$B57,"-",$C57))</f>
        <v>-</v>
      </c>
      <c r="BF57" s="1" t="str">
        <f t="shared" ref="BF57" si="3792">IF(LanGlo2LevelCurrent&gt;=$B57,"-",IF(LanGlo2LevelDesired&lt;$B57,"-",$D57))</f>
        <v>-</v>
      </c>
      <c r="BG57" s="21" t="str">
        <f t="shared" ref="BG57" si="3793">IF(LanGlo2LevelCurrent&gt;=$B57,"-",IF(LanGlo2LevelDesired&lt;$B57,"-",$E57))</f>
        <v>-</v>
      </c>
      <c r="BH57" s="15" t="str">
        <f t="shared" ref="BH57" si="3794">IF(LanBel2LevelCurrent&gt;=$B57,"-",IF(LanBel2LevelDesired&lt;$B57,"-",$C57))</f>
        <v>-</v>
      </c>
      <c r="BI57" s="1" t="str">
        <f t="shared" ref="BI57" si="3795">IF(LanBel2LevelCurrent&gt;=$B57,"-",IF(LanBel2LevelDesired&lt;$B57,"-",$D57))</f>
        <v>-</v>
      </c>
      <c r="BJ57" s="21" t="str">
        <f t="shared" ref="BJ57" si="3796">IF(LanBel2LevelCurrent&gt;=$B57,"-",IF(LanBel2LevelDesired&lt;$B57,"-",$E57))</f>
        <v>-</v>
      </c>
      <c r="BK57" s="15" t="str">
        <f t="shared" ref="BK57" si="3797">IF(LanBoo2LevelCurrent&gt;=$B57,"-",IF(LanBoo2LevelDesired&lt;$B57,"-",$C57))</f>
        <v>-</v>
      </c>
      <c r="BL57" s="1" t="str">
        <f t="shared" ref="BL57" si="3798">IF(LanBoo2LevelCurrent&gt;=$B57,"-",IF(LanBoo2LevelDesired&lt;$B57,"-",$D57))</f>
        <v>-</v>
      </c>
      <c r="BM57" s="21" t="str">
        <f t="shared" ref="BM57" si="3799">IF(LanBoo2LevelCurrent&gt;=$B57,"-",IF(LanBoo2LevelDesired&lt;$B57,"-",$E57))</f>
        <v>-</v>
      </c>
      <c r="BN57" s="15" t="str">
        <f t="shared" ref="BN57" si="3800">IF(MarGog2LevelCurrent&gt;=$B57,"-",IF(MarGog2LevelDesired&lt;$B57,"-",$C57))</f>
        <v>-</v>
      </c>
      <c r="BO57" s="1" t="str">
        <f t="shared" ref="BO57" si="3801">IF(MarGog2LevelCurrent&gt;=$B57,"-",IF(MarGog2LevelDesired&lt;$B57,"-",$D57))</f>
        <v>-</v>
      </c>
      <c r="BP57" s="21" t="str">
        <f t="shared" ref="BP57" si="3802">IF(MarGog2LevelCurrent&gt;=$B57,"-",IF(MarGog2LevelDesired&lt;$B57,"-",$E57))</f>
        <v>-</v>
      </c>
      <c r="BQ57" s="15" t="str">
        <f t="shared" ref="BQ57" si="3803">IF(MarGlo2LevelCurrent&gt;=$B57,"-",IF(MarGlo2LevelDesired&lt;$B57,"-",$C57))</f>
        <v>-</v>
      </c>
      <c r="BR57" s="1" t="str">
        <f t="shared" ref="BR57" si="3804">IF(MarGlo2LevelCurrent&gt;=$B57,"-",IF(MarGlo2LevelDesired&lt;$B57,"-",$D57))</f>
        <v>-</v>
      </c>
      <c r="BS57" s="21" t="str">
        <f t="shared" ref="BS57" si="3805">IF(MarGlo2LevelCurrent&gt;=$B57,"-",IF(MarGlo2LevelDesired&lt;$B57,"-",$E57))</f>
        <v>-</v>
      </c>
      <c r="BT57" s="15" t="str">
        <f t="shared" ref="BT57" si="3806">IF(MarBel2LevelCurrent&gt;=$B57,"-",IF(MarBel2LevelDesired&lt;$B57,"-",$C57))</f>
        <v>-</v>
      </c>
      <c r="BU57" s="1" t="str">
        <f t="shared" ref="BU57" si="3807">IF(MarBel2LevelCurrent&gt;=$B57,"-",IF(MarBel2LevelDesired&lt;$B57,"-",$D57))</f>
        <v>-</v>
      </c>
      <c r="BV57" s="21" t="str">
        <f t="shared" ref="BV57" si="3808">IF(MarBel2LevelCurrent&gt;=$B57,"-",IF(MarBel2LevelDesired&lt;$B57,"-",$E57))</f>
        <v>-</v>
      </c>
      <c r="BW57" s="15" t="str">
        <f t="shared" ref="BW57" si="3809">IF(MarBoo2LevelCurrent&gt;=$B57,"-",IF(MarBoo2LevelDesired&lt;$B57,"-",$C57))</f>
        <v>-</v>
      </c>
      <c r="BX57" s="1" t="str">
        <f t="shared" ref="BX57" si="3810">IF(MarBoo2LevelCurrent&gt;=$B57,"-",IF(MarBoo2LevelDesired&lt;$B57,"-",$D57))</f>
        <v>-</v>
      </c>
      <c r="BY57" s="21" t="str">
        <f t="shared" ref="BY57" si="3811">IF(MarBoo2LevelCurrent&gt;=$B57,"-",IF(MarBoo2LevelDesired&lt;$B57,"-",$E57))</f>
        <v>-</v>
      </c>
      <c r="BZ57" s="15" t="str">
        <f t="shared" si="2410"/>
        <v>-</v>
      </c>
      <c r="CA57" s="1" t="str" cm="1">
        <f t="array" ref="CA57">IF(InfGog3LevelCurrent&gt;=$B57,"-",IF(InfGog3LevelDesired&lt;$B57,"-",$D57))</f>
        <v>-</v>
      </c>
      <c r="CB57" s="21" t="str" cm="1">
        <f t="array" ref="CB57">IF(InfGog3LevelCurrent&gt;=$B57,"-",IF(InfGog3LevelDesired&lt;$B57,"-",$E57))</f>
        <v>-</v>
      </c>
      <c r="CC57" s="15" t="str">
        <f t="shared" si="2411"/>
        <v>-</v>
      </c>
      <c r="CD57" s="1" t="str">
        <f t="shared" si="2412"/>
        <v>-</v>
      </c>
      <c r="CE57" s="21" t="str">
        <f t="shared" si="2413"/>
        <v>-</v>
      </c>
      <c r="CF57" s="15" t="str">
        <f t="shared" si="2414"/>
        <v>-</v>
      </c>
      <c r="CG57" s="1" t="str">
        <f t="shared" si="2415"/>
        <v>-</v>
      </c>
      <c r="CH57" s="21" t="str">
        <f t="shared" si="2416"/>
        <v>-</v>
      </c>
      <c r="CI57" s="15" t="str">
        <f t="shared" si="2417"/>
        <v>-</v>
      </c>
      <c r="CJ57" s="1" t="str">
        <f t="shared" si="2418"/>
        <v>-</v>
      </c>
      <c r="CK57" s="21" t="str">
        <f t="shared" si="2419"/>
        <v>-</v>
      </c>
      <c r="CL57" s="15" t="str">
        <f t="shared" si="2420"/>
        <v>-</v>
      </c>
      <c r="CM57" s="1" t="str">
        <f t="shared" si="2421"/>
        <v>-</v>
      </c>
      <c r="CN57" s="21" t="str">
        <f t="shared" si="2422"/>
        <v>-</v>
      </c>
      <c r="CO57" s="15" t="str">
        <f t="shared" si="2423"/>
        <v>-</v>
      </c>
      <c r="CP57" s="1" t="str">
        <f t="shared" si="2424"/>
        <v>-</v>
      </c>
      <c r="CQ57" s="21" t="str">
        <f t="shared" si="2425"/>
        <v>-</v>
      </c>
      <c r="CR57" s="15" t="str">
        <f t="shared" si="2426"/>
        <v>-</v>
      </c>
      <c r="CS57" s="1" t="str">
        <f t="shared" si="2427"/>
        <v>-</v>
      </c>
      <c r="CT57" s="21" t="str">
        <f t="shared" si="2428"/>
        <v>-</v>
      </c>
      <c r="CU57" s="15" t="str">
        <f t="shared" si="2429"/>
        <v>-</v>
      </c>
      <c r="CV57" s="1" t="str">
        <f t="shared" si="2430"/>
        <v>-</v>
      </c>
      <c r="CW57" s="21" t="str">
        <f t="shared" si="2431"/>
        <v>-</v>
      </c>
      <c r="CX57" s="15" t="str">
        <f t="shared" si="2432"/>
        <v>-</v>
      </c>
      <c r="CY57" s="1" t="str">
        <f t="shared" si="2433"/>
        <v>-</v>
      </c>
      <c r="CZ57" s="21" t="str">
        <f t="shared" si="2434"/>
        <v>-</v>
      </c>
      <c r="DA57" s="15" t="str">
        <f t="shared" si="2435"/>
        <v>-</v>
      </c>
      <c r="DB57" s="1" t="str">
        <f t="shared" si="2436"/>
        <v>-</v>
      </c>
      <c r="DC57" s="21" t="str">
        <f t="shared" si="2437"/>
        <v>-</v>
      </c>
      <c r="DD57" s="15" t="str">
        <f t="shared" si="2438"/>
        <v>-</v>
      </c>
      <c r="DE57" s="1" t="str">
        <f t="shared" si="2439"/>
        <v>-</v>
      </c>
      <c r="DF57" s="21" t="str">
        <f t="shared" si="2440"/>
        <v>-</v>
      </c>
      <c r="DG57" s="15" t="str">
        <f t="shared" si="2441"/>
        <v>-</v>
      </c>
      <c r="DH57" s="1" t="str">
        <f t="shared" si="2442"/>
        <v>-</v>
      </c>
      <c r="DI57" s="21" t="str">
        <f t="shared" si="2443"/>
        <v>-</v>
      </c>
    </row>
    <row r="58" spans="2:113" x14ac:dyDescent="0.3">
      <c r="B58" s="1">
        <v>53</v>
      </c>
      <c r="C58" s="67">
        <v>530</v>
      </c>
      <c r="D58" s="88" t="s">
        <v>27</v>
      </c>
      <c r="E58" s="21" t="s">
        <v>27</v>
      </c>
      <c r="F58" s="15" t="str">
        <f t="shared" ref="F58" si="3812">IF(InfGog1LevelCurrent&gt;=$B58,"-",IF(InfGog1LevelDesired&lt;$B58,"-",$C58))</f>
        <v>-</v>
      </c>
      <c r="G58" s="1" t="str">
        <f t="shared" ref="G58" si="3813">IF(InfGog1LevelCurrent&gt;=$B58,"-",IF(InfGog1LevelDesired&lt;$B58,"-",$D58))</f>
        <v>-</v>
      </c>
      <c r="H58" s="21" t="str">
        <f t="shared" ref="H58" si="3814">IF(InfGog1LevelCurrent&gt;=$B58,"-",IF(InfGog1LevelDesired&lt;$B58,"-",$E58))</f>
        <v>-</v>
      </c>
      <c r="I58" s="15" t="str">
        <f t="shared" ref="I58" si="3815">IF(InfGlo1LevelCurrent&gt;=$B58,"-",IF(InfGlo1LevelDesired&lt;$B58,"-",$C58))</f>
        <v>-</v>
      </c>
      <c r="J58" s="1" t="str">
        <f t="shared" ref="J58" si="3816">IF(InfGlo1LevelCurrent&gt;=$B58,"-",IF(InfGlo1LevelDesired&lt;$B58,"-",$D58))</f>
        <v>-</v>
      </c>
      <c r="K58" s="21" t="str">
        <f t="shared" ref="K58" si="3817">IF(InfGlo1LevelCurrent&gt;=$B58,"-",IF(InfGlo1LevelDesired&lt;$B58,"-",$E58))</f>
        <v>-</v>
      </c>
      <c r="L58" s="15" t="str">
        <f t="shared" ref="L58" si="3818">IF(InfBel1LevelCurrent&gt;=$B58,"-",IF(InfBel1LevelDesired&lt;$B58,"-",$C58))</f>
        <v>-</v>
      </c>
      <c r="M58" s="1" t="str">
        <f t="shared" ref="M58" si="3819">IF(InfBel1LevelCurrent&gt;=$B58,"-",IF(InfBel1LevelDesired&lt;$B58,"-",$D58))</f>
        <v>-</v>
      </c>
      <c r="N58" s="21" t="str">
        <f t="shared" ref="N58" si="3820">IF(InfBel1LevelCurrent&gt;=$B58,"-",IF(InfBel1LevelDesired&lt;$B58,"-",$E58))</f>
        <v>-</v>
      </c>
      <c r="O58" s="15" t="str">
        <f t="shared" ref="O58" si="3821">IF(InfBoo1LevelCurrent&gt;=$B58,"-",IF(InfBoo1LevelDesired&lt;$B58,"-",$C58))</f>
        <v>-</v>
      </c>
      <c r="P58" s="1" t="str">
        <f t="shared" ref="P58" si="3822">IF(InfBoo1LevelCurrent&gt;=$B58,"-",IF(InfBoo1LevelDesired&lt;$B58,"-",$D58))</f>
        <v>-</v>
      </c>
      <c r="Q58" s="21" t="str">
        <f t="shared" ref="Q58" si="3823">IF(InfBoo1LevelCurrent&gt;=$B58,"-",IF(InfBoo1LevelDesired&lt;$B58,"-",$E58))</f>
        <v>-</v>
      </c>
      <c r="R58" s="15" t="str">
        <f t="shared" ref="R58" si="3824">IF(LanGog1LevelCurrent&gt;=$B58,"-",IF(LanGog1LevelDesired&lt;$B58,"-",$C58))</f>
        <v>-</v>
      </c>
      <c r="S58" s="1" t="str">
        <f t="shared" ref="S58" si="3825">IF(LanGog1LevelCurrent&gt;=$B58,"-",IF(LanGog1LevelDesired&lt;$B58,"-",$D58))</f>
        <v>-</v>
      </c>
      <c r="T58" s="21" t="str">
        <f t="shared" ref="T58" si="3826">IF(LanGog1LevelCurrent&gt;=$B58,"-",IF(LanGog1LevelDesired&lt;$B58,"-",$E58))</f>
        <v>-</v>
      </c>
      <c r="U58" s="15" t="str">
        <f t="shared" ref="U58" si="3827">IF(LanGlo1LevelCurrent&gt;=$B58,"-",IF(LanGlo1LevelDesired&lt;$B58,"-",$C58))</f>
        <v>-</v>
      </c>
      <c r="V58" s="1" t="str">
        <f t="shared" ref="V58" si="3828">IF(LanGlo1LevelCurrent&gt;=$B58,"-",IF(LanGlo1LevelDesired&lt;$B58,"-",$D58))</f>
        <v>-</v>
      </c>
      <c r="W58" s="21" t="str">
        <f t="shared" ref="W58" si="3829">IF(LanGlo1LevelCurrent&gt;=$B58,"-",IF(LanGlo1LevelDesired&lt;$B58,"-",$E58))</f>
        <v>-</v>
      </c>
      <c r="X58" s="15" t="str">
        <f t="shared" ref="X58" si="3830">IF(LanBel1LevelCurrent&gt;=$B58,"-",IF(LanBel1LevelDesired&lt;$B58,"-",$C58))</f>
        <v>-</v>
      </c>
      <c r="Y58" s="1" t="str">
        <f t="shared" ref="Y58" si="3831">IF(LanBel1LevelCurrent&gt;=$B58,"-",IF(LanBel1LevelDesired&lt;$B58,"-",$D58))</f>
        <v>-</v>
      </c>
      <c r="Z58" s="21" t="str">
        <f t="shared" ref="Z58" si="3832">IF(LanBel1LevelCurrent&gt;=$B58,"-",IF(LanBel1LevelDesired&lt;$B58,"-",$E58))</f>
        <v>-</v>
      </c>
      <c r="AA58" s="15" t="str">
        <f t="shared" ref="AA58" si="3833">IF(LanBoo1LevelCurrent&gt;=$B58,"-",IF(LanBoo1LevelDesired&lt;$B58,"-",$C58))</f>
        <v>-</v>
      </c>
      <c r="AB58" s="1" t="str">
        <f t="shared" ref="AB58" si="3834">IF(LanBoo1LevelCurrent&gt;=$B58,"-",IF(LanBoo1LevelDesired&lt;$B58,"-",$D58))</f>
        <v>-</v>
      </c>
      <c r="AC58" s="21" t="str">
        <f t="shared" ref="AC58" si="3835">IF(LanBoo1LevelCurrent&gt;=$B58,"-",IF(LanBoo1LevelDesired&lt;$B58,"-",$E58))</f>
        <v>-</v>
      </c>
      <c r="AD58" s="15" t="str">
        <f t="shared" ref="AD58" si="3836">IF(MarGog1LevelCurrent&gt;=$B58,"-",IF(MarGog1LevelDesired&lt;$B58,"-",$C58))</f>
        <v>-</v>
      </c>
      <c r="AE58" s="1" t="str">
        <f t="shared" ref="AE58" si="3837">IF(MarGog1LevelCurrent&gt;=$B58,"-",IF(MarGog1LevelDesired&lt;$B58,"-",$D58))</f>
        <v>-</v>
      </c>
      <c r="AF58" s="21" t="str">
        <f t="shared" ref="AF58" si="3838">IF(MarGog1LevelCurrent&gt;=$B58,"-",IF(MarGog1LevelDesired&lt;$B58,"-",$E58))</f>
        <v>-</v>
      </c>
      <c r="AG58" s="15" t="str">
        <f t="shared" ref="AG58" si="3839">IF(MarGlo1LevelCurrent&gt;=$B58,"-",IF(MarGlo1LevelDesired&lt;$B58,"-",$C58))</f>
        <v>-</v>
      </c>
      <c r="AH58" s="1" t="str">
        <f t="shared" ref="AH58" si="3840">IF(MarGlo1LevelCurrent&gt;=$B58,"-",IF(MarGlo1LevelDesired&lt;$B58,"-",$D58))</f>
        <v>-</v>
      </c>
      <c r="AI58" s="21" t="str">
        <f t="shared" ref="AI58" si="3841">IF(MarGlo1LevelCurrent&gt;=$B58,"-",IF(MarGlo1LevelDesired&lt;$B58,"-",$E58))</f>
        <v>-</v>
      </c>
      <c r="AJ58" s="15" t="str">
        <f t="shared" ref="AJ58" si="3842">IF(MarBel1LevelCurrent&gt;=$B58,"-",IF(MarBel1LevelDesired&lt;$B58,"-",$C58))</f>
        <v>-</v>
      </c>
      <c r="AK58" s="1" t="str">
        <f t="shared" ref="AK58" si="3843">IF(MarBel1LevelCurrent&gt;=$B58,"-",IF(MarBel1LevelDesired&lt;$B58,"-",$D58))</f>
        <v>-</v>
      </c>
      <c r="AL58" s="21" t="str">
        <f t="shared" ref="AL58" si="3844">IF(MarBel1LevelCurrent&gt;=$B58,"-",IF(MarBel1LevelDesired&lt;$B58,"-",$E58))</f>
        <v>-</v>
      </c>
      <c r="AM58" s="15" t="str">
        <f t="shared" ref="AM58" si="3845">IF(MarBoo1LevelCurrent&gt;=$B58,"-",IF(MarBoo1LevelDesired&lt;$B58,"-",$C58))</f>
        <v>-</v>
      </c>
      <c r="AN58" s="1" t="str">
        <f t="shared" ref="AN58" si="3846">IF(MarBoo1LevelCurrent&gt;=$B58,"-",IF(MarBoo1LevelDesired&lt;$B58,"-",$D58))</f>
        <v>-</v>
      </c>
      <c r="AO58" s="21" t="str">
        <f t="shared" ref="AO58" si="3847">IF(MarBoo1LevelCurrent&gt;=$B58,"-",IF(MarBoo1LevelDesired&lt;$B58,"-",$E58))</f>
        <v>-</v>
      </c>
      <c r="AP58" s="15" t="str">
        <f t="shared" ref="AP58" si="3848">IF(InfGog2LevelCurrent&gt;=$B58,"-",IF(InfGog2LevelDesired&lt;$B58,"-",$C58))</f>
        <v>-</v>
      </c>
      <c r="AQ58" s="1" t="str">
        <f t="shared" ref="AQ58" si="3849">IF(InfGog2LevelCurrent&gt;=$B58,"-",IF(InfGog2LevelDesired&lt;$B58,"-",$D58))</f>
        <v>-</v>
      </c>
      <c r="AR58" s="21" t="str">
        <f t="shared" ref="AR58" si="3850">IF(InfGog2LevelCurrent&gt;=$B58,"-",IF(InfGog2LevelDesired&lt;$B58,"-",$E58))</f>
        <v>-</v>
      </c>
      <c r="AS58" s="15" t="str">
        <f t="shared" ref="AS58" si="3851">IF(InfGlo2LevelCurrent&gt;=$B58,"-",IF(InfGlo2LevelDesired&lt;$B58,"-",$C58))</f>
        <v>-</v>
      </c>
      <c r="AT58" s="1" t="str">
        <f t="shared" ref="AT58" si="3852">IF(InfGlo2LevelCurrent&gt;=$B58,"-",IF(InfGlo2LevelDesired&lt;$B58,"-",$D58))</f>
        <v>-</v>
      </c>
      <c r="AU58" s="21" t="str">
        <f t="shared" ref="AU58" si="3853">IF(InfGlo2LevelCurrent&gt;=$B58,"-",IF(InfGlo2LevelDesired&lt;$B58,"-",$E58))</f>
        <v>-</v>
      </c>
      <c r="AV58" s="15" t="str">
        <f t="shared" ref="AV58" si="3854">IF(InfBel2LevelCurrent&gt;=$B58,"-",IF(InfBel2LevelDesired&lt;$B58,"-",$C58))</f>
        <v>-</v>
      </c>
      <c r="AW58" s="1" t="str">
        <f t="shared" ref="AW58" si="3855">IF(InfBel2LevelCurrent&gt;=$B58,"-",IF(InfBel2LevelDesired&lt;$B58,"-",$D58))</f>
        <v>-</v>
      </c>
      <c r="AX58" s="21" t="str">
        <f t="shared" ref="AX58" si="3856">IF(InfBel2LevelCurrent&gt;=$B58,"-",IF(InfBel2LevelDesired&lt;$B58,"-",$E58))</f>
        <v>-</v>
      </c>
      <c r="AY58" s="15" t="str">
        <f t="shared" ref="AY58" si="3857">IF(InfBoo2LevelCurrent&gt;=$B58,"-",IF(InfBoo2LevelDesired&lt;$B58,"-",$C58))</f>
        <v>-</v>
      </c>
      <c r="AZ58" s="1" t="str">
        <f t="shared" ref="AZ58" si="3858">IF(InfBoo2LevelCurrent&gt;=$B58,"-",IF(InfBoo2LevelDesired&lt;$B58,"-",$D58))</f>
        <v>-</v>
      </c>
      <c r="BA58" s="21" t="str">
        <f t="shared" ref="BA58" si="3859">IF(InfBoo2LevelCurrent&gt;=$B58,"-",IF(InfBoo2LevelDesired&lt;$B58,"-",$E58))</f>
        <v>-</v>
      </c>
      <c r="BB58" s="15" t="str">
        <f t="shared" ref="BB58" si="3860">IF(LanGog2LevelCurrent&gt;=$B58,"-",IF(LanGog2LevelDesired&lt;$B58,"-",$C58))</f>
        <v>-</v>
      </c>
      <c r="BC58" s="1" t="str">
        <f t="shared" ref="BC58" si="3861">IF(LanGog2LevelCurrent&gt;=$B58,"-",IF(LanGog2LevelDesired&lt;$B58,"-",$D58))</f>
        <v>-</v>
      </c>
      <c r="BD58" s="21" t="str">
        <f t="shared" ref="BD58" si="3862">IF(LanGog2LevelCurrent&gt;=$B58,"-",IF(LanGog2LevelDesired&lt;$B58,"-",$E58))</f>
        <v>-</v>
      </c>
      <c r="BE58" s="15" t="str">
        <f t="shared" ref="BE58" si="3863">IF(LanGlo2LevelCurrent&gt;=$B58,"-",IF(LanGlo2LevelDesired&lt;$B58,"-",$C58))</f>
        <v>-</v>
      </c>
      <c r="BF58" s="1" t="str">
        <f t="shared" ref="BF58" si="3864">IF(LanGlo2LevelCurrent&gt;=$B58,"-",IF(LanGlo2LevelDesired&lt;$B58,"-",$D58))</f>
        <v>-</v>
      </c>
      <c r="BG58" s="21" t="str">
        <f t="shared" ref="BG58" si="3865">IF(LanGlo2LevelCurrent&gt;=$B58,"-",IF(LanGlo2LevelDesired&lt;$B58,"-",$E58))</f>
        <v>-</v>
      </c>
      <c r="BH58" s="15" t="str">
        <f t="shared" ref="BH58" si="3866">IF(LanBel2LevelCurrent&gt;=$B58,"-",IF(LanBel2LevelDesired&lt;$B58,"-",$C58))</f>
        <v>-</v>
      </c>
      <c r="BI58" s="1" t="str">
        <f t="shared" ref="BI58" si="3867">IF(LanBel2LevelCurrent&gt;=$B58,"-",IF(LanBel2LevelDesired&lt;$B58,"-",$D58))</f>
        <v>-</v>
      </c>
      <c r="BJ58" s="21" t="str">
        <f t="shared" ref="BJ58" si="3868">IF(LanBel2LevelCurrent&gt;=$B58,"-",IF(LanBel2LevelDesired&lt;$B58,"-",$E58))</f>
        <v>-</v>
      </c>
      <c r="BK58" s="15" t="str">
        <f t="shared" ref="BK58" si="3869">IF(LanBoo2LevelCurrent&gt;=$B58,"-",IF(LanBoo2LevelDesired&lt;$B58,"-",$C58))</f>
        <v>-</v>
      </c>
      <c r="BL58" s="1" t="str">
        <f t="shared" ref="BL58" si="3870">IF(LanBoo2LevelCurrent&gt;=$B58,"-",IF(LanBoo2LevelDesired&lt;$B58,"-",$D58))</f>
        <v>-</v>
      </c>
      <c r="BM58" s="21" t="str">
        <f t="shared" ref="BM58" si="3871">IF(LanBoo2LevelCurrent&gt;=$B58,"-",IF(LanBoo2LevelDesired&lt;$B58,"-",$E58))</f>
        <v>-</v>
      </c>
      <c r="BN58" s="15" t="str">
        <f t="shared" ref="BN58" si="3872">IF(MarGog2LevelCurrent&gt;=$B58,"-",IF(MarGog2LevelDesired&lt;$B58,"-",$C58))</f>
        <v>-</v>
      </c>
      <c r="BO58" s="1" t="str">
        <f t="shared" ref="BO58" si="3873">IF(MarGog2LevelCurrent&gt;=$B58,"-",IF(MarGog2LevelDesired&lt;$B58,"-",$D58))</f>
        <v>-</v>
      </c>
      <c r="BP58" s="21" t="str">
        <f t="shared" ref="BP58" si="3874">IF(MarGog2LevelCurrent&gt;=$B58,"-",IF(MarGog2LevelDesired&lt;$B58,"-",$E58))</f>
        <v>-</v>
      </c>
      <c r="BQ58" s="15" t="str">
        <f t="shared" ref="BQ58" si="3875">IF(MarGlo2LevelCurrent&gt;=$B58,"-",IF(MarGlo2LevelDesired&lt;$B58,"-",$C58))</f>
        <v>-</v>
      </c>
      <c r="BR58" s="1" t="str">
        <f t="shared" ref="BR58" si="3876">IF(MarGlo2LevelCurrent&gt;=$B58,"-",IF(MarGlo2LevelDesired&lt;$B58,"-",$D58))</f>
        <v>-</v>
      </c>
      <c r="BS58" s="21" t="str">
        <f t="shared" ref="BS58" si="3877">IF(MarGlo2LevelCurrent&gt;=$B58,"-",IF(MarGlo2LevelDesired&lt;$B58,"-",$E58))</f>
        <v>-</v>
      </c>
      <c r="BT58" s="15" t="str">
        <f t="shared" ref="BT58" si="3878">IF(MarBel2LevelCurrent&gt;=$B58,"-",IF(MarBel2LevelDesired&lt;$B58,"-",$C58))</f>
        <v>-</v>
      </c>
      <c r="BU58" s="1" t="str">
        <f t="shared" ref="BU58" si="3879">IF(MarBel2LevelCurrent&gt;=$B58,"-",IF(MarBel2LevelDesired&lt;$B58,"-",$D58))</f>
        <v>-</v>
      </c>
      <c r="BV58" s="21" t="str">
        <f t="shared" ref="BV58" si="3880">IF(MarBel2LevelCurrent&gt;=$B58,"-",IF(MarBel2LevelDesired&lt;$B58,"-",$E58))</f>
        <v>-</v>
      </c>
      <c r="BW58" s="15" t="str">
        <f t="shared" ref="BW58" si="3881">IF(MarBoo2LevelCurrent&gt;=$B58,"-",IF(MarBoo2LevelDesired&lt;$B58,"-",$C58))</f>
        <v>-</v>
      </c>
      <c r="BX58" s="1" t="str">
        <f t="shared" ref="BX58" si="3882">IF(MarBoo2LevelCurrent&gt;=$B58,"-",IF(MarBoo2LevelDesired&lt;$B58,"-",$D58))</f>
        <v>-</v>
      </c>
      <c r="BY58" s="21" t="str">
        <f t="shared" ref="BY58" si="3883">IF(MarBoo2LevelCurrent&gt;=$B58,"-",IF(MarBoo2LevelDesired&lt;$B58,"-",$E58))</f>
        <v>-</v>
      </c>
      <c r="BZ58" s="15" t="str">
        <f t="shared" si="2410"/>
        <v>-</v>
      </c>
      <c r="CA58" s="1" t="str" cm="1">
        <f t="array" ref="CA58">IF(InfGog3LevelCurrent&gt;=$B58,"-",IF(InfGog3LevelDesired&lt;$B58,"-",$D58))</f>
        <v>-</v>
      </c>
      <c r="CB58" s="21" t="str" cm="1">
        <f t="array" ref="CB58">IF(InfGog3LevelCurrent&gt;=$B58,"-",IF(InfGog3LevelDesired&lt;$B58,"-",$E58))</f>
        <v>-</v>
      </c>
      <c r="CC58" s="15" t="str">
        <f t="shared" si="2411"/>
        <v>-</v>
      </c>
      <c r="CD58" s="1" t="str">
        <f t="shared" si="2412"/>
        <v>-</v>
      </c>
      <c r="CE58" s="21" t="str">
        <f t="shared" si="2413"/>
        <v>-</v>
      </c>
      <c r="CF58" s="15" t="str">
        <f t="shared" si="2414"/>
        <v>-</v>
      </c>
      <c r="CG58" s="1" t="str">
        <f t="shared" si="2415"/>
        <v>-</v>
      </c>
      <c r="CH58" s="21" t="str">
        <f t="shared" si="2416"/>
        <v>-</v>
      </c>
      <c r="CI58" s="15" t="str">
        <f t="shared" si="2417"/>
        <v>-</v>
      </c>
      <c r="CJ58" s="1" t="str">
        <f t="shared" si="2418"/>
        <v>-</v>
      </c>
      <c r="CK58" s="21" t="str">
        <f t="shared" si="2419"/>
        <v>-</v>
      </c>
      <c r="CL58" s="15" t="str">
        <f t="shared" si="2420"/>
        <v>-</v>
      </c>
      <c r="CM58" s="1" t="str">
        <f t="shared" si="2421"/>
        <v>-</v>
      </c>
      <c r="CN58" s="21" t="str">
        <f t="shared" si="2422"/>
        <v>-</v>
      </c>
      <c r="CO58" s="15" t="str">
        <f t="shared" si="2423"/>
        <v>-</v>
      </c>
      <c r="CP58" s="1" t="str">
        <f t="shared" si="2424"/>
        <v>-</v>
      </c>
      <c r="CQ58" s="21" t="str">
        <f t="shared" si="2425"/>
        <v>-</v>
      </c>
      <c r="CR58" s="15" t="str">
        <f t="shared" si="2426"/>
        <v>-</v>
      </c>
      <c r="CS58" s="1" t="str">
        <f t="shared" si="2427"/>
        <v>-</v>
      </c>
      <c r="CT58" s="21" t="str">
        <f t="shared" si="2428"/>
        <v>-</v>
      </c>
      <c r="CU58" s="15" t="str">
        <f t="shared" si="2429"/>
        <v>-</v>
      </c>
      <c r="CV58" s="1" t="str">
        <f t="shared" si="2430"/>
        <v>-</v>
      </c>
      <c r="CW58" s="21" t="str">
        <f t="shared" si="2431"/>
        <v>-</v>
      </c>
      <c r="CX58" s="15" t="str">
        <f t="shared" si="2432"/>
        <v>-</v>
      </c>
      <c r="CY58" s="1" t="str">
        <f t="shared" si="2433"/>
        <v>-</v>
      </c>
      <c r="CZ58" s="21" t="str">
        <f t="shared" si="2434"/>
        <v>-</v>
      </c>
      <c r="DA58" s="15" t="str">
        <f t="shared" si="2435"/>
        <v>-</v>
      </c>
      <c r="DB58" s="1" t="str">
        <f t="shared" si="2436"/>
        <v>-</v>
      </c>
      <c r="DC58" s="21" t="str">
        <f t="shared" si="2437"/>
        <v>-</v>
      </c>
      <c r="DD58" s="15" t="str">
        <f t="shared" si="2438"/>
        <v>-</v>
      </c>
      <c r="DE58" s="1" t="str">
        <f t="shared" si="2439"/>
        <v>-</v>
      </c>
      <c r="DF58" s="21" t="str">
        <f t="shared" si="2440"/>
        <v>-</v>
      </c>
      <c r="DG58" s="15" t="str">
        <f t="shared" si="2441"/>
        <v>-</v>
      </c>
      <c r="DH58" s="1" t="str">
        <f t="shared" si="2442"/>
        <v>-</v>
      </c>
      <c r="DI58" s="21" t="str">
        <f t="shared" si="2443"/>
        <v>-</v>
      </c>
    </row>
    <row r="59" spans="2:113" x14ac:dyDescent="0.3">
      <c r="B59" s="1">
        <v>54</v>
      </c>
      <c r="C59" s="67">
        <v>550</v>
      </c>
      <c r="D59" s="88" t="s">
        <v>27</v>
      </c>
      <c r="E59" s="21" t="s">
        <v>27</v>
      </c>
      <c r="F59" s="15" t="str">
        <f t="shared" ref="F59" si="3884">IF(InfGog1LevelCurrent&gt;=$B59,"-",IF(InfGog1LevelDesired&lt;$B59,"-",$C59))</f>
        <v>-</v>
      </c>
      <c r="G59" s="1" t="str">
        <f t="shared" ref="G59" si="3885">IF(InfGog1LevelCurrent&gt;=$B59,"-",IF(InfGog1LevelDesired&lt;$B59,"-",$D59))</f>
        <v>-</v>
      </c>
      <c r="H59" s="21" t="str">
        <f t="shared" ref="H59" si="3886">IF(InfGog1LevelCurrent&gt;=$B59,"-",IF(InfGog1LevelDesired&lt;$B59,"-",$E59))</f>
        <v>-</v>
      </c>
      <c r="I59" s="15" t="str">
        <f t="shared" ref="I59" si="3887">IF(InfGlo1LevelCurrent&gt;=$B59,"-",IF(InfGlo1LevelDesired&lt;$B59,"-",$C59))</f>
        <v>-</v>
      </c>
      <c r="J59" s="1" t="str">
        <f t="shared" ref="J59" si="3888">IF(InfGlo1LevelCurrent&gt;=$B59,"-",IF(InfGlo1LevelDesired&lt;$B59,"-",$D59))</f>
        <v>-</v>
      </c>
      <c r="K59" s="21" t="str">
        <f t="shared" ref="K59" si="3889">IF(InfGlo1LevelCurrent&gt;=$B59,"-",IF(InfGlo1LevelDesired&lt;$B59,"-",$E59))</f>
        <v>-</v>
      </c>
      <c r="L59" s="15" t="str">
        <f t="shared" ref="L59" si="3890">IF(InfBel1LevelCurrent&gt;=$B59,"-",IF(InfBel1LevelDesired&lt;$B59,"-",$C59))</f>
        <v>-</v>
      </c>
      <c r="M59" s="1" t="str">
        <f t="shared" ref="M59" si="3891">IF(InfBel1LevelCurrent&gt;=$B59,"-",IF(InfBel1LevelDesired&lt;$B59,"-",$D59))</f>
        <v>-</v>
      </c>
      <c r="N59" s="21" t="str">
        <f t="shared" ref="N59" si="3892">IF(InfBel1LevelCurrent&gt;=$B59,"-",IF(InfBel1LevelDesired&lt;$B59,"-",$E59))</f>
        <v>-</v>
      </c>
      <c r="O59" s="15" t="str">
        <f t="shared" ref="O59" si="3893">IF(InfBoo1LevelCurrent&gt;=$B59,"-",IF(InfBoo1LevelDesired&lt;$B59,"-",$C59))</f>
        <v>-</v>
      </c>
      <c r="P59" s="1" t="str">
        <f t="shared" ref="P59" si="3894">IF(InfBoo1LevelCurrent&gt;=$B59,"-",IF(InfBoo1LevelDesired&lt;$B59,"-",$D59))</f>
        <v>-</v>
      </c>
      <c r="Q59" s="21" t="str">
        <f t="shared" ref="Q59" si="3895">IF(InfBoo1LevelCurrent&gt;=$B59,"-",IF(InfBoo1LevelDesired&lt;$B59,"-",$E59))</f>
        <v>-</v>
      </c>
      <c r="R59" s="15" t="str">
        <f t="shared" ref="R59" si="3896">IF(LanGog1LevelCurrent&gt;=$B59,"-",IF(LanGog1LevelDesired&lt;$B59,"-",$C59))</f>
        <v>-</v>
      </c>
      <c r="S59" s="1" t="str">
        <f t="shared" ref="S59" si="3897">IF(LanGog1LevelCurrent&gt;=$B59,"-",IF(LanGog1LevelDesired&lt;$B59,"-",$D59))</f>
        <v>-</v>
      </c>
      <c r="T59" s="21" t="str">
        <f t="shared" ref="T59" si="3898">IF(LanGog1LevelCurrent&gt;=$B59,"-",IF(LanGog1LevelDesired&lt;$B59,"-",$E59))</f>
        <v>-</v>
      </c>
      <c r="U59" s="15" t="str">
        <f t="shared" ref="U59" si="3899">IF(LanGlo1LevelCurrent&gt;=$B59,"-",IF(LanGlo1LevelDesired&lt;$B59,"-",$C59))</f>
        <v>-</v>
      </c>
      <c r="V59" s="1" t="str">
        <f t="shared" ref="V59" si="3900">IF(LanGlo1LevelCurrent&gt;=$B59,"-",IF(LanGlo1LevelDesired&lt;$B59,"-",$D59))</f>
        <v>-</v>
      </c>
      <c r="W59" s="21" t="str">
        <f t="shared" ref="W59" si="3901">IF(LanGlo1LevelCurrent&gt;=$B59,"-",IF(LanGlo1LevelDesired&lt;$B59,"-",$E59))</f>
        <v>-</v>
      </c>
      <c r="X59" s="15" t="str">
        <f t="shared" ref="X59" si="3902">IF(LanBel1LevelCurrent&gt;=$B59,"-",IF(LanBel1LevelDesired&lt;$B59,"-",$C59))</f>
        <v>-</v>
      </c>
      <c r="Y59" s="1" t="str">
        <f t="shared" ref="Y59" si="3903">IF(LanBel1LevelCurrent&gt;=$B59,"-",IF(LanBel1LevelDesired&lt;$B59,"-",$D59))</f>
        <v>-</v>
      </c>
      <c r="Z59" s="21" t="str">
        <f t="shared" ref="Z59" si="3904">IF(LanBel1LevelCurrent&gt;=$B59,"-",IF(LanBel1LevelDesired&lt;$B59,"-",$E59))</f>
        <v>-</v>
      </c>
      <c r="AA59" s="15" t="str">
        <f t="shared" ref="AA59" si="3905">IF(LanBoo1LevelCurrent&gt;=$B59,"-",IF(LanBoo1LevelDesired&lt;$B59,"-",$C59))</f>
        <v>-</v>
      </c>
      <c r="AB59" s="1" t="str">
        <f t="shared" ref="AB59" si="3906">IF(LanBoo1LevelCurrent&gt;=$B59,"-",IF(LanBoo1LevelDesired&lt;$B59,"-",$D59))</f>
        <v>-</v>
      </c>
      <c r="AC59" s="21" t="str">
        <f t="shared" ref="AC59" si="3907">IF(LanBoo1LevelCurrent&gt;=$B59,"-",IF(LanBoo1LevelDesired&lt;$B59,"-",$E59))</f>
        <v>-</v>
      </c>
      <c r="AD59" s="15" t="str">
        <f t="shared" ref="AD59" si="3908">IF(MarGog1LevelCurrent&gt;=$B59,"-",IF(MarGog1LevelDesired&lt;$B59,"-",$C59))</f>
        <v>-</v>
      </c>
      <c r="AE59" s="1" t="str">
        <f t="shared" ref="AE59" si="3909">IF(MarGog1LevelCurrent&gt;=$B59,"-",IF(MarGog1LevelDesired&lt;$B59,"-",$D59))</f>
        <v>-</v>
      </c>
      <c r="AF59" s="21" t="str">
        <f t="shared" ref="AF59" si="3910">IF(MarGog1LevelCurrent&gt;=$B59,"-",IF(MarGog1LevelDesired&lt;$B59,"-",$E59))</f>
        <v>-</v>
      </c>
      <c r="AG59" s="15" t="str">
        <f t="shared" ref="AG59" si="3911">IF(MarGlo1LevelCurrent&gt;=$B59,"-",IF(MarGlo1LevelDesired&lt;$B59,"-",$C59))</f>
        <v>-</v>
      </c>
      <c r="AH59" s="1" t="str">
        <f t="shared" ref="AH59" si="3912">IF(MarGlo1LevelCurrent&gt;=$B59,"-",IF(MarGlo1LevelDesired&lt;$B59,"-",$D59))</f>
        <v>-</v>
      </c>
      <c r="AI59" s="21" t="str">
        <f t="shared" ref="AI59" si="3913">IF(MarGlo1LevelCurrent&gt;=$B59,"-",IF(MarGlo1LevelDesired&lt;$B59,"-",$E59))</f>
        <v>-</v>
      </c>
      <c r="AJ59" s="15" t="str">
        <f t="shared" ref="AJ59" si="3914">IF(MarBel1LevelCurrent&gt;=$B59,"-",IF(MarBel1LevelDesired&lt;$B59,"-",$C59))</f>
        <v>-</v>
      </c>
      <c r="AK59" s="1" t="str">
        <f t="shared" ref="AK59" si="3915">IF(MarBel1LevelCurrent&gt;=$B59,"-",IF(MarBel1LevelDesired&lt;$B59,"-",$D59))</f>
        <v>-</v>
      </c>
      <c r="AL59" s="21" t="str">
        <f t="shared" ref="AL59" si="3916">IF(MarBel1LevelCurrent&gt;=$B59,"-",IF(MarBel1LevelDesired&lt;$B59,"-",$E59))</f>
        <v>-</v>
      </c>
      <c r="AM59" s="15" t="str">
        <f t="shared" ref="AM59" si="3917">IF(MarBoo1LevelCurrent&gt;=$B59,"-",IF(MarBoo1LevelDesired&lt;$B59,"-",$C59))</f>
        <v>-</v>
      </c>
      <c r="AN59" s="1" t="str">
        <f t="shared" ref="AN59" si="3918">IF(MarBoo1LevelCurrent&gt;=$B59,"-",IF(MarBoo1LevelDesired&lt;$B59,"-",$D59))</f>
        <v>-</v>
      </c>
      <c r="AO59" s="21" t="str">
        <f t="shared" ref="AO59" si="3919">IF(MarBoo1LevelCurrent&gt;=$B59,"-",IF(MarBoo1LevelDesired&lt;$B59,"-",$E59))</f>
        <v>-</v>
      </c>
      <c r="AP59" s="15" t="str">
        <f t="shared" ref="AP59" si="3920">IF(InfGog2LevelCurrent&gt;=$B59,"-",IF(InfGog2LevelDesired&lt;$B59,"-",$C59))</f>
        <v>-</v>
      </c>
      <c r="AQ59" s="1" t="str">
        <f t="shared" ref="AQ59" si="3921">IF(InfGog2LevelCurrent&gt;=$B59,"-",IF(InfGog2LevelDesired&lt;$B59,"-",$D59))</f>
        <v>-</v>
      </c>
      <c r="AR59" s="21" t="str">
        <f t="shared" ref="AR59" si="3922">IF(InfGog2LevelCurrent&gt;=$B59,"-",IF(InfGog2LevelDesired&lt;$B59,"-",$E59))</f>
        <v>-</v>
      </c>
      <c r="AS59" s="15" t="str">
        <f t="shared" ref="AS59" si="3923">IF(InfGlo2LevelCurrent&gt;=$B59,"-",IF(InfGlo2LevelDesired&lt;$B59,"-",$C59))</f>
        <v>-</v>
      </c>
      <c r="AT59" s="1" t="str">
        <f t="shared" ref="AT59" si="3924">IF(InfGlo2LevelCurrent&gt;=$B59,"-",IF(InfGlo2LevelDesired&lt;$B59,"-",$D59))</f>
        <v>-</v>
      </c>
      <c r="AU59" s="21" t="str">
        <f t="shared" ref="AU59" si="3925">IF(InfGlo2LevelCurrent&gt;=$B59,"-",IF(InfGlo2LevelDesired&lt;$B59,"-",$E59))</f>
        <v>-</v>
      </c>
      <c r="AV59" s="15" t="str">
        <f t="shared" ref="AV59" si="3926">IF(InfBel2LevelCurrent&gt;=$B59,"-",IF(InfBel2LevelDesired&lt;$B59,"-",$C59))</f>
        <v>-</v>
      </c>
      <c r="AW59" s="1" t="str">
        <f t="shared" ref="AW59" si="3927">IF(InfBel2LevelCurrent&gt;=$B59,"-",IF(InfBel2LevelDesired&lt;$B59,"-",$D59))</f>
        <v>-</v>
      </c>
      <c r="AX59" s="21" t="str">
        <f t="shared" ref="AX59" si="3928">IF(InfBel2LevelCurrent&gt;=$B59,"-",IF(InfBel2LevelDesired&lt;$B59,"-",$E59))</f>
        <v>-</v>
      </c>
      <c r="AY59" s="15" t="str">
        <f t="shared" ref="AY59" si="3929">IF(InfBoo2LevelCurrent&gt;=$B59,"-",IF(InfBoo2LevelDesired&lt;$B59,"-",$C59))</f>
        <v>-</v>
      </c>
      <c r="AZ59" s="1" t="str">
        <f t="shared" ref="AZ59" si="3930">IF(InfBoo2LevelCurrent&gt;=$B59,"-",IF(InfBoo2LevelDesired&lt;$B59,"-",$D59))</f>
        <v>-</v>
      </c>
      <c r="BA59" s="21" t="str">
        <f t="shared" ref="BA59" si="3931">IF(InfBoo2LevelCurrent&gt;=$B59,"-",IF(InfBoo2LevelDesired&lt;$B59,"-",$E59))</f>
        <v>-</v>
      </c>
      <c r="BB59" s="15" t="str">
        <f t="shared" ref="BB59" si="3932">IF(LanGog2LevelCurrent&gt;=$B59,"-",IF(LanGog2LevelDesired&lt;$B59,"-",$C59))</f>
        <v>-</v>
      </c>
      <c r="BC59" s="1" t="str">
        <f t="shared" ref="BC59" si="3933">IF(LanGog2LevelCurrent&gt;=$B59,"-",IF(LanGog2LevelDesired&lt;$B59,"-",$D59))</f>
        <v>-</v>
      </c>
      <c r="BD59" s="21" t="str">
        <f t="shared" ref="BD59" si="3934">IF(LanGog2LevelCurrent&gt;=$B59,"-",IF(LanGog2LevelDesired&lt;$B59,"-",$E59))</f>
        <v>-</v>
      </c>
      <c r="BE59" s="15" t="str">
        <f t="shared" ref="BE59" si="3935">IF(LanGlo2LevelCurrent&gt;=$B59,"-",IF(LanGlo2LevelDesired&lt;$B59,"-",$C59))</f>
        <v>-</v>
      </c>
      <c r="BF59" s="1" t="str">
        <f t="shared" ref="BF59" si="3936">IF(LanGlo2LevelCurrent&gt;=$B59,"-",IF(LanGlo2LevelDesired&lt;$B59,"-",$D59))</f>
        <v>-</v>
      </c>
      <c r="BG59" s="21" t="str">
        <f t="shared" ref="BG59" si="3937">IF(LanGlo2LevelCurrent&gt;=$B59,"-",IF(LanGlo2LevelDesired&lt;$B59,"-",$E59))</f>
        <v>-</v>
      </c>
      <c r="BH59" s="15" t="str">
        <f t="shared" ref="BH59" si="3938">IF(LanBel2LevelCurrent&gt;=$B59,"-",IF(LanBel2LevelDesired&lt;$B59,"-",$C59))</f>
        <v>-</v>
      </c>
      <c r="BI59" s="1" t="str">
        <f t="shared" ref="BI59" si="3939">IF(LanBel2LevelCurrent&gt;=$B59,"-",IF(LanBel2LevelDesired&lt;$B59,"-",$D59))</f>
        <v>-</v>
      </c>
      <c r="BJ59" s="21" t="str">
        <f t="shared" ref="BJ59" si="3940">IF(LanBel2LevelCurrent&gt;=$B59,"-",IF(LanBel2LevelDesired&lt;$B59,"-",$E59))</f>
        <v>-</v>
      </c>
      <c r="BK59" s="15" t="str">
        <f t="shared" ref="BK59" si="3941">IF(LanBoo2LevelCurrent&gt;=$B59,"-",IF(LanBoo2LevelDesired&lt;$B59,"-",$C59))</f>
        <v>-</v>
      </c>
      <c r="BL59" s="1" t="str">
        <f t="shared" ref="BL59" si="3942">IF(LanBoo2LevelCurrent&gt;=$B59,"-",IF(LanBoo2LevelDesired&lt;$B59,"-",$D59))</f>
        <v>-</v>
      </c>
      <c r="BM59" s="21" t="str">
        <f t="shared" ref="BM59" si="3943">IF(LanBoo2LevelCurrent&gt;=$B59,"-",IF(LanBoo2LevelDesired&lt;$B59,"-",$E59))</f>
        <v>-</v>
      </c>
      <c r="BN59" s="15" t="str">
        <f t="shared" ref="BN59" si="3944">IF(MarGog2LevelCurrent&gt;=$B59,"-",IF(MarGog2LevelDesired&lt;$B59,"-",$C59))</f>
        <v>-</v>
      </c>
      <c r="BO59" s="1" t="str">
        <f t="shared" ref="BO59" si="3945">IF(MarGog2LevelCurrent&gt;=$B59,"-",IF(MarGog2LevelDesired&lt;$B59,"-",$D59))</f>
        <v>-</v>
      </c>
      <c r="BP59" s="21" t="str">
        <f t="shared" ref="BP59" si="3946">IF(MarGog2LevelCurrent&gt;=$B59,"-",IF(MarGog2LevelDesired&lt;$B59,"-",$E59))</f>
        <v>-</v>
      </c>
      <c r="BQ59" s="15" t="str">
        <f t="shared" ref="BQ59" si="3947">IF(MarGlo2LevelCurrent&gt;=$B59,"-",IF(MarGlo2LevelDesired&lt;$B59,"-",$C59))</f>
        <v>-</v>
      </c>
      <c r="BR59" s="1" t="str">
        <f t="shared" ref="BR59" si="3948">IF(MarGlo2LevelCurrent&gt;=$B59,"-",IF(MarGlo2LevelDesired&lt;$B59,"-",$D59))</f>
        <v>-</v>
      </c>
      <c r="BS59" s="21" t="str">
        <f t="shared" ref="BS59" si="3949">IF(MarGlo2LevelCurrent&gt;=$B59,"-",IF(MarGlo2LevelDesired&lt;$B59,"-",$E59))</f>
        <v>-</v>
      </c>
      <c r="BT59" s="15" t="str">
        <f t="shared" ref="BT59" si="3950">IF(MarBel2LevelCurrent&gt;=$B59,"-",IF(MarBel2LevelDesired&lt;$B59,"-",$C59))</f>
        <v>-</v>
      </c>
      <c r="BU59" s="1" t="str">
        <f t="shared" ref="BU59" si="3951">IF(MarBel2LevelCurrent&gt;=$B59,"-",IF(MarBel2LevelDesired&lt;$B59,"-",$D59))</f>
        <v>-</v>
      </c>
      <c r="BV59" s="21" t="str">
        <f t="shared" ref="BV59" si="3952">IF(MarBel2LevelCurrent&gt;=$B59,"-",IF(MarBel2LevelDesired&lt;$B59,"-",$E59))</f>
        <v>-</v>
      </c>
      <c r="BW59" s="15" t="str">
        <f t="shared" ref="BW59" si="3953">IF(MarBoo2LevelCurrent&gt;=$B59,"-",IF(MarBoo2LevelDesired&lt;$B59,"-",$C59))</f>
        <v>-</v>
      </c>
      <c r="BX59" s="1" t="str">
        <f t="shared" ref="BX59" si="3954">IF(MarBoo2LevelCurrent&gt;=$B59,"-",IF(MarBoo2LevelDesired&lt;$B59,"-",$D59))</f>
        <v>-</v>
      </c>
      <c r="BY59" s="21" t="str">
        <f t="shared" ref="BY59" si="3955">IF(MarBoo2LevelCurrent&gt;=$B59,"-",IF(MarBoo2LevelDesired&lt;$B59,"-",$E59))</f>
        <v>-</v>
      </c>
      <c r="BZ59" s="15" t="str">
        <f t="shared" si="2410"/>
        <v>-</v>
      </c>
      <c r="CA59" s="1" t="str" cm="1">
        <f t="array" ref="CA59">IF(InfGog3LevelCurrent&gt;=$B59,"-",IF(InfGog3LevelDesired&lt;$B59,"-",$D59))</f>
        <v>-</v>
      </c>
      <c r="CB59" s="21" t="str" cm="1">
        <f t="array" ref="CB59">IF(InfGog3LevelCurrent&gt;=$B59,"-",IF(InfGog3LevelDesired&lt;$B59,"-",$E59))</f>
        <v>-</v>
      </c>
      <c r="CC59" s="15" t="str">
        <f t="shared" si="2411"/>
        <v>-</v>
      </c>
      <c r="CD59" s="1" t="str">
        <f t="shared" si="2412"/>
        <v>-</v>
      </c>
      <c r="CE59" s="21" t="str">
        <f t="shared" si="2413"/>
        <v>-</v>
      </c>
      <c r="CF59" s="15" t="str">
        <f t="shared" si="2414"/>
        <v>-</v>
      </c>
      <c r="CG59" s="1" t="str">
        <f t="shared" si="2415"/>
        <v>-</v>
      </c>
      <c r="CH59" s="21" t="str">
        <f t="shared" si="2416"/>
        <v>-</v>
      </c>
      <c r="CI59" s="15" t="str">
        <f t="shared" si="2417"/>
        <v>-</v>
      </c>
      <c r="CJ59" s="1" t="str">
        <f t="shared" si="2418"/>
        <v>-</v>
      </c>
      <c r="CK59" s="21" t="str">
        <f t="shared" si="2419"/>
        <v>-</v>
      </c>
      <c r="CL59" s="15" t="str">
        <f t="shared" si="2420"/>
        <v>-</v>
      </c>
      <c r="CM59" s="1" t="str">
        <f t="shared" si="2421"/>
        <v>-</v>
      </c>
      <c r="CN59" s="21" t="str">
        <f t="shared" si="2422"/>
        <v>-</v>
      </c>
      <c r="CO59" s="15" t="str">
        <f t="shared" si="2423"/>
        <v>-</v>
      </c>
      <c r="CP59" s="1" t="str">
        <f t="shared" si="2424"/>
        <v>-</v>
      </c>
      <c r="CQ59" s="21" t="str">
        <f t="shared" si="2425"/>
        <v>-</v>
      </c>
      <c r="CR59" s="15" t="str">
        <f t="shared" si="2426"/>
        <v>-</v>
      </c>
      <c r="CS59" s="1" t="str">
        <f t="shared" si="2427"/>
        <v>-</v>
      </c>
      <c r="CT59" s="21" t="str">
        <f t="shared" si="2428"/>
        <v>-</v>
      </c>
      <c r="CU59" s="15" t="str">
        <f t="shared" si="2429"/>
        <v>-</v>
      </c>
      <c r="CV59" s="1" t="str">
        <f t="shared" si="2430"/>
        <v>-</v>
      </c>
      <c r="CW59" s="21" t="str">
        <f t="shared" si="2431"/>
        <v>-</v>
      </c>
      <c r="CX59" s="15" t="str">
        <f t="shared" si="2432"/>
        <v>-</v>
      </c>
      <c r="CY59" s="1" t="str">
        <f t="shared" si="2433"/>
        <v>-</v>
      </c>
      <c r="CZ59" s="21" t="str">
        <f t="shared" si="2434"/>
        <v>-</v>
      </c>
      <c r="DA59" s="15" t="str">
        <f t="shared" si="2435"/>
        <v>-</v>
      </c>
      <c r="DB59" s="1" t="str">
        <f t="shared" si="2436"/>
        <v>-</v>
      </c>
      <c r="DC59" s="21" t="str">
        <f t="shared" si="2437"/>
        <v>-</v>
      </c>
      <c r="DD59" s="15" t="str">
        <f t="shared" si="2438"/>
        <v>-</v>
      </c>
      <c r="DE59" s="1" t="str">
        <f t="shared" si="2439"/>
        <v>-</v>
      </c>
      <c r="DF59" s="21" t="str">
        <f t="shared" si="2440"/>
        <v>-</v>
      </c>
      <c r="DG59" s="15" t="str">
        <f t="shared" si="2441"/>
        <v>-</v>
      </c>
      <c r="DH59" s="1" t="str">
        <f t="shared" si="2442"/>
        <v>-</v>
      </c>
      <c r="DI59" s="21" t="str">
        <f t="shared" si="2443"/>
        <v>-</v>
      </c>
    </row>
    <row r="60" spans="2:113" x14ac:dyDescent="0.3">
      <c r="B60" s="1">
        <v>55</v>
      </c>
      <c r="C60" s="67">
        <v>570</v>
      </c>
      <c r="D60" s="88" t="s">
        <v>27</v>
      </c>
      <c r="E60" s="21" t="s">
        <v>27</v>
      </c>
      <c r="F60" s="15" t="str">
        <f t="shared" ref="F60" si="3956">IF(InfGog1LevelCurrent&gt;=$B60,"-",IF(InfGog1LevelDesired&lt;$B60,"-",$C60))</f>
        <v>-</v>
      </c>
      <c r="G60" s="1" t="str">
        <f t="shared" ref="G60" si="3957">IF(InfGog1LevelCurrent&gt;=$B60,"-",IF(InfGog1LevelDesired&lt;$B60,"-",$D60))</f>
        <v>-</v>
      </c>
      <c r="H60" s="21" t="str">
        <f t="shared" ref="H60" si="3958">IF(InfGog1LevelCurrent&gt;=$B60,"-",IF(InfGog1LevelDesired&lt;$B60,"-",$E60))</f>
        <v>-</v>
      </c>
      <c r="I60" s="15" t="str">
        <f t="shared" ref="I60" si="3959">IF(InfGlo1LevelCurrent&gt;=$B60,"-",IF(InfGlo1LevelDesired&lt;$B60,"-",$C60))</f>
        <v>-</v>
      </c>
      <c r="J60" s="1" t="str">
        <f t="shared" ref="J60" si="3960">IF(InfGlo1LevelCurrent&gt;=$B60,"-",IF(InfGlo1LevelDesired&lt;$B60,"-",$D60))</f>
        <v>-</v>
      </c>
      <c r="K60" s="21" t="str">
        <f t="shared" ref="K60" si="3961">IF(InfGlo1LevelCurrent&gt;=$B60,"-",IF(InfGlo1LevelDesired&lt;$B60,"-",$E60))</f>
        <v>-</v>
      </c>
      <c r="L60" s="15" t="str">
        <f t="shared" ref="L60" si="3962">IF(InfBel1LevelCurrent&gt;=$B60,"-",IF(InfBel1LevelDesired&lt;$B60,"-",$C60))</f>
        <v>-</v>
      </c>
      <c r="M60" s="1" t="str">
        <f t="shared" ref="M60" si="3963">IF(InfBel1LevelCurrent&gt;=$B60,"-",IF(InfBel1LevelDesired&lt;$B60,"-",$D60))</f>
        <v>-</v>
      </c>
      <c r="N60" s="21" t="str">
        <f t="shared" ref="N60" si="3964">IF(InfBel1LevelCurrent&gt;=$B60,"-",IF(InfBel1LevelDesired&lt;$B60,"-",$E60))</f>
        <v>-</v>
      </c>
      <c r="O60" s="15" t="str">
        <f t="shared" ref="O60" si="3965">IF(InfBoo1LevelCurrent&gt;=$B60,"-",IF(InfBoo1LevelDesired&lt;$B60,"-",$C60))</f>
        <v>-</v>
      </c>
      <c r="P60" s="1" t="str">
        <f t="shared" ref="P60" si="3966">IF(InfBoo1LevelCurrent&gt;=$B60,"-",IF(InfBoo1LevelDesired&lt;$B60,"-",$D60))</f>
        <v>-</v>
      </c>
      <c r="Q60" s="21" t="str">
        <f t="shared" ref="Q60" si="3967">IF(InfBoo1LevelCurrent&gt;=$B60,"-",IF(InfBoo1LevelDesired&lt;$B60,"-",$E60))</f>
        <v>-</v>
      </c>
      <c r="R60" s="15" t="str">
        <f t="shared" ref="R60" si="3968">IF(LanGog1LevelCurrent&gt;=$B60,"-",IF(LanGog1LevelDesired&lt;$B60,"-",$C60))</f>
        <v>-</v>
      </c>
      <c r="S60" s="1" t="str">
        <f t="shared" ref="S60" si="3969">IF(LanGog1LevelCurrent&gt;=$B60,"-",IF(LanGog1LevelDesired&lt;$B60,"-",$D60))</f>
        <v>-</v>
      </c>
      <c r="T60" s="21" t="str">
        <f t="shared" ref="T60" si="3970">IF(LanGog1LevelCurrent&gt;=$B60,"-",IF(LanGog1LevelDesired&lt;$B60,"-",$E60))</f>
        <v>-</v>
      </c>
      <c r="U60" s="15" t="str">
        <f t="shared" ref="U60" si="3971">IF(LanGlo1LevelCurrent&gt;=$B60,"-",IF(LanGlo1LevelDesired&lt;$B60,"-",$C60))</f>
        <v>-</v>
      </c>
      <c r="V60" s="1" t="str">
        <f t="shared" ref="V60" si="3972">IF(LanGlo1LevelCurrent&gt;=$B60,"-",IF(LanGlo1LevelDesired&lt;$B60,"-",$D60))</f>
        <v>-</v>
      </c>
      <c r="W60" s="21" t="str">
        <f t="shared" ref="W60" si="3973">IF(LanGlo1LevelCurrent&gt;=$B60,"-",IF(LanGlo1LevelDesired&lt;$B60,"-",$E60))</f>
        <v>-</v>
      </c>
      <c r="X60" s="15" t="str">
        <f t="shared" ref="X60" si="3974">IF(LanBel1LevelCurrent&gt;=$B60,"-",IF(LanBel1LevelDesired&lt;$B60,"-",$C60))</f>
        <v>-</v>
      </c>
      <c r="Y60" s="1" t="str">
        <f t="shared" ref="Y60" si="3975">IF(LanBel1LevelCurrent&gt;=$B60,"-",IF(LanBel1LevelDesired&lt;$B60,"-",$D60))</f>
        <v>-</v>
      </c>
      <c r="Z60" s="21" t="str">
        <f t="shared" ref="Z60" si="3976">IF(LanBel1LevelCurrent&gt;=$B60,"-",IF(LanBel1LevelDesired&lt;$B60,"-",$E60))</f>
        <v>-</v>
      </c>
      <c r="AA60" s="15" t="str">
        <f t="shared" ref="AA60" si="3977">IF(LanBoo1LevelCurrent&gt;=$B60,"-",IF(LanBoo1LevelDesired&lt;$B60,"-",$C60))</f>
        <v>-</v>
      </c>
      <c r="AB60" s="1" t="str">
        <f t="shared" ref="AB60" si="3978">IF(LanBoo1LevelCurrent&gt;=$B60,"-",IF(LanBoo1LevelDesired&lt;$B60,"-",$D60))</f>
        <v>-</v>
      </c>
      <c r="AC60" s="21" t="str">
        <f t="shared" ref="AC60" si="3979">IF(LanBoo1LevelCurrent&gt;=$B60,"-",IF(LanBoo1LevelDesired&lt;$B60,"-",$E60))</f>
        <v>-</v>
      </c>
      <c r="AD60" s="15" t="str">
        <f t="shared" ref="AD60" si="3980">IF(MarGog1LevelCurrent&gt;=$B60,"-",IF(MarGog1LevelDesired&lt;$B60,"-",$C60))</f>
        <v>-</v>
      </c>
      <c r="AE60" s="1" t="str">
        <f t="shared" ref="AE60" si="3981">IF(MarGog1LevelCurrent&gt;=$B60,"-",IF(MarGog1LevelDesired&lt;$B60,"-",$D60))</f>
        <v>-</v>
      </c>
      <c r="AF60" s="21" t="str">
        <f t="shared" ref="AF60" si="3982">IF(MarGog1LevelCurrent&gt;=$B60,"-",IF(MarGog1LevelDesired&lt;$B60,"-",$E60))</f>
        <v>-</v>
      </c>
      <c r="AG60" s="15" t="str">
        <f t="shared" ref="AG60" si="3983">IF(MarGlo1LevelCurrent&gt;=$B60,"-",IF(MarGlo1LevelDesired&lt;$B60,"-",$C60))</f>
        <v>-</v>
      </c>
      <c r="AH60" s="1" t="str">
        <f t="shared" ref="AH60" si="3984">IF(MarGlo1LevelCurrent&gt;=$B60,"-",IF(MarGlo1LevelDesired&lt;$B60,"-",$D60))</f>
        <v>-</v>
      </c>
      <c r="AI60" s="21" t="str">
        <f t="shared" ref="AI60" si="3985">IF(MarGlo1LevelCurrent&gt;=$B60,"-",IF(MarGlo1LevelDesired&lt;$B60,"-",$E60))</f>
        <v>-</v>
      </c>
      <c r="AJ60" s="15" t="str">
        <f t="shared" ref="AJ60" si="3986">IF(MarBel1LevelCurrent&gt;=$B60,"-",IF(MarBel1LevelDesired&lt;$B60,"-",$C60))</f>
        <v>-</v>
      </c>
      <c r="AK60" s="1" t="str">
        <f t="shared" ref="AK60" si="3987">IF(MarBel1LevelCurrent&gt;=$B60,"-",IF(MarBel1LevelDesired&lt;$B60,"-",$D60))</f>
        <v>-</v>
      </c>
      <c r="AL60" s="21" t="str">
        <f t="shared" ref="AL60" si="3988">IF(MarBel1LevelCurrent&gt;=$B60,"-",IF(MarBel1LevelDesired&lt;$B60,"-",$E60))</f>
        <v>-</v>
      </c>
      <c r="AM60" s="15" t="str">
        <f t="shared" ref="AM60" si="3989">IF(MarBoo1LevelCurrent&gt;=$B60,"-",IF(MarBoo1LevelDesired&lt;$B60,"-",$C60))</f>
        <v>-</v>
      </c>
      <c r="AN60" s="1" t="str">
        <f t="shared" ref="AN60" si="3990">IF(MarBoo1LevelCurrent&gt;=$B60,"-",IF(MarBoo1LevelDesired&lt;$B60,"-",$D60))</f>
        <v>-</v>
      </c>
      <c r="AO60" s="21" t="str">
        <f t="shared" ref="AO60" si="3991">IF(MarBoo1LevelCurrent&gt;=$B60,"-",IF(MarBoo1LevelDesired&lt;$B60,"-",$E60))</f>
        <v>-</v>
      </c>
      <c r="AP60" s="15" t="str">
        <f t="shared" ref="AP60" si="3992">IF(InfGog2LevelCurrent&gt;=$B60,"-",IF(InfGog2LevelDesired&lt;$B60,"-",$C60))</f>
        <v>-</v>
      </c>
      <c r="AQ60" s="1" t="str">
        <f t="shared" ref="AQ60" si="3993">IF(InfGog2LevelCurrent&gt;=$B60,"-",IF(InfGog2LevelDesired&lt;$B60,"-",$D60))</f>
        <v>-</v>
      </c>
      <c r="AR60" s="21" t="str">
        <f t="shared" ref="AR60" si="3994">IF(InfGog2LevelCurrent&gt;=$B60,"-",IF(InfGog2LevelDesired&lt;$B60,"-",$E60))</f>
        <v>-</v>
      </c>
      <c r="AS60" s="15" t="str">
        <f t="shared" ref="AS60" si="3995">IF(InfGlo2LevelCurrent&gt;=$B60,"-",IF(InfGlo2LevelDesired&lt;$B60,"-",$C60))</f>
        <v>-</v>
      </c>
      <c r="AT60" s="1" t="str">
        <f t="shared" ref="AT60" si="3996">IF(InfGlo2LevelCurrent&gt;=$B60,"-",IF(InfGlo2LevelDesired&lt;$B60,"-",$D60))</f>
        <v>-</v>
      </c>
      <c r="AU60" s="21" t="str">
        <f t="shared" ref="AU60" si="3997">IF(InfGlo2LevelCurrent&gt;=$B60,"-",IF(InfGlo2LevelDesired&lt;$B60,"-",$E60))</f>
        <v>-</v>
      </c>
      <c r="AV60" s="15" t="str">
        <f t="shared" ref="AV60" si="3998">IF(InfBel2LevelCurrent&gt;=$B60,"-",IF(InfBel2LevelDesired&lt;$B60,"-",$C60))</f>
        <v>-</v>
      </c>
      <c r="AW60" s="1" t="str">
        <f t="shared" ref="AW60" si="3999">IF(InfBel2LevelCurrent&gt;=$B60,"-",IF(InfBel2LevelDesired&lt;$B60,"-",$D60))</f>
        <v>-</v>
      </c>
      <c r="AX60" s="21" t="str">
        <f t="shared" ref="AX60" si="4000">IF(InfBel2LevelCurrent&gt;=$B60,"-",IF(InfBel2LevelDesired&lt;$B60,"-",$E60))</f>
        <v>-</v>
      </c>
      <c r="AY60" s="15" t="str">
        <f t="shared" ref="AY60" si="4001">IF(InfBoo2LevelCurrent&gt;=$B60,"-",IF(InfBoo2LevelDesired&lt;$B60,"-",$C60))</f>
        <v>-</v>
      </c>
      <c r="AZ60" s="1" t="str">
        <f t="shared" ref="AZ60" si="4002">IF(InfBoo2LevelCurrent&gt;=$B60,"-",IF(InfBoo2LevelDesired&lt;$B60,"-",$D60))</f>
        <v>-</v>
      </c>
      <c r="BA60" s="21" t="str">
        <f t="shared" ref="BA60" si="4003">IF(InfBoo2LevelCurrent&gt;=$B60,"-",IF(InfBoo2LevelDesired&lt;$B60,"-",$E60))</f>
        <v>-</v>
      </c>
      <c r="BB60" s="15" t="str">
        <f t="shared" ref="BB60" si="4004">IF(LanGog2LevelCurrent&gt;=$B60,"-",IF(LanGog2LevelDesired&lt;$B60,"-",$C60))</f>
        <v>-</v>
      </c>
      <c r="BC60" s="1" t="str">
        <f t="shared" ref="BC60" si="4005">IF(LanGog2LevelCurrent&gt;=$B60,"-",IF(LanGog2LevelDesired&lt;$B60,"-",$D60))</f>
        <v>-</v>
      </c>
      <c r="BD60" s="21" t="str">
        <f t="shared" ref="BD60" si="4006">IF(LanGog2LevelCurrent&gt;=$B60,"-",IF(LanGog2LevelDesired&lt;$B60,"-",$E60))</f>
        <v>-</v>
      </c>
      <c r="BE60" s="15" t="str">
        <f t="shared" ref="BE60" si="4007">IF(LanGlo2LevelCurrent&gt;=$B60,"-",IF(LanGlo2LevelDesired&lt;$B60,"-",$C60))</f>
        <v>-</v>
      </c>
      <c r="BF60" s="1" t="str">
        <f t="shared" ref="BF60" si="4008">IF(LanGlo2LevelCurrent&gt;=$B60,"-",IF(LanGlo2LevelDesired&lt;$B60,"-",$D60))</f>
        <v>-</v>
      </c>
      <c r="BG60" s="21" t="str">
        <f t="shared" ref="BG60" si="4009">IF(LanGlo2LevelCurrent&gt;=$B60,"-",IF(LanGlo2LevelDesired&lt;$B60,"-",$E60))</f>
        <v>-</v>
      </c>
      <c r="BH60" s="15" t="str">
        <f t="shared" ref="BH60" si="4010">IF(LanBel2LevelCurrent&gt;=$B60,"-",IF(LanBel2LevelDesired&lt;$B60,"-",$C60))</f>
        <v>-</v>
      </c>
      <c r="BI60" s="1" t="str">
        <f t="shared" ref="BI60" si="4011">IF(LanBel2LevelCurrent&gt;=$B60,"-",IF(LanBel2LevelDesired&lt;$B60,"-",$D60))</f>
        <v>-</v>
      </c>
      <c r="BJ60" s="21" t="str">
        <f t="shared" ref="BJ60" si="4012">IF(LanBel2LevelCurrent&gt;=$B60,"-",IF(LanBel2LevelDesired&lt;$B60,"-",$E60))</f>
        <v>-</v>
      </c>
      <c r="BK60" s="15" t="str">
        <f t="shared" ref="BK60" si="4013">IF(LanBoo2LevelCurrent&gt;=$B60,"-",IF(LanBoo2LevelDesired&lt;$B60,"-",$C60))</f>
        <v>-</v>
      </c>
      <c r="BL60" s="1" t="str">
        <f t="shared" ref="BL60" si="4014">IF(LanBoo2LevelCurrent&gt;=$B60,"-",IF(LanBoo2LevelDesired&lt;$B60,"-",$D60))</f>
        <v>-</v>
      </c>
      <c r="BM60" s="21" t="str">
        <f t="shared" ref="BM60" si="4015">IF(LanBoo2LevelCurrent&gt;=$B60,"-",IF(LanBoo2LevelDesired&lt;$B60,"-",$E60))</f>
        <v>-</v>
      </c>
      <c r="BN60" s="15" t="str">
        <f t="shared" ref="BN60" si="4016">IF(MarGog2LevelCurrent&gt;=$B60,"-",IF(MarGog2LevelDesired&lt;$B60,"-",$C60))</f>
        <v>-</v>
      </c>
      <c r="BO60" s="1" t="str">
        <f t="shared" ref="BO60" si="4017">IF(MarGog2LevelCurrent&gt;=$B60,"-",IF(MarGog2LevelDesired&lt;$B60,"-",$D60))</f>
        <v>-</v>
      </c>
      <c r="BP60" s="21" t="str">
        <f t="shared" ref="BP60" si="4018">IF(MarGog2LevelCurrent&gt;=$B60,"-",IF(MarGog2LevelDesired&lt;$B60,"-",$E60))</f>
        <v>-</v>
      </c>
      <c r="BQ60" s="15" t="str">
        <f t="shared" ref="BQ60" si="4019">IF(MarGlo2LevelCurrent&gt;=$B60,"-",IF(MarGlo2LevelDesired&lt;$B60,"-",$C60))</f>
        <v>-</v>
      </c>
      <c r="BR60" s="1" t="str">
        <f t="shared" ref="BR60" si="4020">IF(MarGlo2LevelCurrent&gt;=$B60,"-",IF(MarGlo2LevelDesired&lt;$B60,"-",$D60))</f>
        <v>-</v>
      </c>
      <c r="BS60" s="21" t="str">
        <f t="shared" ref="BS60" si="4021">IF(MarGlo2LevelCurrent&gt;=$B60,"-",IF(MarGlo2LevelDesired&lt;$B60,"-",$E60))</f>
        <v>-</v>
      </c>
      <c r="BT60" s="15" t="str">
        <f t="shared" ref="BT60" si="4022">IF(MarBel2LevelCurrent&gt;=$B60,"-",IF(MarBel2LevelDesired&lt;$B60,"-",$C60))</f>
        <v>-</v>
      </c>
      <c r="BU60" s="1" t="str">
        <f t="shared" ref="BU60" si="4023">IF(MarBel2LevelCurrent&gt;=$B60,"-",IF(MarBel2LevelDesired&lt;$B60,"-",$D60))</f>
        <v>-</v>
      </c>
      <c r="BV60" s="21" t="str">
        <f t="shared" ref="BV60" si="4024">IF(MarBel2LevelCurrent&gt;=$B60,"-",IF(MarBel2LevelDesired&lt;$B60,"-",$E60))</f>
        <v>-</v>
      </c>
      <c r="BW60" s="15" t="str">
        <f t="shared" ref="BW60" si="4025">IF(MarBoo2LevelCurrent&gt;=$B60,"-",IF(MarBoo2LevelDesired&lt;$B60,"-",$C60))</f>
        <v>-</v>
      </c>
      <c r="BX60" s="1" t="str">
        <f t="shared" ref="BX60" si="4026">IF(MarBoo2LevelCurrent&gt;=$B60,"-",IF(MarBoo2LevelDesired&lt;$B60,"-",$D60))</f>
        <v>-</v>
      </c>
      <c r="BY60" s="21" t="str">
        <f t="shared" ref="BY60" si="4027">IF(MarBoo2LevelCurrent&gt;=$B60,"-",IF(MarBoo2LevelDesired&lt;$B60,"-",$E60))</f>
        <v>-</v>
      </c>
      <c r="BZ60" s="15" t="str">
        <f t="shared" si="2410"/>
        <v>-</v>
      </c>
      <c r="CA60" s="1" t="str" cm="1">
        <f t="array" ref="CA60">IF(InfGog3LevelCurrent&gt;=$B60,"-",IF(InfGog3LevelDesired&lt;$B60,"-",$D60))</f>
        <v>-</v>
      </c>
      <c r="CB60" s="21" t="str" cm="1">
        <f t="array" ref="CB60">IF(InfGog3LevelCurrent&gt;=$B60,"-",IF(InfGog3LevelDesired&lt;$B60,"-",$E60))</f>
        <v>-</v>
      </c>
      <c r="CC60" s="15" t="str">
        <f t="shared" si="2411"/>
        <v>-</v>
      </c>
      <c r="CD60" s="1" t="str">
        <f t="shared" si="2412"/>
        <v>-</v>
      </c>
      <c r="CE60" s="21" t="str">
        <f t="shared" si="2413"/>
        <v>-</v>
      </c>
      <c r="CF60" s="15" t="str">
        <f t="shared" si="2414"/>
        <v>-</v>
      </c>
      <c r="CG60" s="1" t="str">
        <f t="shared" si="2415"/>
        <v>-</v>
      </c>
      <c r="CH60" s="21" t="str">
        <f t="shared" si="2416"/>
        <v>-</v>
      </c>
      <c r="CI60" s="15" t="str">
        <f t="shared" si="2417"/>
        <v>-</v>
      </c>
      <c r="CJ60" s="1" t="str">
        <f t="shared" si="2418"/>
        <v>-</v>
      </c>
      <c r="CK60" s="21" t="str">
        <f t="shared" si="2419"/>
        <v>-</v>
      </c>
      <c r="CL60" s="15" t="str">
        <f t="shared" si="2420"/>
        <v>-</v>
      </c>
      <c r="CM60" s="1" t="str">
        <f t="shared" si="2421"/>
        <v>-</v>
      </c>
      <c r="CN60" s="21" t="str">
        <f t="shared" si="2422"/>
        <v>-</v>
      </c>
      <c r="CO60" s="15" t="str">
        <f t="shared" si="2423"/>
        <v>-</v>
      </c>
      <c r="CP60" s="1" t="str">
        <f t="shared" si="2424"/>
        <v>-</v>
      </c>
      <c r="CQ60" s="21" t="str">
        <f t="shared" si="2425"/>
        <v>-</v>
      </c>
      <c r="CR60" s="15" t="str">
        <f t="shared" si="2426"/>
        <v>-</v>
      </c>
      <c r="CS60" s="1" t="str">
        <f t="shared" si="2427"/>
        <v>-</v>
      </c>
      <c r="CT60" s="21" t="str">
        <f t="shared" si="2428"/>
        <v>-</v>
      </c>
      <c r="CU60" s="15" t="str">
        <f t="shared" si="2429"/>
        <v>-</v>
      </c>
      <c r="CV60" s="1" t="str">
        <f t="shared" si="2430"/>
        <v>-</v>
      </c>
      <c r="CW60" s="21" t="str">
        <f t="shared" si="2431"/>
        <v>-</v>
      </c>
      <c r="CX60" s="15" t="str">
        <f t="shared" si="2432"/>
        <v>-</v>
      </c>
      <c r="CY60" s="1" t="str">
        <f t="shared" si="2433"/>
        <v>-</v>
      </c>
      <c r="CZ60" s="21" t="str">
        <f t="shared" si="2434"/>
        <v>-</v>
      </c>
      <c r="DA60" s="15" t="str">
        <f t="shared" si="2435"/>
        <v>-</v>
      </c>
      <c r="DB60" s="1" t="str">
        <f t="shared" si="2436"/>
        <v>-</v>
      </c>
      <c r="DC60" s="21" t="str">
        <f t="shared" si="2437"/>
        <v>-</v>
      </c>
      <c r="DD60" s="15" t="str">
        <f t="shared" si="2438"/>
        <v>-</v>
      </c>
      <c r="DE60" s="1" t="str">
        <f t="shared" si="2439"/>
        <v>-</v>
      </c>
      <c r="DF60" s="21" t="str">
        <f t="shared" si="2440"/>
        <v>-</v>
      </c>
      <c r="DG60" s="15" t="str">
        <f t="shared" si="2441"/>
        <v>-</v>
      </c>
      <c r="DH60" s="1" t="str">
        <f t="shared" si="2442"/>
        <v>-</v>
      </c>
      <c r="DI60" s="21" t="str">
        <f t="shared" si="2443"/>
        <v>-</v>
      </c>
    </row>
    <row r="61" spans="2:113" x14ac:dyDescent="0.3">
      <c r="B61" s="1">
        <v>56</v>
      </c>
      <c r="C61" s="67">
        <v>590</v>
      </c>
      <c r="D61" s="88" t="s">
        <v>27</v>
      </c>
      <c r="E61" s="21" t="s">
        <v>27</v>
      </c>
      <c r="F61" s="15" t="str">
        <f t="shared" ref="F61" si="4028">IF(InfGog1LevelCurrent&gt;=$B61,"-",IF(InfGog1LevelDesired&lt;$B61,"-",$C61))</f>
        <v>-</v>
      </c>
      <c r="G61" s="1" t="str">
        <f t="shared" ref="G61" si="4029">IF(InfGog1LevelCurrent&gt;=$B61,"-",IF(InfGog1LevelDesired&lt;$B61,"-",$D61))</f>
        <v>-</v>
      </c>
      <c r="H61" s="21" t="str">
        <f t="shared" ref="H61" si="4030">IF(InfGog1LevelCurrent&gt;=$B61,"-",IF(InfGog1LevelDesired&lt;$B61,"-",$E61))</f>
        <v>-</v>
      </c>
      <c r="I61" s="15" t="str">
        <f t="shared" ref="I61" si="4031">IF(InfGlo1LevelCurrent&gt;=$B61,"-",IF(InfGlo1LevelDesired&lt;$B61,"-",$C61))</f>
        <v>-</v>
      </c>
      <c r="J61" s="1" t="str">
        <f t="shared" ref="J61" si="4032">IF(InfGlo1LevelCurrent&gt;=$B61,"-",IF(InfGlo1LevelDesired&lt;$B61,"-",$D61))</f>
        <v>-</v>
      </c>
      <c r="K61" s="21" t="str">
        <f t="shared" ref="K61" si="4033">IF(InfGlo1LevelCurrent&gt;=$B61,"-",IF(InfGlo1LevelDesired&lt;$B61,"-",$E61))</f>
        <v>-</v>
      </c>
      <c r="L61" s="15" t="str">
        <f t="shared" ref="L61" si="4034">IF(InfBel1LevelCurrent&gt;=$B61,"-",IF(InfBel1LevelDesired&lt;$B61,"-",$C61))</f>
        <v>-</v>
      </c>
      <c r="M61" s="1" t="str">
        <f t="shared" ref="M61" si="4035">IF(InfBel1LevelCurrent&gt;=$B61,"-",IF(InfBel1LevelDesired&lt;$B61,"-",$D61))</f>
        <v>-</v>
      </c>
      <c r="N61" s="21" t="str">
        <f t="shared" ref="N61" si="4036">IF(InfBel1LevelCurrent&gt;=$B61,"-",IF(InfBel1LevelDesired&lt;$B61,"-",$E61))</f>
        <v>-</v>
      </c>
      <c r="O61" s="15" t="str">
        <f t="shared" ref="O61" si="4037">IF(InfBoo1LevelCurrent&gt;=$B61,"-",IF(InfBoo1LevelDesired&lt;$B61,"-",$C61))</f>
        <v>-</v>
      </c>
      <c r="P61" s="1" t="str">
        <f t="shared" ref="P61" si="4038">IF(InfBoo1LevelCurrent&gt;=$B61,"-",IF(InfBoo1LevelDesired&lt;$B61,"-",$D61))</f>
        <v>-</v>
      </c>
      <c r="Q61" s="21" t="str">
        <f t="shared" ref="Q61" si="4039">IF(InfBoo1LevelCurrent&gt;=$B61,"-",IF(InfBoo1LevelDesired&lt;$B61,"-",$E61))</f>
        <v>-</v>
      </c>
      <c r="R61" s="15" t="str">
        <f t="shared" ref="R61" si="4040">IF(LanGog1LevelCurrent&gt;=$B61,"-",IF(LanGog1LevelDesired&lt;$B61,"-",$C61))</f>
        <v>-</v>
      </c>
      <c r="S61" s="1" t="str">
        <f t="shared" ref="S61" si="4041">IF(LanGog1LevelCurrent&gt;=$B61,"-",IF(LanGog1LevelDesired&lt;$B61,"-",$D61))</f>
        <v>-</v>
      </c>
      <c r="T61" s="21" t="str">
        <f t="shared" ref="T61" si="4042">IF(LanGog1LevelCurrent&gt;=$B61,"-",IF(LanGog1LevelDesired&lt;$B61,"-",$E61))</f>
        <v>-</v>
      </c>
      <c r="U61" s="15" t="str">
        <f t="shared" ref="U61" si="4043">IF(LanGlo1LevelCurrent&gt;=$B61,"-",IF(LanGlo1LevelDesired&lt;$B61,"-",$C61))</f>
        <v>-</v>
      </c>
      <c r="V61" s="1" t="str">
        <f t="shared" ref="V61" si="4044">IF(LanGlo1LevelCurrent&gt;=$B61,"-",IF(LanGlo1LevelDesired&lt;$B61,"-",$D61))</f>
        <v>-</v>
      </c>
      <c r="W61" s="21" t="str">
        <f t="shared" ref="W61" si="4045">IF(LanGlo1LevelCurrent&gt;=$B61,"-",IF(LanGlo1LevelDesired&lt;$B61,"-",$E61))</f>
        <v>-</v>
      </c>
      <c r="X61" s="15" t="str">
        <f t="shared" ref="X61" si="4046">IF(LanBel1LevelCurrent&gt;=$B61,"-",IF(LanBel1LevelDesired&lt;$B61,"-",$C61))</f>
        <v>-</v>
      </c>
      <c r="Y61" s="1" t="str">
        <f t="shared" ref="Y61" si="4047">IF(LanBel1LevelCurrent&gt;=$B61,"-",IF(LanBel1LevelDesired&lt;$B61,"-",$D61))</f>
        <v>-</v>
      </c>
      <c r="Z61" s="21" t="str">
        <f t="shared" ref="Z61" si="4048">IF(LanBel1LevelCurrent&gt;=$B61,"-",IF(LanBel1LevelDesired&lt;$B61,"-",$E61))</f>
        <v>-</v>
      </c>
      <c r="AA61" s="15" t="str">
        <f t="shared" ref="AA61" si="4049">IF(LanBoo1LevelCurrent&gt;=$B61,"-",IF(LanBoo1LevelDesired&lt;$B61,"-",$C61))</f>
        <v>-</v>
      </c>
      <c r="AB61" s="1" t="str">
        <f t="shared" ref="AB61" si="4050">IF(LanBoo1LevelCurrent&gt;=$B61,"-",IF(LanBoo1LevelDesired&lt;$B61,"-",$D61))</f>
        <v>-</v>
      </c>
      <c r="AC61" s="21" t="str">
        <f t="shared" ref="AC61" si="4051">IF(LanBoo1LevelCurrent&gt;=$B61,"-",IF(LanBoo1LevelDesired&lt;$B61,"-",$E61))</f>
        <v>-</v>
      </c>
      <c r="AD61" s="15" t="str">
        <f t="shared" ref="AD61" si="4052">IF(MarGog1LevelCurrent&gt;=$B61,"-",IF(MarGog1LevelDesired&lt;$B61,"-",$C61))</f>
        <v>-</v>
      </c>
      <c r="AE61" s="1" t="str">
        <f t="shared" ref="AE61" si="4053">IF(MarGog1LevelCurrent&gt;=$B61,"-",IF(MarGog1LevelDesired&lt;$B61,"-",$D61))</f>
        <v>-</v>
      </c>
      <c r="AF61" s="21" t="str">
        <f t="shared" ref="AF61" si="4054">IF(MarGog1LevelCurrent&gt;=$B61,"-",IF(MarGog1LevelDesired&lt;$B61,"-",$E61))</f>
        <v>-</v>
      </c>
      <c r="AG61" s="15" t="str">
        <f t="shared" ref="AG61" si="4055">IF(MarGlo1LevelCurrent&gt;=$B61,"-",IF(MarGlo1LevelDesired&lt;$B61,"-",$C61))</f>
        <v>-</v>
      </c>
      <c r="AH61" s="1" t="str">
        <f t="shared" ref="AH61" si="4056">IF(MarGlo1LevelCurrent&gt;=$B61,"-",IF(MarGlo1LevelDesired&lt;$B61,"-",$D61))</f>
        <v>-</v>
      </c>
      <c r="AI61" s="21" t="str">
        <f t="shared" ref="AI61" si="4057">IF(MarGlo1LevelCurrent&gt;=$B61,"-",IF(MarGlo1LevelDesired&lt;$B61,"-",$E61))</f>
        <v>-</v>
      </c>
      <c r="AJ61" s="15" t="str">
        <f t="shared" ref="AJ61" si="4058">IF(MarBel1LevelCurrent&gt;=$B61,"-",IF(MarBel1LevelDesired&lt;$B61,"-",$C61))</f>
        <v>-</v>
      </c>
      <c r="AK61" s="1" t="str">
        <f t="shared" ref="AK61" si="4059">IF(MarBel1LevelCurrent&gt;=$B61,"-",IF(MarBel1LevelDesired&lt;$B61,"-",$D61))</f>
        <v>-</v>
      </c>
      <c r="AL61" s="21" t="str">
        <f t="shared" ref="AL61" si="4060">IF(MarBel1LevelCurrent&gt;=$B61,"-",IF(MarBel1LevelDesired&lt;$B61,"-",$E61))</f>
        <v>-</v>
      </c>
      <c r="AM61" s="15" t="str">
        <f t="shared" ref="AM61" si="4061">IF(MarBoo1LevelCurrent&gt;=$B61,"-",IF(MarBoo1LevelDesired&lt;$B61,"-",$C61))</f>
        <v>-</v>
      </c>
      <c r="AN61" s="1" t="str">
        <f t="shared" ref="AN61" si="4062">IF(MarBoo1LevelCurrent&gt;=$B61,"-",IF(MarBoo1LevelDesired&lt;$B61,"-",$D61))</f>
        <v>-</v>
      </c>
      <c r="AO61" s="21" t="str">
        <f t="shared" ref="AO61" si="4063">IF(MarBoo1LevelCurrent&gt;=$B61,"-",IF(MarBoo1LevelDesired&lt;$B61,"-",$E61))</f>
        <v>-</v>
      </c>
      <c r="AP61" s="15" t="str">
        <f t="shared" ref="AP61" si="4064">IF(InfGog2LevelCurrent&gt;=$B61,"-",IF(InfGog2LevelDesired&lt;$B61,"-",$C61))</f>
        <v>-</v>
      </c>
      <c r="AQ61" s="1" t="str">
        <f t="shared" ref="AQ61" si="4065">IF(InfGog2LevelCurrent&gt;=$B61,"-",IF(InfGog2LevelDesired&lt;$B61,"-",$D61))</f>
        <v>-</v>
      </c>
      <c r="AR61" s="21" t="str">
        <f t="shared" ref="AR61" si="4066">IF(InfGog2LevelCurrent&gt;=$B61,"-",IF(InfGog2LevelDesired&lt;$B61,"-",$E61))</f>
        <v>-</v>
      </c>
      <c r="AS61" s="15" t="str">
        <f t="shared" ref="AS61" si="4067">IF(InfGlo2LevelCurrent&gt;=$B61,"-",IF(InfGlo2LevelDesired&lt;$B61,"-",$C61))</f>
        <v>-</v>
      </c>
      <c r="AT61" s="1" t="str">
        <f t="shared" ref="AT61" si="4068">IF(InfGlo2LevelCurrent&gt;=$B61,"-",IF(InfGlo2LevelDesired&lt;$B61,"-",$D61))</f>
        <v>-</v>
      </c>
      <c r="AU61" s="21" t="str">
        <f t="shared" ref="AU61" si="4069">IF(InfGlo2LevelCurrent&gt;=$B61,"-",IF(InfGlo2LevelDesired&lt;$B61,"-",$E61))</f>
        <v>-</v>
      </c>
      <c r="AV61" s="15" t="str">
        <f t="shared" ref="AV61" si="4070">IF(InfBel2LevelCurrent&gt;=$B61,"-",IF(InfBel2LevelDesired&lt;$B61,"-",$C61))</f>
        <v>-</v>
      </c>
      <c r="AW61" s="1" t="str">
        <f t="shared" ref="AW61" si="4071">IF(InfBel2LevelCurrent&gt;=$B61,"-",IF(InfBel2LevelDesired&lt;$B61,"-",$D61))</f>
        <v>-</v>
      </c>
      <c r="AX61" s="21" t="str">
        <f t="shared" ref="AX61" si="4072">IF(InfBel2LevelCurrent&gt;=$B61,"-",IF(InfBel2LevelDesired&lt;$B61,"-",$E61))</f>
        <v>-</v>
      </c>
      <c r="AY61" s="15" t="str">
        <f t="shared" ref="AY61" si="4073">IF(InfBoo2LevelCurrent&gt;=$B61,"-",IF(InfBoo2LevelDesired&lt;$B61,"-",$C61))</f>
        <v>-</v>
      </c>
      <c r="AZ61" s="1" t="str">
        <f t="shared" ref="AZ61" si="4074">IF(InfBoo2LevelCurrent&gt;=$B61,"-",IF(InfBoo2LevelDesired&lt;$B61,"-",$D61))</f>
        <v>-</v>
      </c>
      <c r="BA61" s="21" t="str">
        <f t="shared" ref="BA61" si="4075">IF(InfBoo2LevelCurrent&gt;=$B61,"-",IF(InfBoo2LevelDesired&lt;$B61,"-",$E61))</f>
        <v>-</v>
      </c>
      <c r="BB61" s="15" t="str">
        <f t="shared" ref="BB61" si="4076">IF(LanGog2LevelCurrent&gt;=$B61,"-",IF(LanGog2LevelDesired&lt;$B61,"-",$C61))</f>
        <v>-</v>
      </c>
      <c r="BC61" s="1" t="str">
        <f t="shared" ref="BC61" si="4077">IF(LanGog2LevelCurrent&gt;=$B61,"-",IF(LanGog2LevelDesired&lt;$B61,"-",$D61))</f>
        <v>-</v>
      </c>
      <c r="BD61" s="21" t="str">
        <f t="shared" ref="BD61" si="4078">IF(LanGog2LevelCurrent&gt;=$B61,"-",IF(LanGog2LevelDesired&lt;$B61,"-",$E61))</f>
        <v>-</v>
      </c>
      <c r="BE61" s="15" t="str">
        <f t="shared" ref="BE61" si="4079">IF(LanGlo2LevelCurrent&gt;=$B61,"-",IF(LanGlo2LevelDesired&lt;$B61,"-",$C61))</f>
        <v>-</v>
      </c>
      <c r="BF61" s="1" t="str">
        <f t="shared" ref="BF61" si="4080">IF(LanGlo2LevelCurrent&gt;=$B61,"-",IF(LanGlo2LevelDesired&lt;$B61,"-",$D61))</f>
        <v>-</v>
      </c>
      <c r="BG61" s="21" t="str">
        <f t="shared" ref="BG61" si="4081">IF(LanGlo2LevelCurrent&gt;=$B61,"-",IF(LanGlo2LevelDesired&lt;$B61,"-",$E61))</f>
        <v>-</v>
      </c>
      <c r="BH61" s="15" t="str">
        <f t="shared" ref="BH61" si="4082">IF(LanBel2LevelCurrent&gt;=$B61,"-",IF(LanBel2LevelDesired&lt;$B61,"-",$C61))</f>
        <v>-</v>
      </c>
      <c r="BI61" s="1" t="str">
        <f t="shared" ref="BI61" si="4083">IF(LanBel2LevelCurrent&gt;=$B61,"-",IF(LanBel2LevelDesired&lt;$B61,"-",$D61))</f>
        <v>-</v>
      </c>
      <c r="BJ61" s="21" t="str">
        <f t="shared" ref="BJ61" si="4084">IF(LanBel2LevelCurrent&gt;=$B61,"-",IF(LanBel2LevelDesired&lt;$B61,"-",$E61))</f>
        <v>-</v>
      </c>
      <c r="BK61" s="15" t="str">
        <f t="shared" ref="BK61" si="4085">IF(LanBoo2LevelCurrent&gt;=$B61,"-",IF(LanBoo2LevelDesired&lt;$B61,"-",$C61))</f>
        <v>-</v>
      </c>
      <c r="BL61" s="1" t="str">
        <f t="shared" ref="BL61" si="4086">IF(LanBoo2LevelCurrent&gt;=$B61,"-",IF(LanBoo2LevelDesired&lt;$B61,"-",$D61))</f>
        <v>-</v>
      </c>
      <c r="BM61" s="21" t="str">
        <f t="shared" ref="BM61" si="4087">IF(LanBoo2LevelCurrent&gt;=$B61,"-",IF(LanBoo2LevelDesired&lt;$B61,"-",$E61))</f>
        <v>-</v>
      </c>
      <c r="BN61" s="15" t="str">
        <f t="shared" ref="BN61" si="4088">IF(MarGog2LevelCurrent&gt;=$B61,"-",IF(MarGog2LevelDesired&lt;$B61,"-",$C61))</f>
        <v>-</v>
      </c>
      <c r="BO61" s="1" t="str">
        <f t="shared" ref="BO61" si="4089">IF(MarGog2LevelCurrent&gt;=$B61,"-",IF(MarGog2LevelDesired&lt;$B61,"-",$D61))</f>
        <v>-</v>
      </c>
      <c r="BP61" s="21" t="str">
        <f t="shared" ref="BP61" si="4090">IF(MarGog2LevelCurrent&gt;=$B61,"-",IF(MarGog2LevelDesired&lt;$B61,"-",$E61))</f>
        <v>-</v>
      </c>
      <c r="BQ61" s="15" t="str">
        <f t="shared" ref="BQ61" si="4091">IF(MarGlo2LevelCurrent&gt;=$B61,"-",IF(MarGlo2LevelDesired&lt;$B61,"-",$C61))</f>
        <v>-</v>
      </c>
      <c r="BR61" s="1" t="str">
        <f t="shared" ref="BR61" si="4092">IF(MarGlo2LevelCurrent&gt;=$B61,"-",IF(MarGlo2LevelDesired&lt;$B61,"-",$D61))</f>
        <v>-</v>
      </c>
      <c r="BS61" s="21" t="str">
        <f t="shared" ref="BS61" si="4093">IF(MarGlo2LevelCurrent&gt;=$B61,"-",IF(MarGlo2LevelDesired&lt;$B61,"-",$E61))</f>
        <v>-</v>
      </c>
      <c r="BT61" s="15" t="str">
        <f t="shared" ref="BT61" si="4094">IF(MarBel2LevelCurrent&gt;=$B61,"-",IF(MarBel2LevelDesired&lt;$B61,"-",$C61))</f>
        <v>-</v>
      </c>
      <c r="BU61" s="1" t="str">
        <f t="shared" ref="BU61" si="4095">IF(MarBel2LevelCurrent&gt;=$B61,"-",IF(MarBel2LevelDesired&lt;$B61,"-",$D61))</f>
        <v>-</v>
      </c>
      <c r="BV61" s="21" t="str">
        <f t="shared" ref="BV61" si="4096">IF(MarBel2LevelCurrent&gt;=$B61,"-",IF(MarBel2LevelDesired&lt;$B61,"-",$E61))</f>
        <v>-</v>
      </c>
      <c r="BW61" s="15" t="str">
        <f t="shared" ref="BW61" si="4097">IF(MarBoo2LevelCurrent&gt;=$B61,"-",IF(MarBoo2LevelDesired&lt;$B61,"-",$C61))</f>
        <v>-</v>
      </c>
      <c r="BX61" s="1" t="str">
        <f t="shared" ref="BX61" si="4098">IF(MarBoo2LevelCurrent&gt;=$B61,"-",IF(MarBoo2LevelDesired&lt;$B61,"-",$D61))</f>
        <v>-</v>
      </c>
      <c r="BY61" s="21" t="str">
        <f t="shared" ref="BY61" si="4099">IF(MarBoo2LevelCurrent&gt;=$B61,"-",IF(MarBoo2LevelDesired&lt;$B61,"-",$E61))</f>
        <v>-</v>
      </c>
      <c r="BZ61" s="15" t="str">
        <f t="shared" si="2410"/>
        <v>-</v>
      </c>
      <c r="CA61" s="1" t="str" cm="1">
        <f t="array" ref="CA61">IF(InfGog3LevelCurrent&gt;=$B61,"-",IF(InfGog3LevelDesired&lt;$B61,"-",$D61))</f>
        <v>-</v>
      </c>
      <c r="CB61" s="21" t="str" cm="1">
        <f t="array" ref="CB61">IF(InfGog3LevelCurrent&gt;=$B61,"-",IF(InfGog3LevelDesired&lt;$B61,"-",$E61))</f>
        <v>-</v>
      </c>
      <c r="CC61" s="15" t="str">
        <f t="shared" si="2411"/>
        <v>-</v>
      </c>
      <c r="CD61" s="1" t="str">
        <f t="shared" si="2412"/>
        <v>-</v>
      </c>
      <c r="CE61" s="21" t="str">
        <f t="shared" si="2413"/>
        <v>-</v>
      </c>
      <c r="CF61" s="15" t="str">
        <f t="shared" si="2414"/>
        <v>-</v>
      </c>
      <c r="CG61" s="1" t="str">
        <f t="shared" si="2415"/>
        <v>-</v>
      </c>
      <c r="CH61" s="21" t="str">
        <f t="shared" si="2416"/>
        <v>-</v>
      </c>
      <c r="CI61" s="15" t="str">
        <f t="shared" si="2417"/>
        <v>-</v>
      </c>
      <c r="CJ61" s="1" t="str">
        <f t="shared" si="2418"/>
        <v>-</v>
      </c>
      <c r="CK61" s="21" t="str">
        <f t="shared" si="2419"/>
        <v>-</v>
      </c>
      <c r="CL61" s="15" t="str">
        <f t="shared" si="2420"/>
        <v>-</v>
      </c>
      <c r="CM61" s="1" t="str">
        <f t="shared" si="2421"/>
        <v>-</v>
      </c>
      <c r="CN61" s="21" t="str">
        <f t="shared" si="2422"/>
        <v>-</v>
      </c>
      <c r="CO61" s="15" t="str">
        <f t="shared" si="2423"/>
        <v>-</v>
      </c>
      <c r="CP61" s="1" t="str">
        <f t="shared" si="2424"/>
        <v>-</v>
      </c>
      <c r="CQ61" s="21" t="str">
        <f t="shared" si="2425"/>
        <v>-</v>
      </c>
      <c r="CR61" s="15" t="str">
        <f t="shared" si="2426"/>
        <v>-</v>
      </c>
      <c r="CS61" s="1" t="str">
        <f t="shared" si="2427"/>
        <v>-</v>
      </c>
      <c r="CT61" s="21" t="str">
        <f t="shared" si="2428"/>
        <v>-</v>
      </c>
      <c r="CU61" s="15" t="str">
        <f t="shared" si="2429"/>
        <v>-</v>
      </c>
      <c r="CV61" s="1" t="str">
        <f t="shared" si="2430"/>
        <v>-</v>
      </c>
      <c r="CW61" s="21" t="str">
        <f t="shared" si="2431"/>
        <v>-</v>
      </c>
      <c r="CX61" s="15" t="str">
        <f t="shared" si="2432"/>
        <v>-</v>
      </c>
      <c r="CY61" s="1" t="str">
        <f t="shared" si="2433"/>
        <v>-</v>
      </c>
      <c r="CZ61" s="21" t="str">
        <f t="shared" si="2434"/>
        <v>-</v>
      </c>
      <c r="DA61" s="15" t="str">
        <f t="shared" si="2435"/>
        <v>-</v>
      </c>
      <c r="DB61" s="1" t="str">
        <f t="shared" si="2436"/>
        <v>-</v>
      </c>
      <c r="DC61" s="21" t="str">
        <f t="shared" si="2437"/>
        <v>-</v>
      </c>
      <c r="DD61" s="15" t="str">
        <f t="shared" si="2438"/>
        <v>-</v>
      </c>
      <c r="DE61" s="1" t="str">
        <f t="shared" si="2439"/>
        <v>-</v>
      </c>
      <c r="DF61" s="21" t="str">
        <f t="shared" si="2440"/>
        <v>-</v>
      </c>
      <c r="DG61" s="15" t="str">
        <f t="shared" si="2441"/>
        <v>-</v>
      </c>
      <c r="DH61" s="1" t="str">
        <f t="shared" si="2442"/>
        <v>-</v>
      </c>
      <c r="DI61" s="21" t="str">
        <f t="shared" si="2443"/>
        <v>-</v>
      </c>
    </row>
    <row r="62" spans="2:113" x14ac:dyDescent="0.3">
      <c r="B62" s="1">
        <v>57</v>
      </c>
      <c r="C62" s="67">
        <v>610</v>
      </c>
      <c r="D62" s="88" t="s">
        <v>27</v>
      </c>
      <c r="E62" s="21" t="s">
        <v>27</v>
      </c>
      <c r="F62" s="15" t="str">
        <f t="shared" ref="F62" si="4100">IF(InfGog1LevelCurrent&gt;=$B62,"-",IF(InfGog1LevelDesired&lt;$B62,"-",$C62))</f>
        <v>-</v>
      </c>
      <c r="G62" s="1" t="str">
        <f t="shared" ref="G62" si="4101">IF(InfGog1LevelCurrent&gt;=$B62,"-",IF(InfGog1LevelDesired&lt;$B62,"-",$D62))</f>
        <v>-</v>
      </c>
      <c r="H62" s="21" t="str">
        <f t="shared" ref="H62" si="4102">IF(InfGog1LevelCurrent&gt;=$B62,"-",IF(InfGog1LevelDesired&lt;$B62,"-",$E62))</f>
        <v>-</v>
      </c>
      <c r="I62" s="15" t="str">
        <f t="shared" ref="I62" si="4103">IF(InfGlo1LevelCurrent&gt;=$B62,"-",IF(InfGlo1LevelDesired&lt;$B62,"-",$C62))</f>
        <v>-</v>
      </c>
      <c r="J62" s="1" t="str">
        <f t="shared" ref="J62" si="4104">IF(InfGlo1LevelCurrent&gt;=$B62,"-",IF(InfGlo1LevelDesired&lt;$B62,"-",$D62))</f>
        <v>-</v>
      </c>
      <c r="K62" s="21" t="str">
        <f t="shared" ref="K62" si="4105">IF(InfGlo1LevelCurrent&gt;=$B62,"-",IF(InfGlo1LevelDesired&lt;$B62,"-",$E62))</f>
        <v>-</v>
      </c>
      <c r="L62" s="15" t="str">
        <f t="shared" ref="L62" si="4106">IF(InfBel1LevelCurrent&gt;=$B62,"-",IF(InfBel1LevelDesired&lt;$B62,"-",$C62))</f>
        <v>-</v>
      </c>
      <c r="M62" s="1" t="str">
        <f t="shared" ref="M62" si="4107">IF(InfBel1LevelCurrent&gt;=$B62,"-",IF(InfBel1LevelDesired&lt;$B62,"-",$D62))</f>
        <v>-</v>
      </c>
      <c r="N62" s="21" t="str">
        <f t="shared" ref="N62" si="4108">IF(InfBel1LevelCurrent&gt;=$B62,"-",IF(InfBel1LevelDesired&lt;$B62,"-",$E62))</f>
        <v>-</v>
      </c>
      <c r="O62" s="15" t="str">
        <f t="shared" ref="O62" si="4109">IF(InfBoo1LevelCurrent&gt;=$B62,"-",IF(InfBoo1LevelDesired&lt;$B62,"-",$C62))</f>
        <v>-</v>
      </c>
      <c r="P62" s="1" t="str">
        <f t="shared" ref="P62" si="4110">IF(InfBoo1LevelCurrent&gt;=$B62,"-",IF(InfBoo1LevelDesired&lt;$B62,"-",$D62))</f>
        <v>-</v>
      </c>
      <c r="Q62" s="21" t="str">
        <f t="shared" ref="Q62" si="4111">IF(InfBoo1LevelCurrent&gt;=$B62,"-",IF(InfBoo1LevelDesired&lt;$B62,"-",$E62))</f>
        <v>-</v>
      </c>
      <c r="R62" s="15" t="str">
        <f t="shared" ref="R62" si="4112">IF(LanGog1LevelCurrent&gt;=$B62,"-",IF(LanGog1LevelDesired&lt;$B62,"-",$C62))</f>
        <v>-</v>
      </c>
      <c r="S62" s="1" t="str">
        <f t="shared" ref="S62" si="4113">IF(LanGog1LevelCurrent&gt;=$B62,"-",IF(LanGog1LevelDesired&lt;$B62,"-",$D62))</f>
        <v>-</v>
      </c>
      <c r="T62" s="21" t="str">
        <f t="shared" ref="T62" si="4114">IF(LanGog1LevelCurrent&gt;=$B62,"-",IF(LanGog1LevelDesired&lt;$B62,"-",$E62))</f>
        <v>-</v>
      </c>
      <c r="U62" s="15" t="str">
        <f t="shared" ref="U62" si="4115">IF(LanGlo1LevelCurrent&gt;=$B62,"-",IF(LanGlo1LevelDesired&lt;$B62,"-",$C62))</f>
        <v>-</v>
      </c>
      <c r="V62" s="1" t="str">
        <f t="shared" ref="V62" si="4116">IF(LanGlo1LevelCurrent&gt;=$B62,"-",IF(LanGlo1LevelDesired&lt;$B62,"-",$D62))</f>
        <v>-</v>
      </c>
      <c r="W62" s="21" t="str">
        <f t="shared" ref="W62" si="4117">IF(LanGlo1LevelCurrent&gt;=$B62,"-",IF(LanGlo1LevelDesired&lt;$B62,"-",$E62))</f>
        <v>-</v>
      </c>
      <c r="X62" s="15" t="str">
        <f t="shared" ref="X62" si="4118">IF(LanBel1LevelCurrent&gt;=$B62,"-",IF(LanBel1LevelDesired&lt;$B62,"-",$C62))</f>
        <v>-</v>
      </c>
      <c r="Y62" s="1" t="str">
        <f t="shared" ref="Y62" si="4119">IF(LanBel1LevelCurrent&gt;=$B62,"-",IF(LanBel1LevelDesired&lt;$B62,"-",$D62))</f>
        <v>-</v>
      </c>
      <c r="Z62" s="21" t="str">
        <f t="shared" ref="Z62" si="4120">IF(LanBel1LevelCurrent&gt;=$B62,"-",IF(LanBel1LevelDesired&lt;$B62,"-",$E62))</f>
        <v>-</v>
      </c>
      <c r="AA62" s="15" t="str">
        <f t="shared" ref="AA62" si="4121">IF(LanBoo1LevelCurrent&gt;=$B62,"-",IF(LanBoo1LevelDesired&lt;$B62,"-",$C62))</f>
        <v>-</v>
      </c>
      <c r="AB62" s="1" t="str">
        <f t="shared" ref="AB62" si="4122">IF(LanBoo1LevelCurrent&gt;=$B62,"-",IF(LanBoo1LevelDesired&lt;$B62,"-",$D62))</f>
        <v>-</v>
      </c>
      <c r="AC62" s="21" t="str">
        <f t="shared" ref="AC62" si="4123">IF(LanBoo1LevelCurrent&gt;=$B62,"-",IF(LanBoo1LevelDesired&lt;$B62,"-",$E62))</f>
        <v>-</v>
      </c>
      <c r="AD62" s="15" t="str">
        <f t="shared" ref="AD62" si="4124">IF(MarGog1LevelCurrent&gt;=$B62,"-",IF(MarGog1LevelDesired&lt;$B62,"-",$C62))</f>
        <v>-</v>
      </c>
      <c r="AE62" s="1" t="str">
        <f t="shared" ref="AE62" si="4125">IF(MarGog1LevelCurrent&gt;=$B62,"-",IF(MarGog1LevelDesired&lt;$B62,"-",$D62))</f>
        <v>-</v>
      </c>
      <c r="AF62" s="21" t="str">
        <f t="shared" ref="AF62" si="4126">IF(MarGog1LevelCurrent&gt;=$B62,"-",IF(MarGog1LevelDesired&lt;$B62,"-",$E62))</f>
        <v>-</v>
      </c>
      <c r="AG62" s="15" t="str">
        <f t="shared" ref="AG62" si="4127">IF(MarGlo1LevelCurrent&gt;=$B62,"-",IF(MarGlo1LevelDesired&lt;$B62,"-",$C62))</f>
        <v>-</v>
      </c>
      <c r="AH62" s="1" t="str">
        <f t="shared" ref="AH62" si="4128">IF(MarGlo1LevelCurrent&gt;=$B62,"-",IF(MarGlo1LevelDesired&lt;$B62,"-",$D62))</f>
        <v>-</v>
      </c>
      <c r="AI62" s="21" t="str">
        <f t="shared" ref="AI62" si="4129">IF(MarGlo1LevelCurrent&gt;=$B62,"-",IF(MarGlo1LevelDesired&lt;$B62,"-",$E62))</f>
        <v>-</v>
      </c>
      <c r="AJ62" s="15" t="str">
        <f t="shared" ref="AJ62" si="4130">IF(MarBel1LevelCurrent&gt;=$B62,"-",IF(MarBel1LevelDesired&lt;$B62,"-",$C62))</f>
        <v>-</v>
      </c>
      <c r="AK62" s="1" t="str">
        <f t="shared" ref="AK62" si="4131">IF(MarBel1LevelCurrent&gt;=$B62,"-",IF(MarBel1LevelDesired&lt;$B62,"-",$D62))</f>
        <v>-</v>
      </c>
      <c r="AL62" s="21" t="str">
        <f t="shared" ref="AL62" si="4132">IF(MarBel1LevelCurrent&gt;=$B62,"-",IF(MarBel1LevelDesired&lt;$B62,"-",$E62))</f>
        <v>-</v>
      </c>
      <c r="AM62" s="15" t="str">
        <f t="shared" ref="AM62" si="4133">IF(MarBoo1LevelCurrent&gt;=$B62,"-",IF(MarBoo1LevelDesired&lt;$B62,"-",$C62))</f>
        <v>-</v>
      </c>
      <c r="AN62" s="1" t="str">
        <f t="shared" ref="AN62" si="4134">IF(MarBoo1LevelCurrent&gt;=$B62,"-",IF(MarBoo1LevelDesired&lt;$B62,"-",$D62))</f>
        <v>-</v>
      </c>
      <c r="AO62" s="21" t="str">
        <f t="shared" ref="AO62" si="4135">IF(MarBoo1LevelCurrent&gt;=$B62,"-",IF(MarBoo1LevelDesired&lt;$B62,"-",$E62))</f>
        <v>-</v>
      </c>
      <c r="AP62" s="15" t="str">
        <f t="shared" ref="AP62" si="4136">IF(InfGog2LevelCurrent&gt;=$B62,"-",IF(InfGog2LevelDesired&lt;$B62,"-",$C62))</f>
        <v>-</v>
      </c>
      <c r="AQ62" s="1" t="str">
        <f t="shared" ref="AQ62" si="4137">IF(InfGog2LevelCurrent&gt;=$B62,"-",IF(InfGog2LevelDesired&lt;$B62,"-",$D62))</f>
        <v>-</v>
      </c>
      <c r="AR62" s="21" t="str">
        <f t="shared" ref="AR62" si="4138">IF(InfGog2LevelCurrent&gt;=$B62,"-",IF(InfGog2LevelDesired&lt;$B62,"-",$E62))</f>
        <v>-</v>
      </c>
      <c r="AS62" s="15" t="str">
        <f t="shared" ref="AS62" si="4139">IF(InfGlo2LevelCurrent&gt;=$B62,"-",IF(InfGlo2LevelDesired&lt;$B62,"-",$C62))</f>
        <v>-</v>
      </c>
      <c r="AT62" s="1" t="str">
        <f t="shared" ref="AT62" si="4140">IF(InfGlo2LevelCurrent&gt;=$B62,"-",IF(InfGlo2LevelDesired&lt;$B62,"-",$D62))</f>
        <v>-</v>
      </c>
      <c r="AU62" s="21" t="str">
        <f t="shared" ref="AU62" si="4141">IF(InfGlo2LevelCurrent&gt;=$B62,"-",IF(InfGlo2LevelDesired&lt;$B62,"-",$E62))</f>
        <v>-</v>
      </c>
      <c r="AV62" s="15" t="str">
        <f t="shared" ref="AV62" si="4142">IF(InfBel2LevelCurrent&gt;=$B62,"-",IF(InfBel2LevelDesired&lt;$B62,"-",$C62))</f>
        <v>-</v>
      </c>
      <c r="AW62" s="1" t="str">
        <f t="shared" ref="AW62" si="4143">IF(InfBel2LevelCurrent&gt;=$B62,"-",IF(InfBel2LevelDesired&lt;$B62,"-",$D62))</f>
        <v>-</v>
      </c>
      <c r="AX62" s="21" t="str">
        <f t="shared" ref="AX62" si="4144">IF(InfBel2LevelCurrent&gt;=$B62,"-",IF(InfBel2LevelDesired&lt;$B62,"-",$E62))</f>
        <v>-</v>
      </c>
      <c r="AY62" s="15" t="str">
        <f t="shared" ref="AY62" si="4145">IF(InfBoo2LevelCurrent&gt;=$B62,"-",IF(InfBoo2LevelDesired&lt;$B62,"-",$C62))</f>
        <v>-</v>
      </c>
      <c r="AZ62" s="1" t="str">
        <f t="shared" ref="AZ62" si="4146">IF(InfBoo2LevelCurrent&gt;=$B62,"-",IF(InfBoo2LevelDesired&lt;$B62,"-",$D62))</f>
        <v>-</v>
      </c>
      <c r="BA62" s="21" t="str">
        <f t="shared" ref="BA62" si="4147">IF(InfBoo2LevelCurrent&gt;=$B62,"-",IF(InfBoo2LevelDesired&lt;$B62,"-",$E62))</f>
        <v>-</v>
      </c>
      <c r="BB62" s="15" t="str">
        <f t="shared" ref="BB62" si="4148">IF(LanGog2LevelCurrent&gt;=$B62,"-",IF(LanGog2LevelDesired&lt;$B62,"-",$C62))</f>
        <v>-</v>
      </c>
      <c r="BC62" s="1" t="str">
        <f t="shared" ref="BC62" si="4149">IF(LanGog2LevelCurrent&gt;=$B62,"-",IF(LanGog2LevelDesired&lt;$B62,"-",$D62))</f>
        <v>-</v>
      </c>
      <c r="BD62" s="21" t="str">
        <f t="shared" ref="BD62" si="4150">IF(LanGog2LevelCurrent&gt;=$B62,"-",IF(LanGog2LevelDesired&lt;$B62,"-",$E62))</f>
        <v>-</v>
      </c>
      <c r="BE62" s="15" t="str">
        <f t="shared" ref="BE62" si="4151">IF(LanGlo2LevelCurrent&gt;=$B62,"-",IF(LanGlo2LevelDesired&lt;$B62,"-",$C62))</f>
        <v>-</v>
      </c>
      <c r="BF62" s="1" t="str">
        <f t="shared" ref="BF62" si="4152">IF(LanGlo2LevelCurrent&gt;=$B62,"-",IF(LanGlo2LevelDesired&lt;$B62,"-",$D62))</f>
        <v>-</v>
      </c>
      <c r="BG62" s="21" t="str">
        <f t="shared" ref="BG62" si="4153">IF(LanGlo2LevelCurrent&gt;=$B62,"-",IF(LanGlo2LevelDesired&lt;$B62,"-",$E62))</f>
        <v>-</v>
      </c>
      <c r="BH62" s="15" t="str">
        <f t="shared" ref="BH62" si="4154">IF(LanBel2LevelCurrent&gt;=$B62,"-",IF(LanBel2LevelDesired&lt;$B62,"-",$C62))</f>
        <v>-</v>
      </c>
      <c r="BI62" s="1" t="str">
        <f t="shared" ref="BI62" si="4155">IF(LanBel2LevelCurrent&gt;=$B62,"-",IF(LanBel2LevelDesired&lt;$B62,"-",$D62))</f>
        <v>-</v>
      </c>
      <c r="BJ62" s="21" t="str">
        <f t="shared" ref="BJ62" si="4156">IF(LanBel2LevelCurrent&gt;=$B62,"-",IF(LanBel2LevelDesired&lt;$B62,"-",$E62))</f>
        <v>-</v>
      </c>
      <c r="BK62" s="15" t="str">
        <f t="shared" ref="BK62" si="4157">IF(LanBoo2LevelCurrent&gt;=$B62,"-",IF(LanBoo2LevelDesired&lt;$B62,"-",$C62))</f>
        <v>-</v>
      </c>
      <c r="BL62" s="1" t="str">
        <f t="shared" ref="BL62" si="4158">IF(LanBoo2LevelCurrent&gt;=$B62,"-",IF(LanBoo2LevelDesired&lt;$B62,"-",$D62))</f>
        <v>-</v>
      </c>
      <c r="BM62" s="21" t="str">
        <f t="shared" ref="BM62" si="4159">IF(LanBoo2LevelCurrent&gt;=$B62,"-",IF(LanBoo2LevelDesired&lt;$B62,"-",$E62))</f>
        <v>-</v>
      </c>
      <c r="BN62" s="15" t="str">
        <f t="shared" ref="BN62" si="4160">IF(MarGog2LevelCurrent&gt;=$B62,"-",IF(MarGog2LevelDesired&lt;$B62,"-",$C62))</f>
        <v>-</v>
      </c>
      <c r="BO62" s="1" t="str">
        <f t="shared" ref="BO62" si="4161">IF(MarGog2LevelCurrent&gt;=$B62,"-",IF(MarGog2LevelDesired&lt;$B62,"-",$D62))</f>
        <v>-</v>
      </c>
      <c r="BP62" s="21" t="str">
        <f t="shared" ref="BP62" si="4162">IF(MarGog2LevelCurrent&gt;=$B62,"-",IF(MarGog2LevelDesired&lt;$B62,"-",$E62))</f>
        <v>-</v>
      </c>
      <c r="BQ62" s="15" t="str">
        <f t="shared" ref="BQ62" si="4163">IF(MarGlo2LevelCurrent&gt;=$B62,"-",IF(MarGlo2LevelDesired&lt;$B62,"-",$C62))</f>
        <v>-</v>
      </c>
      <c r="BR62" s="1" t="str">
        <f t="shared" ref="BR62" si="4164">IF(MarGlo2LevelCurrent&gt;=$B62,"-",IF(MarGlo2LevelDesired&lt;$B62,"-",$D62))</f>
        <v>-</v>
      </c>
      <c r="BS62" s="21" t="str">
        <f t="shared" ref="BS62" si="4165">IF(MarGlo2LevelCurrent&gt;=$B62,"-",IF(MarGlo2LevelDesired&lt;$B62,"-",$E62))</f>
        <v>-</v>
      </c>
      <c r="BT62" s="15" t="str">
        <f t="shared" ref="BT62" si="4166">IF(MarBel2LevelCurrent&gt;=$B62,"-",IF(MarBel2LevelDesired&lt;$B62,"-",$C62))</f>
        <v>-</v>
      </c>
      <c r="BU62" s="1" t="str">
        <f t="shared" ref="BU62" si="4167">IF(MarBel2LevelCurrent&gt;=$B62,"-",IF(MarBel2LevelDesired&lt;$B62,"-",$D62))</f>
        <v>-</v>
      </c>
      <c r="BV62" s="21" t="str">
        <f t="shared" ref="BV62" si="4168">IF(MarBel2LevelCurrent&gt;=$B62,"-",IF(MarBel2LevelDesired&lt;$B62,"-",$E62))</f>
        <v>-</v>
      </c>
      <c r="BW62" s="15" t="str">
        <f t="shared" ref="BW62" si="4169">IF(MarBoo2LevelCurrent&gt;=$B62,"-",IF(MarBoo2LevelDesired&lt;$B62,"-",$C62))</f>
        <v>-</v>
      </c>
      <c r="BX62" s="1" t="str">
        <f t="shared" ref="BX62" si="4170">IF(MarBoo2LevelCurrent&gt;=$B62,"-",IF(MarBoo2LevelDesired&lt;$B62,"-",$D62))</f>
        <v>-</v>
      </c>
      <c r="BY62" s="21" t="str">
        <f t="shared" ref="BY62" si="4171">IF(MarBoo2LevelCurrent&gt;=$B62,"-",IF(MarBoo2LevelDesired&lt;$B62,"-",$E62))</f>
        <v>-</v>
      </c>
      <c r="BZ62" s="15" t="str">
        <f t="shared" si="2410"/>
        <v>-</v>
      </c>
      <c r="CA62" s="1" t="str" cm="1">
        <f t="array" ref="CA62">IF(InfGog3LevelCurrent&gt;=$B62,"-",IF(InfGog3LevelDesired&lt;$B62,"-",$D62))</f>
        <v>-</v>
      </c>
      <c r="CB62" s="21" t="str" cm="1">
        <f t="array" ref="CB62">IF(InfGog3LevelCurrent&gt;=$B62,"-",IF(InfGog3LevelDesired&lt;$B62,"-",$E62))</f>
        <v>-</v>
      </c>
      <c r="CC62" s="15" t="str">
        <f t="shared" si="2411"/>
        <v>-</v>
      </c>
      <c r="CD62" s="1" t="str">
        <f t="shared" si="2412"/>
        <v>-</v>
      </c>
      <c r="CE62" s="21" t="str">
        <f t="shared" si="2413"/>
        <v>-</v>
      </c>
      <c r="CF62" s="15" t="str">
        <f t="shared" si="2414"/>
        <v>-</v>
      </c>
      <c r="CG62" s="1" t="str">
        <f t="shared" si="2415"/>
        <v>-</v>
      </c>
      <c r="CH62" s="21" t="str">
        <f t="shared" si="2416"/>
        <v>-</v>
      </c>
      <c r="CI62" s="15" t="str">
        <f t="shared" si="2417"/>
        <v>-</v>
      </c>
      <c r="CJ62" s="1" t="str">
        <f t="shared" si="2418"/>
        <v>-</v>
      </c>
      <c r="CK62" s="21" t="str">
        <f t="shared" si="2419"/>
        <v>-</v>
      </c>
      <c r="CL62" s="15" t="str">
        <f t="shared" si="2420"/>
        <v>-</v>
      </c>
      <c r="CM62" s="1" t="str">
        <f t="shared" si="2421"/>
        <v>-</v>
      </c>
      <c r="CN62" s="21" t="str">
        <f t="shared" si="2422"/>
        <v>-</v>
      </c>
      <c r="CO62" s="15" t="str">
        <f t="shared" si="2423"/>
        <v>-</v>
      </c>
      <c r="CP62" s="1" t="str">
        <f t="shared" si="2424"/>
        <v>-</v>
      </c>
      <c r="CQ62" s="21" t="str">
        <f t="shared" si="2425"/>
        <v>-</v>
      </c>
      <c r="CR62" s="15" t="str">
        <f t="shared" si="2426"/>
        <v>-</v>
      </c>
      <c r="CS62" s="1" t="str">
        <f t="shared" si="2427"/>
        <v>-</v>
      </c>
      <c r="CT62" s="21" t="str">
        <f t="shared" si="2428"/>
        <v>-</v>
      </c>
      <c r="CU62" s="15" t="str">
        <f t="shared" si="2429"/>
        <v>-</v>
      </c>
      <c r="CV62" s="1" t="str">
        <f t="shared" si="2430"/>
        <v>-</v>
      </c>
      <c r="CW62" s="21" t="str">
        <f t="shared" si="2431"/>
        <v>-</v>
      </c>
      <c r="CX62" s="15" t="str">
        <f t="shared" si="2432"/>
        <v>-</v>
      </c>
      <c r="CY62" s="1" t="str">
        <f t="shared" si="2433"/>
        <v>-</v>
      </c>
      <c r="CZ62" s="21" t="str">
        <f t="shared" si="2434"/>
        <v>-</v>
      </c>
      <c r="DA62" s="15" t="str">
        <f t="shared" si="2435"/>
        <v>-</v>
      </c>
      <c r="DB62" s="1" t="str">
        <f t="shared" si="2436"/>
        <v>-</v>
      </c>
      <c r="DC62" s="21" t="str">
        <f t="shared" si="2437"/>
        <v>-</v>
      </c>
      <c r="DD62" s="15" t="str">
        <f t="shared" si="2438"/>
        <v>-</v>
      </c>
      <c r="DE62" s="1" t="str">
        <f t="shared" si="2439"/>
        <v>-</v>
      </c>
      <c r="DF62" s="21" t="str">
        <f t="shared" si="2440"/>
        <v>-</v>
      </c>
      <c r="DG62" s="15" t="str">
        <f t="shared" si="2441"/>
        <v>-</v>
      </c>
      <c r="DH62" s="1" t="str">
        <f t="shared" si="2442"/>
        <v>-</v>
      </c>
      <c r="DI62" s="21" t="str">
        <f t="shared" si="2443"/>
        <v>-</v>
      </c>
    </row>
    <row r="63" spans="2:113" x14ac:dyDescent="0.3">
      <c r="B63" s="1">
        <v>58</v>
      </c>
      <c r="C63" s="67">
        <v>630</v>
      </c>
      <c r="D63" s="88" t="s">
        <v>27</v>
      </c>
      <c r="E63" s="21" t="s">
        <v>27</v>
      </c>
      <c r="F63" s="15" t="str">
        <f t="shared" ref="F63" si="4172">IF(InfGog1LevelCurrent&gt;=$B63,"-",IF(InfGog1LevelDesired&lt;$B63,"-",$C63))</f>
        <v>-</v>
      </c>
      <c r="G63" s="1" t="str">
        <f t="shared" ref="G63" si="4173">IF(InfGog1LevelCurrent&gt;=$B63,"-",IF(InfGog1LevelDesired&lt;$B63,"-",$D63))</f>
        <v>-</v>
      </c>
      <c r="H63" s="21" t="str">
        <f t="shared" ref="H63" si="4174">IF(InfGog1LevelCurrent&gt;=$B63,"-",IF(InfGog1LevelDesired&lt;$B63,"-",$E63))</f>
        <v>-</v>
      </c>
      <c r="I63" s="15" t="str">
        <f t="shared" ref="I63" si="4175">IF(InfGlo1LevelCurrent&gt;=$B63,"-",IF(InfGlo1LevelDesired&lt;$B63,"-",$C63))</f>
        <v>-</v>
      </c>
      <c r="J63" s="1" t="str">
        <f t="shared" ref="J63" si="4176">IF(InfGlo1LevelCurrent&gt;=$B63,"-",IF(InfGlo1LevelDesired&lt;$B63,"-",$D63))</f>
        <v>-</v>
      </c>
      <c r="K63" s="21" t="str">
        <f t="shared" ref="K63" si="4177">IF(InfGlo1LevelCurrent&gt;=$B63,"-",IF(InfGlo1LevelDesired&lt;$B63,"-",$E63))</f>
        <v>-</v>
      </c>
      <c r="L63" s="15" t="str">
        <f t="shared" ref="L63" si="4178">IF(InfBel1LevelCurrent&gt;=$B63,"-",IF(InfBel1LevelDesired&lt;$B63,"-",$C63))</f>
        <v>-</v>
      </c>
      <c r="M63" s="1" t="str">
        <f t="shared" ref="M63" si="4179">IF(InfBel1LevelCurrent&gt;=$B63,"-",IF(InfBel1LevelDesired&lt;$B63,"-",$D63))</f>
        <v>-</v>
      </c>
      <c r="N63" s="21" t="str">
        <f t="shared" ref="N63" si="4180">IF(InfBel1LevelCurrent&gt;=$B63,"-",IF(InfBel1LevelDesired&lt;$B63,"-",$E63))</f>
        <v>-</v>
      </c>
      <c r="O63" s="15" t="str">
        <f t="shared" ref="O63" si="4181">IF(InfBoo1LevelCurrent&gt;=$B63,"-",IF(InfBoo1LevelDesired&lt;$B63,"-",$C63))</f>
        <v>-</v>
      </c>
      <c r="P63" s="1" t="str">
        <f t="shared" ref="P63" si="4182">IF(InfBoo1LevelCurrent&gt;=$B63,"-",IF(InfBoo1LevelDesired&lt;$B63,"-",$D63))</f>
        <v>-</v>
      </c>
      <c r="Q63" s="21" t="str">
        <f t="shared" ref="Q63" si="4183">IF(InfBoo1LevelCurrent&gt;=$B63,"-",IF(InfBoo1LevelDesired&lt;$B63,"-",$E63))</f>
        <v>-</v>
      </c>
      <c r="R63" s="15" t="str">
        <f t="shared" ref="R63" si="4184">IF(LanGog1LevelCurrent&gt;=$B63,"-",IF(LanGog1LevelDesired&lt;$B63,"-",$C63))</f>
        <v>-</v>
      </c>
      <c r="S63" s="1" t="str">
        <f t="shared" ref="S63" si="4185">IF(LanGog1LevelCurrent&gt;=$B63,"-",IF(LanGog1LevelDesired&lt;$B63,"-",$D63))</f>
        <v>-</v>
      </c>
      <c r="T63" s="21" t="str">
        <f t="shared" ref="T63" si="4186">IF(LanGog1LevelCurrent&gt;=$B63,"-",IF(LanGog1LevelDesired&lt;$B63,"-",$E63))</f>
        <v>-</v>
      </c>
      <c r="U63" s="15" t="str">
        <f t="shared" ref="U63" si="4187">IF(LanGlo1LevelCurrent&gt;=$B63,"-",IF(LanGlo1LevelDesired&lt;$B63,"-",$C63))</f>
        <v>-</v>
      </c>
      <c r="V63" s="1" t="str">
        <f t="shared" ref="V63" si="4188">IF(LanGlo1LevelCurrent&gt;=$B63,"-",IF(LanGlo1LevelDesired&lt;$B63,"-",$D63))</f>
        <v>-</v>
      </c>
      <c r="W63" s="21" t="str">
        <f t="shared" ref="W63" si="4189">IF(LanGlo1LevelCurrent&gt;=$B63,"-",IF(LanGlo1LevelDesired&lt;$B63,"-",$E63))</f>
        <v>-</v>
      </c>
      <c r="X63" s="15" t="str">
        <f t="shared" ref="X63" si="4190">IF(LanBel1LevelCurrent&gt;=$B63,"-",IF(LanBel1LevelDesired&lt;$B63,"-",$C63))</f>
        <v>-</v>
      </c>
      <c r="Y63" s="1" t="str">
        <f t="shared" ref="Y63" si="4191">IF(LanBel1LevelCurrent&gt;=$B63,"-",IF(LanBel1LevelDesired&lt;$B63,"-",$D63))</f>
        <v>-</v>
      </c>
      <c r="Z63" s="21" t="str">
        <f t="shared" ref="Z63" si="4192">IF(LanBel1LevelCurrent&gt;=$B63,"-",IF(LanBel1LevelDesired&lt;$B63,"-",$E63))</f>
        <v>-</v>
      </c>
      <c r="AA63" s="15" t="str">
        <f t="shared" ref="AA63" si="4193">IF(LanBoo1LevelCurrent&gt;=$B63,"-",IF(LanBoo1LevelDesired&lt;$B63,"-",$C63))</f>
        <v>-</v>
      </c>
      <c r="AB63" s="1" t="str">
        <f t="shared" ref="AB63" si="4194">IF(LanBoo1LevelCurrent&gt;=$B63,"-",IF(LanBoo1LevelDesired&lt;$B63,"-",$D63))</f>
        <v>-</v>
      </c>
      <c r="AC63" s="21" t="str">
        <f t="shared" ref="AC63" si="4195">IF(LanBoo1LevelCurrent&gt;=$B63,"-",IF(LanBoo1LevelDesired&lt;$B63,"-",$E63))</f>
        <v>-</v>
      </c>
      <c r="AD63" s="15" t="str">
        <f t="shared" ref="AD63" si="4196">IF(MarGog1LevelCurrent&gt;=$B63,"-",IF(MarGog1LevelDesired&lt;$B63,"-",$C63))</f>
        <v>-</v>
      </c>
      <c r="AE63" s="1" t="str">
        <f t="shared" ref="AE63" si="4197">IF(MarGog1LevelCurrent&gt;=$B63,"-",IF(MarGog1LevelDesired&lt;$B63,"-",$D63))</f>
        <v>-</v>
      </c>
      <c r="AF63" s="21" t="str">
        <f t="shared" ref="AF63" si="4198">IF(MarGog1LevelCurrent&gt;=$B63,"-",IF(MarGog1LevelDesired&lt;$B63,"-",$E63))</f>
        <v>-</v>
      </c>
      <c r="AG63" s="15" t="str">
        <f t="shared" ref="AG63" si="4199">IF(MarGlo1LevelCurrent&gt;=$B63,"-",IF(MarGlo1LevelDesired&lt;$B63,"-",$C63))</f>
        <v>-</v>
      </c>
      <c r="AH63" s="1" t="str">
        <f t="shared" ref="AH63" si="4200">IF(MarGlo1LevelCurrent&gt;=$B63,"-",IF(MarGlo1LevelDesired&lt;$B63,"-",$D63))</f>
        <v>-</v>
      </c>
      <c r="AI63" s="21" t="str">
        <f t="shared" ref="AI63" si="4201">IF(MarGlo1LevelCurrent&gt;=$B63,"-",IF(MarGlo1LevelDesired&lt;$B63,"-",$E63))</f>
        <v>-</v>
      </c>
      <c r="AJ63" s="15" t="str">
        <f t="shared" ref="AJ63" si="4202">IF(MarBel1LevelCurrent&gt;=$B63,"-",IF(MarBel1LevelDesired&lt;$B63,"-",$C63))</f>
        <v>-</v>
      </c>
      <c r="AK63" s="1" t="str">
        <f t="shared" ref="AK63" si="4203">IF(MarBel1LevelCurrent&gt;=$B63,"-",IF(MarBel1LevelDesired&lt;$B63,"-",$D63))</f>
        <v>-</v>
      </c>
      <c r="AL63" s="21" t="str">
        <f t="shared" ref="AL63" si="4204">IF(MarBel1LevelCurrent&gt;=$B63,"-",IF(MarBel1LevelDesired&lt;$B63,"-",$E63))</f>
        <v>-</v>
      </c>
      <c r="AM63" s="15" t="str">
        <f t="shared" ref="AM63" si="4205">IF(MarBoo1LevelCurrent&gt;=$B63,"-",IF(MarBoo1LevelDesired&lt;$B63,"-",$C63))</f>
        <v>-</v>
      </c>
      <c r="AN63" s="1" t="str">
        <f t="shared" ref="AN63" si="4206">IF(MarBoo1LevelCurrent&gt;=$B63,"-",IF(MarBoo1LevelDesired&lt;$B63,"-",$D63))</f>
        <v>-</v>
      </c>
      <c r="AO63" s="21" t="str">
        <f t="shared" ref="AO63" si="4207">IF(MarBoo1LevelCurrent&gt;=$B63,"-",IF(MarBoo1LevelDesired&lt;$B63,"-",$E63))</f>
        <v>-</v>
      </c>
      <c r="AP63" s="15" t="str">
        <f t="shared" ref="AP63" si="4208">IF(InfGog2LevelCurrent&gt;=$B63,"-",IF(InfGog2LevelDesired&lt;$B63,"-",$C63))</f>
        <v>-</v>
      </c>
      <c r="AQ63" s="1" t="str">
        <f t="shared" ref="AQ63" si="4209">IF(InfGog2LevelCurrent&gt;=$B63,"-",IF(InfGog2LevelDesired&lt;$B63,"-",$D63))</f>
        <v>-</v>
      </c>
      <c r="AR63" s="21" t="str">
        <f t="shared" ref="AR63" si="4210">IF(InfGog2LevelCurrent&gt;=$B63,"-",IF(InfGog2LevelDesired&lt;$B63,"-",$E63))</f>
        <v>-</v>
      </c>
      <c r="AS63" s="15" t="str">
        <f t="shared" ref="AS63" si="4211">IF(InfGlo2LevelCurrent&gt;=$B63,"-",IF(InfGlo2LevelDesired&lt;$B63,"-",$C63))</f>
        <v>-</v>
      </c>
      <c r="AT63" s="1" t="str">
        <f t="shared" ref="AT63" si="4212">IF(InfGlo2LevelCurrent&gt;=$B63,"-",IF(InfGlo2LevelDesired&lt;$B63,"-",$D63))</f>
        <v>-</v>
      </c>
      <c r="AU63" s="21" t="str">
        <f t="shared" ref="AU63" si="4213">IF(InfGlo2LevelCurrent&gt;=$B63,"-",IF(InfGlo2LevelDesired&lt;$B63,"-",$E63))</f>
        <v>-</v>
      </c>
      <c r="AV63" s="15" t="str">
        <f t="shared" ref="AV63" si="4214">IF(InfBel2LevelCurrent&gt;=$B63,"-",IF(InfBel2LevelDesired&lt;$B63,"-",$C63))</f>
        <v>-</v>
      </c>
      <c r="AW63" s="1" t="str">
        <f t="shared" ref="AW63" si="4215">IF(InfBel2LevelCurrent&gt;=$B63,"-",IF(InfBel2LevelDesired&lt;$B63,"-",$D63))</f>
        <v>-</v>
      </c>
      <c r="AX63" s="21" t="str">
        <f t="shared" ref="AX63" si="4216">IF(InfBel2LevelCurrent&gt;=$B63,"-",IF(InfBel2LevelDesired&lt;$B63,"-",$E63))</f>
        <v>-</v>
      </c>
      <c r="AY63" s="15" t="str">
        <f t="shared" ref="AY63" si="4217">IF(InfBoo2LevelCurrent&gt;=$B63,"-",IF(InfBoo2LevelDesired&lt;$B63,"-",$C63))</f>
        <v>-</v>
      </c>
      <c r="AZ63" s="1" t="str">
        <f t="shared" ref="AZ63" si="4218">IF(InfBoo2LevelCurrent&gt;=$B63,"-",IF(InfBoo2LevelDesired&lt;$B63,"-",$D63))</f>
        <v>-</v>
      </c>
      <c r="BA63" s="21" t="str">
        <f t="shared" ref="BA63" si="4219">IF(InfBoo2LevelCurrent&gt;=$B63,"-",IF(InfBoo2LevelDesired&lt;$B63,"-",$E63))</f>
        <v>-</v>
      </c>
      <c r="BB63" s="15" t="str">
        <f t="shared" ref="BB63" si="4220">IF(LanGog2LevelCurrent&gt;=$B63,"-",IF(LanGog2LevelDesired&lt;$B63,"-",$C63))</f>
        <v>-</v>
      </c>
      <c r="BC63" s="1" t="str">
        <f t="shared" ref="BC63" si="4221">IF(LanGog2LevelCurrent&gt;=$B63,"-",IF(LanGog2LevelDesired&lt;$B63,"-",$D63))</f>
        <v>-</v>
      </c>
      <c r="BD63" s="21" t="str">
        <f t="shared" ref="BD63" si="4222">IF(LanGog2LevelCurrent&gt;=$B63,"-",IF(LanGog2LevelDesired&lt;$B63,"-",$E63))</f>
        <v>-</v>
      </c>
      <c r="BE63" s="15" t="str">
        <f t="shared" ref="BE63" si="4223">IF(LanGlo2LevelCurrent&gt;=$B63,"-",IF(LanGlo2LevelDesired&lt;$B63,"-",$C63))</f>
        <v>-</v>
      </c>
      <c r="BF63" s="1" t="str">
        <f t="shared" ref="BF63" si="4224">IF(LanGlo2LevelCurrent&gt;=$B63,"-",IF(LanGlo2LevelDesired&lt;$B63,"-",$D63))</f>
        <v>-</v>
      </c>
      <c r="BG63" s="21" t="str">
        <f t="shared" ref="BG63" si="4225">IF(LanGlo2LevelCurrent&gt;=$B63,"-",IF(LanGlo2LevelDesired&lt;$B63,"-",$E63))</f>
        <v>-</v>
      </c>
      <c r="BH63" s="15" t="str">
        <f t="shared" ref="BH63" si="4226">IF(LanBel2LevelCurrent&gt;=$B63,"-",IF(LanBel2LevelDesired&lt;$B63,"-",$C63))</f>
        <v>-</v>
      </c>
      <c r="BI63" s="1" t="str">
        <f t="shared" ref="BI63" si="4227">IF(LanBel2LevelCurrent&gt;=$B63,"-",IF(LanBel2LevelDesired&lt;$B63,"-",$D63))</f>
        <v>-</v>
      </c>
      <c r="BJ63" s="21" t="str">
        <f t="shared" ref="BJ63" si="4228">IF(LanBel2LevelCurrent&gt;=$B63,"-",IF(LanBel2LevelDesired&lt;$B63,"-",$E63))</f>
        <v>-</v>
      </c>
      <c r="BK63" s="15" t="str">
        <f t="shared" ref="BK63" si="4229">IF(LanBoo2LevelCurrent&gt;=$B63,"-",IF(LanBoo2LevelDesired&lt;$B63,"-",$C63))</f>
        <v>-</v>
      </c>
      <c r="BL63" s="1" t="str">
        <f t="shared" ref="BL63" si="4230">IF(LanBoo2LevelCurrent&gt;=$B63,"-",IF(LanBoo2LevelDesired&lt;$B63,"-",$D63))</f>
        <v>-</v>
      </c>
      <c r="BM63" s="21" t="str">
        <f t="shared" ref="BM63" si="4231">IF(LanBoo2LevelCurrent&gt;=$B63,"-",IF(LanBoo2LevelDesired&lt;$B63,"-",$E63))</f>
        <v>-</v>
      </c>
      <c r="BN63" s="15" t="str">
        <f t="shared" ref="BN63" si="4232">IF(MarGog2LevelCurrent&gt;=$B63,"-",IF(MarGog2LevelDesired&lt;$B63,"-",$C63))</f>
        <v>-</v>
      </c>
      <c r="BO63" s="1" t="str">
        <f t="shared" ref="BO63" si="4233">IF(MarGog2LevelCurrent&gt;=$B63,"-",IF(MarGog2LevelDesired&lt;$B63,"-",$D63))</f>
        <v>-</v>
      </c>
      <c r="BP63" s="21" t="str">
        <f t="shared" ref="BP63" si="4234">IF(MarGog2LevelCurrent&gt;=$B63,"-",IF(MarGog2LevelDesired&lt;$B63,"-",$E63))</f>
        <v>-</v>
      </c>
      <c r="BQ63" s="15" t="str">
        <f t="shared" ref="BQ63" si="4235">IF(MarGlo2LevelCurrent&gt;=$B63,"-",IF(MarGlo2LevelDesired&lt;$B63,"-",$C63))</f>
        <v>-</v>
      </c>
      <c r="BR63" s="1" t="str">
        <f t="shared" ref="BR63" si="4236">IF(MarGlo2LevelCurrent&gt;=$B63,"-",IF(MarGlo2LevelDesired&lt;$B63,"-",$D63))</f>
        <v>-</v>
      </c>
      <c r="BS63" s="21" t="str">
        <f t="shared" ref="BS63" si="4237">IF(MarGlo2LevelCurrent&gt;=$B63,"-",IF(MarGlo2LevelDesired&lt;$B63,"-",$E63))</f>
        <v>-</v>
      </c>
      <c r="BT63" s="15" t="str">
        <f t="shared" ref="BT63" si="4238">IF(MarBel2LevelCurrent&gt;=$B63,"-",IF(MarBel2LevelDesired&lt;$B63,"-",$C63))</f>
        <v>-</v>
      </c>
      <c r="BU63" s="1" t="str">
        <f t="shared" ref="BU63" si="4239">IF(MarBel2LevelCurrent&gt;=$B63,"-",IF(MarBel2LevelDesired&lt;$B63,"-",$D63))</f>
        <v>-</v>
      </c>
      <c r="BV63" s="21" t="str">
        <f t="shared" ref="BV63" si="4240">IF(MarBel2LevelCurrent&gt;=$B63,"-",IF(MarBel2LevelDesired&lt;$B63,"-",$E63))</f>
        <v>-</v>
      </c>
      <c r="BW63" s="15" t="str">
        <f t="shared" ref="BW63" si="4241">IF(MarBoo2LevelCurrent&gt;=$B63,"-",IF(MarBoo2LevelDesired&lt;$B63,"-",$C63))</f>
        <v>-</v>
      </c>
      <c r="BX63" s="1" t="str">
        <f t="shared" ref="BX63" si="4242">IF(MarBoo2LevelCurrent&gt;=$B63,"-",IF(MarBoo2LevelDesired&lt;$B63,"-",$D63))</f>
        <v>-</v>
      </c>
      <c r="BY63" s="21" t="str">
        <f t="shared" ref="BY63" si="4243">IF(MarBoo2LevelCurrent&gt;=$B63,"-",IF(MarBoo2LevelDesired&lt;$B63,"-",$E63))</f>
        <v>-</v>
      </c>
      <c r="BZ63" s="15" t="str">
        <f t="shared" si="2410"/>
        <v>-</v>
      </c>
      <c r="CA63" s="1" t="str" cm="1">
        <f t="array" ref="CA63">IF(InfGog3LevelCurrent&gt;=$B63,"-",IF(InfGog3LevelDesired&lt;$B63,"-",$D63))</f>
        <v>-</v>
      </c>
      <c r="CB63" s="21" t="str" cm="1">
        <f t="array" ref="CB63">IF(InfGog3LevelCurrent&gt;=$B63,"-",IF(InfGog3LevelDesired&lt;$B63,"-",$E63))</f>
        <v>-</v>
      </c>
      <c r="CC63" s="15" t="str">
        <f t="shared" si="2411"/>
        <v>-</v>
      </c>
      <c r="CD63" s="1" t="str">
        <f t="shared" si="2412"/>
        <v>-</v>
      </c>
      <c r="CE63" s="21" t="str">
        <f t="shared" si="2413"/>
        <v>-</v>
      </c>
      <c r="CF63" s="15" t="str">
        <f t="shared" si="2414"/>
        <v>-</v>
      </c>
      <c r="CG63" s="1" t="str">
        <f t="shared" si="2415"/>
        <v>-</v>
      </c>
      <c r="CH63" s="21" t="str">
        <f t="shared" si="2416"/>
        <v>-</v>
      </c>
      <c r="CI63" s="15" t="str">
        <f t="shared" si="2417"/>
        <v>-</v>
      </c>
      <c r="CJ63" s="1" t="str">
        <f t="shared" si="2418"/>
        <v>-</v>
      </c>
      <c r="CK63" s="21" t="str">
        <f t="shared" si="2419"/>
        <v>-</v>
      </c>
      <c r="CL63" s="15" t="str">
        <f t="shared" si="2420"/>
        <v>-</v>
      </c>
      <c r="CM63" s="1" t="str">
        <f t="shared" si="2421"/>
        <v>-</v>
      </c>
      <c r="CN63" s="21" t="str">
        <f t="shared" si="2422"/>
        <v>-</v>
      </c>
      <c r="CO63" s="15" t="str">
        <f t="shared" si="2423"/>
        <v>-</v>
      </c>
      <c r="CP63" s="1" t="str">
        <f t="shared" si="2424"/>
        <v>-</v>
      </c>
      <c r="CQ63" s="21" t="str">
        <f t="shared" si="2425"/>
        <v>-</v>
      </c>
      <c r="CR63" s="15" t="str">
        <f t="shared" si="2426"/>
        <v>-</v>
      </c>
      <c r="CS63" s="1" t="str">
        <f t="shared" si="2427"/>
        <v>-</v>
      </c>
      <c r="CT63" s="21" t="str">
        <f t="shared" si="2428"/>
        <v>-</v>
      </c>
      <c r="CU63" s="15" t="str">
        <f t="shared" si="2429"/>
        <v>-</v>
      </c>
      <c r="CV63" s="1" t="str">
        <f t="shared" si="2430"/>
        <v>-</v>
      </c>
      <c r="CW63" s="21" t="str">
        <f t="shared" si="2431"/>
        <v>-</v>
      </c>
      <c r="CX63" s="15" t="str">
        <f t="shared" si="2432"/>
        <v>-</v>
      </c>
      <c r="CY63" s="1" t="str">
        <f t="shared" si="2433"/>
        <v>-</v>
      </c>
      <c r="CZ63" s="21" t="str">
        <f t="shared" si="2434"/>
        <v>-</v>
      </c>
      <c r="DA63" s="15" t="str">
        <f t="shared" si="2435"/>
        <v>-</v>
      </c>
      <c r="DB63" s="1" t="str">
        <f t="shared" si="2436"/>
        <v>-</v>
      </c>
      <c r="DC63" s="21" t="str">
        <f t="shared" si="2437"/>
        <v>-</v>
      </c>
      <c r="DD63" s="15" t="str">
        <f t="shared" si="2438"/>
        <v>-</v>
      </c>
      <c r="DE63" s="1" t="str">
        <f t="shared" si="2439"/>
        <v>-</v>
      </c>
      <c r="DF63" s="21" t="str">
        <f t="shared" si="2440"/>
        <v>-</v>
      </c>
      <c r="DG63" s="15" t="str">
        <f t="shared" si="2441"/>
        <v>-</v>
      </c>
      <c r="DH63" s="1" t="str">
        <f t="shared" si="2442"/>
        <v>-</v>
      </c>
      <c r="DI63" s="21" t="str">
        <f t="shared" si="2443"/>
        <v>-</v>
      </c>
    </row>
    <row r="64" spans="2:113" x14ac:dyDescent="0.3">
      <c r="B64" s="1">
        <v>59</v>
      </c>
      <c r="C64" s="67">
        <v>650</v>
      </c>
      <c r="D64" s="88" t="s">
        <v>27</v>
      </c>
      <c r="E64" s="21" t="s">
        <v>27</v>
      </c>
      <c r="F64" s="15" t="str">
        <f t="shared" ref="F64" si="4244">IF(InfGog1LevelCurrent&gt;=$B64,"-",IF(InfGog1LevelDesired&lt;$B64,"-",$C64))</f>
        <v>-</v>
      </c>
      <c r="G64" s="1" t="str">
        <f t="shared" ref="G64" si="4245">IF(InfGog1LevelCurrent&gt;=$B64,"-",IF(InfGog1LevelDesired&lt;$B64,"-",$D64))</f>
        <v>-</v>
      </c>
      <c r="H64" s="21" t="str">
        <f t="shared" ref="H64" si="4246">IF(InfGog1LevelCurrent&gt;=$B64,"-",IF(InfGog1LevelDesired&lt;$B64,"-",$E64))</f>
        <v>-</v>
      </c>
      <c r="I64" s="15" t="str">
        <f t="shared" ref="I64" si="4247">IF(InfGlo1LevelCurrent&gt;=$B64,"-",IF(InfGlo1LevelDesired&lt;$B64,"-",$C64))</f>
        <v>-</v>
      </c>
      <c r="J64" s="1" t="str">
        <f t="shared" ref="J64" si="4248">IF(InfGlo1LevelCurrent&gt;=$B64,"-",IF(InfGlo1LevelDesired&lt;$B64,"-",$D64))</f>
        <v>-</v>
      </c>
      <c r="K64" s="21" t="str">
        <f t="shared" ref="K64" si="4249">IF(InfGlo1LevelCurrent&gt;=$B64,"-",IF(InfGlo1LevelDesired&lt;$B64,"-",$E64))</f>
        <v>-</v>
      </c>
      <c r="L64" s="15" t="str">
        <f t="shared" ref="L64" si="4250">IF(InfBel1LevelCurrent&gt;=$B64,"-",IF(InfBel1LevelDesired&lt;$B64,"-",$C64))</f>
        <v>-</v>
      </c>
      <c r="M64" s="1" t="str">
        <f t="shared" ref="M64" si="4251">IF(InfBel1LevelCurrent&gt;=$B64,"-",IF(InfBel1LevelDesired&lt;$B64,"-",$D64))</f>
        <v>-</v>
      </c>
      <c r="N64" s="21" t="str">
        <f t="shared" ref="N64" si="4252">IF(InfBel1LevelCurrent&gt;=$B64,"-",IF(InfBel1LevelDesired&lt;$B64,"-",$E64))</f>
        <v>-</v>
      </c>
      <c r="O64" s="15" t="str">
        <f t="shared" ref="O64" si="4253">IF(InfBoo1LevelCurrent&gt;=$B64,"-",IF(InfBoo1LevelDesired&lt;$B64,"-",$C64))</f>
        <v>-</v>
      </c>
      <c r="P64" s="1" t="str">
        <f t="shared" ref="P64" si="4254">IF(InfBoo1LevelCurrent&gt;=$B64,"-",IF(InfBoo1LevelDesired&lt;$B64,"-",$D64))</f>
        <v>-</v>
      </c>
      <c r="Q64" s="21" t="str">
        <f t="shared" ref="Q64" si="4255">IF(InfBoo1LevelCurrent&gt;=$B64,"-",IF(InfBoo1LevelDesired&lt;$B64,"-",$E64))</f>
        <v>-</v>
      </c>
      <c r="R64" s="15" t="str">
        <f t="shared" ref="R64" si="4256">IF(LanGog1LevelCurrent&gt;=$B64,"-",IF(LanGog1LevelDesired&lt;$B64,"-",$C64))</f>
        <v>-</v>
      </c>
      <c r="S64" s="1" t="str">
        <f t="shared" ref="S64" si="4257">IF(LanGog1LevelCurrent&gt;=$B64,"-",IF(LanGog1LevelDesired&lt;$B64,"-",$D64))</f>
        <v>-</v>
      </c>
      <c r="T64" s="21" t="str">
        <f t="shared" ref="T64" si="4258">IF(LanGog1LevelCurrent&gt;=$B64,"-",IF(LanGog1LevelDesired&lt;$B64,"-",$E64))</f>
        <v>-</v>
      </c>
      <c r="U64" s="15" t="str">
        <f t="shared" ref="U64" si="4259">IF(LanGlo1LevelCurrent&gt;=$B64,"-",IF(LanGlo1LevelDesired&lt;$B64,"-",$C64))</f>
        <v>-</v>
      </c>
      <c r="V64" s="1" t="str">
        <f t="shared" ref="V64" si="4260">IF(LanGlo1LevelCurrent&gt;=$B64,"-",IF(LanGlo1LevelDesired&lt;$B64,"-",$D64))</f>
        <v>-</v>
      </c>
      <c r="W64" s="21" t="str">
        <f t="shared" ref="W64" si="4261">IF(LanGlo1LevelCurrent&gt;=$B64,"-",IF(LanGlo1LevelDesired&lt;$B64,"-",$E64))</f>
        <v>-</v>
      </c>
      <c r="X64" s="15" t="str">
        <f t="shared" ref="X64" si="4262">IF(LanBel1LevelCurrent&gt;=$B64,"-",IF(LanBel1LevelDesired&lt;$B64,"-",$C64))</f>
        <v>-</v>
      </c>
      <c r="Y64" s="1" t="str">
        <f t="shared" ref="Y64" si="4263">IF(LanBel1LevelCurrent&gt;=$B64,"-",IF(LanBel1LevelDesired&lt;$B64,"-",$D64))</f>
        <v>-</v>
      </c>
      <c r="Z64" s="21" t="str">
        <f t="shared" ref="Z64" si="4264">IF(LanBel1LevelCurrent&gt;=$B64,"-",IF(LanBel1LevelDesired&lt;$B64,"-",$E64))</f>
        <v>-</v>
      </c>
      <c r="AA64" s="15" t="str">
        <f t="shared" ref="AA64" si="4265">IF(LanBoo1LevelCurrent&gt;=$B64,"-",IF(LanBoo1LevelDesired&lt;$B64,"-",$C64))</f>
        <v>-</v>
      </c>
      <c r="AB64" s="1" t="str">
        <f t="shared" ref="AB64" si="4266">IF(LanBoo1LevelCurrent&gt;=$B64,"-",IF(LanBoo1LevelDesired&lt;$B64,"-",$D64))</f>
        <v>-</v>
      </c>
      <c r="AC64" s="21" t="str">
        <f t="shared" ref="AC64" si="4267">IF(LanBoo1LevelCurrent&gt;=$B64,"-",IF(LanBoo1LevelDesired&lt;$B64,"-",$E64))</f>
        <v>-</v>
      </c>
      <c r="AD64" s="15" t="str">
        <f t="shared" ref="AD64" si="4268">IF(MarGog1LevelCurrent&gt;=$B64,"-",IF(MarGog1LevelDesired&lt;$B64,"-",$C64))</f>
        <v>-</v>
      </c>
      <c r="AE64" s="1" t="str">
        <f t="shared" ref="AE64" si="4269">IF(MarGog1LevelCurrent&gt;=$B64,"-",IF(MarGog1LevelDesired&lt;$B64,"-",$D64))</f>
        <v>-</v>
      </c>
      <c r="AF64" s="21" t="str">
        <f t="shared" ref="AF64" si="4270">IF(MarGog1LevelCurrent&gt;=$B64,"-",IF(MarGog1LevelDesired&lt;$B64,"-",$E64))</f>
        <v>-</v>
      </c>
      <c r="AG64" s="15" t="str">
        <f t="shared" ref="AG64" si="4271">IF(MarGlo1LevelCurrent&gt;=$B64,"-",IF(MarGlo1LevelDesired&lt;$B64,"-",$C64))</f>
        <v>-</v>
      </c>
      <c r="AH64" s="1" t="str">
        <f t="shared" ref="AH64" si="4272">IF(MarGlo1LevelCurrent&gt;=$B64,"-",IF(MarGlo1LevelDesired&lt;$B64,"-",$D64))</f>
        <v>-</v>
      </c>
      <c r="AI64" s="21" t="str">
        <f t="shared" ref="AI64" si="4273">IF(MarGlo1LevelCurrent&gt;=$B64,"-",IF(MarGlo1LevelDesired&lt;$B64,"-",$E64))</f>
        <v>-</v>
      </c>
      <c r="AJ64" s="15" t="str">
        <f t="shared" ref="AJ64" si="4274">IF(MarBel1LevelCurrent&gt;=$B64,"-",IF(MarBel1LevelDesired&lt;$B64,"-",$C64))</f>
        <v>-</v>
      </c>
      <c r="AK64" s="1" t="str">
        <f t="shared" ref="AK64" si="4275">IF(MarBel1LevelCurrent&gt;=$B64,"-",IF(MarBel1LevelDesired&lt;$B64,"-",$D64))</f>
        <v>-</v>
      </c>
      <c r="AL64" s="21" t="str">
        <f t="shared" ref="AL64" si="4276">IF(MarBel1LevelCurrent&gt;=$B64,"-",IF(MarBel1LevelDesired&lt;$B64,"-",$E64))</f>
        <v>-</v>
      </c>
      <c r="AM64" s="15" t="str">
        <f t="shared" ref="AM64" si="4277">IF(MarBoo1LevelCurrent&gt;=$B64,"-",IF(MarBoo1LevelDesired&lt;$B64,"-",$C64))</f>
        <v>-</v>
      </c>
      <c r="AN64" s="1" t="str">
        <f t="shared" ref="AN64" si="4278">IF(MarBoo1LevelCurrent&gt;=$B64,"-",IF(MarBoo1LevelDesired&lt;$B64,"-",$D64))</f>
        <v>-</v>
      </c>
      <c r="AO64" s="21" t="str">
        <f t="shared" ref="AO64" si="4279">IF(MarBoo1LevelCurrent&gt;=$B64,"-",IF(MarBoo1LevelDesired&lt;$B64,"-",$E64))</f>
        <v>-</v>
      </c>
      <c r="AP64" s="15" t="str">
        <f t="shared" ref="AP64" si="4280">IF(InfGog2LevelCurrent&gt;=$B64,"-",IF(InfGog2LevelDesired&lt;$B64,"-",$C64))</f>
        <v>-</v>
      </c>
      <c r="AQ64" s="1" t="str">
        <f t="shared" ref="AQ64" si="4281">IF(InfGog2LevelCurrent&gt;=$B64,"-",IF(InfGog2LevelDesired&lt;$B64,"-",$D64))</f>
        <v>-</v>
      </c>
      <c r="AR64" s="21" t="str">
        <f t="shared" ref="AR64" si="4282">IF(InfGog2LevelCurrent&gt;=$B64,"-",IF(InfGog2LevelDesired&lt;$B64,"-",$E64))</f>
        <v>-</v>
      </c>
      <c r="AS64" s="15" t="str">
        <f t="shared" ref="AS64" si="4283">IF(InfGlo2LevelCurrent&gt;=$B64,"-",IF(InfGlo2LevelDesired&lt;$B64,"-",$C64))</f>
        <v>-</v>
      </c>
      <c r="AT64" s="1" t="str">
        <f t="shared" ref="AT64" si="4284">IF(InfGlo2LevelCurrent&gt;=$B64,"-",IF(InfGlo2LevelDesired&lt;$B64,"-",$D64))</f>
        <v>-</v>
      </c>
      <c r="AU64" s="21" t="str">
        <f t="shared" ref="AU64" si="4285">IF(InfGlo2LevelCurrent&gt;=$B64,"-",IF(InfGlo2LevelDesired&lt;$B64,"-",$E64))</f>
        <v>-</v>
      </c>
      <c r="AV64" s="15" t="str">
        <f t="shared" ref="AV64" si="4286">IF(InfBel2LevelCurrent&gt;=$B64,"-",IF(InfBel2LevelDesired&lt;$B64,"-",$C64))</f>
        <v>-</v>
      </c>
      <c r="AW64" s="1" t="str">
        <f t="shared" ref="AW64" si="4287">IF(InfBel2LevelCurrent&gt;=$B64,"-",IF(InfBel2LevelDesired&lt;$B64,"-",$D64))</f>
        <v>-</v>
      </c>
      <c r="AX64" s="21" t="str">
        <f t="shared" ref="AX64" si="4288">IF(InfBel2LevelCurrent&gt;=$B64,"-",IF(InfBel2LevelDesired&lt;$B64,"-",$E64))</f>
        <v>-</v>
      </c>
      <c r="AY64" s="15" t="str">
        <f t="shared" ref="AY64" si="4289">IF(InfBoo2LevelCurrent&gt;=$B64,"-",IF(InfBoo2LevelDesired&lt;$B64,"-",$C64))</f>
        <v>-</v>
      </c>
      <c r="AZ64" s="1" t="str">
        <f t="shared" ref="AZ64" si="4290">IF(InfBoo2LevelCurrent&gt;=$B64,"-",IF(InfBoo2LevelDesired&lt;$B64,"-",$D64))</f>
        <v>-</v>
      </c>
      <c r="BA64" s="21" t="str">
        <f t="shared" ref="BA64" si="4291">IF(InfBoo2LevelCurrent&gt;=$B64,"-",IF(InfBoo2LevelDesired&lt;$B64,"-",$E64))</f>
        <v>-</v>
      </c>
      <c r="BB64" s="15" t="str">
        <f t="shared" ref="BB64" si="4292">IF(LanGog2LevelCurrent&gt;=$B64,"-",IF(LanGog2LevelDesired&lt;$B64,"-",$C64))</f>
        <v>-</v>
      </c>
      <c r="BC64" s="1" t="str">
        <f t="shared" ref="BC64" si="4293">IF(LanGog2LevelCurrent&gt;=$B64,"-",IF(LanGog2LevelDesired&lt;$B64,"-",$D64))</f>
        <v>-</v>
      </c>
      <c r="BD64" s="21" t="str">
        <f t="shared" ref="BD64" si="4294">IF(LanGog2LevelCurrent&gt;=$B64,"-",IF(LanGog2LevelDesired&lt;$B64,"-",$E64))</f>
        <v>-</v>
      </c>
      <c r="BE64" s="15" t="str">
        <f t="shared" ref="BE64" si="4295">IF(LanGlo2LevelCurrent&gt;=$B64,"-",IF(LanGlo2LevelDesired&lt;$B64,"-",$C64))</f>
        <v>-</v>
      </c>
      <c r="BF64" s="1" t="str">
        <f t="shared" ref="BF64" si="4296">IF(LanGlo2LevelCurrent&gt;=$B64,"-",IF(LanGlo2LevelDesired&lt;$B64,"-",$D64))</f>
        <v>-</v>
      </c>
      <c r="BG64" s="21" t="str">
        <f t="shared" ref="BG64" si="4297">IF(LanGlo2LevelCurrent&gt;=$B64,"-",IF(LanGlo2LevelDesired&lt;$B64,"-",$E64))</f>
        <v>-</v>
      </c>
      <c r="BH64" s="15" t="str">
        <f t="shared" ref="BH64" si="4298">IF(LanBel2LevelCurrent&gt;=$B64,"-",IF(LanBel2LevelDesired&lt;$B64,"-",$C64))</f>
        <v>-</v>
      </c>
      <c r="BI64" s="1" t="str">
        <f t="shared" ref="BI64" si="4299">IF(LanBel2LevelCurrent&gt;=$B64,"-",IF(LanBel2LevelDesired&lt;$B64,"-",$D64))</f>
        <v>-</v>
      </c>
      <c r="BJ64" s="21" t="str">
        <f t="shared" ref="BJ64" si="4300">IF(LanBel2LevelCurrent&gt;=$B64,"-",IF(LanBel2LevelDesired&lt;$B64,"-",$E64))</f>
        <v>-</v>
      </c>
      <c r="BK64" s="15" t="str">
        <f t="shared" ref="BK64" si="4301">IF(LanBoo2LevelCurrent&gt;=$B64,"-",IF(LanBoo2LevelDesired&lt;$B64,"-",$C64))</f>
        <v>-</v>
      </c>
      <c r="BL64" s="1" t="str">
        <f t="shared" ref="BL64" si="4302">IF(LanBoo2LevelCurrent&gt;=$B64,"-",IF(LanBoo2LevelDesired&lt;$B64,"-",$D64))</f>
        <v>-</v>
      </c>
      <c r="BM64" s="21" t="str">
        <f t="shared" ref="BM64" si="4303">IF(LanBoo2LevelCurrent&gt;=$B64,"-",IF(LanBoo2LevelDesired&lt;$B64,"-",$E64))</f>
        <v>-</v>
      </c>
      <c r="BN64" s="15" t="str">
        <f t="shared" ref="BN64" si="4304">IF(MarGog2LevelCurrent&gt;=$B64,"-",IF(MarGog2LevelDesired&lt;$B64,"-",$C64))</f>
        <v>-</v>
      </c>
      <c r="BO64" s="1" t="str">
        <f t="shared" ref="BO64" si="4305">IF(MarGog2LevelCurrent&gt;=$B64,"-",IF(MarGog2LevelDesired&lt;$B64,"-",$D64))</f>
        <v>-</v>
      </c>
      <c r="BP64" s="21" t="str">
        <f t="shared" ref="BP64" si="4306">IF(MarGog2LevelCurrent&gt;=$B64,"-",IF(MarGog2LevelDesired&lt;$B64,"-",$E64))</f>
        <v>-</v>
      </c>
      <c r="BQ64" s="15" t="str">
        <f t="shared" ref="BQ64" si="4307">IF(MarGlo2LevelCurrent&gt;=$B64,"-",IF(MarGlo2LevelDesired&lt;$B64,"-",$C64))</f>
        <v>-</v>
      </c>
      <c r="BR64" s="1" t="str">
        <f t="shared" ref="BR64" si="4308">IF(MarGlo2LevelCurrent&gt;=$B64,"-",IF(MarGlo2LevelDesired&lt;$B64,"-",$D64))</f>
        <v>-</v>
      </c>
      <c r="BS64" s="21" t="str">
        <f t="shared" ref="BS64" si="4309">IF(MarGlo2LevelCurrent&gt;=$B64,"-",IF(MarGlo2LevelDesired&lt;$B64,"-",$E64))</f>
        <v>-</v>
      </c>
      <c r="BT64" s="15" t="str">
        <f t="shared" ref="BT64" si="4310">IF(MarBel2LevelCurrent&gt;=$B64,"-",IF(MarBel2LevelDesired&lt;$B64,"-",$C64))</f>
        <v>-</v>
      </c>
      <c r="BU64" s="1" t="str">
        <f t="shared" ref="BU64" si="4311">IF(MarBel2LevelCurrent&gt;=$B64,"-",IF(MarBel2LevelDesired&lt;$B64,"-",$D64))</f>
        <v>-</v>
      </c>
      <c r="BV64" s="21" t="str">
        <f t="shared" ref="BV64" si="4312">IF(MarBel2LevelCurrent&gt;=$B64,"-",IF(MarBel2LevelDesired&lt;$B64,"-",$E64))</f>
        <v>-</v>
      </c>
      <c r="BW64" s="15" t="str">
        <f t="shared" ref="BW64" si="4313">IF(MarBoo2LevelCurrent&gt;=$B64,"-",IF(MarBoo2LevelDesired&lt;$B64,"-",$C64))</f>
        <v>-</v>
      </c>
      <c r="BX64" s="1" t="str">
        <f t="shared" ref="BX64" si="4314">IF(MarBoo2LevelCurrent&gt;=$B64,"-",IF(MarBoo2LevelDesired&lt;$B64,"-",$D64))</f>
        <v>-</v>
      </c>
      <c r="BY64" s="21" t="str">
        <f t="shared" ref="BY64" si="4315">IF(MarBoo2LevelCurrent&gt;=$B64,"-",IF(MarBoo2LevelDesired&lt;$B64,"-",$E64))</f>
        <v>-</v>
      </c>
      <c r="BZ64" s="15" t="str">
        <f t="shared" si="2410"/>
        <v>-</v>
      </c>
      <c r="CA64" s="1" t="str" cm="1">
        <f t="array" ref="CA64">IF(InfGog3LevelCurrent&gt;=$B64,"-",IF(InfGog3LevelDesired&lt;$B64,"-",$D64))</f>
        <v>-</v>
      </c>
      <c r="CB64" s="21" t="str" cm="1">
        <f t="array" ref="CB64">IF(InfGog3LevelCurrent&gt;=$B64,"-",IF(InfGog3LevelDesired&lt;$B64,"-",$E64))</f>
        <v>-</v>
      </c>
      <c r="CC64" s="15" t="str">
        <f t="shared" si="2411"/>
        <v>-</v>
      </c>
      <c r="CD64" s="1" t="str">
        <f t="shared" si="2412"/>
        <v>-</v>
      </c>
      <c r="CE64" s="21" t="str">
        <f t="shared" si="2413"/>
        <v>-</v>
      </c>
      <c r="CF64" s="15" t="str">
        <f t="shared" si="2414"/>
        <v>-</v>
      </c>
      <c r="CG64" s="1" t="str">
        <f t="shared" si="2415"/>
        <v>-</v>
      </c>
      <c r="CH64" s="21" t="str">
        <f t="shared" si="2416"/>
        <v>-</v>
      </c>
      <c r="CI64" s="15" t="str">
        <f t="shared" si="2417"/>
        <v>-</v>
      </c>
      <c r="CJ64" s="1" t="str">
        <f t="shared" si="2418"/>
        <v>-</v>
      </c>
      <c r="CK64" s="21" t="str">
        <f t="shared" si="2419"/>
        <v>-</v>
      </c>
      <c r="CL64" s="15" t="str">
        <f t="shared" si="2420"/>
        <v>-</v>
      </c>
      <c r="CM64" s="1" t="str">
        <f t="shared" si="2421"/>
        <v>-</v>
      </c>
      <c r="CN64" s="21" t="str">
        <f t="shared" si="2422"/>
        <v>-</v>
      </c>
      <c r="CO64" s="15" t="str">
        <f t="shared" si="2423"/>
        <v>-</v>
      </c>
      <c r="CP64" s="1" t="str">
        <f t="shared" si="2424"/>
        <v>-</v>
      </c>
      <c r="CQ64" s="21" t="str">
        <f t="shared" si="2425"/>
        <v>-</v>
      </c>
      <c r="CR64" s="15" t="str">
        <f t="shared" si="2426"/>
        <v>-</v>
      </c>
      <c r="CS64" s="1" t="str">
        <f t="shared" si="2427"/>
        <v>-</v>
      </c>
      <c r="CT64" s="21" t="str">
        <f t="shared" si="2428"/>
        <v>-</v>
      </c>
      <c r="CU64" s="15" t="str">
        <f t="shared" si="2429"/>
        <v>-</v>
      </c>
      <c r="CV64" s="1" t="str">
        <f t="shared" si="2430"/>
        <v>-</v>
      </c>
      <c r="CW64" s="21" t="str">
        <f t="shared" si="2431"/>
        <v>-</v>
      </c>
      <c r="CX64" s="15" t="str">
        <f t="shared" si="2432"/>
        <v>-</v>
      </c>
      <c r="CY64" s="1" t="str">
        <f t="shared" si="2433"/>
        <v>-</v>
      </c>
      <c r="CZ64" s="21" t="str">
        <f t="shared" si="2434"/>
        <v>-</v>
      </c>
      <c r="DA64" s="15" t="str">
        <f t="shared" si="2435"/>
        <v>-</v>
      </c>
      <c r="DB64" s="1" t="str">
        <f t="shared" si="2436"/>
        <v>-</v>
      </c>
      <c r="DC64" s="21" t="str">
        <f t="shared" si="2437"/>
        <v>-</v>
      </c>
      <c r="DD64" s="15" t="str">
        <f t="shared" si="2438"/>
        <v>-</v>
      </c>
      <c r="DE64" s="1" t="str">
        <f t="shared" si="2439"/>
        <v>-</v>
      </c>
      <c r="DF64" s="21" t="str">
        <f t="shared" si="2440"/>
        <v>-</v>
      </c>
      <c r="DG64" s="15" t="str">
        <f t="shared" si="2441"/>
        <v>-</v>
      </c>
      <c r="DH64" s="1" t="str">
        <f t="shared" si="2442"/>
        <v>-</v>
      </c>
      <c r="DI64" s="21" t="str">
        <f t="shared" si="2443"/>
        <v>-</v>
      </c>
    </row>
    <row r="65" spans="2:113" x14ac:dyDescent="0.3">
      <c r="B65" s="1">
        <v>60</v>
      </c>
      <c r="C65" s="67">
        <v>680</v>
      </c>
      <c r="D65" s="88" t="s">
        <v>27</v>
      </c>
      <c r="E65" s="21" t="s">
        <v>27</v>
      </c>
      <c r="F65" s="15" t="str">
        <f t="shared" ref="F65" si="4316">IF(InfGog1LevelCurrent&gt;=$B65,"-",IF(InfGog1LevelDesired&lt;$B65,"-",$C65))</f>
        <v>-</v>
      </c>
      <c r="G65" s="1" t="str">
        <f t="shared" ref="G65" si="4317">IF(InfGog1LevelCurrent&gt;=$B65,"-",IF(InfGog1LevelDesired&lt;$B65,"-",$D65))</f>
        <v>-</v>
      </c>
      <c r="H65" s="21" t="str">
        <f t="shared" ref="H65" si="4318">IF(InfGog1LevelCurrent&gt;=$B65,"-",IF(InfGog1LevelDesired&lt;$B65,"-",$E65))</f>
        <v>-</v>
      </c>
      <c r="I65" s="15" t="str">
        <f t="shared" ref="I65" si="4319">IF(InfGlo1LevelCurrent&gt;=$B65,"-",IF(InfGlo1LevelDesired&lt;$B65,"-",$C65))</f>
        <v>-</v>
      </c>
      <c r="J65" s="1" t="str">
        <f t="shared" ref="J65" si="4320">IF(InfGlo1LevelCurrent&gt;=$B65,"-",IF(InfGlo1LevelDesired&lt;$B65,"-",$D65))</f>
        <v>-</v>
      </c>
      <c r="K65" s="21" t="str">
        <f t="shared" ref="K65" si="4321">IF(InfGlo1LevelCurrent&gt;=$B65,"-",IF(InfGlo1LevelDesired&lt;$B65,"-",$E65))</f>
        <v>-</v>
      </c>
      <c r="L65" s="15" t="str">
        <f t="shared" ref="L65" si="4322">IF(InfBel1LevelCurrent&gt;=$B65,"-",IF(InfBel1LevelDesired&lt;$B65,"-",$C65))</f>
        <v>-</v>
      </c>
      <c r="M65" s="1" t="str">
        <f t="shared" ref="M65" si="4323">IF(InfBel1LevelCurrent&gt;=$B65,"-",IF(InfBel1LevelDesired&lt;$B65,"-",$D65))</f>
        <v>-</v>
      </c>
      <c r="N65" s="21" t="str">
        <f t="shared" ref="N65" si="4324">IF(InfBel1LevelCurrent&gt;=$B65,"-",IF(InfBel1LevelDesired&lt;$B65,"-",$E65))</f>
        <v>-</v>
      </c>
      <c r="O65" s="15" t="str">
        <f t="shared" ref="O65" si="4325">IF(InfBoo1LevelCurrent&gt;=$B65,"-",IF(InfBoo1LevelDesired&lt;$B65,"-",$C65))</f>
        <v>-</v>
      </c>
      <c r="P65" s="1" t="str">
        <f t="shared" ref="P65" si="4326">IF(InfBoo1LevelCurrent&gt;=$B65,"-",IF(InfBoo1LevelDesired&lt;$B65,"-",$D65))</f>
        <v>-</v>
      </c>
      <c r="Q65" s="21" t="str">
        <f t="shared" ref="Q65" si="4327">IF(InfBoo1LevelCurrent&gt;=$B65,"-",IF(InfBoo1LevelDesired&lt;$B65,"-",$E65))</f>
        <v>-</v>
      </c>
      <c r="R65" s="15" t="str">
        <f t="shared" ref="R65" si="4328">IF(LanGog1LevelCurrent&gt;=$B65,"-",IF(LanGog1LevelDesired&lt;$B65,"-",$C65))</f>
        <v>-</v>
      </c>
      <c r="S65" s="1" t="str">
        <f t="shared" ref="S65" si="4329">IF(LanGog1LevelCurrent&gt;=$B65,"-",IF(LanGog1LevelDesired&lt;$B65,"-",$D65))</f>
        <v>-</v>
      </c>
      <c r="T65" s="21" t="str">
        <f t="shared" ref="T65" si="4330">IF(LanGog1LevelCurrent&gt;=$B65,"-",IF(LanGog1LevelDesired&lt;$B65,"-",$E65))</f>
        <v>-</v>
      </c>
      <c r="U65" s="15" t="str">
        <f t="shared" ref="U65" si="4331">IF(LanGlo1LevelCurrent&gt;=$B65,"-",IF(LanGlo1LevelDesired&lt;$B65,"-",$C65))</f>
        <v>-</v>
      </c>
      <c r="V65" s="1" t="str">
        <f t="shared" ref="V65" si="4332">IF(LanGlo1LevelCurrent&gt;=$B65,"-",IF(LanGlo1LevelDesired&lt;$B65,"-",$D65))</f>
        <v>-</v>
      </c>
      <c r="W65" s="21" t="str">
        <f t="shared" ref="W65" si="4333">IF(LanGlo1LevelCurrent&gt;=$B65,"-",IF(LanGlo1LevelDesired&lt;$B65,"-",$E65))</f>
        <v>-</v>
      </c>
      <c r="X65" s="15" t="str">
        <f t="shared" ref="X65" si="4334">IF(LanBel1LevelCurrent&gt;=$B65,"-",IF(LanBel1LevelDesired&lt;$B65,"-",$C65))</f>
        <v>-</v>
      </c>
      <c r="Y65" s="1" t="str">
        <f t="shared" ref="Y65" si="4335">IF(LanBel1LevelCurrent&gt;=$B65,"-",IF(LanBel1LevelDesired&lt;$B65,"-",$D65))</f>
        <v>-</v>
      </c>
      <c r="Z65" s="21" t="str">
        <f t="shared" ref="Z65" si="4336">IF(LanBel1LevelCurrent&gt;=$B65,"-",IF(LanBel1LevelDesired&lt;$B65,"-",$E65))</f>
        <v>-</v>
      </c>
      <c r="AA65" s="15" t="str">
        <f t="shared" ref="AA65" si="4337">IF(LanBoo1LevelCurrent&gt;=$B65,"-",IF(LanBoo1LevelDesired&lt;$B65,"-",$C65))</f>
        <v>-</v>
      </c>
      <c r="AB65" s="1" t="str">
        <f t="shared" ref="AB65" si="4338">IF(LanBoo1LevelCurrent&gt;=$B65,"-",IF(LanBoo1LevelDesired&lt;$B65,"-",$D65))</f>
        <v>-</v>
      </c>
      <c r="AC65" s="21" t="str">
        <f t="shared" ref="AC65" si="4339">IF(LanBoo1LevelCurrent&gt;=$B65,"-",IF(LanBoo1LevelDesired&lt;$B65,"-",$E65))</f>
        <v>-</v>
      </c>
      <c r="AD65" s="15" t="str">
        <f t="shared" ref="AD65" si="4340">IF(MarGog1LevelCurrent&gt;=$B65,"-",IF(MarGog1LevelDesired&lt;$B65,"-",$C65))</f>
        <v>-</v>
      </c>
      <c r="AE65" s="1" t="str">
        <f t="shared" ref="AE65" si="4341">IF(MarGog1LevelCurrent&gt;=$B65,"-",IF(MarGog1LevelDesired&lt;$B65,"-",$D65))</f>
        <v>-</v>
      </c>
      <c r="AF65" s="21" t="str">
        <f t="shared" ref="AF65" si="4342">IF(MarGog1LevelCurrent&gt;=$B65,"-",IF(MarGog1LevelDesired&lt;$B65,"-",$E65))</f>
        <v>-</v>
      </c>
      <c r="AG65" s="15" t="str">
        <f t="shared" ref="AG65" si="4343">IF(MarGlo1LevelCurrent&gt;=$B65,"-",IF(MarGlo1LevelDesired&lt;$B65,"-",$C65))</f>
        <v>-</v>
      </c>
      <c r="AH65" s="1" t="str">
        <f t="shared" ref="AH65" si="4344">IF(MarGlo1LevelCurrent&gt;=$B65,"-",IF(MarGlo1LevelDesired&lt;$B65,"-",$D65))</f>
        <v>-</v>
      </c>
      <c r="AI65" s="21" t="str">
        <f t="shared" ref="AI65" si="4345">IF(MarGlo1LevelCurrent&gt;=$B65,"-",IF(MarGlo1LevelDesired&lt;$B65,"-",$E65))</f>
        <v>-</v>
      </c>
      <c r="AJ65" s="15" t="str">
        <f t="shared" ref="AJ65" si="4346">IF(MarBel1LevelCurrent&gt;=$B65,"-",IF(MarBel1LevelDesired&lt;$B65,"-",$C65))</f>
        <v>-</v>
      </c>
      <c r="AK65" s="1" t="str">
        <f t="shared" ref="AK65" si="4347">IF(MarBel1LevelCurrent&gt;=$B65,"-",IF(MarBel1LevelDesired&lt;$B65,"-",$D65))</f>
        <v>-</v>
      </c>
      <c r="AL65" s="21" t="str">
        <f t="shared" ref="AL65" si="4348">IF(MarBel1LevelCurrent&gt;=$B65,"-",IF(MarBel1LevelDesired&lt;$B65,"-",$E65))</f>
        <v>-</v>
      </c>
      <c r="AM65" s="15" t="str">
        <f t="shared" ref="AM65" si="4349">IF(MarBoo1LevelCurrent&gt;=$B65,"-",IF(MarBoo1LevelDesired&lt;$B65,"-",$C65))</f>
        <v>-</v>
      </c>
      <c r="AN65" s="1" t="str">
        <f t="shared" ref="AN65" si="4350">IF(MarBoo1LevelCurrent&gt;=$B65,"-",IF(MarBoo1LevelDesired&lt;$B65,"-",$D65))</f>
        <v>-</v>
      </c>
      <c r="AO65" s="21" t="str">
        <f t="shared" ref="AO65" si="4351">IF(MarBoo1LevelCurrent&gt;=$B65,"-",IF(MarBoo1LevelDesired&lt;$B65,"-",$E65))</f>
        <v>-</v>
      </c>
      <c r="AP65" s="15" t="str">
        <f t="shared" ref="AP65" si="4352">IF(InfGog2LevelCurrent&gt;=$B65,"-",IF(InfGog2LevelDesired&lt;$B65,"-",$C65))</f>
        <v>-</v>
      </c>
      <c r="AQ65" s="1" t="str">
        <f t="shared" ref="AQ65" si="4353">IF(InfGog2LevelCurrent&gt;=$B65,"-",IF(InfGog2LevelDesired&lt;$B65,"-",$D65))</f>
        <v>-</v>
      </c>
      <c r="AR65" s="21" t="str">
        <f t="shared" ref="AR65" si="4354">IF(InfGog2LevelCurrent&gt;=$B65,"-",IF(InfGog2LevelDesired&lt;$B65,"-",$E65))</f>
        <v>-</v>
      </c>
      <c r="AS65" s="15" t="str">
        <f t="shared" ref="AS65" si="4355">IF(InfGlo2LevelCurrent&gt;=$B65,"-",IF(InfGlo2LevelDesired&lt;$B65,"-",$C65))</f>
        <v>-</v>
      </c>
      <c r="AT65" s="1" t="str">
        <f t="shared" ref="AT65" si="4356">IF(InfGlo2LevelCurrent&gt;=$B65,"-",IF(InfGlo2LevelDesired&lt;$B65,"-",$D65))</f>
        <v>-</v>
      </c>
      <c r="AU65" s="21" t="str">
        <f t="shared" ref="AU65" si="4357">IF(InfGlo2LevelCurrent&gt;=$B65,"-",IF(InfGlo2LevelDesired&lt;$B65,"-",$E65))</f>
        <v>-</v>
      </c>
      <c r="AV65" s="15" t="str">
        <f t="shared" ref="AV65" si="4358">IF(InfBel2LevelCurrent&gt;=$B65,"-",IF(InfBel2LevelDesired&lt;$B65,"-",$C65))</f>
        <v>-</v>
      </c>
      <c r="AW65" s="1" t="str">
        <f t="shared" ref="AW65" si="4359">IF(InfBel2LevelCurrent&gt;=$B65,"-",IF(InfBel2LevelDesired&lt;$B65,"-",$D65))</f>
        <v>-</v>
      </c>
      <c r="AX65" s="21" t="str">
        <f t="shared" ref="AX65" si="4360">IF(InfBel2LevelCurrent&gt;=$B65,"-",IF(InfBel2LevelDesired&lt;$B65,"-",$E65))</f>
        <v>-</v>
      </c>
      <c r="AY65" s="15" t="str">
        <f t="shared" ref="AY65" si="4361">IF(InfBoo2LevelCurrent&gt;=$B65,"-",IF(InfBoo2LevelDesired&lt;$B65,"-",$C65))</f>
        <v>-</v>
      </c>
      <c r="AZ65" s="1" t="str">
        <f t="shared" ref="AZ65" si="4362">IF(InfBoo2LevelCurrent&gt;=$B65,"-",IF(InfBoo2LevelDesired&lt;$B65,"-",$D65))</f>
        <v>-</v>
      </c>
      <c r="BA65" s="21" t="str">
        <f t="shared" ref="BA65" si="4363">IF(InfBoo2LevelCurrent&gt;=$B65,"-",IF(InfBoo2LevelDesired&lt;$B65,"-",$E65))</f>
        <v>-</v>
      </c>
      <c r="BB65" s="15" t="str">
        <f t="shared" ref="BB65" si="4364">IF(LanGog2LevelCurrent&gt;=$B65,"-",IF(LanGog2LevelDesired&lt;$B65,"-",$C65))</f>
        <v>-</v>
      </c>
      <c r="BC65" s="1" t="str">
        <f t="shared" ref="BC65" si="4365">IF(LanGog2LevelCurrent&gt;=$B65,"-",IF(LanGog2LevelDesired&lt;$B65,"-",$D65))</f>
        <v>-</v>
      </c>
      <c r="BD65" s="21" t="str">
        <f t="shared" ref="BD65" si="4366">IF(LanGog2LevelCurrent&gt;=$B65,"-",IF(LanGog2LevelDesired&lt;$B65,"-",$E65))</f>
        <v>-</v>
      </c>
      <c r="BE65" s="15" t="str">
        <f t="shared" ref="BE65" si="4367">IF(LanGlo2LevelCurrent&gt;=$B65,"-",IF(LanGlo2LevelDesired&lt;$B65,"-",$C65))</f>
        <v>-</v>
      </c>
      <c r="BF65" s="1" t="str">
        <f t="shared" ref="BF65" si="4368">IF(LanGlo2LevelCurrent&gt;=$B65,"-",IF(LanGlo2LevelDesired&lt;$B65,"-",$D65))</f>
        <v>-</v>
      </c>
      <c r="BG65" s="21" t="str">
        <f t="shared" ref="BG65" si="4369">IF(LanGlo2LevelCurrent&gt;=$B65,"-",IF(LanGlo2LevelDesired&lt;$B65,"-",$E65))</f>
        <v>-</v>
      </c>
      <c r="BH65" s="15" t="str">
        <f t="shared" ref="BH65" si="4370">IF(LanBel2LevelCurrent&gt;=$B65,"-",IF(LanBel2LevelDesired&lt;$B65,"-",$C65))</f>
        <v>-</v>
      </c>
      <c r="BI65" s="1" t="str">
        <f t="shared" ref="BI65" si="4371">IF(LanBel2LevelCurrent&gt;=$B65,"-",IF(LanBel2LevelDesired&lt;$B65,"-",$D65))</f>
        <v>-</v>
      </c>
      <c r="BJ65" s="21" t="str">
        <f t="shared" ref="BJ65" si="4372">IF(LanBel2LevelCurrent&gt;=$B65,"-",IF(LanBel2LevelDesired&lt;$B65,"-",$E65))</f>
        <v>-</v>
      </c>
      <c r="BK65" s="15" t="str">
        <f t="shared" ref="BK65" si="4373">IF(LanBoo2LevelCurrent&gt;=$B65,"-",IF(LanBoo2LevelDesired&lt;$B65,"-",$C65))</f>
        <v>-</v>
      </c>
      <c r="BL65" s="1" t="str">
        <f t="shared" ref="BL65" si="4374">IF(LanBoo2LevelCurrent&gt;=$B65,"-",IF(LanBoo2LevelDesired&lt;$B65,"-",$D65))</f>
        <v>-</v>
      </c>
      <c r="BM65" s="21" t="str">
        <f t="shared" ref="BM65" si="4375">IF(LanBoo2LevelCurrent&gt;=$B65,"-",IF(LanBoo2LevelDesired&lt;$B65,"-",$E65))</f>
        <v>-</v>
      </c>
      <c r="BN65" s="15" t="str">
        <f t="shared" ref="BN65" si="4376">IF(MarGog2LevelCurrent&gt;=$B65,"-",IF(MarGog2LevelDesired&lt;$B65,"-",$C65))</f>
        <v>-</v>
      </c>
      <c r="BO65" s="1" t="str">
        <f t="shared" ref="BO65" si="4377">IF(MarGog2LevelCurrent&gt;=$B65,"-",IF(MarGog2LevelDesired&lt;$B65,"-",$D65))</f>
        <v>-</v>
      </c>
      <c r="BP65" s="21" t="str">
        <f t="shared" ref="BP65" si="4378">IF(MarGog2LevelCurrent&gt;=$B65,"-",IF(MarGog2LevelDesired&lt;$B65,"-",$E65))</f>
        <v>-</v>
      </c>
      <c r="BQ65" s="15" t="str">
        <f t="shared" ref="BQ65" si="4379">IF(MarGlo2LevelCurrent&gt;=$B65,"-",IF(MarGlo2LevelDesired&lt;$B65,"-",$C65))</f>
        <v>-</v>
      </c>
      <c r="BR65" s="1" t="str">
        <f t="shared" ref="BR65" si="4380">IF(MarGlo2LevelCurrent&gt;=$B65,"-",IF(MarGlo2LevelDesired&lt;$B65,"-",$D65))</f>
        <v>-</v>
      </c>
      <c r="BS65" s="21" t="str">
        <f t="shared" ref="BS65" si="4381">IF(MarGlo2LevelCurrent&gt;=$B65,"-",IF(MarGlo2LevelDesired&lt;$B65,"-",$E65))</f>
        <v>-</v>
      </c>
      <c r="BT65" s="15" t="str">
        <f t="shared" ref="BT65" si="4382">IF(MarBel2LevelCurrent&gt;=$B65,"-",IF(MarBel2LevelDesired&lt;$B65,"-",$C65))</f>
        <v>-</v>
      </c>
      <c r="BU65" s="1" t="str">
        <f t="shared" ref="BU65" si="4383">IF(MarBel2LevelCurrent&gt;=$B65,"-",IF(MarBel2LevelDesired&lt;$B65,"-",$D65))</f>
        <v>-</v>
      </c>
      <c r="BV65" s="21" t="str">
        <f t="shared" ref="BV65" si="4384">IF(MarBel2LevelCurrent&gt;=$B65,"-",IF(MarBel2LevelDesired&lt;$B65,"-",$E65))</f>
        <v>-</v>
      </c>
      <c r="BW65" s="15" t="str">
        <f t="shared" ref="BW65" si="4385">IF(MarBoo2LevelCurrent&gt;=$B65,"-",IF(MarBoo2LevelDesired&lt;$B65,"-",$C65))</f>
        <v>-</v>
      </c>
      <c r="BX65" s="1" t="str">
        <f t="shared" ref="BX65" si="4386">IF(MarBoo2LevelCurrent&gt;=$B65,"-",IF(MarBoo2LevelDesired&lt;$B65,"-",$D65))</f>
        <v>-</v>
      </c>
      <c r="BY65" s="21" t="str">
        <f t="shared" ref="BY65" si="4387">IF(MarBoo2LevelCurrent&gt;=$B65,"-",IF(MarBoo2LevelDesired&lt;$B65,"-",$E65))</f>
        <v>-</v>
      </c>
      <c r="BZ65" s="15" t="str">
        <f t="shared" si="2410"/>
        <v>-</v>
      </c>
      <c r="CA65" s="1" t="str" cm="1">
        <f t="array" ref="CA65">IF(InfGog3LevelCurrent&gt;=$B65,"-",IF(InfGog3LevelDesired&lt;$B65,"-",$D65))</f>
        <v>-</v>
      </c>
      <c r="CB65" s="21" t="str" cm="1">
        <f t="array" ref="CB65">IF(InfGog3LevelCurrent&gt;=$B65,"-",IF(InfGog3LevelDesired&lt;$B65,"-",$E65))</f>
        <v>-</v>
      </c>
      <c r="CC65" s="15" t="str">
        <f t="shared" si="2411"/>
        <v>-</v>
      </c>
      <c r="CD65" s="1" t="str">
        <f t="shared" si="2412"/>
        <v>-</v>
      </c>
      <c r="CE65" s="21" t="str">
        <f t="shared" si="2413"/>
        <v>-</v>
      </c>
      <c r="CF65" s="15" t="str">
        <f t="shared" si="2414"/>
        <v>-</v>
      </c>
      <c r="CG65" s="1" t="str">
        <f t="shared" si="2415"/>
        <v>-</v>
      </c>
      <c r="CH65" s="21" t="str">
        <f t="shared" si="2416"/>
        <v>-</v>
      </c>
      <c r="CI65" s="15" t="str">
        <f t="shared" si="2417"/>
        <v>-</v>
      </c>
      <c r="CJ65" s="1" t="str">
        <f t="shared" si="2418"/>
        <v>-</v>
      </c>
      <c r="CK65" s="21" t="str">
        <f t="shared" si="2419"/>
        <v>-</v>
      </c>
      <c r="CL65" s="15" t="str">
        <f t="shared" si="2420"/>
        <v>-</v>
      </c>
      <c r="CM65" s="1" t="str">
        <f t="shared" si="2421"/>
        <v>-</v>
      </c>
      <c r="CN65" s="21" t="str">
        <f t="shared" si="2422"/>
        <v>-</v>
      </c>
      <c r="CO65" s="15" t="str">
        <f t="shared" si="2423"/>
        <v>-</v>
      </c>
      <c r="CP65" s="1" t="str">
        <f t="shared" si="2424"/>
        <v>-</v>
      </c>
      <c r="CQ65" s="21" t="str">
        <f t="shared" si="2425"/>
        <v>-</v>
      </c>
      <c r="CR65" s="15" t="str">
        <f t="shared" si="2426"/>
        <v>-</v>
      </c>
      <c r="CS65" s="1" t="str">
        <f t="shared" si="2427"/>
        <v>-</v>
      </c>
      <c r="CT65" s="21" t="str">
        <f t="shared" si="2428"/>
        <v>-</v>
      </c>
      <c r="CU65" s="15" t="str">
        <f t="shared" si="2429"/>
        <v>-</v>
      </c>
      <c r="CV65" s="1" t="str">
        <f t="shared" si="2430"/>
        <v>-</v>
      </c>
      <c r="CW65" s="21" t="str">
        <f t="shared" si="2431"/>
        <v>-</v>
      </c>
      <c r="CX65" s="15" t="str">
        <f t="shared" si="2432"/>
        <v>-</v>
      </c>
      <c r="CY65" s="1" t="str">
        <f t="shared" si="2433"/>
        <v>-</v>
      </c>
      <c r="CZ65" s="21" t="str">
        <f t="shared" si="2434"/>
        <v>-</v>
      </c>
      <c r="DA65" s="15" t="str">
        <f t="shared" si="2435"/>
        <v>-</v>
      </c>
      <c r="DB65" s="1" t="str">
        <f t="shared" si="2436"/>
        <v>-</v>
      </c>
      <c r="DC65" s="21" t="str">
        <f t="shared" si="2437"/>
        <v>-</v>
      </c>
      <c r="DD65" s="15" t="str">
        <f t="shared" si="2438"/>
        <v>-</v>
      </c>
      <c r="DE65" s="1" t="str">
        <f t="shared" si="2439"/>
        <v>-</v>
      </c>
      <c r="DF65" s="21" t="str">
        <f t="shared" si="2440"/>
        <v>-</v>
      </c>
      <c r="DG65" s="15" t="str">
        <f t="shared" si="2441"/>
        <v>-</v>
      </c>
      <c r="DH65" s="1" t="str">
        <f t="shared" si="2442"/>
        <v>-</v>
      </c>
      <c r="DI65" s="21" t="str">
        <f t="shared" si="2443"/>
        <v>-</v>
      </c>
    </row>
    <row r="66" spans="2:113" x14ac:dyDescent="0.3">
      <c r="B66" s="1">
        <v>61</v>
      </c>
      <c r="C66" s="67">
        <v>710</v>
      </c>
      <c r="D66" s="88" t="s">
        <v>27</v>
      </c>
      <c r="E66" s="21" t="s">
        <v>27</v>
      </c>
      <c r="F66" s="15" t="str">
        <f t="shared" ref="F66" si="4388">IF(InfGog1LevelCurrent&gt;=$B66,"-",IF(InfGog1LevelDesired&lt;$B66,"-",$C66))</f>
        <v>-</v>
      </c>
      <c r="G66" s="1" t="str">
        <f t="shared" ref="G66" si="4389">IF(InfGog1LevelCurrent&gt;=$B66,"-",IF(InfGog1LevelDesired&lt;$B66,"-",$D66))</f>
        <v>-</v>
      </c>
      <c r="H66" s="21" t="str">
        <f t="shared" ref="H66" si="4390">IF(InfGog1LevelCurrent&gt;=$B66,"-",IF(InfGog1LevelDesired&lt;$B66,"-",$E66))</f>
        <v>-</v>
      </c>
      <c r="I66" s="15" t="str">
        <f t="shared" ref="I66" si="4391">IF(InfGlo1LevelCurrent&gt;=$B66,"-",IF(InfGlo1LevelDesired&lt;$B66,"-",$C66))</f>
        <v>-</v>
      </c>
      <c r="J66" s="1" t="str">
        <f t="shared" ref="J66" si="4392">IF(InfGlo1LevelCurrent&gt;=$B66,"-",IF(InfGlo1LevelDesired&lt;$B66,"-",$D66))</f>
        <v>-</v>
      </c>
      <c r="K66" s="21" t="str">
        <f t="shared" ref="K66" si="4393">IF(InfGlo1LevelCurrent&gt;=$B66,"-",IF(InfGlo1LevelDesired&lt;$B66,"-",$E66))</f>
        <v>-</v>
      </c>
      <c r="L66" s="15" t="str">
        <f t="shared" ref="L66" si="4394">IF(InfBel1LevelCurrent&gt;=$B66,"-",IF(InfBel1LevelDesired&lt;$B66,"-",$C66))</f>
        <v>-</v>
      </c>
      <c r="M66" s="1" t="str">
        <f t="shared" ref="M66" si="4395">IF(InfBel1LevelCurrent&gt;=$B66,"-",IF(InfBel1LevelDesired&lt;$B66,"-",$D66))</f>
        <v>-</v>
      </c>
      <c r="N66" s="21" t="str">
        <f t="shared" ref="N66" si="4396">IF(InfBel1LevelCurrent&gt;=$B66,"-",IF(InfBel1LevelDesired&lt;$B66,"-",$E66))</f>
        <v>-</v>
      </c>
      <c r="O66" s="15" t="str">
        <f t="shared" ref="O66" si="4397">IF(InfBoo1LevelCurrent&gt;=$B66,"-",IF(InfBoo1LevelDesired&lt;$B66,"-",$C66))</f>
        <v>-</v>
      </c>
      <c r="P66" s="1" t="str">
        <f t="shared" ref="P66" si="4398">IF(InfBoo1LevelCurrent&gt;=$B66,"-",IF(InfBoo1LevelDesired&lt;$B66,"-",$D66))</f>
        <v>-</v>
      </c>
      <c r="Q66" s="21" t="str">
        <f t="shared" ref="Q66" si="4399">IF(InfBoo1LevelCurrent&gt;=$B66,"-",IF(InfBoo1LevelDesired&lt;$B66,"-",$E66))</f>
        <v>-</v>
      </c>
      <c r="R66" s="15" t="str">
        <f t="shared" ref="R66" si="4400">IF(LanGog1LevelCurrent&gt;=$B66,"-",IF(LanGog1LevelDesired&lt;$B66,"-",$C66))</f>
        <v>-</v>
      </c>
      <c r="S66" s="1" t="str">
        <f t="shared" ref="S66" si="4401">IF(LanGog1LevelCurrent&gt;=$B66,"-",IF(LanGog1LevelDesired&lt;$B66,"-",$D66))</f>
        <v>-</v>
      </c>
      <c r="T66" s="21" t="str">
        <f t="shared" ref="T66" si="4402">IF(LanGog1LevelCurrent&gt;=$B66,"-",IF(LanGog1LevelDesired&lt;$B66,"-",$E66))</f>
        <v>-</v>
      </c>
      <c r="U66" s="15" t="str">
        <f t="shared" ref="U66" si="4403">IF(LanGlo1LevelCurrent&gt;=$B66,"-",IF(LanGlo1LevelDesired&lt;$B66,"-",$C66))</f>
        <v>-</v>
      </c>
      <c r="V66" s="1" t="str">
        <f t="shared" ref="V66" si="4404">IF(LanGlo1LevelCurrent&gt;=$B66,"-",IF(LanGlo1LevelDesired&lt;$B66,"-",$D66))</f>
        <v>-</v>
      </c>
      <c r="W66" s="21" t="str">
        <f t="shared" ref="W66" si="4405">IF(LanGlo1LevelCurrent&gt;=$B66,"-",IF(LanGlo1LevelDesired&lt;$B66,"-",$E66))</f>
        <v>-</v>
      </c>
      <c r="X66" s="15" t="str">
        <f t="shared" ref="X66" si="4406">IF(LanBel1LevelCurrent&gt;=$B66,"-",IF(LanBel1LevelDesired&lt;$B66,"-",$C66))</f>
        <v>-</v>
      </c>
      <c r="Y66" s="1" t="str">
        <f t="shared" ref="Y66" si="4407">IF(LanBel1LevelCurrent&gt;=$B66,"-",IF(LanBel1LevelDesired&lt;$B66,"-",$D66))</f>
        <v>-</v>
      </c>
      <c r="Z66" s="21" t="str">
        <f t="shared" ref="Z66" si="4408">IF(LanBel1LevelCurrent&gt;=$B66,"-",IF(LanBel1LevelDesired&lt;$B66,"-",$E66))</f>
        <v>-</v>
      </c>
      <c r="AA66" s="15" t="str">
        <f t="shared" ref="AA66" si="4409">IF(LanBoo1LevelCurrent&gt;=$B66,"-",IF(LanBoo1LevelDesired&lt;$B66,"-",$C66))</f>
        <v>-</v>
      </c>
      <c r="AB66" s="1" t="str">
        <f t="shared" ref="AB66" si="4410">IF(LanBoo1LevelCurrent&gt;=$B66,"-",IF(LanBoo1LevelDesired&lt;$B66,"-",$D66))</f>
        <v>-</v>
      </c>
      <c r="AC66" s="21" t="str">
        <f t="shared" ref="AC66" si="4411">IF(LanBoo1LevelCurrent&gt;=$B66,"-",IF(LanBoo1LevelDesired&lt;$B66,"-",$E66))</f>
        <v>-</v>
      </c>
      <c r="AD66" s="15" t="str">
        <f t="shared" ref="AD66" si="4412">IF(MarGog1LevelCurrent&gt;=$B66,"-",IF(MarGog1LevelDesired&lt;$B66,"-",$C66))</f>
        <v>-</v>
      </c>
      <c r="AE66" s="1" t="str">
        <f t="shared" ref="AE66" si="4413">IF(MarGog1LevelCurrent&gt;=$B66,"-",IF(MarGog1LevelDesired&lt;$B66,"-",$D66))</f>
        <v>-</v>
      </c>
      <c r="AF66" s="21" t="str">
        <f t="shared" ref="AF66" si="4414">IF(MarGog1LevelCurrent&gt;=$B66,"-",IF(MarGog1LevelDesired&lt;$B66,"-",$E66))</f>
        <v>-</v>
      </c>
      <c r="AG66" s="15" t="str">
        <f t="shared" ref="AG66" si="4415">IF(MarGlo1LevelCurrent&gt;=$B66,"-",IF(MarGlo1LevelDesired&lt;$B66,"-",$C66))</f>
        <v>-</v>
      </c>
      <c r="AH66" s="1" t="str">
        <f t="shared" ref="AH66" si="4416">IF(MarGlo1LevelCurrent&gt;=$B66,"-",IF(MarGlo1LevelDesired&lt;$B66,"-",$D66))</f>
        <v>-</v>
      </c>
      <c r="AI66" s="21" t="str">
        <f t="shared" ref="AI66" si="4417">IF(MarGlo1LevelCurrent&gt;=$B66,"-",IF(MarGlo1LevelDesired&lt;$B66,"-",$E66))</f>
        <v>-</v>
      </c>
      <c r="AJ66" s="15" t="str">
        <f t="shared" ref="AJ66" si="4418">IF(MarBel1LevelCurrent&gt;=$B66,"-",IF(MarBel1LevelDesired&lt;$B66,"-",$C66))</f>
        <v>-</v>
      </c>
      <c r="AK66" s="1" t="str">
        <f t="shared" ref="AK66" si="4419">IF(MarBel1LevelCurrent&gt;=$B66,"-",IF(MarBel1LevelDesired&lt;$B66,"-",$D66))</f>
        <v>-</v>
      </c>
      <c r="AL66" s="21" t="str">
        <f t="shared" ref="AL66" si="4420">IF(MarBel1LevelCurrent&gt;=$B66,"-",IF(MarBel1LevelDesired&lt;$B66,"-",$E66))</f>
        <v>-</v>
      </c>
      <c r="AM66" s="15" t="str">
        <f t="shared" ref="AM66" si="4421">IF(MarBoo1LevelCurrent&gt;=$B66,"-",IF(MarBoo1LevelDesired&lt;$B66,"-",$C66))</f>
        <v>-</v>
      </c>
      <c r="AN66" s="1" t="str">
        <f t="shared" ref="AN66" si="4422">IF(MarBoo1LevelCurrent&gt;=$B66,"-",IF(MarBoo1LevelDesired&lt;$B66,"-",$D66))</f>
        <v>-</v>
      </c>
      <c r="AO66" s="21" t="str">
        <f t="shared" ref="AO66" si="4423">IF(MarBoo1LevelCurrent&gt;=$B66,"-",IF(MarBoo1LevelDesired&lt;$B66,"-",$E66))</f>
        <v>-</v>
      </c>
      <c r="AP66" s="15" t="str">
        <f t="shared" ref="AP66" si="4424">IF(InfGog2LevelCurrent&gt;=$B66,"-",IF(InfGog2LevelDesired&lt;$B66,"-",$C66))</f>
        <v>-</v>
      </c>
      <c r="AQ66" s="1" t="str">
        <f t="shared" ref="AQ66" si="4425">IF(InfGog2LevelCurrent&gt;=$B66,"-",IF(InfGog2LevelDesired&lt;$B66,"-",$D66))</f>
        <v>-</v>
      </c>
      <c r="AR66" s="21" t="str">
        <f t="shared" ref="AR66" si="4426">IF(InfGog2LevelCurrent&gt;=$B66,"-",IF(InfGog2LevelDesired&lt;$B66,"-",$E66))</f>
        <v>-</v>
      </c>
      <c r="AS66" s="15" t="str">
        <f t="shared" ref="AS66" si="4427">IF(InfGlo2LevelCurrent&gt;=$B66,"-",IF(InfGlo2LevelDesired&lt;$B66,"-",$C66))</f>
        <v>-</v>
      </c>
      <c r="AT66" s="1" t="str">
        <f t="shared" ref="AT66" si="4428">IF(InfGlo2LevelCurrent&gt;=$B66,"-",IF(InfGlo2LevelDesired&lt;$B66,"-",$D66))</f>
        <v>-</v>
      </c>
      <c r="AU66" s="21" t="str">
        <f t="shared" ref="AU66" si="4429">IF(InfGlo2LevelCurrent&gt;=$B66,"-",IF(InfGlo2LevelDesired&lt;$B66,"-",$E66))</f>
        <v>-</v>
      </c>
      <c r="AV66" s="15" t="str">
        <f t="shared" ref="AV66" si="4430">IF(InfBel2LevelCurrent&gt;=$B66,"-",IF(InfBel2LevelDesired&lt;$B66,"-",$C66))</f>
        <v>-</v>
      </c>
      <c r="AW66" s="1" t="str">
        <f t="shared" ref="AW66" si="4431">IF(InfBel2LevelCurrent&gt;=$B66,"-",IF(InfBel2LevelDesired&lt;$B66,"-",$D66))</f>
        <v>-</v>
      </c>
      <c r="AX66" s="21" t="str">
        <f t="shared" ref="AX66" si="4432">IF(InfBel2LevelCurrent&gt;=$B66,"-",IF(InfBel2LevelDesired&lt;$B66,"-",$E66))</f>
        <v>-</v>
      </c>
      <c r="AY66" s="15" t="str">
        <f t="shared" ref="AY66" si="4433">IF(InfBoo2LevelCurrent&gt;=$B66,"-",IF(InfBoo2LevelDesired&lt;$B66,"-",$C66))</f>
        <v>-</v>
      </c>
      <c r="AZ66" s="1" t="str">
        <f t="shared" ref="AZ66" si="4434">IF(InfBoo2LevelCurrent&gt;=$B66,"-",IF(InfBoo2LevelDesired&lt;$B66,"-",$D66))</f>
        <v>-</v>
      </c>
      <c r="BA66" s="21" t="str">
        <f t="shared" ref="BA66" si="4435">IF(InfBoo2LevelCurrent&gt;=$B66,"-",IF(InfBoo2LevelDesired&lt;$B66,"-",$E66))</f>
        <v>-</v>
      </c>
      <c r="BB66" s="15" t="str">
        <f t="shared" ref="BB66" si="4436">IF(LanGog2LevelCurrent&gt;=$B66,"-",IF(LanGog2LevelDesired&lt;$B66,"-",$C66))</f>
        <v>-</v>
      </c>
      <c r="BC66" s="1" t="str">
        <f t="shared" ref="BC66" si="4437">IF(LanGog2LevelCurrent&gt;=$B66,"-",IF(LanGog2LevelDesired&lt;$B66,"-",$D66))</f>
        <v>-</v>
      </c>
      <c r="BD66" s="21" t="str">
        <f t="shared" ref="BD66" si="4438">IF(LanGog2LevelCurrent&gt;=$B66,"-",IF(LanGog2LevelDesired&lt;$B66,"-",$E66))</f>
        <v>-</v>
      </c>
      <c r="BE66" s="15" t="str">
        <f t="shared" ref="BE66" si="4439">IF(LanGlo2LevelCurrent&gt;=$B66,"-",IF(LanGlo2LevelDesired&lt;$B66,"-",$C66))</f>
        <v>-</v>
      </c>
      <c r="BF66" s="1" t="str">
        <f t="shared" ref="BF66" si="4440">IF(LanGlo2LevelCurrent&gt;=$B66,"-",IF(LanGlo2LevelDesired&lt;$B66,"-",$D66))</f>
        <v>-</v>
      </c>
      <c r="BG66" s="21" t="str">
        <f t="shared" ref="BG66" si="4441">IF(LanGlo2LevelCurrent&gt;=$B66,"-",IF(LanGlo2LevelDesired&lt;$B66,"-",$E66))</f>
        <v>-</v>
      </c>
      <c r="BH66" s="15" t="str">
        <f t="shared" ref="BH66" si="4442">IF(LanBel2LevelCurrent&gt;=$B66,"-",IF(LanBel2LevelDesired&lt;$B66,"-",$C66))</f>
        <v>-</v>
      </c>
      <c r="BI66" s="1" t="str">
        <f t="shared" ref="BI66" si="4443">IF(LanBel2LevelCurrent&gt;=$B66,"-",IF(LanBel2LevelDesired&lt;$B66,"-",$D66))</f>
        <v>-</v>
      </c>
      <c r="BJ66" s="21" t="str">
        <f t="shared" ref="BJ66" si="4444">IF(LanBel2LevelCurrent&gt;=$B66,"-",IF(LanBel2LevelDesired&lt;$B66,"-",$E66))</f>
        <v>-</v>
      </c>
      <c r="BK66" s="15" t="str">
        <f t="shared" ref="BK66" si="4445">IF(LanBoo2LevelCurrent&gt;=$B66,"-",IF(LanBoo2LevelDesired&lt;$B66,"-",$C66))</f>
        <v>-</v>
      </c>
      <c r="BL66" s="1" t="str">
        <f t="shared" ref="BL66" si="4446">IF(LanBoo2LevelCurrent&gt;=$B66,"-",IF(LanBoo2LevelDesired&lt;$B66,"-",$D66))</f>
        <v>-</v>
      </c>
      <c r="BM66" s="21" t="str">
        <f t="shared" ref="BM66" si="4447">IF(LanBoo2LevelCurrent&gt;=$B66,"-",IF(LanBoo2LevelDesired&lt;$B66,"-",$E66))</f>
        <v>-</v>
      </c>
      <c r="BN66" s="15" t="str">
        <f t="shared" ref="BN66" si="4448">IF(MarGog2LevelCurrent&gt;=$B66,"-",IF(MarGog2LevelDesired&lt;$B66,"-",$C66))</f>
        <v>-</v>
      </c>
      <c r="BO66" s="1" t="str">
        <f t="shared" ref="BO66" si="4449">IF(MarGog2LevelCurrent&gt;=$B66,"-",IF(MarGog2LevelDesired&lt;$B66,"-",$D66))</f>
        <v>-</v>
      </c>
      <c r="BP66" s="21" t="str">
        <f t="shared" ref="BP66" si="4450">IF(MarGog2LevelCurrent&gt;=$B66,"-",IF(MarGog2LevelDesired&lt;$B66,"-",$E66))</f>
        <v>-</v>
      </c>
      <c r="BQ66" s="15" t="str">
        <f t="shared" ref="BQ66" si="4451">IF(MarGlo2LevelCurrent&gt;=$B66,"-",IF(MarGlo2LevelDesired&lt;$B66,"-",$C66))</f>
        <v>-</v>
      </c>
      <c r="BR66" s="1" t="str">
        <f t="shared" ref="BR66" si="4452">IF(MarGlo2LevelCurrent&gt;=$B66,"-",IF(MarGlo2LevelDesired&lt;$B66,"-",$D66))</f>
        <v>-</v>
      </c>
      <c r="BS66" s="21" t="str">
        <f t="shared" ref="BS66" si="4453">IF(MarGlo2LevelCurrent&gt;=$B66,"-",IF(MarGlo2LevelDesired&lt;$B66,"-",$E66))</f>
        <v>-</v>
      </c>
      <c r="BT66" s="15" t="str">
        <f t="shared" ref="BT66" si="4454">IF(MarBel2LevelCurrent&gt;=$B66,"-",IF(MarBel2LevelDesired&lt;$B66,"-",$C66))</f>
        <v>-</v>
      </c>
      <c r="BU66" s="1" t="str">
        <f t="shared" ref="BU66" si="4455">IF(MarBel2LevelCurrent&gt;=$B66,"-",IF(MarBel2LevelDesired&lt;$B66,"-",$D66))</f>
        <v>-</v>
      </c>
      <c r="BV66" s="21" t="str">
        <f t="shared" ref="BV66" si="4456">IF(MarBel2LevelCurrent&gt;=$B66,"-",IF(MarBel2LevelDesired&lt;$B66,"-",$E66))</f>
        <v>-</v>
      </c>
      <c r="BW66" s="15" t="str">
        <f t="shared" ref="BW66" si="4457">IF(MarBoo2LevelCurrent&gt;=$B66,"-",IF(MarBoo2LevelDesired&lt;$B66,"-",$C66))</f>
        <v>-</v>
      </c>
      <c r="BX66" s="1" t="str">
        <f t="shared" ref="BX66" si="4458">IF(MarBoo2LevelCurrent&gt;=$B66,"-",IF(MarBoo2LevelDesired&lt;$B66,"-",$D66))</f>
        <v>-</v>
      </c>
      <c r="BY66" s="21" t="str">
        <f t="shared" ref="BY66" si="4459">IF(MarBoo2LevelCurrent&gt;=$B66,"-",IF(MarBoo2LevelDesired&lt;$B66,"-",$E66))</f>
        <v>-</v>
      </c>
      <c r="BZ66" s="15" t="str">
        <f t="shared" si="2410"/>
        <v>-</v>
      </c>
      <c r="CA66" s="1" t="str" cm="1">
        <f t="array" ref="CA66">IF(InfGog3LevelCurrent&gt;=$B66,"-",IF(InfGog3LevelDesired&lt;$B66,"-",$D66))</f>
        <v>-</v>
      </c>
      <c r="CB66" s="21" t="str" cm="1">
        <f t="array" ref="CB66">IF(InfGog3LevelCurrent&gt;=$B66,"-",IF(InfGog3LevelDesired&lt;$B66,"-",$E66))</f>
        <v>-</v>
      </c>
      <c r="CC66" s="15" t="str">
        <f t="shared" si="2411"/>
        <v>-</v>
      </c>
      <c r="CD66" s="1" t="str">
        <f t="shared" si="2412"/>
        <v>-</v>
      </c>
      <c r="CE66" s="21" t="str">
        <f t="shared" si="2413"/>
        <v>-</v>
      </c>
      <c r="CF66" s="15" t="str">
        <f t="shared" si="2414"/>
        <v>-</v>
      </c>
      <c r="CG66" s="1" t="str">
        <f t="shared" si="2415"/>
        <v>-</v>
      </c>
      <c r="CH66" s="21" t="str">
        <f t="shared" si="2416"/>
        <v>-</v>
      </c>
      <c r="CI66" s="15" t="str">
        <f t="shared" si="2417"/>
        <v>-</v>
      </c>
      <c r="CJ66" s="1" t="str">
        <f t="shared" si="2418"/>
        <v>-</v>
      </c>
      <c r="CK66" s="21" t="str">
        <f t="shared" si="2419"/>
        <v>-</v>
      </c>
      <c r="CL66" s="15" t="str">
        <f t="shared" si="2420"/>
        <v>-</v>
      </c>
      <c r="CM66" s="1" t="str">
        <f t="shared" si="2421"/>
        <v>-</v>
      </c>
      <c r="CN66" s="21" t="str">
        <f t="shared" si="2422"/>
        <v>-</v>
      </c>
      <c r="CO66" s="15" t="str">
        <f t="shared" si="2423"/>
        <v>-</v>
      </c>
      <c r="CP66" s="1" t="str">
        <f t="shared" si="2424"/>
        <v>-</v>
      </c>
      <c r="CQ66" s="21" t="str">
        <f t="shared" si="2425"/>
        <v>-</v>
      </c>
      <c r="CR66" s="15" t="str">
        <f t="shared" si="2426"/>
        <v>-</v>
      </c>
      <c r="CS66" s="1" t="str">
        <f t="shared" si="2427"/>
        <v>-</v>
      </c>
      <c r="CT66" s="21" t="str">
        <f t="shared" si="2428"/>
        <v>-</v>
      </c>
      <c r="CU66" s="15" t="str">
        <f t="shared" si="2429"/>
        <v>-</v>
      </c>
      <c r="CV66" s="1" t="str">
        <f t="shared" si="2430"/>
        <v>-</v>
      </c>
      <c r="CW66" s="21" t="str">
        <f t="shared" si="2431"/>
        <v>-</v>
      </c>
      <c r="CX66" s="15" t="str">
        <f t="shared" si="2432"/>
        <v>-</v>
      </c>
      <c r="CY66" s="1" t="str">
        <f t="shared" si="2433"/>
        <v>-</v>
      </c>
      <c r="CZ66" s="21" t="str">
        <f t="shared" si="2434"/>
        <v>-</v>
      </c>
      <c r="DA66" s="15" t="str">
        <f t="shared" si="2435"/>
        <v>-</v>
      </c>
      <c r="DB66" s="1" t="str">
        <f t="shared" si="2436"/>
        <v>-</v>
      </c>
      <c r="DC66" s="21" t="str">
        <f t="shared" si="2437"/>
        <v>-</v>
      </c>
      <c r="DD66" s="15" t="str">
        <f t="shared" si="2438"/>
        <v>-</v>
      </c>
      <c r="DE66" s="1" t="str">
        <f t="shared" si="2439"/>
        <v>-</v>
      </c>
      <c r="DF66" s="21" t="str">
        <f t="shared" si="2440"/>
        <v>-</v>
      </c>
      <c r="DG66" s="15" t="str">
        <f t="shared" si="2441"/>
        <v>-</v>
      </c>
      <c r="DH66" s="1" t="str">
        <f t="shared" si="2442"/>
        <v>-</v>
      </c>
      <c r="DI66" s="21" t="str">
        <f t="shared" si="2443"/>
        <v>-</v>
      </c>
    </row>
    <row r="67" spans="2:113" x14ac:dyDescent="0.3">
      <c r="B67" s="1">
        <v>62</v>
      </c>
      <c r="C67" s="67">
        <v>740</v>
      </c>
      <c r="D67" s="88" t="s">
        <v>27</v>
      </c>
      <c r="E67" s="21" t="s">
        <v>27</v>
      </c>
      <c r="F67" s="15" t="str">
        <f t="shared" ref="F67" si="4460">IF(InfGog1LevelCurrent&gt;=$B67,"-",IF(InfGog1LevelDesired&lt;$B67,"-",$C67))</f>
        <v>-</v>
      </c>
      <c r="G67" s="1" t="str">
        <f t="shared" ref="G67" si="4461">IF(InfGog1LevelCurrent&gt;=$B67,"-",IF(InfGog1LevelDesired&lt;$B67,"-",$D67))</f>
        <v>-</v>
      </c>
      <c r="H67" s="21" t="str">
        <f t="shared" ref="H67" si="4462">IF(InfGog1LevelCurrent&gt;=$B67,"-",IF(InfGog1LevelDesired&lt;$B67,"-",$E67))</f>
        <v>-</v>
      </c>
      <c r="I67" s="15" t="str">
        <f t="shared" ref="I67" si="4463">IF(InfGlo1LevelCurrent&gt;=$B67,"-",IF(InfGlo1LevelDesired&lt;$B67,"-",$C67))</f>
        <v>-</v>
      </c>
      <c r="J67" s="1" t="str">
        <f t="shared" ref="J67" si="4464">IF(InfGlo1LevelCurrent&gt;=$B67,"-",IF(InfGlo1LevelDesired&lt;$B67,"-",$D67))</f>
        <v>-</v>
      </c>
      <c r="K67" s="21" t="str">
        <f t="shared" ref="K67" si="4465">IF(InfGlo1LevelCurrent&gt;=$B67,"-",IF(InfGlo1LevelDesired&lt;$B67,"-",$E67))</f>
        <v>-</v>
      </c>
      <c r="L67" s="15" t="str">
        <f t="shared" ref="L67" si="4466">IF(InfBel1LevelCurrent&gt;=$B67,"-",IF(InfBel1LevelDesired&lt;$B67,"-",$C67))</f>
        <v>-</v>
      </c>
      <c r="M67" s="1" t="str">
        <f t="shared" ref="M67" si="4467">IF(InfBel1LevelCurrent&gt;=$B67,"-",IF(InfBel1LevelDesired&lt;$B67,"-",$D67))</f>
        <v>-</v>
      </c>
      <c r="N67" s="21" t="str">
        <f t="shared" ref="N67" si="4468">IF(InfBel1LevelCurrent&gt;=$B67,"-",IF(InfBel1LevelDesired&lt;$B67,"-",$E67))</f>
        <v>-</v>
      </c>
      <c r="O67" s="15" t="str">
        <f t="shared" ref="O67" si="4469">IF(InfBoo1LevelCurrent&gt;=$B67,"-",IF(InfBoo1LevelDesired&lt;$B67,"-",$C67))</f>
        <v>-</v>
      </c>
      <c r="P67" s="1" t="str">
        <f t="shared" ref="P67" si="4470">IF(InfBoo1LevelCurrent&gt;=$B67,"-",IF(InfBoo1LevelDesired&lt;$B67,"-",$D67))</f>
        <v>-</v>
      </c>
      <c r="Q67" s="21" t="str">
        <f t="shared" ref="Q67" si="4471">IF(InfBoo1LevelCurrent&gt;=$B67,"-",IF(InfBoo1LevelDesired&lt;$B67,"-",$E67))</f>
        <v>-</v>
      </c>
      <c r="R67" s="15" t="str">
        <f t="shared" ref="R67" si="4472">IF(LanGog1LevelCurrent&gt;=$B67,"-",IF(LanGog1LevelDesired&lt;$B67,"-",$C67))</f>
        <v>-</v>
      </c>
      <c r="S67" s="1" t="str">
        <f t="shared" ref="S67" si="4473">IF(LanGog1LevelCurrent&gt;=$B67,"-",IF(LanGog1LevelDesired&lt;$B67,"-",$D67))</f>
        <v>-</v>
      </c>
      <c r="T67" s="21" t="str">
        <f t="shared" ref="T67" si="4474">IF(LanGog1LevelCurrent&gt;=$B67,"-",IF(LanGog1LevelDesired&lt;$B67,"-",$E67))</f>
        <v>-</v>
      </c>
      <c r="U67" s="15" t="str">
        <f t="shared" ref="U67" si="4475">IF(LanGlo1LevelCurrent&gt;=$B67,"-",IF(LanGlo1LevelDesired&lt;$B67,"-",$C67))</f>
        <v>-</v>
      </c>
      <c r="V67" s="1" t="str">
        <f t="shared" ref="V67" si="4476">IF(LanGlo1LevelCurrent&gt;=$B67,"-",IF(LanGlo1LevelDesired&lt;$B67,"-",$D67))</f>
        <v>-</v>
      </c>
      <c r="W67" s="21" t="str">
        <f t="shared" ref="W67" si="4477">IF(LanGlo1LevelCurrent&gt;=$B67,"-",IF(LanGlo1LevelDesired&lt;$B67,"-",$E67))</f>
        <v>-</v>
      </c>
      <c r="X67" s="15" t="str">
        <f t="shared" ref="X67" si="4478">IF(LanBel1LevelCurrent&gt;=$B67,"-",IF(LanBel1LevelDesired&lt;$B67,"-",$C67))</f>
        <v>-</v>
      </c>
      <c r="Y67" s="1" t="str">
        <f t="shared" ref="Y67" si="4479">IF(LanBel1LevelCurrent&gt;=$B67,"-",IF(LanBel1LevelDesired&lt;$B67,"-",$D67))</f>
        <v>-</v>
      </c>
      <c r="Z67" s="21" t="str">
        <f t="shared" ref="Z67" si="4480">IF(LanBel1LevelCurrent&gt;=$B67,"-",IF(LanBel1LevelDesired&lt;$B67,"-",$E67))</f>
        <v>-</v>
      </c>
      <c r="AA67" s="15" t="str">
        <f t="shared" ref="AA67" si="4481">IF(LanBoo1LevelCurrent&gt;=$B67,"-",IF(LanBoo1LevelDesired&lt;$B67,"-",$C67))</f>
        <v>-</v>
      </c>
      <c r="AB67" s="1" t="str">
        <f t="shared" ref="AB67" si="4482">IF(LanBoo1LevelCurrent&gt;=$B67,"-",IF(LanBoo1LevelDesired&lt;$B67,"-",$D67))</f>
        <v>-</v>
      </c>
      <c r="AC67" s="21" t="str">
        <f t="shared" ref="AC67" si="4483">IF(LanBoo1LevelCurrent&gt;=$B67,"-",IF(LanBoo1LevelDesired&lt;$B67,"-",$E67))</f>
        <v>-</v>
      </c>
      <c r="AD67" s="15" t="str">
        <f t="shared" ref="AD67" si="4484">IF(MarGog1LevelCurrent&gt;=$B67,"-",IF(MarGog1LevelDesired&lt;$B67,"-",$C67))</f>
        <v>-</v>
      </c>
      <c r="AE67" s="1" t="str">
        <f t="shared" ref="AE67" si="4485">IF(MarGog1LevelCurrent&gt;=$B67,"-",IF(MarGog1LevelDesired&lt;$B67,"-",$D67))</f>
        <v>-</v>
      </c>
      <c r="AF67" s="21" t="str">
        <f t="shared" ref="AF67" si="4486">IF(MarGog1LevelCurrent&gt;=$B67,"-",IF(MarGog1LevelDesired&lt;$B67,"-",$E67))</f>
        <v>-</v>
      </c>
      <c r="AG67" s="15" t="str">
        <f t="shared" ref="AG67" si="4487">IF(MarGlo1LevelCurrent&gt;=$B67,"-",IF(MarGlo1LevelDesired&lt;$B67,"-",$C67))</f>
        <v>-</v>
      </c>
      <c r="AH67" s="1" t="str">
        <f t="shared" ref="AH67" si="4488">IF(MarGlo1LevelCurrent&gt;=$B67,"-",IF(MarGlo1LevelDesired&lt;$B67,"-",$D67))</f>
        <v>-</v>
      </c>
      <c r="AI67" s="21" t="str">
        <f t="shared" ref="AI67" si="4489">IF(MarGlo1LevelCurrent&gt;=$B67,"-",IF(MarGlo1LevelDesired&lt;$B67,"-",$E67))</f>
        <v>-</v>
      </c>
      <c r="AJ67" s="15" t="str">
        <f t="shared" ref="AJ67" si="4490">IF(MarBel1LevelCurrent&gt;=$B67,"-",IF(MarBel1LevelDesired&lt;$B67,"-",$C67))</f>
        <v>-</v>
      </c>
      <c r="AK67" s="1" t="str">
        <f t="shared" ref="AK67" si="4491">IF(MarBel1LevelCurrent&gt;=$B67,"-",IF(MarBel1LevelDesired&lt;$B67,"-",$D67))</f>
        <v>-</v>
      </c>
      <c r="AL67" s="21" t="str">
        <f t="shared" ref="AL67" si="4492">IF(MarBel1LevelCurrent&gt;=$B67,"-",IF(MarBel1LevelDesired&lt;$B67,"-",$E67))</f>
        <v>-</v>
      </c>
      <c r="AM67" s="15" t="str">
        <f t="shared" ref="AM67" si="4493">IF(MarBoo1LevelCurrent&gt;=$B67,"-",IF(MarBoo1LevelDesired&lt;$B67,"-",$C67))</f>
        <v>-</v>
      </c>
      <c r="AN67" s="1" t="str">
        <f t="shared" ref="AN67" si="4494">IF(MarBoo1LevelCurrent&gt;=$B67,"-",IF(MarBoo1LevelDesired&lt;$B67,"-",$D67))</f>
        <v>-</v>
      </c>
      <c r="AO67" s="21" t="str">
        <f t="shared" ref="AO67" si="4495">IF(MarBoo1LevelCurrent&gt;=$B67,"-",IF(MarBoo1LevelDesired&lt;$B67,"-",$E67))</f>
        <v>-</v>
      </c>
      <c r="AP67" s="15" t="str">
        <f t="shared" ref="AP67" si="4496">IF(InfGog2LevelCurrent&gt;=$B67,"-",IF(InfGog2LevelDesired&lt;$B67,"-",$C67))</f>
        <v>-</v>
      </c>
      <c r="AQ67" s="1" t="str">
        <f t="shared" ref="AQ67" si="4497">IF(InfGog2LevelCurrent&gt;=$B67,"-",IF(InfGog2LevelDesired&lt;$B67,"-",$D67))</f>
        <v>-</v>
      </c>
      <c r="AR67" s="21" t="str">
        <f t="shared" ref="AR67" si="4498">IF(InfGog2LevelCurrent&gt;=$B67,"-",IF(InfGog2LevelDesired&lt;$B67,"-",$E67))</f>
        <v>-</v>
      </c>
      <c r="AS67" s="15" t="str">
        <f t="shared" ref="AS67" si="4499">IF(InfGlo2LevelCurrent&gt;=$B67,"-",IF(InfGlo2LevelDesired&lt;$B67,"-",$C67))</f>
        <v>-</v>
      </c>
      <c r="AT67" s="1" t="str">
        <f t="shared" ref="AT67" si="4500">IF(InfGlo2LevelCurrent&gt;=$B67,"-",IF(InfGlo2LevelDesired&lt;$B67,"-",$D67))</f>
        <v>-</v>
      </c>
      <c r="AU67" s="21" t="str">
        <f t="shared" ref="AU67" si="4501">IF(InfGlo2LevelCurrent&gt;=$B67,"-",IF(InfGlo2LevelDesired&lt;$B67,"-",$E67))</f>
        <v>-</v>
      </c>
      <c r="AV67" s="15" t="str">
        <f t="shared" ref="AV67" si="4502">IF(InfBel2LevelCurrent&gt;=$B67,"-",IF(InfBel2LevelDesired&lt;$B67,"-",$C67))</f>
        <v>-</v>
      </c>
      <c r="AW67" s="1" t="str">
        <f t="shared" ref="AW67" si="4503">IF(InfBel2LevelCurrent&gt;=$B67,"-",IF(InfBel2LevelDesired&lt;$B67,"-",$D67))</f>
        <v>-</v>
      </c>
      <c r="AX67" s="21" t="str">
        <f t="shared" ref="AX67" si="4504">IF(InfBel2LevelCurrent&gt;=$B67,"-",IF(InfBel2LevelDesired&lt;$B67,"-",$E67))</f>
        <v>-</v>
      </c>
      <c r="AY67" s="15" t="str">
        <f t="shared" ref="AY67" si="4505">IF(InfBoo2LevelCurrent&gt;=$B67,"-",IF(InfBoo2LevelDesired&lt;$B67,"-",$C67))</f>
        <v>-</v>
      </c>
      <c r="AZ67" s="1" t="str">
        <f t="shared" ref="AZ67" si="4506">IF(InfBoo2LevelCurrent&gt;=$B67,"-",IF(InfBoo2LevelDesired&lt;$B67,"-",$D67))</f>
        <v>-</v>
      </c>
      <c r="BA67" s="21" t="str">
        <f t="shared" ref="BA67" si="4507">IF(InfBoo2LevelCurrent&gt;=$B67,"-",IF(InfBoo2LevelDesired&lt;$B67,"-",$E67))</f>
        <v>-</v>
      </c>
      <c r="BB67" s="15" t="str">
        <f t="shared" ref="BB67" si="4508">IF(LanGog2LevelCurrent&gt;=$B67,"-",IF(LanGog2LevelDesired&lt;$B67,"-",$C67))</f>
        <v>-</v>
      </c>
      <c r="BC67" s="1" t="str">
        <f t="shared" ref="BC67" si="4509">IF(LanGog2LevelCurrent&gt;=$B67,"-",IF(LanGog2LevelDesired&lt;$B67,"-",$D67))</f>
        <v>-</v>
      </c>
      <c r="BD67" s="21" t="str">
        <f t="shared" ref="BD67" si="4510">IF(LanGog2LevelCurrent&gt;=$B67,"-",IF(LanGog2LevelDesired&lt;$B67,"-",$E67))</f>
        <v>-</v>
      </c>
      <c r="BE67" s="15" t="str">
        <f t="shared" ref="BE67" si="4511">IF(LanGlo2LevelCurrent&gt;=$B67,"-",IF(LanGlo2LevelDesired&lt;$B67,"-",$C67))</f>
        <v>-</v>
      </c>
      <c r="BF67" s="1" t="str">
        <f t="shared" ref="BF67" si="4512">IF(LanGlo2LevelCurrent&gt;=$B67,"-",IF(LanGlo2LevelDesired&lt;$B67,"-",$D67))</f>
        <v>-</v>
      </c>
      <c r="BG67" s="21" t="str">
        <f t="shared" ref="BG67" si="4513">IF(LanGlo2LevelCurrent&gt;=$B67,"-",IF(LanGlo2LevelDesired&lt;$B67,"-",$E67))</f>
        <v>-</v>
      </c>
      <c r="BH67" s="15" t="str">
        <f t="shared" ref="BH67" si="4514">IF(LanBel2LevelCurrent&gt;=$B67,"-",IF(LanBel2LevelDesired&lt;$B67,"-",$C67))</f>
        <v>-</v>
      </c>
      <c r="BI67" s="1" t="str">
        <f t="shared" ref="BI67" si="4515">IF(LanBel2LevelCurrent&gt;=$B67,"-",IF(LanBel2LevelDesired&lt;$B67,"-",$D67))</f>
        <v>-</v>
      </c>
      <c r="BJ67" s="21" t="str">
        <f t="shared" ref="BJ67" si="4516">IF(LanBel2LevelCurrent&gt;=$B67,"-",IF(LanBel2LevelDesired&lt;$B67,"-",$E67))</f>
        <v>-</v>
      </c>
      <c r="BK67" s="15" t="str">
        <f t="shared" ref="BK67" si="4517">IF(LanBoo2LevelCurrent&gt;=$B67,"-",IF(LanBoo2LevelDesired&lt;$B67,"-",$C67))</f>
        <v>-</v>
      </c>
      <c r="BL67" s="1" t="str">
        <f t="shared" ref="BL67" si="4518">IF(LanBoo2LevelCurrent&gt;=$B67,"-",IF(LanBoo2LevelDesired&lt;$B67,"-",$D67))</f>
        <v>-</v>
      </c>
      <c r="BM67" s="21" t="str">
        <f t="shared" ref="BM67" si="4519">IF(LanBoo2LevelCurrent&gt;=$B67,"-",IF(LanBoo2LevelDesired&lt;$B67,"-",$E67))</f>
        <v>-</v>
      </c>
      <c r="BN67" s="15" t="str">
        <f t="shared" ref="BN67" si="4520">IF(MarGog2LevelCurrent&gt;=$B67,"-",IF(MarGog2LevelDesired&lt;$B67,"-",$C67))</f>
        <v>-</v>
      </c>
      <c r="BO67" s="1" t="str">
        <f t="shared" ref="BO67" si="4521">IF(MarGog2LevelCurrent&gt;=$B67,"-",IF(MarGog2LevelDesired&lt;$B67,"-",$D67))</f>
        <v>-</v>
      </c>
      <c r="BP67" s="21" t="str">
        <f t="shared" ref="BP67" si="4522">IF(MarGog2LevelCurrent&gt;=$B67,"-",IF(MarGog2LevelDesired&lt;$B67,"-",$E67))</f>
        <v>-</v>
      </c>
      <c r="BQ67" s="15" t="str">
        <f t="shared" ref="BQ67" si="4523">IF(MarGlo2LevelCurrent&gt;=$B67,"-",IF(MarGlo2LevelDesired&lt;$B67,"-",$C67))</f>
        <v>-</v>
      </c>
      <c r="BR67" s="1" t="str">
        <f t="shared" ref="BR67" si="4524">IF(MarGlo2LevelCurrent&gt;=$B67,"-",IF(MarGlo2LevelDesired&lt;$B67,"-",$D67))</f>
        <v>-</v>
      </c>
      <c r="BS67" s="21" t="str">
        <f t="shared" ref="BS67" si="4525">IF(MarGlo2LevelCurrent&gt;=$B67,"-",IF(MarGlo2LevelDesired&lt;$B67,"-",$E67))</f>
        <v>-</v>
      </c>
      <c r="BT67" s="15" t="str">
        <f t="shared" ref="BT67" si="4526">IF(MarBel2LevelCurrent&gt;=$B67,"-",IF(MarBel2LevelDesired&lt;$B67,"-",$C67))</f>
        <v>-</v>
      </c>
      <c r="BU67" s="1" t="str">
        <f t="shared" ref="BU67" si="4527">IF(MarBel2LevelCurrent&gt;=$B67,"-",IF(MarBel2LevelDesired&lt;$B67,"-",$D67))</f>
        <v>-</v>
      </c>
      <c r="BV67" s="21" t="str">
        <f t="shared" ref="BV67" si="4528">IF(MarBel2LevelCurrent&gt;=$B67,"-",IF(MarBel2LevelDesired&lt;$B67,"-",$E67))</f>
        <v>-</v>
      </c>
      <c r="BW67" s="15" t="str">
        <f t="shared" ref="BW67" si="4529">IF(MarBoo2LevelCurrent&gt;=$B67,"-",IF(MarBoo2LevelDesired&lt;$B67,"-",$C67))</f>
        <v>-</v>
      </c>
      <c r="BX67" s="1" t="str">
        <f t="shared" ref="BX67" si="4530">IF(MarBoo2LevelCurrent&gt;=$B67,"-",IF(MarBoo2LevelDesired&lt;$B67,"-",$D67))</f>
        <v>-</v>
      </c>
      <c r="BY67" s="21" t="str">
        <f t="shared" ref="BY67" si="4531">IF(MarBoo2LevelCurrent&gt;=$B67,"-",IF(MarBoo2LevelDesired&lt;$B67,"-",$E67))</f>
        <v>-</v>
      </c>
      <c r="BZ67" s="15" t="str">
        <f t="shared" si="2410"/>
        <v>-</v>
      </c>
      <c r="CA67" s="1" t="str" cm="1">
        <f t="array" ref="CA67">IF(InfGog3LevelCurrent&gt;=$B67,"-",IF(InfGog3LevelDesired&lt;$B67,"-",$D67))</f>
        <v>-</v>
      </c>
      <c r="CB67" s="21" t="str" cm="1">
        <f t="array" ref="CB67">IF(InfGog3LevelCurrent&gt;=$B67,"-",IF(InfGog3LevelDesired&lt;$B67,"-",$E67))</f>
        <v>-</v>
      </c>
      <c r="CC67" s="15" t="str">
        <f t="shared" si="2411"/>
        <v>-</v>
      </c>
      <c r="CD67" s="1" t="str">
        <f t="shared" si="2412"/>
        <v>-</v>
      </c>
      <c r="CE67" s="21" t="str">
        <f t="shared" si="2413"/>
        <v>-</v>
      </c>
      <c r="CF67" s="15" t="str">
        <f t="shared" si="2414"/>
        <v>-</v>
      </c>
      <c r="CG67" s="1" t="str">
        <f t="shared" si="2415"/>
        <v>-</v>
      </c>
      <c r="CH67" s="21" t="str">
        <f t="shared" si="2416"/>
        <v>-</v>
      </c>
      <c r="CI67" s="15" t="str">
        <f t="shared" si="2417"/>
        <v>-</v>
      </c>
      <c r="CJ67" s="1" t="str">
        <f t="shared" si="2418"/>
        <v>-</v>
      </c>
      <c r="CK67" s="21" t="str">
        <f t="shared" si="2419"/>
        <v>-</v>
      </c>
      <c r="CL67" s="15" t="str">
        <f t="shared" si="2420"/>
        <v>-</v>
      </c>
      <c r="CM67" s="1" t="str">
        <f t="shared" si="2421"/>
        <v>-</v>
      </c>
      <c r="CN67" s="21" t="str">
        <f t="shared" si="2422"/>
        <v>-</v>
      </c>
      <c r="CO67" s="15" t="str">
        <f t="shared" si="2423"/>
        <v>-</v>
      </c>
      <c r="CP67" s="1" t="str">
        <f t="shared" si="2424"/>
        <v>-</v>
      </c>
      <c r="CQ67" s="21" t="str">
        <f t="shared" si="2425"/>
        <v>-</v>
      </c>
      <c r="CR67" s="15" t="str">
        <f t="shared" si="2426"/>
        <v>-</v>
      </c>
      <c r="CS67" s="1" t="str">
        <f t="shared" si="2427"/>
        <v>-</v>
      </c>
      <c r="CT67" s="21" t="str">
        <f t="shared" si="2428"/>
        <v>-</v>
      </c>
      <c r="CU67" s="15" t="str">
        <f t="shared" si="2429"/>
        <v>-</v>
      </c>
      <c r="CV67" s="1" t="str">
        <f t="shared" si="2430"/>
        <v>-</v>
      </c>
      <c r="CW67" s="21" t="str">
        <f t="shared" si="2431"/>
        <v>-</v>
      </c>
      <c r="CX67" s="15" t="str">
        <f t="shared" si="2432"/>
        <v>-</v>
      </c>
      <c r="CY67" s="1" t="str">
        <f t="shared" si="2433"/>
        <v>-</v>
      </c>
      <c r="CZ67" s="21" t="str">
        <f t="shared" si="2434"/>
        <v>-</v>
      </c>
      <c r="DA67" s="15" t="str">
        <f t="shared" si="2435"/>
        <v>-</v>
      </c>
      <c r="DB67" s="1" t="str">
        <f t="shared" si="2436"/>
        <v>-</v>
      </c>
      <c r="DC67" s="21" t="str">
        <f t="shared" si="2437"/>
        <v>-</v>
      </c>
      <c r="DD67" s="15" t="str">
        <f t="shared" si="2438"/>
        <v>-</v>
      </c>
      <c r="DE67" s="1" t="str">
        <f t="shared" si="2439"/>
        <v>-</v>
      </c>
      <c r="DF67" s="21" t="str">
        <f t="shared" si="2440"/>
        <v>-</v>
      </c>
      <c r="DG67" s="15" t="str">
        <f t="shared" si="2441"/>
        <v>-</v>
      </c>
      <c r="DH67" s="1" t="str">
        <f t="shared" si="2442"/>
        <v>-</v>
      </c>
      <c r="DI67" s="21" t="str">
        <f t="shared" si="2443"/>
        <v>-</v>
      </c>
    </row>
    <row r="68" spans="2:113" x14ac:dyDescent="0.3">
      <c r="B68" s="1">
        <v>63</v>
      </c>
      <c r="C68" s="67">
        <v>770</v>
      </c>
      <c r="D68" s="88" t="s">
        <v>27</v>
      </c>
      <c r="E68" s="21" t="s">
        <v>27</v>
      </c>
      <c r="F68" s="15" t="str">
        <f t="shared" ref="F68" si="4532">IF(InfGog1LevelCurrent&gt;=$B68,"-",IF(InfGog1LevelDesired&lt;$B68,"-",$C68))</f>
        <v>-</v>
      </c>
      <c r="G68" s="1" t="str">
        <f t="shared" ref="G68" si="4533">IF(InfGog1LevelCurrent&gt;=$B68,"-",IF(InfGog1LevelDesired&lt;$B68,"-",$D68))</f>
        <v>-</v>
      </c>
      <c r="H68" s="21" t="str">
        <f t="shared" ref="H68" si="4534">IF(InfGog1LevelCurrent&gt;=$B68,"-",IF(InfGog1LevelDesired&lt;$B68,"-",$E68))</f>
        <v>-</v>
      </c>
      <c r="I68" s="15" t="str">
        <f t="shared" ref="I68" si="4535">IF(InfGlo1LevelCurrent&gt;=$B68,"-",IF(InfGlo1LevelDesired&lt;$B68,"-",$C68))</f>
        <v>-</v>
      </c>
      <c r="J68" s="1" t="str">
        <f t="shared" ref="J68" si="4536">IF(InfGlo1LevelCurrent&gt;=$B68,"-",IF(InfGlo1LevelDesired&lt;$B68,"-",$D68))</f>
        <v>-</v>
      </c>
      <c r="K68" s="21" t="str">
        <f t="shared" ref="K68" si="4537">IF(InfGlo1LevelCurrent&gt;=$B68,"-",IF(InfGlo1LevelDesired&lt;$B68,"-",$E68))</f>
        <v>-</v>
      </c>
      <c r="L68" s="15" t="str">
        <f t="shared" ref="L68" si="4538">IF(InfBel1LevelCurrent&gt;=$B68,"-",IF(InfBel1LevelDesired&lt;$B68,"-",$C68))</f>
        <v>-</v>
      </c>
      <c r="M68" s="1" t="str">
        <f t="shared" ref="M68" si="4539">IF(InfBel1LevelCurrent&gt;=$B68,"-",IF(InfBel1LevelDesired&lt;$B68,"-",$D68))</f>
        <v>-</v>
      </c>
      <c r="N68" s="21" t="str">
        <f t="shared" ref="N68" si="4540">IF(InfBel1LevelCurrent&gt;=$B68,"-",IF(InfBel1LevelDesired&lt;$B68,"-",$E68))</f>
        <v>-</v>
      </c>
      <c r="O68" s="15" t="str">
        <f t="shared" ref="O68" si="4541">IF(InfBoo1LevelCurrent&gt;=$B68,"-",IF(InfBoo1LevelDesired&lt;$B68,"-",$C68))</f>
        <v>-</v>
      </c>
      <c r="P68" s="1" t="str">
        <f t="shared" ref="P68" si="4542">IF(InfBoo1LevelCurrent&gt;=$B68,"-",IF(InfBoo1LevelDesired&lt;$B68,"-",$D68))</f>
        <v>-</v>
      </c>
      <c r="Q68" s="21" t="str">
        <f t="shared" ref="Q68" si="4543">IF(InfBoo1LevelCurrent&gt;=$B68,"-",IF(InfBoo1LevelDesired&lt;$B68,"-",$E68))</f>
        <v>-</v>
      </c>
      <c r="R68" s="15" t="str">
        <f t="shared" ref="R68" si="4544">IF(LanGog1LevelCurrent&gt;=$B68,"-",IF(LanGog1LevelDesired&lt;$B68,"-",$C68))</f>
        <v>-</v>
      </c>
      <c r="S68" s="1" t="str">
        <f t="shared" ref="S68" si="4545">IF(LanGog1LevelCurrent&gt;=$B68,"-",IF(LanGog1LevelDesired&lt;$B68,"-",$D68))</f>
        <v>-</v>
      </c>
      <c r="T68" s="21" t="str">
        <f t="shared" ref="T68" si="4546">IF(LanGog1LevelCurrent&gt;=$B68,"-",IF(LanGog1LevelDesired&lt;$B68,"-",$E68))</f>
        <v>-</v>
      </c>
      <c r="U68" s="15" t="str">
        <f t="shared" ref="U68" si="4547">IF(LanGlo1LevelCurrent&gt;=$B68,"-",IF(LanGlo1LevelDesired&lt;$B68,"-",$C68))</f>
        <v>-</v>
      </c>
      <c r="V68" s="1" t="str">
        <f t="shared" ref="V68" si="4548">IF(LanGlo1LevelCurrent&gt;=$B68,"-",IF(LanGlo1LevelDesired&lt;$B68,"-",$D68))</f>
        <v>-</v>
      </c>
      <c r="W68" s="21" t="str">
        <f t="shared" ref="W68" si="4549">IF(LanGlo1LevelCurrent&gt;=$B68,"-",IF(LanGlo1LevelDesired&lt;$B68,"-",$E68))</f>
        <v>-</v>
      </c>
      <c r="X68" s="15" t="str">
        <f t="shared" ref="X68" si="4550">IF(LanBel1LevelCurrent&gt;=$B68,"-",IF(LanBel1LevelDesired&lt;$B68,"-",$C68))</f>
        <v>-</v>
      </c>
      <c r="Y68" s="1" t="str">
        <f t="shared" ref="Y68" si="4551">IF(LanBel1LevelCurrent&gt;=$B68,"-",IF(LanBel1LevelDesired&lt;$B68,"-",$D68))</f>
        <v>-</v>
      </c>
      <c r="Z68" s="21" t="str">
        <f t="shared" ref="Z68" si="4552">IF(LanBel1LevelCurrent&gt;=$B68,"-",IF(LanBel1LevelDesired&lt;$B68,"-",$E68))</f>
        <v>-</v>
      </c>
      <c r="AA68" s="15" t="str">
        <f t="shared" ref="AA68" si="4553">IF(LanBoo1LevelCurrent&gt;=$B68,"-",IF(LanBoo1LevelDesired&lt;$B68,"-",$C68))</f>
        <v>-</v>
      </c>
      <c r="AB68" s="1" t="str">
        <f t="shared" ref="AB68" si="4554">IF(LanBoo1LevelCurrent&gt;=$B68,"-",IF(LanBoo1LevelDesired&lt;$B68,"-",$D68))</f>
        <v>-</v>
      </c>
      <c r="AC68" s="21" t="str">
        <f t="shared" ref="AC68" si="4555">IF(LanBoo1LevelCurrent&gt;=$B68,"-",IF(LanBoo1LevelDesired&lt;$B68,"-",$E68))</f>
        <v>-</v>
      </c>
      <c r="AD68" s="15" t="str">
        <f t="shared" ref="AD68" si="4556">IF(MarGog1LevelCurrent&gt;=$B68,"-",IF(MarGog1LevelDesired&lt;$B68,"-",$C68))</f>
        <v>-</v>
      </c>
      <c r="AE68" s="1" t="str">
        <f t="shared" ref="AE68" si="4557">IF(MarGog1LevelCurrent&gt;=$B68,"-",IF(MarGog1LevelDesired&lt;$B68,"-",$D68))</f>
        <v>-</v>
      </c>
      <c r="AF68" s="21" t="str">
        <f t="shared" ref="AF68" si="4558">IF(MarGog1LevelCurrent&gt;=$B68,"-",IF(MarGog1LevelDesired&lt;$B68,"-",$E68))</f>
        <v>-</v>
      </c>
      <c r="AG68" s="15" t="str">
        <f t="shared" ref="AG68" si="4559">IF(MarGlo1LevelCurrent&gt;=$B68,"-",IF(MarGlo1LevelDesired&lt;$B68,"-",$C68))</f>
        <v>-</v>
      </c>
      <c r="AH68" s="1" t="str">
        <f t="shared" ref="AH68" si="4560">IF(MarGlo1LevelCurrent&gt;=$B68,"-",IF(MarGlo1LevelDesired&lt;$B68,"-",$D68))</f>
        <v>-</v>
      </c>
      <c r="AI68" s="21" t="str">
        <f t="shared" ref="AI68" si="4561">IF(MarGlo1LevelCurrent&gt;=$B68,"-",IF(MarGlo1LevelDesired&lt;$B68,"-",$E68))</f>
        <v>-</v>
      </c>
      <c r="AJ68" s="15" t="str">
        <f t="shared" ref="AJ68" si="4562">IF(MarBel1LevelCurrent&gt;=$B68,"-",IF(MarBel1LevelDesired&lt;$B68,"-",$C68))</f>
        <v>-</v>
      </c>
      <c r="AK68" s="1" t="str">
        <f t="shared" ref="AK68" si="4563">IF(MarBel1LevelCurrent&gt;=$B68,"-",IF(MarBel1LevelDesired&lt;$B68,"-",$D68))</f>
        <v>-</v>
      </c>
      <c r="AL68" s="21" t="str">
        <f t="shared" ref="AL68" si="4564">IF(MarBel1LevelCurrent&gt;=$B68,"-",IF(MarBel1LevelDesired&lt;$B68,"-",$E68))</f>
        <v>-</v>
      </c>
      <c r="AM68" s="15" t="str">
        <f t="shared" ref="AM68" si="4565">IF(MarBoo1LevelCurrent&gt;=$B68,"-",IF(MarBoo1LevelDesired&lt;$B68,"-",$C68))</f>
        <v>-</v>
      </c>
      <c r="AN68" s="1" t="str">
        <f t="shared" ref="AN68" si="4566">IF(MarBoo1LevelCurrent&gt;=$B68,"-",IF(MarBoo1LevelDesired&lt;$B68,"-",$D68))</f>
        <v>-</v>
      </c>
      <c r="AO68" s="21" t="str">
        <f t="shared" ref="AO68" si="4567">IF(MarBoo1LevelCurrent&gt;=$B68,"-",IF(MarBoo1LevelDesired&lt;$B68,"-",$E68))</f>
        <v>-</v>
      </c>
      <c r="AP68" s="15" t="str">
        <f t="shared" ref="AP68" si="4568">IF(InfGog2LevelCurrent&gt;=$B68,"-",IF(InfGog2LevelDesired&lt;$B68,"-",$C68))</f>
        <v>-</v>
      </c>
      <c r="AQ68" s="1" t="str">
        <f t="shared" ref="AQ68" si="4569">IF(InfGog2LevelCurrent&gt;=$B68,"-",IF(InfGog2LevelDesired&lt;$B68,"-",$D68))</f>
        <v>-</v>
      </c>
      <c r="AR68" s="21" t="str">
        <f t="shared" ref="AR68" si="4570">IF(InfGog2LevelCurrent&gt;=$B68,"-",IF(InfGog2LevelDesired&lt;$B68,"-",$E68))</f>
        <v>-</v>
      </c>
      <c r="AS68" s="15" t="str">
        <f t="shared" ref="AS68" si="4571">IF(InfGlo2LevelCurrent&gt;=$B68,"-",IF(InfGlo2LevelDesired&lt;$B68,"-",$C68))</f>
        <v>-</v>
      </c>
      <c r="AT68" s="1" t="str">
        <f t="shared" ref="AT68" si="4572">IF(InfGlo2LevelCurrent&gt;=$B68,"-",IF(InfGlo2LevelDesired&lt;$B68,"-",$D68))</f>
        <v>-</v>
      </c>
      <c r="AU68" s="21" t="str">
        <f t="shared" ref="AU68" si="4573">IF(InfGlo2LevelCurrent&gt;=$B68,"-",IF(InfGlo2LevelDesired&lt;$B68,"-",$E68))</f>
        <v>-</v>
      </c>
      <c r="AV68" s="15" t="str">
        <f t="shared" ref="AV68" si="4574">IF(InfBel2LevelCurrent&gt;=$B68,"-",IF(InfBel2LevelDesired&lt;$B68,"-",$C68))</f>
        <v>-</v>
      </c>
      <c r="AW68" s="1" t="str">
        <f t="shared" ref="AW68" si="4575">IF(InfBel2LevelCurrent&gt;=$B68,"-",IF(InfBel2LevelDesired&lt;$B68,"-",$D68))</f>
        <v>-</v>
      </c>
      <c r="AX68" s="21" t="str">
        <f t="shared" ref="AX68" si="4576">IF(InfBel2LevelCurrent&gt;=$B68,"-",IF(InfBel2LevelDesired&lt;$B68,"-",$E68))</f>
        <v>-</v>
      </c>
      <c r="AY68" s="15" t="str">
        <f t="shared" ref="AY68" si="4577">IF(InfBoo2LevelCurrent&gt;=$B68,"-",IF(InfBoo2LevelDesired&lt;$B68,"-",$C68))</f>
        <v>-</v>
      </c>
      <c r="AZ68" s="1" t="str">
        <f t="shared" ref="AZ68" si="4578">IF(InfBoo2LevelCurrent&gt;=$B68,"-",IF(InfBoo2LevelDesired&lt;$B68,"-",$D68))</f>
        <v>-</v>
      </c>
      <c r="BA68" s="21" t="str">
        <f t="shared" ref="BA68" si="4579">IF(InfBoo2LevelCurrent&gt;=$B68,"-",IF(InfBoo2LevelDesired&lt;$B68,"-",$E68))</f>
        <v>-</v>
      </c>
      <c r="BB68" s="15" t="str">
        <f t="shared" ref="BB68" si="4580">IF(LanGog2LevelCurrent&gt;=$B68,"-",IF(LanGog2LevelDesired&lt;$B68,"-",$C68))</f>
        <v>-</v>
      </c>
      <c r="BC68" s="1" t="str">
        <f t="shared" ref="BC68" si="4581">IF(LanGog2LevelCurrent&gt;=$B68,"-",IF(LanGog2LevelDesired&lt;$B68,"-",$D68))</f>
        <v>-</v>
      </c>
      <c r="BD68" s="21" t="str">
        <f t="shared" ref="BD68" si="4582">IF(LanGog2LevelCurrent&gt;=$B68,"-",IF(LanGog2LevelDesired&lt;$B68,"-",$E68))</f>
        <v>-</v>
      </c>
      <c r="BE68" s="15" t="str">
        <f t="shared" ref="BE68" si="4583">IF(LanGlo2LevelCurrent&gt;=$B68,"-",IF(LanGlo2LevelDesired&lt;$B68,"-",$C68))</f>
        <v>-</v>
      </c>
      <c r="BF68" s="1" t="str">
        <f t="shared" ref="BF68" si="4584">IF(LanGlo2LevelCurrent&gt;=$B68,"-",IF(LanGlo2LevelDesired&lt;$B68,"-",$D68))</f>
        <v>-</v>
      </c>
      <c r="BG68" s="21" t="str">
        <f t="shared" ref="BG68" si="4585">IF(LanGlo2LevelCurrent&gt;=$B68,"-",IF(LanGlo2LevelDesired&lt;$B68,"-",$E68))</f>
        <v>-</v>
      </c>
      <c r="BH68" s="15" t="str">
        <f t="shared" ref="BH68" si="4586">IF(LanBel2LevelCurrent&gt;=$B68,"-",IF(LanBel2LevelDesired&lt;$B68,"-",$C68))</f>
        <v>-</v>
      </c>
      <c r="BI68" s="1" t="str">
        <f t="shared" ref="BI68" si="4587">IF(LanBel2LevelCurrent&gt;=$B68,"-",IF(LanBel2LevelDesired&lt;$B68,"-",$D68))</f>
        <v>-</v>
      </c>
      <c r="BJ68" s="21" t="str">
        <f t="shared" ref="BJ68" si="4588">IF(LanBel2LevelCurrent&gt;=$B68,"-",IF(LanBel2LevelDesired&lt;$B68,"-",$E68))</f>
        <v>-</v>
      </c>
      <c r="BK68" s="15" t="str">
        <f t="shared" ref="BK68" si="4589">IF(LanBoo2LevelCurrent&gt;=$B68,"-",IF(LanBoo2LevelDesired&lt;$B68,"-",$C68))</f>
        <v>-</v>
      </c>
      <c r="BL68" s="1" t="str">
        <f t="shared" ref="BL68" si="4590">IF(LanBoo2LevelCurrent&gt;=$B68,"-",IF(LanBoo2LevelDesired&lt;$B68,"-",$D68))</f>
        <v>-</v>
      </c>
      <c r="BM68" s="21" t="str">
        <f t="shared" ref="BM68" si="4591">IF(LanBoo2LevelCurrent&gt;=$B68,"-",IF(LanBoo2LevelDesired&lt;$B68,"-",$E68))</f>
        <v>-</v>
      </c>
      <c r="BN68" s="15" t="str">
        <f t="shared" ref="BN68" si="4592">IF(MarGog2LevelCurrent&gt;=$B68,"-",IF(MarGog2LevelDesired&lt;$B68,"-",$C68))</f>
        <v>-</v>
      </c>
      <c r="BO68" s="1" t="str">
        <f t="shared" ref="BO68" si="4593">IF(MarGog2LevelCurrent&gt;=$B68,"-",IF(MarGog2LevelDesired&lt;$B68,"-",$D68))</f>
        <v>-</v>
      </c>
      <c r="BP68" s="21" t="str">
        <f t="shared" ref="BP68" si="4594">IF(MarGog2LevelCurrent&gt;=$B68,"-",IF(MarGog2LevelDesired&lt;$B68,"-",$E68))</f>
        <v>-</v>
      </c>
      <c r="BQ68" s="15" t="str">
        <f t="shared" ref="BQ68" si="4595">IF(MarGlo2LevelCurrent&gt;=$B68,"-",IF(MarGlo2LevelDesired&lt;$B68,"-",$C68))</f>
        <v>-</v>
      </c>
      <c r="BR68" s="1" t="str">
        <f t="shared" ref="BR68" si="4596">IF(MarGlo2LevelCurrent&gt;=$B68,"-",IF(MarGlo2LevelDesired&lt;$B68,"-",$D68))</f>
        <v>-</v>
      </c>
      <c r="BS68" s="21" t="str">
        <f t="shared" ref="BS68" si="4597">IF(MarGlo2LevelCurrent&gt;=$B68,"-",IF(MarGlo2LevelDesired&lt;$B68,"-",$E68))</f>
        <v>-</v>
      </c>
      <c r="BT68" s="15" t="str">
        <f t="shared" ref="BT68" si="4598">IF(MarBel2LevelCurrent&gt;=$B68,"-",IF(MarBel2LevelDesired&lt;$B68,"-",$C68))</f>
        <v>-</v>
      </c>
      <c r="BU68" s="1" t="str">
        <f t="shared" ref="BU68" si="4599">IF(MarBel2LevelCurrent&gt;=$B68,"-",IF(MarBel2LevelDesired&lt;$B68,"-",$D68))</f>
        <v>-</v>
      </c>
      <c r="BV68" s="21" t="str">
        <f t="shared" ref="BV68" si="4600">IF(MarBel2LevelCurrent&gt;=$B68,"-",IF(MarBel2LevelDesired&lt;$B68,"-",$E68))</f>
        <v>-</v>
      </c>
      <c r="BW68" s="15" t="str">
        <f t="shared" ref="BW68" si="4601">IF(MarBoo2LevelCurrent&gt;=$B68,"-",IF(MarBoo2LevelDesired&lt;$B68,"-",$C68))</f>
        <v>-</v>
      </c>
      <c r="BX68" s="1" t="str">
        <f t="shared" ref="BX68" si="4602">IF(MarBoo2LevelCurrent&gt;=$B68,"-",IF(MarBoo2LevelDesired&lt;$B68,"-",$D68))</f>
        <v>-</v>
      </c>
      <c r="BY68" s="21" t="str">
        <f t="shared" ref="BY68" si="4603">IF(MarBoo2LevelCurrent&gt;=$B68,"-",IF(MarBoo2LevelDesired&lt;$B68,"-",$E68))</f>
        <v>-</v>
      </c>
      <c r="BZ68" s="15" t="str">
        <f t="shared" si="2410"/>
        <v>-</v>
      </c>
      <c r="CA68" s="1" t="str" cm="1">
        <f t="array" ref="CA68">IF(InfGog3LevelCurrent&gt;=$B68,"-",IF(InfGog3LevelDesired&lt;$B68,"-",$D68))</f>
        <v>-</v>
      </c>
      <c r="CB68" s="21" t="str" cm="1">
        <f t="array" ref="CB68">IF(InfGog3LevelCurrent&gt;=$B68,"-",IF(InfGog3LevelDesired&lt;$B68,"-",$E68))</f>
        <v>-</v>
      </c>
      <c r="CC68" s="15" t="str">
        <f t="shared" si="2411"/>
        <v>-</v>
      </c>
      <c r="CD68" s="1" t="str">
        <f t="shared" si="2412"/>
        <v>-</v>
      </c>
      <c r="CE68" s="21" t="str">
        <f t="shared" si="2413"/>
        <v>-</v>
      </c>
      <c r="CF68" s="15" t="str">
        <f t="shared" si="2414"/>
        <v>-</v>
      </c>
      <c r="CG68" s="1" t="str">
        <f t="shared" si="2415"/>
        <v>-</v>
      </c>
      <c r="CH68" s="21" t="str">
        <f t="shared" si="2416"/>
        <v>-</v>
      </c>
      <c r="CI68" s="15" t="str">
        <f t="shared" si="2417"/>
        <v>-</v>
      </c>
      <c r="CJ68" s="1" t="str">
        <f t="shared" si="2418"/>
        <v>-</v>
      </c>
      <c r="CK68" s="21" t="str">
        <f t="shared" si="2419"/>
        <v>-</v>
      </c>
      <c r="CL68" s="15" t="str">
        <f t="shared" si="2420"/>
        <v>-</v>
      </c>
      <c r="CM68" s="1" t="str">
        <f t="shared" si="2421"/>
        <v>-</v>
      </c>
      <c r="CN68" s="21" t="str">
        <f t="shared" si="2422"/>
        <v>-</v>
      </c>
      <c r="CO68" s="15" t="str">
        <f t="shared" si="2423"/>
        <v>-</v>
      </c>
      <c r="CP68" s="1" t="str">
        <f t="shared" si="2424"/>
        <v>-</v>
      </c>
      <c r="CQ68" s="21" t="str">
        <f t="shared" si="2425"/>
        <v>-</v>
      </c>
      <c r="CR68" s="15" t="str">
        <f t="shared" si="2426"/>
        <v>-</v>
      </c>
      <c r="CS68" s="1" t="str">
        <f t="shared" si="2427"/>
        <v>-</v>
      </c>
      <c r="CT68" s="21" t="str">
        <f t="shared" si="2428"/>
        <v>-</v>
      </c>
      <c r="CU68" s="15" t="str">
        <f t="shared" si="2429"/>
        <v>-</v>
      </c>
      <c r="CV68" s="1" t="str">
        <f t="shared" si="2430"/>
        <v>-</v>
      </c>
      <c r="CW68" s="21" t="str">
        <f t="shared" si="2431"/>
        <v>-</v>
      </c>
      <c r="CX68" s="15" t="str">
        <f t="shared" si="2432"/>
        <v>-</v>
      </c>
      <c r="CY68" s="1" t="str">
        <f t="shared" si="2433"/>
        <v>-</v>
      </c>
      <c r="CZ68" s="21" t="str">
        <f t="shared" si="2434"/>
        <v>-</v>
      </c>
      <c r="DA68" s="15" t="str">
        <f t="shared" si="2435"/>
        <v>-</v>
      </c>
      <c r="DB68" s="1" t="str">
        <f t="shared" si="2436"/>
        <v>-</v>
      </c>
      <c r="DC68" s="21" t="str">
        <f t="shared" si="2437"/>
        <v>-</v>
      </c>
      <c r="DD68" s="15" t="str">
        <f t="shared" si="2438"/>
        <v>-</v>
      </c>
      <c r="DE68" s="1" t="str">
        <f t="shared" si="2439"/>
        <v>-</v>
      </c>
      <c r="DF68" s="21" t="str">
        <f t="shared" si="2440"/>
        <v>-</v>
      </c>
      <c r="DG68" s="15" t="str">
        <f t="shared" si="2441"/>
        <v>-</v>
      </c>
      <c r="DH68" s="1" t="str">
        <f t="shared" si="2442"/>
        <v>-</v>
      </c>
      <c r="DI68" s="21" t="str">
        <f t="shared" si="2443"/>
        <v>-</v>
      </c>
    </row>
    <row r="69" spans="2:113" x14ac:dyDescent="0.3">
      <c r="B69" s="1">
        <v>64</v>
      </c>
      <c r="C69" s="67">
        <v>800</v>
      </c>
      <c r="D69" s="88" t="s">
        <v>27</v>
      </c>
      <c r="E69" s="21" t="s">
        <v>27</v>
      </c>
      <c r="F69" s="15" t="str">
        <f t="shared" ref="F69" si="4604">IF(InfGog1LevelCurrent&gt;=$B69,"-",IF(InfGog1LevelDesired&lt;$B69,"-",$C69))</f>
        <v>-</v>
      </c>
      <c r="G69" s="1" t="str">
        <f t="shared" ref="G69" si="4605">IF(InfGog1LevelCurrent&gt;=$B69,"-",IF(InfGog1LevelDesired&lt;$B69,"-",$D69))</f>
        <v>-</v>
      </c>
      <c r="H69" s="21" t="str">
        <f t="shared" ref="H69" si="4606">IF(InfGog1LevelCurrent&gt;=$B69,"-",IF(InfGog1LevelDesired&lt;$B69,"-",$E69))</f>
        <v>-</v>
      </c>
      <c r="I69" s="15" t="str">
        <f t="shared" ref="I69" si="4607">IF(InfGlo1LevelCurrent&gt;=$B69,"-",IF(InfGlo1LevelDesired&lt;$B69,"-",$C69))</f>
        <v>-</v>
      </c>
      <c r="J69" s="1" t="str">
        <f t="shared" ref="J69" si="4608">IF(InfGlo1LevelCurrent&gt;=$B69,"-",IF(InfGlo1LevelDesired&lt;$B69,"-",$D69))</f>
        <v>-</v>
      </c>
      <c r="K69" s="21" t="str">
        <f t="shared" ref="K69" si="4609">IF(InfGlo1LevelCurrent&gt;=$B69,"-",IF(InfGlo1LevelDesired&lt;$B69,"-",$E69))</f>
        <v>-</v>
      </c>
      <c r="L69" s="15" t="str">
        <f t="shared" ref="L69" si="4610">IF(InfBel1LevelCurrent&gt;=$B69,"-",IF(InfBel1LevelDesired&lt;$B69,"-",$C69))</f>
        <v>-</v>
      </c>
      <c r="M69" s="1" t="str">
        <f t="shared" ref="M69" si="4611">IF(InfBel1LevelCurrent&gt;=$B69,"-",IF(InfBel1LevelDesired&lt;$B69,"-",$D69))</f>
        <v>-</v>
      </c>
      <c r="N69" s="21" t="str">
        <f t="shared" ref="N69" si="4612">IF(InfBel1LevelCurrent&gt;=$B69,"-",IF(InfBel1LevelDesired&lt;$B69,"-",$E69))</f>
        <v>-</v>
      </c>
      <c r="O69" s="15" t="str">
        <f t="shared" ref="O69" si="4613">IF(InfBoo1LevelCurrent&gt;=$B69,"-",IF(InfBoo1LevelDesired&lt;$B69,"-",$C69))</f>
        <v>-</v>
      </c>
      <c r="P69" s="1" t="str">
        <f t="shared" ref="P69" si="4614">IF(InfBoo1LevelCurrent&gt;=$B69,"-",IF(InfBoo1LevelDesired&lt;$B69,"-",$D69))</f>
        <v>-</v>
      </c>
      <c r="Q69" s="21" t="str">
        <f t="shared" ref="Q69" si="4615">IF(InfBoo1LevelCurrent&gt;=$B69,"-",IF(InfBoo1LevelDesired&lt;$B69,"-",$E69))</f>
        <v>-</v>
      </c>
      <c r="R69" s="15" t="str">
        <f t="shared" ref="R69" si="4616">IF(LanGog1LevelCurrent&gt;=$B69,"-",IF(LanGog1LevelDesired&lt;$B69,"-",$C69))</f>
        <v>-</v>
      </c>
      <c r="S69" s="1" t="str">
        <f t="shared" ref="S69" si="4617">IF(LanGog1LevelCurrent&gt;=$B69,"-",IF(LanGog1LevelDesired&lt;$B69,"-",$D69))</f>
        <v>-</v>
      </c>
      <c r="T69" s="21" t="str">
        <f t="shared" ref="T69" si="4618">IF(LanGog1LevelCurrent&gt;=$B69,"-",IF(LanGog1LevelDesired&lt;$B69,"-",$E69))</f>
        <v>-</v>
      </c>
      <c r="U69" s="15" t="str">
        <f t="shared" ref="U69" si="4619">IF(LanGlo1LevelCurrent&gt;=$B69,"-",IF(LanGlo1LevelDesired&lt;$B69,"-",$C69))</f>
        <v>-</v>
      </c>
      <c r="V69" s="1" t="str">
        <f t="shared" ref="V69" si="4620">IF(LanGlo1LevelCurrent&gt;=$B69,"-",IF(LanGlo1LevelDesired&lt;$B69,"-",$D69))</f>
        <v>-</v>
      </c>
      <c r="W69" s="21" t="str">
        <f t="shared" ref="W69" si="4621">IF(LanGlo1LevelCurrent&gt;=$B69,"-",IF(LanGlo1LevelDesired&lt;$B69,"-",$E69))</f>
        <v>-</v>
      </c>
      <c r="X69" s="15" t="str">
        <f t="shared" ref="X69" si="4622">IF(LanBel1LevelCurrent&gt;=$B69,"-",IF(LanBel1LevelDesired&lt;$B69,"-",$C69))</f>
        <v>-</v>
      </c>
      <c r="Y69" s="1" t="str">
        <f t="shared" ref="Y69" si="4623">IF(LanBel1LevelCurrent&gt;=$B69,"-",IF(LanBel1LevelDesired&lt;$B69,"-",$D69))</f>
        <v>-</v>
      </c>
      <c r="Z69" s="21" t="str">
        <f t="shared" ref="Z69" si="4624">IF(LanBel1LevelCurrent&gt;=$B69,"-",IF(LanBel1LevelDesired&lt;$B69,"-",$E69))</f>
        <v>-</v>
      </c>
      <c r="AA69" s="15" t="str">
        <f t="shared" ref="AA69" si="4625">IF(LanBoo1LevelCurrent&gt;=$B69,"-",IF(LanBoo1LevelDesired&lt;$B69,"-",$C69))</f>
        <v>-</v>
      </c>
      <c r="AB69" s="1" t="str">
        <f t="shared" ref="AB69" si="4626">IF(LanBoo1LevelCurrent&gt;=$B69,"-",IF(LanBoo1LevelDesired&lt;$B69,"-",$D69))</f>
        <v>-</v>
      </c>
      <c r="AC69" s="21" t="str">
        <f t="shared" ref="AC69" si="4627">IF(LanBoo1LevelCurrent&gt;=$B69,"-",IF(LanBoo1LevelDesired&lt;$B69,"-",$E69))</f>
        <v>-</v>
      </c>
      <c r="AD69" s="15" t="str">
        <f t="shared" ref="AD69" si="4628">IF(MarGog1LevelCurrent&gt;=$B69,"-",IF(MarGog1LevelDesired&lt;$B69,"-",$C69))</f>
        <v>-</v>
      </c>
      <c r="AE69" s="1" t="str">
        <f t="shared" ref="AE69" si="4629">IF(MarGog1LevelCurrent&gt;=$B69,"-",IF(MarGog1LevelDesired&lt;$B69,"-",$D69))</f>
        <v>-</v>
      </c>
      <c r="AF69" s="21" t="str">
        <f t="shared" ref="AF69" si="4630">IF(MarGog1LevelCurrent&gt;=$B69,"-",IF(MarGog1LevelDesired&lt;$B69,"-",$E69))</f>
        <v>-</v>
      </c>
      <c r="AG69" s="15" t="str">
        <f t="shared" ref="AG69" si="4631">IF(MarGlo1LevelCurrent&gt;=$B69,"-",IF(MarGlo1LevelDesired&lt;$B69,"-",$C69))</f>
        <v>-</v>
      </c>
      <c r="AH69" s="1" t="str">
        <f t="shared" ref="AH69" si="4632">IF(MarGlo1LevelCurrent&gt;=$B69,"-",IF(MarGlo1LevelDesired&lt;$B69,"-",$D69))</f>
        <v>-</v>
      </c>
      <c r="AI69" s="21" t="str">
        <f t="shared" ref="AI69" si="4633">IF(MarGlo1LevelCurrent&gt;=$B69,"-",IF(MarGlo1LevelDesired&lt;$B69,"-",$E69))</f>
        <v>-</v>
      </c>
      <c r="AJ69" s="15" t="str">
        <f t="shared" ref="AJ69" si="4634">IF(MarBel1LevelCurrent&gt;=$B69,"-",IF(MarBel1LevelDesired&lt;$B69,"-",$C69))</f>
        <v>-</v>
      </c>
      <c r="AK69" s="1" t="str">
        <f t="shared" ref="AK69" si="4635">IF(MarBel1LevelCurrent&gt;=$B69,"-",IF(MarBel1LevelDesired&lt;$B69,"-",$D69))</f>
        <v>-</v>
      </c>
      <c r="AL69" s="21" t="str">
        <f t="shared" ref="AL69" si="4636">IF(MarBel1LevelCurrent&gt;=$B69,"-",IF(MarBel1LevelDesired&lt;$B69,"-",$E69))</f>
        <v>-</v>
      </c>
      <c r="AM69" s="15" t="str">
        <f t="shared" ref="AM69" si="4637">IF(MarBoo1LevelCurrent&gt;=$B69,"-",IF(MarBoo1LevelDesired&lt;$B69,"-",$C69))</f>
        <v>-</v>
      </c>
      <c r="AN69" s="1" t="str">
        <f t="shared" ref="AN69" si="4638">IF(MarBoo1LevelCurrent&gt;=$B69,"-",IF(MarBoo1LevelDesired&lt;$B69,"-",$D69))</f>
        <v>-</v>
      </c>
      <c r="AO69" s="21" t="str">
        <f t="shared" ref="AO69" si="4639">IF(MarBoo1LevelCurrent&gt;=$B69,"-",IF(MarBoo1LevelDesired&lt;$B69,"-",$E69))</f>
        <v>-</v>
      </c>
      <c r="AP69" s="15" t="str">
        <f t="shared" ref="AP69" si="4640">IF(InfGog2LevelCurrent&gt;=$B69,"-",IF(InfGog2LevelDesired&lt;$B69,"-",$C69))</f>
        <v>-</v>
      </c>
      <c r="AQ69" s="1" t="str">
        <f t="shared" ref="AQ69" si="4641">IF(InfGog2LevelCurrent&gt;=$B69,"-",IF(InfGog2LevelDesired&lt;$B69,"-",$D69))</f>
        <v>-</v>
      </c>
      <c r="AR69" s="21" t="str">
        <f t="shared" ref="AR69" si="4642">IF(InfGog2LevelCurrent&gt;=$B69,"-",IF(InfGog2LevelDesired&lt;$B69,"-",$E69))</f>
        <v>-</v>
      </c>
      <c r="AS69" s="15" t="str">
        <f t="shared" ref="AS69" si="4643">IF(InfGlo2LevelCurrent&gt;=$B69,"-",IF(InfGlo2LevelDesired&lt;$B69,"-",$C69))</f>
        <v>-</v>
      </c>
      <c r="AT69" s="1" t="str">
        <f t="shared" ref="AT69" si="4644">IF(InfGlo2LevelCurrent&gt;=$B69,"-",IF(InfGlo2LevelDesired&lt;$B69,"-",$D69))</f>
        <v>-</v>
      </c>
      <c r="AU69" s="21" t="str">
        <f t="shared" ref="AU69" si="4645">IF(InfGlo2LevelCurrent&gt;=$B69,"-",IF(InfGlo2LevelDesired&lt;$B69,"-",$E69))</f>
        <v>-</v>
      </c>
      <c r="AV69" s="15" t="str">
        <f t="shared" ref="AV69" si="4646">IF(InfBel2LevelCurrent&gt;=$B69,"-",IF(InfBel2LevelDesired&lt;$B69,"-",$C69))</f>
        <v>-</v>
      </c>
      <c r="AW69" s="1" t="str">
        <f t="shared" ref="AW69" si="4647">IF(InfBel2LevelCurrent&gt;=$B69,"-",IF(InfBel2LevelDesired&lt;$B69,"-",$D69))</f>
        <v>-</v>
      </c>
      <c r="AX69" s="21" t="str">
        <f t="shared" ref="AX69" si="4648">IF(InfBel2LevelCurrent&gt;=$B69,"-",IF(InfBel2LevelDesired&lt;$B69,"-",$E69))</f>
        <v>-</v>
      </c>
      <c r="AY69" s="15" t="str">
        <f t="shared" ref="AY69" si="4649">IF(InfBoo2LevelCurrent&gt;=$B69,"-",IF(InfBoo2LevelDesired&lt;$B69,"-",$C69))</f>
        <v>-</v>
      </c>
      <c r="AZ69" s="1" t="str">
        <f t="shared" ref="AZ69" si="4650">IF(InfBoo2LevelCurrent&gt;=$B69,"-",IF(InfBoo2LevelDesired&lt;$B69,"-",$D69))</f>
        <v>-</v>
      </c>
      <c r="BA69" s="21" t="str">
        <f t="shared" ref="BA69" si="4651">IF(InfBoo2LevelCurrent&gt;=$B69,"-",IF(InfBoo2LevelDesired&lt;$B69,"-",$E69))</f>
        <v>-</v>
      </c>
      <c r="BB69" s="15" t="str">
        <f t="shared" ref="BB69" si="4652">IF(LanGog2LevelCurrent&gt;=$B69,"-",IF(LanGog2LevelDesired&lt;$B69,"-",$C69))</f>
        <v>-</v>
      </c>
      <c r="BC69" s="1" t="str">
        <f t="shared" ref="BC69" si="4653">IF(LanGog2LevelCurrent&gt;=$B69,"-",IF(LanGog2LevelDesired&lt;$B69,"-",$D69))</f>
        <v>-</v>
      </c>
      <c r="BD69" s="21" t="str">
        <f t="shared" ref="BD69" si="4654">IF(LanGog2LevelCurrent&gt;=$B69,"-",IF(LanGog2LevelDesired&lt;$B69,"-",$E69))</f>
        <v>-</v>
      </c>
      <c r="BE69" s="15" t="str">
        <f t="shared" ref="BE69" si="4655">IF(LanGlo2LevelCurrent&gt;=$B69,"-",IF(LanGlo2LevelDesired&lt;$B69,"-",$C69))</f>
        <v>-</v>
      </c>
      <c r="BF69" s="1" t="str">
        <f t="shared" ref="BF69" si="4656">IF(LanGlo2LevelCurrent&gt;=$B69,"-",IF(LanGlo2LevelDesired&lt;$B69,"-",$D69))</f>
        <v>-</v>
      </c>
      <c r="BG69" s="21" t="str">
        <f t="shared" ref="BG69" si="4657">IF(LanGlo2LevelCurrent&gt;=$B69,"-",IF(LanGlo2LevelDesired&lt;$B69,"-",$E69))</f>
        <v>-</v>
      </c>
      <c r="BH69" s="15" t="str">
        <f t="shared" ref="BH69" si="4658">IF(LanBel2LevelCurrent&gt;=$B69,"-",IF(LanBel2LevelDesired&lt;$B69,"-",$C69))</f>
        <v>-</v>
      </c>
      <c r="BI69" s="1" t="str">
        <f t="shared" ref="BI69" si="4659">IF(LanBel2LevelCurrent&gt;=$B69,"-",IF(LanBel2LevelDesired&lt;$B69,"-",$D69))</f>
        <v>-</v>
      </c>
      <c r="BJ69" s="21" t="str">
        <f t="shared" ref="BJ69" si="4660">IF(LanBel2LevelCurrent&gt;=$B69,"-",IF(LanBel2LevelDesired&lt;$B69,"-",$E69))</f>
        <v>-</v>
      </c>
      <c r="BK69" s="15" t="str">
        <f t="shared" ref="BK69" si="4661">IF(LanBoo2LevelCurrent&gt;=$B69,"-",IF(LanBoo2LevelDesired&lt;$B69,"-",$C69))</f>
        <v>-</v>
      </c>
      <c r="BL69" s="1" t="str">
        <f t="shared" ref="BL69" si="4662">IF(LanBoo2LevelCurrent&gt;=$B69,"-",IF(LanBoo2LevelDesired&lt;$B69,"-",$D69))</f>
        <v>-</v>
      </c>
      <c r="BM69" s="21" t="str">
        <f t="shared" ref="BM69" si="4663">IF(LanBoo2LevelCurrent&gt;=$B69,"-",IF(LanBoo2LevelDesired&lt;$B69,"-",$E69))</f>
        <v>-</v>
      </c>
      <c r="BN69" s="15" t="str">
        <f t="shared" ref="BN69" si="4664">IF(MarGog2LevelCurrent&gt;=$B69,"-",IF(MarGog2LevelDesired&lt;$B69,"-",$C69))</f>
        <v>-</v>
      </c>
      <c r="BO69" s="1" t="str">
        <f t="shared" ref="BO69" si="4665">IF(MarGog2LevelCurrent&gt;=$B69,"-",IF(MarGog2LevelDesired&lt;$B69,"-",$D69))</f>
        <v>-</v>
      </c>
      <c r="BP69" s="21" t="str">
        <f t="shared" ref="BP69" si="4666">IF(MarGog2LevelCurrent&gt;=$B69,"-",IF(MarGog2LevelDesired&lt;$B69,"-",$E69))</f>
        <v>-</v>
      </c>
      <c r="BQ69" s="15" t="str">
        <f t="shared" ref="BQ69" si="4667">IF(MarGlo2LevelCurrent&gt;=$B69,"-",IF(MarGlo2LevelDesired&lt;$B69,"-",$C69))</f>
        <v>-</v>
      </c>
      <c r="BR69" s="1" t="str">
        <f t="shared" ref="BR69" si="4668">IF(MarGlo2LevelCurrent&gt;=$B69,"-",IF(MarGlo2LevelDesired&lt;$B69,"-",$D69))</f>
        <v>-</v>
      </c>
      <c r="BS69" s="21" t="str">
        <f t="shared" ref="BS69" si="4669">IF(MarGlo2LevelCurrent&gt;=$B69,"-",IF(MarGlo2LevelDesired&lt;$B69,"-",$E69))</f>
        <v>-</v>
      </c>
      <c r="BT69" s="15" t="str">
        <f t="shared" ref="BT69" si="4670">IF(MarBel2LevelCurrent&gt;=$B69,"-",IF(MarBel2LevelDesired&lt;$B69,"-",$C69))</f>
        <v>-</v>
      </c>
      <c r="BU69" s="1" t="str">
        <f t="shared" ref="BU69" si="4671">IF(MarBel2LevelCurrent&gt;=$B69,"-",IF(MarBel2LevelDesired&lt;$B69,"-",$D69))</f>
        <v>-</v>
      </c>
      <c r="BV69" s="21" t="str">
        <f t="shared" ref="BV69" si="4672">IF(MarBel2LevelCurrent&gt;=$B69,"-",IF(MarBel2LevelDesired&lt;$B69,"-",$E69))</f>
        <v>-</v>
      </c>
      <c r="BW69" s="15" t="str">
        <f t="shared" ref="BW69" si="4673">IF(MarBoo2LevelCurrent&gt;=$B69,"-",IF(MarBoo2LevelDesired&lt;$B69,"-",$C69))</f>
        <v>-</v>
      </c>
      <c r="BX69" s="1" t="str">
        <f t="shared" ref="BX69" si="4674">IF(MarBoo2LevelCurrent&gt;=$B69,"-",IF(MarBoo2LevelDesired&lt;$B69,"-",$D69))</f>
        <v>-</v>
      </c>
      <c r="BY69" s="21" t="str">
        <f t="shared" ref="BY69" si="4675">IF(MarBoo2LevelCurrent&gt;=$B69,"-",IF(MarBoo2LevelDesired&lt;$B69,"-",$E69))</f>
        <v>-</v>
      </c>
      <c r="BZ69" s="15" t="str">
        <f t="shared" si="2410"/>
        <v>-</v>
      </c>
      <c r="CA69" s="1" t="str" cm="1">
        <f t="array" ref="CA69">IF(InfGog3LevelCurrent&gt;=$B69,"-",IF(InfGog3LevelDesired&lt;$B69,"-",$D69))</f>
        <v>-</v>
      </c>
      <c r="CB69" s="21" t="str" cm="1">
        <f t="array" ref="CB69">IF(InfGog3LevelCurrent&gt;=$B69,"-",IF(InfGog3LevelDesired&lt;$B69,"-",$E69))</f>
        <v>-</v>
      </c>
      <c r="CC69" s="15" t="str">
        <f t="shared" si="2411"/>
        <v>-</v>
      </c>
      <c r="CD69" s="1" t="str">
        <f t="shared" si="2412"/>
        <v>-</v>
      </c>
      <c r="CE69" s="21" t="str">
        <f t="shared" si="2413"/>
        <v>-</v>
      </c>
      <c r="CF69" s="15" t="str">
        <f t="shared" si="2414"/>
        <v>-</v>
      </c>
      <c r="CG69" s="1" t="str">
        <f t="shared" si="2415"/>
        <v>-</v>
      </c>
      <c r="CH69" s="21" t="str">
        <f t="shared" si="2416"/>
        <v>-</v>
      </c>
      <c r="CI69" s="15" t="str">
        <f t="shared" si="2417"/>
        <v>-</v>
      </c>
      <c r="CJ69" s="1" t="str">
        <f t="shared" si="2418"/>
        <v>-</v>
      </c>
      <c r="CK69" s="21" t="str">
        <f t="shared" si="2419"/>
        <v>-</v>
      </c>
      <c r="CL69" s="15" t="str">
        <f t="shared" si="2420"/>
        <v>-</v>
      </c>
      <c r="CM69" s="1" t="str">
        <f t="shared" si="2421"/>
        <v>-</v>
      </c>
      <c r="CN69" s="21" t="str">
        <f t="shared" si="2422"/>
        <v>-</v>
      </c>
      <c r="CO69" s="15" t="str">
        <f t="shared" si="2423"/>
        <v>-</v>
      </c>
      <c r="CP69" s="1" t="str">
        <f t="shared" si="2424"/>
        <v>-</v>
      </c>
      <c r="CQ69" s="21" t="str">
        <f t="shared" si="2425"/>
        <v>-</v>
      </c>
      <c r="CR69" s="15" t="str">
        <f t="shared" si="2426"/>
        <v>-</v>
      </c>
      <c r="CS69" s="1" t="str">
        <f t="shared" si="2427"/>
        <v>-</v>
      </c>
      <c r="CT69" s="21" t="str">
        <f t="shared" si="2428"/>
        <v>-</v>
      </c>
      <c r="CU69" s="15" t="str">
        <f t="shared" si="2429"/>
        <v>-</v>
      </c>
      <c r="CV69" s="1" t="str">
        <f t="shared" si="2430"/>
        <v>-</v>
      </c>
      <c r="CW69" s="21" t="str">
        <f t="shared" si="2431"/>
        <v>-</v>
      </c>
      <c r="CX69" s="15" t="str">
        <f t="shared" si="2432"/>
        <v>-</v>
      </c>
      <c r="CY69" s="1" t="str">
        <f t="shared" si="2433"/>
        <v>-</v>
      </c>
      <c r="CZ69" s="21" t="str">
        <f t="shared" si="2434"/>
        <v>-</v>
      </c>
      <c r="DA69" s="15" t="str">
        <f t="shared" si="2435"/>
        <v>-</v>
      </c>
      <c r="DB69" s="1" t="str">
        <f t="shared" si="2436"/>
        <v>-</v>
      </c>
      <c r="DC69" s="21" t="str">
        <f t="shared" si="2437"/>
        <v>-</v>
      </c>
      <c r="DD69" s="15" t="str">
        <f t="shared" si="2438"/>
        <v>-</v>
      </c>
      <c r="DE69" s="1" t="str">
        <f t="shared" si="2439"/>
        <v>-</v>
      </c>
      <c r="DF69" s="21" t="str">
        <f t="shared" si="2440"/>
        <v>-</v>
      </c>
      <c r="DG69" s="15" t="str">
        <f t="shared" si="2441"/>
        <v>-</v>
      </c>
      <c r="DH69" s="1" t="str">
        <f t="shared" si="2442"/>
        <v>-</v>
      </c>
      <c r="DI69" s="21" t="str">
        <f t="shared" si="2443"/>
        <v>-</v>
      </c>
    </row>
    <row r="70" spans="2:113" x14ac:dyDescent="0.3">
      <c r="B70" s="1">
        <v>65</v>
      </c>
      <c r="C70" s="67">
        <v>830</v>
      </c>
      <c r="D70" s="88" t="s">
        <v>27</v>
      </c>
      <c r="E70" s="21" t="s">
        <v>27</v>
      </c>
      <c r="F70" s="15" t="str">
        <f t="shared" ref="F70" si="4676">IF(InfGog1LevelCurrent&gt;=$B70,"-",IF(InfGog1LevelDesired&lt;$B70,"-",$C70))</f>
        <v>-</v>
      </c>
      <c r="G70" s="1" t="str">
        <f t="shared" ref="G70" si="4677">IF(InfGog1LevelCurrent&gt;=$B70,"-",IF(InfGog1LevelDesired&lt;$B70,"-",$D70))</f>
        <v>-</v>
      </c>
      <c r="H70" s="21" t="str">
        <f t="shared" ref="H70" si="4678">IF(InfGog1LevelCurrent&gt;=$B70,"-",IF(InfGog1LevelDesired&lt;$B70,"-",$E70))</f>
        <v>-</v>
      </c>
      <c r="I70" s="15" t="str">
        <f t="shared" ref="I70" si="4679">IF(InfGlo1LevelCurrent&gt;=$B70,"-",IF(InfGlo1LevelDesired&lt;$B70,"-",$C70))</f>
        <v>-</v>
      </c>
      <c r="J70" s="1" t="str">
        <f t="shared" ref="J70" si="4680">IF(InfGlo1LevelCurrent&gt;=$B70,"-",IF(InfGlo1LevelDesired&lt;$B70,"-",$D70))</f>
        <v>-</v>
      </c>
      <c r="K70" s="21" t="str">
        <f t="shared" ref="K70" si="4681">IF(InfGlo1LevelCurrent&gt;=$B70,"-",IF(InfGlo1LevelDesired&lt;$B70,"-",$E70))</f>
        <v>-</v>
      </c>
      <c r="L70" s="15" t="str">
        <f t="shared" ref="L70" si="4682">IF(InfBel1LevelCurrent&gt;=$B70,"-",IF(InfBel1LevelDesired&lt;$B70,"-",$C70))</f>
        <v>-</v>
      </c>
      <c r="M70" s="1" t="str">
        <f t="shared" ref="M70" si="4683">IF(InfBel1LevelCurrent&gt;=$B70,"-",IF(InfBel1LevelDesired&lt;$B70,"-",$D70))</f>
        <v>-</v>
      </c>
      <c r="N70" s="21" t="str">
        <f t="shared" ref="N70" si="4684">IF(InfBel1LevelCurrent&gt;=$B70,"-",IF(InfBel1LevelDesired&lt;$B70,"-",$E70))</f>
        <v>-</v>
      </c>
      <c r="O70" s="15" t="str">
        <f t="shared" ref="O70" si="4685">IF(InfBoo1LevelCurrent&gt;=$B70,"-",IF(InfBoo1LevelDesired&lt;$B70,"-",$C70))</f>
        <v>-</v>
      </c>
      <c r="P70" s="1" t="str">
        <f t="shared" ref="P70" si="4686">IF(InfBoo1LevelCurrent&gt;=$B70,"-",IF(InfBoo1LevelDesired&lt;$B70,"-",$D70))</f>
        <v>-</v>
      </c>
      <c r="Q70" s="21" t="str">
        <f t="shared" ref="Q70" si="4687">IF(InfBoo1LevelCurrent&gt;=$B70,"-",IF(InfBoo1LevelDesired&lt;$B70,"-",$E70))</f>
        <v>-</v>
      </c>
      <c r="R70" s="15" t="str">
        <f t="shared" ref="R70" si="4688">IF(LanGog1LevelCurrent&gt;=$B70,"-",IF(LanGog1LevelDesired&lt;$B70,"-",$C70))</f>
        <v>-</v>
      </c>
      <c r="S70" s="1" t="str">
        <f t="shared" ref="S70" si="4689">IF(LanGog1LevelCurrent&gt;=$B70,"-",IF(LanGog1LevelDesired&lt;$B70,"-",$D70))</f>
        <v>-</v>
      </c>
      <c r="T70" s="21" t="str">
        <f t="shared" ref="T70" si="4690">IF(LanGog1LevelCurrent&gt;=$B70,"-",IF(LanGog1LevelDesired&lt;$B70,"-",$E70))</f>
        <v>-</v>
      </c>
      <c r="U70" s="15" t="str">
        <f t="shared" ref="U70" si="4691">IF(LanGlo1LevelCurrent&gt;=$B70,"-",IF(LanGlo1LevelDesired&lt;$B70,"-",$C70))</f>
        <v>-</v>
      </c>
      <c r="V70" s="1" t="str">
        <f t="shared" ref="V70" si="4692">IF(LanGlo1LevelCurrent&gt;=$B70,"-",IF(LanGlo1LevelDesired&lt;$B70,"-",$D70))</f>
        <v>-</v>
      </c>
      <c r="W70" s="21" t="str">
        <f t="shared" ref="W70" si="4693">IF(LanGlo1LevelCurrent&gt;=$B70,"-",IF(LanGlo1LevelDesired&lt;$B70,"-",$E70))</f>
        <v>-</v>
      </c>
      <c r="X70" s="15" t="str">
        <f t="shared" ref="X70" si="4694">IF(LanBel1LevelCurrent&gt;=$B70,"-",IF(LanBel1LevelDesired&lt;$B70,"-",$C70))</f>
        <v>-</v>
      </c>
      <c r="Y70" s="1" t="str">
        <f t="shared" ref="Y70" si="4695">IF(LanBel1LevelCurrent&gt;=$B70,"-",IF(LanBel1LevelDesired&lt;$B70,"-",$D70))</f>
        <v>-</v>
      </c>
      <c r="Z70" s="21" t="str">
        <f t="shared" ref="Z70" si="4696">IF(LanBel1LevelCurrent&gt;=$B70,"-",IF(LanBel1LevelDesired&lt;$B70,"-",$E70))</f>
        <v>-</v>
      </c>
      <c r="AA70" s="15" t="str">
        <f t="shared" ref="AA70" si="4697">IF(LanBoo1LevelCurrent&gt;=$B70,"-",IF(LanBoo1LevelDesired&lt;$B70,"-",$C70))</f>
        <v>-</v>
      </c>
      <c r="AB70" s="1" t="str">
        <f t="shared" ref="AB70" si="4698">IF(LanBoo1LevelCurrent&gt;=$B70,"-",IF(LanBoo1LevelDesired&lt;$B70,"-",$D70))</f>
        <v>-</v>
      </c>
      <c r="AC70" s="21" t="str">
        <f t="shared" ref="AC70" si="4699">IF(LanBoo1LevelCurrent&gt;=$B70,"-",IF(LanBoo1LevelDesired&lt;$B70,"-",$E70))</f>
        <v>-</v>
      </c>
      <c r="AD70" s="15" t="str">
        <f t="shared" ref="AD70" si="4700">IF(MarGog1LevelCurrent&gt;=$B70,"-",IF(MarGog1LevelDesired&lt;$B70,"-",$C70))</f>
        <v>-</v>
      </c>
      <c r="AE70" s="1" t="str">
        <f t="shared" ref="AE70" si="4701">IF(MarGog1LevelCurrent&gt;=$B70,"-",IF(MarGog1LevelDesired&lt;$B70,"-",$D70))</f>
        <v>-</v>
      </c>
      <c r="AF70" s="21" t="str">
        <f t="shared" ref="AF70" si="4702">IF(MarGog1LevelCurrent&gt;=$B70,"-",IF(MarGog1LevelDesired&lt;$B70,"-",$E70))</f>
        <v>-</v>
      </c>
      <c r="AG70" s="15" t="str">
        <f t="shared" ref="AG70" si="4703">IF(MarGlo1LevelCurrent&gt;=$B70,"-",IF(MarGlo1LevelDesired&lt;$B70,"-",$C70))</f>
        <v>-</v>
      </c>
      <c r="AH70" s="1" t="str">
        <f t="shared" ref="AH70" si="4704">IF(MarGlo1LevelCurrent&gt;=$B70,"-",IF(MarGlo1LevelDesired&lt;$B70,"-",$D70))</f>
        <v>-</v>
      </c>
      <c r="AI70" s="21" t="str">
        <f t="shared" ref="AI70" si="4705">IF(MarGlo1LevelCurrent&gt;=$B70,"-",IF(MarGlo1LevelDesired&lt;$B70,"-",$E70))</f>
        <v>-</v>
      </c>
      <c r="AJ70" s="15" t="str">
        <f t="shared" ref="AJ70" si="4706">IF(MarBel1LevelCurrent&gt;=$B70,"-",IF(MarBel1LevelDesired&lt;$B70,"-",$C70))</f>
        <v>-</v>
      </c>
      <c r="AK70" s="1" t="str">
        <f t="shared" ref="AK70" si="4707">IF(MarBel1LevelCurrent&gt;=$B70,"-",IF(MarBel1LevelDesired&lt;$B70,"-",$D70))</f>
        <v>-</v>
      </c>
      <c r="AL70" s="21" t="str">
        <f t="shared" ref="AL70" si="4708">IF(MarBel1LevelCurrent&gt;=$B70,"-",IF(MarBel1LevelDesired&lt;$B70,"-",$E70))</f>
        <v>-</v>
      </c>
      <c r="AM70" s="15" t="str">
        <f t="shared" ref="AM70" si="4709">IF(MarBoo1LevelCurrent&gt;=$B70,"-",IF(MarBoo1LevelDesired&lt;$B70,"-",$C70))</f>
        <v>-</v>
      </c>
      <c r="AN70" s="1" t="str">
        <f t="shared" ref="AN70" si="4710">IF(MarBoo1LevelCurrent&gt;=$B70,"-",IF(MarBoo1LevelDesired&lt;$B70,"-",$D70))</f>
        <v>-</v>
      </c>
      <c r="AO70" s="21" t="str">
        <f t="shared" ref="AO70" si="4711">IF(MarBoo1LevelCurrent&gt;=$B70,"-",IF(MarBoo1LevelDesired&lt;$B70,"-",$E70))</f>
        <v>-</v>
      </c>
      <c r="AP70" s="15" t="str">
        <f t="shared" ref="AP70" si="4712">IF(InfGog2LevelCurrent&gt;=$B70,"-",IF(InfGog2LevelDesired&lt;$B70,"-",$C70))</f>
        <v>-</v>
      </c>
      <c r="AQ70" s="1" t="str">
        <f t="shared" ref="AQ70" si="4713">IF(InfGog2LevelCurrent&gt;=$B70,"-",IF(InfGog2LevelDesired&lt;$B70,"-",$D70))</f>
        <v>-</v>
      </c>
      <c r="AR70" s="21" t="str">
        <f t="shared" ref="AR70" si="4714">IF(InfGog2LevelCurrent&gt;=$B70,"-",IF(InfGog2LevelDesired&lt;$B70,"-",$E70))</f>
        <v>-</v>
      </c>
      <c r="AS70" s="15" t="str">
        <f t="shared" ref="AS70" si="4715">IF(InfGlo2LevelCurrent&gt;=$B70,"-",IF(InfGlo2LevelDesired&lt;$B70,"-",$C70))</f>
        <v>-</v>
      </c>
      <c r="AT70" s="1" t="str">
        <f t="shared" ref="AT70" si="4716">IF(InfGlo2LevelCurrent&gt;=$B70,"-",IF(InfGlo2LevelDesired&lt;$B70,"-",$D70))</f>
        <v>-</v>
      </c>
      <c r="AU70" s="21" t="str">
        <f t="shared" ref="AU70" si="4717">IF(InfGlo2LevelCurrent&gt;=$B70,"-",IF(InfGlo2LevelDesired&lt;$B70,"-",$E70))</f>
        <v>-</v>
      </c>
      <c r="AV70" s="15" t="str">
        <f t="shared" ref="AV70" si="4718">IF(InfBel2LevelCurrent&gt;=$B70,"-",IF(InfBel2LevelDesired&lt;$B70,"-",$C70))</f>
        <v>-</v>
      </c>
      <c r="AW70" s="1" t="str">
        <f t="shared" ref="AW70" si="4719">IF(InfBel2LevelCurrent&gt;=$B70,"-",IF(InfBel2LevelDesired&lt;$B70,"-",$D70))</f>
        <v>-</v>
      </c>
      <c r="AX70" s="21" t="str">
        <f t="shared" ref="AX70" si="4720">IF(InfBel2LevelCurrent&gt;=$B70,"-",IF(InfBel2LevelDesired&lt;$B70,"-",$E70))</f>
        <v>-</v>
      </c>
      <c r="AY70" s="15" t="str">
        <f t="shared" ref="AY70" si="4721">IF(InfBoo2LevelCurrent&gt;=$B70,"-",IF(InfBoo2LevelDesired&lt;$B70,"-",$C70))</f>
        <v>-</v>
      </c>
      <c r="AZ70" s="1" t="str">
        <f t="shared" ref="AZ70" si="4722">IF(InfBoo2LevelCurrent&gt;=$B70,"-",IF(InfBoo2LevelDesired&lt;$B70,"-",$D70))</f>
        <v>-</v>
      </c>
      <c r="BA70" s="21" t="str">
        <f t="shared" ref="BA70" si="4723">IF(InfBoo2LevelCurrent&gt;=$B70,"-",IF(InfBoo2LevelDesired&lt;$B70,"-",$E70))</f>
        <v>-</v>
      </c>
      <c r="BB70" s="15" t="str">
        <f t="shared" ref="BB70" si="4724">IF(LanGog2LevelCurrent&gt;=$B70,"-",IF(LanGog2LevelDesired&lt;$B70,"-",$C70))</f>
        <v>-</v>
      </c>
      <c r="BC70" s="1" t="str">
        <f t="shared" ref="BC70" si="4725">IF(LanGog2LevelCurrent&gt;=$B70,"-",IF(LanGog2LevelDesired&lt;$B70,"-",$D70))</f>
        <v>-</v>
      </c>
      <c r="BD70" s="21" t="str">
        <f t="shared" ref="BD70" si="4726">IF(LanGog2LevelCurrent&gt;=$B70,"-",IF(LanGog2LevelDesired&lt;$B70,"-",$E70))</f>
        <v>-</v>
      </c>
      <c r="BE70" s="15" t="str">
        <f t="shared" ref="BE70" si="4727">IF(LanGlo2LevelCurrent&gt;=$B70,"-",IF(LanGlo2LevelDesired&lt;$B70,"-",$C70))</f>
        <v>-</v>
      </c>
      <c r="BF70" s="1" t="str">
        <f t="shared" ref="BF70" si="4728">IF(LanGlo2LevelCurrent&gt;=$B70,"-",IF(LanGlo2LevelDesired&lt;$B70,"-",$D70))</f>
        <v>-</v>
      </c>
      <c r="BG70" s="21" t="str">
        <f t="shared" ref="BG70" si="4729">IF(LanGlo2LevelCurrent&gt;=$B70,"-",IF(LanGlo2LevelDesired&lt;$B70,"-",$E70))</f>
        <v>-</v>
      </c>
      <c r="BH70" s="15" t="str">
        <f t="shared" ref="BH70" si="4730">IF(LanBel2LevelCurrent&gt;=$B70,"-",IF(LanBel2LevelDesired&lt;$B70,"-",$C70))</f>
        <v>-</v>
      </c>
      <c r="BI70" s="1" t="str">
        <f t="shared" ref="BI70" si="4731">IF(LanBel2LevelCurrent&gt;=$B70,"-",IF(LanBel2LevelDesired&lt;$B70,"-",$D70))</f>
        <v>-</v>
      </c>
      <c r="BJ70" s="21" t="str">
        <f t="shared" ref="BJ70" si="4732">IF(LanBel2LevelCurrent&gt;=$B70,"-",IF(LanBel2LevelDesired&lt;$B70,"-",$E70))</f>
        <v>-</v>
      </c>
      <c r="BK70" s="15" t="str">
        <f t="shared" ref="BK70" si="4733">IF(LanBoo2LevelCurrent&gt;=$B70,"-",IF(LanBoo2LevelDesired&lt;$B70,"-",$C70))</f>
        <v>-</v>
      </c>
      <c r="BL70" s="1" t="str">
        <f t="shared" ref="BL70" si="4734">IF(LanBoo2LevelCurrent&gt;=$B70,"-",IF(LanBoo2LevelDesired&lt;$B70,"-",$D70))</f>
        <v>-</v>
      </c>
      <c r="BM70" s="21" t="str">
        <f t="shared" ref="BM70" si="4735">IF(LanBoo2LevelCurrent&gt;=$B70,"-",IF(LanBoo2LevelDesired&lt;$B70,"-",$E70))</f>
        <v>-</v>
      </c>
      <c r="BN70" s="15" t="str">
        <f t="shared" ref="BN70" si="4736">IF(MarGog2LevelCurrent&gt;=$B70,"-",IF(MarGog2LevelDesired&lt;$B70,"-",$C70))</f>
        <v>-</v>
      </c>
      <c r="BO70" s="1" t="str">
        <f t="shared" ref="BO70" si="4737">IF(MarGog2LevelCurrent&gt;=$B70,"-",IF(MarGog2LevelDesired&lt;$B70,"-",$D70))</f>
        <v>-</v>
      </c>
      <c r="BP70" s="21" t="str">
        <f t="shared" ref="BP70" si="4738">IF(MarGog2LevelCurrent&gt;=$B70,"-",IF(MarGog2LevelDesired&lt;$B70,"-",$E70))</f>
        <v>-</v>
      </c>
      <c r="BQ70" s="15" t="str">
        <f t="shared" ref="BQ70" si="4739">IF(MarGlo2LevelCurrent&gt;=$B70,"-",IF(MarGlo2LevelDesired&lt;$B70,"-",$C70))</f>
        <v>-</v>
      </c>
      <c r="BR70" s="1" t="str">
        <f t="shared" ref="BR70" si="4740">IF(MarGlo2LevelCurrent&gt;=$B70,"-",IF(MarGlo2LevelDesired&lt;$B70,"-",$D70))</f>
        <v>-</v>
      </c>
      <c r="BS70" s="21" t="str">
        <f t="shared" ref="BS70" si="4741">IF(MarGlo2LevelCurrent&gt;=$B70,"-",IF(MarGlo2LevelDesired&lt;$B70,"-",$E70))</f>
        <v>-</v>
      </c>
      <c r="BT70" s="15" t="str">
        <f t="shared" ref="BT70" si="4742">IF(MarBel2LevelCurrent&gt;=$B70,"-",IF(MarBel2LevelDesired&lt;$B70,"-",$C70))</f>
        <v>-</v>
      </c>
      <c r="BU70" s="1" t="str">
        <f t="shared" ref="BU70" si="4743">IF(MarBel2LevelCurrent&gt;=$B70,"-",IF(MarBel2LevelDesired&lt;$B70,"-",$D70))</f>
        <v>-</v>
      </c>
      <c r="BV70" s="21" t="str">
        <f t="shared" ref="BV70" si="4744">IF(MarBel2LevelCurrent&gt;=$B70,"-",IF(MarBel2LevelDesired&lt;$B70,"-",$E70))</f>
        <v>-</v>
      </c>
      <c r="BW70" s="15" t="str">
        <f t="shared" ref="BW70" si="4745">IF(MarBoo2LevelCurrent&gt;=$B70,"-",IF(MarBoo2LevelDesired&lt;$B70,"-",$C70))</f>
        <v>-</v>
      </c>
      <c r="BX70" s="1" t="str">
        <f t="shared" ref="BX70" si="4746">IF(MarBoo2LevelCurrent&gt;=$B70,"-",IF(MarBoo2LevelDesired&lt;$B70,"-",$D70))</f>
        <v>-</v>
      </c>
      <c r="BY70" s="21" t="str">
        <f t="shared" ref="BY70" si="4747">IF(MarBoo2LevelCurrent&gt;=$B70,"-",IF(MarBoo2LevelDesired&lt;$B70,"-",$E70))</f>
        <v>-</v>
      </c>
      <c r="BZ70" s="15" t="str">
        <f t="shared" ref="BZ70:BZ101" si="4748">IF(InfGog3LevelCurrent&gt;=$B70,"-",IF(InfGog3LevelDesired&lt;$B70,"-",$C70))</f>
        <v>-</v>
      </c>
      <c r="CA70" s="1" t="str" cm="1">
        <f t="array" ref="CA70">IF(InfGog3LevelCurrent&gt;=$B70,"-",IF(InfGog3LevelDesired&lt;$B70,"-",$D70))</f>
        <v>-</v>
      </c>
      <c r="CB70" s="21" t="str" cm="1">
        <f t="array" ref="CB70">IF(InfGog3LevelCurrent&gt;=$B70,"-",IF(InfGog3LevelDesired&lt;$B70,"-",$E70))</f>
        <v>-</v>
      </c>
      <c r="CC70" s="15" t="str">
        <f t="shared" ref="CC70:CC101" si="4749">IF(InfGlo3LevelCurrent&gt;=$B70,"-",IF(InfGlo3LevelDesired&lt;$B70,"-",$C70))</f>
        <v>-</v>
      </c>
      <c r="CD70" s="1" t="str">
        <f t="shared" ref="CD70:CD101" si="4750">IF(InfGlo3LevelCurrent&gt;=$B70,"-",IF(InfGlo3LevelDesired&lt;$B70,"-",$D70))</f>
        <v>-</v>
      </c>
      <c r="CE70" s="21" t="str">
        <f t="shared" ref="CE70:CE101" si="4751">IF(InfGlo3LevelCurrent&gt;=$B70,"-",IF(InfGlo3LevelDesired&lt;$B70,"-",$E70))</f>
        <v>-</v>
      </c>
      <c r="CF70" s="15" t="str">
        <f t="shared" ref="CF70:CF101" si="4752">IF(InfBel3LevelCurrent&gt;=$B70,"-",IF(InfBel3LevelDesired&lt;$B70,"-",$C70))</f>
        <v>-</v>
      </c>
      <c r="CG70" s="1" t="str">
        <f t="shared" ref="CG70:CG101" si="4753">IF(InfBel3LevelCurrent&gt;=$B70,"-",IF(InfBel3LevelDesired&lt;$B70,"-",$D70))</f>
        <v>-</v>
      </c>
      <c r="CH70" s="21" t="str">
        <f t="shared" ref="CH70:CH101" si="4754">IF(InfBel3LevelCurrent&gt;=$B70,"-",IF(InfBel3LevelDesired&lt;$B70,"-",$E70))</f>
        <v>-</v>
      </c>
      <c r="CI70" s="15" t="str">
        <f t="shared" ref="CI70:CI101" si="4755">IF(InfBoo3LevelCurrent&gt;=$B70,"-",IF(InfBoo3LevelDesired&lt;$B70,"-",$C70))</f>
        <v>-</v>
      </c>
      <c r="CJ70" s="1" t="str">
        <f t="shared" ref="CJ70:CJ101" si="4756">IF(InfBoo3LevelCurrent&gt;=$B70,"-",IF(InfBoo3LevelDesired&lt;$B70,"-",$D70))</f>
        <v>-</v>
      </c>
      <c r="CK70" s="21" t="str">
        <f t="shared" ref="CK70:CK101" si="4757">IF(InfBoo3LevelCurrent&gt;=$B70,"-",IF(InfBoo3LevelDesired&lt;$B70,"-",$E70))</f>
        <v>-</v>
      </c>
      <c r="CL70" s="15" t="str">
        <f t="shared" ref="CL70:CL101" si="4758">IF(LanGog3LevelCurrent&gt;=$B70,"-",IF(LanGog3LevelDesired&lt;$B70,"-",$C70))</f>
        <v>-</v>
      </c>
      <c r="CM70" s="1" t="str">
        <f t="shared" ref="CM70:CM101" si="4759">IF(LanGog3LevelCurrent&gt;=$B70,"-",IF(LanGog3LevelDesired&lt;$B70,"-",$D70))</f>
        <v>-</v>
      </c>
      <c r="CN70" s="21" t="str">
        <f t="shared" ref="CN70:CN101" si="4760">IF(LanGog3LevelCurrent&gt;=$B70,"-",IF(LanGog3LevelDesired&lt;$B70,"-",$E70))</f>
        <v>-</v>
      </c>
      <c r="CO70" s="15" t="str">
        <f t="shared" ref="CO70:CO101" si="4761">IF(LanGlo3LevelCurrent&gt;=$B70,"-",IF(LanGlo3LevelDesired&lt;$B70,"-",$C70))</f>
        <v>-</v>
      </c>
      <c r="CP70" s="1" t="str">
        <f t="shared" ref="CP70:CP101" si="4762">IF(LanGlo3LevelCurrent&gt;=$B70,"-",IF(LanGlo3LevelDesired&lt;$B70,"-",$D70))</f>
        <v>-</v>
      </c>
      <c r="CQ70" s="21" t="str">
        <f t="shared" ref="CQ70:CQ101" si="4763">IF(LanGlo3LevelCurrent&gt;=$B70,"-",IF(LanGlo3LevelDesired&lt;$B70,"-",$E70))</f>
        <v>-</v>
      </c>
      <c r="CR70" s="15" t="str">
        <f t="shared" ref="CR70:CR101" si="4764">IF(LanBel3LevelCurrent&gt;=$B70,"-",IF(LanBel3LevelDesired&lt;$B70,"-",$C70))</f>
        <v>-</v>
      </c>
      <c r="CS70" s="1" t="str">
        <f t="shared" ref="CS70:CS101" si="4765">IF(LanBel3LevelCurrent&gt;=$B70,"-",IF(LanBel3LevelDesired&lt;$B70,"-",$D70))</f>
        <v>-</v>
      </c>
      <c r="CT70" s="21" t="str">
        <f t="shared" ref="CT70:CT101" si="4766">IF(LanBel3LevelCurrent&gt;=$B70,"-",IF(LanBel3LevelDesired&lt;$B70,"-",$E70))</f>
        <v>-</v>
      </c>
      <c r="CU70" s="15" t="str">
        <f t="shared" ref="CU70:CU101" si="4767">IF(LanBoo3LevelCurrent&gt;=$B70,"-",IF(LanBoo3LevelDesired&lt;$B70,"-",$C70))</f>
        <v>-</v>
      </c>
      <c r="CV70" s="1" t="str">
        <f t="shared" ref="CV70:CV101" si="4768">IF(LanBoo3LevelCurrent&gt;=$B70,"-",IF(LanBoo3LevelDesired&lt;$B70,"-",$D70))</f>
        <v>-</v>
      </c>
      <c r="CW70" s="21" t="str">
        <f t="shared" ref="CW70:CW101" si="4769">IF(LanBoo3LevelCurrent&gt;=$B70,"-",IF(LanBoo3LevelDesired&lt;$B70,"-",$E70))</f>
        <v>-</v>
      </c>
      <c r="CX70" s="15" t="str">
        <f t="shared" ref="CX70:CX101" si="4770">IF(MarGog3LevelCurrent&gt;=$B70,"-",IF(MarGog3LevelDesired&lt;$B70,"-",$C70))</f>
        <v>-</v>
      </c>
      <c r="CY70" s="1" t="str">
        <f t="shared" ref="CY70:CY101" si="4771">IF(MarGog3LevelCurrent&gt;=$B70,"-",IF(MarGog3LevelDesired&lt;$B70,"-",$D70))</f>
        <v>-</v>
      </c>
      <c r="CZ70" s="21" t="str">
        <f t="shared" ref="CZ70:CZ101" si="4772">IF(MarGog3LevelCurrent&gt;=$B70,"-",IF(MarGog3LevelDesired&lt;$B70,"-",$E70))</f>
        <v>-</v>
      </c>
      <c r="DA70" s="15" t="str">
        <f t="shared" ref="DA70:DA101" si="4773">IF(MarGlo3LevelCurrent&gt;=$B70,"-",IF(MarGlo3LevelDesired&lt;$B70,"-",$C70))</f>
        <v>-</v>
      </c>
      <c r="DB70" s="1" t="str">
        <f t="shared" ref="DB70:DB101" si="4774">IF(MarGlo3LevelCurrent&gt;=$B70,"-",IF(MarGlo3LevelDesired&lt;$B70,"-",$D70))</f>
        <v>-</v>
      </c>
      <c r="DC70" s="21" t="str">
        <f t="shared" ref="DC70:DC101" si="4775">IF(MarGlo3LevelCurrent&gt;=$B70,"-",IF(MarGlo3LevelDesired&lt;$B70,"-",$E70))</f>
        <v>-</v>
      </c>
      <c r="DD70" s="15" t="str">
        <f t="shared" ref="DD70:DD101" si="4776">IF(MarBel3LevelCurrent&gt;=$B70,"-",IF(MarBel3LevelDesired&lt;$B70,"-",$C70))</f>
        <v>-</v>
      </c>
      <c r="DE70" s="1" t="str">
        <f t="shared" ref="DE70:DE101" si="4777">IF(MarBel3LevelCurrent&gt;=$B70,"-",IF(MarBel3LevelDesired&lt;$B70,"-",$D70))</f>
        <v>-</v>
      </c>
      <c r="DF70" s="21" t="str">
        <f t="shared" ref="DF70:DF101" si="4778">IF(MarBel3LevelCurrent&gt;=$B70,"-",IF(MarBel3LevelDesired&lt;$B70,"-",$E70))</f>
        <v>-</v>
      </c>
      <c r="DG70" s="15" t="str">
        <f t="shared" ref="DG70:DG101" si="4779">IF(MarBoo3LevelCurrent&gt;=$B70,"-",IF(MarBoo3LevelDesired&lt;$B70,"-",$C70))</f>
        <v>-</v>
      </c>
      <c r="DH70" s="1" t="str">
        <f t="shared" ref="DH70:DH101" si="4780">IF(MarBoo3LevelCurrent&gt;=$B70,"-",IF(MarBoo3LevelDesired&lt;$B70,"-",$D70))</f>
        <v>-</v>
      </c>
      <c r="DI70" s="21" t="str">
        <f t="shared" ref="DI70:DI101" si="4781">IF(MarBoo3LevelCurrent&gt;=$B70,"-",IF(MarBoo3LevelDesired&lt;$B70,"-",$E70))</f>
        <v>-</v>
      </c>
    </row>
    <row r="71" spans="2:113" x14ac:dyDescent="0.3">
      <c r="B71" s="1">
        <v>66</v>
      </c>
      <c r="C71" s="67">
        <v>860</v>
      </c>
      <c r="D71" s="88" t="s">
        <v>27</v>
      </c>
      <c r="E71" s="21" t="s">
        <v>27</v>
      </c>
      <c r="F71" s="15" t="str">
        <f t="shared" ref="F71" si="4782">IF(InfGog1LevelCurrent&gt;=$B71,"-",IF(InfGog1LevelDesired&lt;$B71,"-",$C71))</f>
        <v>-</v>
      </c>
      <c r="G71" s="1" t="str">
        <f t="shared" ref="G71" si="4783">IF(InfGog1LevelCurrent&gt;=$B71,"-",IF(InfGog1LevelDesired&lt;$B71,"-",$D71))</f>
        <v>-</v>
      </c>
      <c r="H71" s="21" t="str">
        <f t="shared" ref="H71" si="4784">IF(InfGog1LevelCurrent&gt;=$B71,"-",IF(InfGog1LevelDesired&lt;$B71,"-",$E71))</f>
        <v>-</v>
      </c>
      <c r="I71" s="15" t="str">
        <f t="shared" ref="I71" si="4785">IF(InfGlo1LevelCurrent&gt;=$B71,"-",IF(InfGlo1LevelDesired&lt;$B71,"-",$C71))</f>
        <v>-</v>
      </c>
      <c r="J71" s="1" t="str">
        <f t="shared" ref="J71" si="4786">IF(InfGlo1LevelCurrent&gt;=$B71,"-",IF(InfGlo1LevelDesired&lt;$B71,"-",$D71))</f>
        <v>-</v>
      </c>
      <c r="K71" s="21" t="str">
        <f t="shared" ref="K71" si="4787">IF(InfGlo1LevelCurrent&gt;=$B71,"-",IF(InfGlo1LevelDesired&lt;$B71,"-",$E71))</f>
        <v>-</v>
      </c>
      <c r="L71" s="15" t="str">
        <f t="shared" ref="L71" si="4788">IF(InfBel1LevelCurrent&gt;=$B71,"-",IF(InfBel1LevelDesired&lt;$B71,"-",$C71))</f>
        <v>-</v>
      </c>
      <c r="M71" s="1" t="str">
        <f t="shared" ref="M71" si="4789">IF(InfBel1LevelCurrent&gt;=$B71,"-",IF(InfBel1LevelDesired&lt;$B71,"-",$D71))</f>
        <v>-</v>
      </c>
      <c r="N71" s="21" t="str">
        <f t="shared" ref="N71" si="4790">IF(InfBel1LevelCurrent&gt;=$B71,"-",IF(InfBel1LevelDesired&lt;$B71,"-",$E71))</f>
        <v>-</v>
      </c>
      <c r="O71" s="15" t="str">
        <f t="shared" ref="O71" si="4791">IF(InfBoo1LevelCurrent&gt;=$B71,"-",IF(InfBoo1LevelDesired&lt;$B71,"-",$C71))</f>
        <v>-</v>
      </c>
      <c r="P71" s="1" t="str">
        <f t="shared" ref="P71" si="4792">IF(InfBoo1LevelCurrent&gt;=$B71,"-",IF(InfBoo1LevelDesired&lt;$B71,"-",$D71))</f>
        <v>-</v>
      </c>
      <c r="Q71" s="21" t="str">
        <f t="shared" ref="Q71" si="4793">IF(InfBoo1LevelCurrent&gt;=$B71,"-",IF(InfBoo1LevelDesired&lt;$B71,"-",$E71))</f>
        <v>-</v>
      </c>
      <c r="R71" s="15" t="str">
        <f t="shared" ref="R71" si="4794">IF(LanGog1LevelCurrent&gt;=$B71,"-",IF(LanGog1LevelDesired&lt;$B71,"-",$C71))</f>
        <v>-</v>
      </c>
      <c r="S71" s="1" t="str">
        <f t="shared" ref="S71" si="4795">IF(LanGog1LevelCurrent&gt;=$B71,"-",IF(LanGog1LevelDesired&lt;$B71,"-",$D71))</f>
        <v>-</v>
      </c>
      <c r="T71" s="21" t="str">
        <f t="shared" ref="T71" si="4796">IF(LanGog1LevelCurrent&gt;=$B71,"-",IF(LanGog1LevelDesired&lt;$B71,"-",$E71))</f>
        <v>-</v>
      </c>
      <c r="U71" s="15" t="str">
        <f t="shared" ref="U71" si="4797">IF(LanGlo1LevelCurrent&gt;=$B71,"-",IF(LanGlo1LevelDesired&lt;$B71,"-",$C71))</f>
        <v>-</v>
      </c>
      <c r="V71" s="1" t="str">
        <f t="shared" ref="V71" si="4798">IF(LanGlo1LevelCurrent&gt;=$B71,"-",IF(LanGlo1LevelDesired&lt;$B71,"-",$D71))</f>
        <v>-</v>
      </c>
      <c r="W71" s="21" t="str">
        <f t="shared" ref="W71" si="4799">IF(LanGlo1LevelCurrent&gt;=$B71,"-",IF(LanGlo1LevelDesired&lt;$B71,"-",$E71))</f>
        <v>-</v>
      </c>
      <c r="X71" s="15" t="str">
        <f t="shared" ref="X71" si="4800">IF(LanBel1LevelCurrent&gt;=$B71,"-",IF(LanBel1LevelDesired&lt;$B71,"-",$C71))</f>
        <v>-</v>
      </c>
      <c r="Y71" s="1" t="str">
        <f t="shared" ref="Y71" si="4801">IF(LanBel1LevelCurrent&gt;=$B71,"-",IF(LanBel1LevelDesired&lt;$B71,"-",$D71))</f>
        <v>-</v>
      </c>
      <c r="Z71" s="21" t="str">
        <f t="shared" ref="Z71" si="4802">IF(LanBel1LevelCurrent&gt;=$B71,"-",IF(LanBel1LevelDesired&lt;$B71,"-",$E71))</f>
        <v>-</v>
      </c>
      <c r="AA71" s="15" t="str">
        <f t="shared" ref="AA71" si="4803">IF(LanBoo1LevelCurrent&gt;=$B71,"-",IF(LanBoo1LevelDesired&lt;$B71,"-",$C71))</f>
        <v>-</v>
      </c>
      <c r="AB71" s="1" t="str">
        <f t="shared" ref="AB71" si="4804">IF(LanBoo1LevelCurrent&gt;=$B71,"-",IF(LanBoo1LevelDesired&lt;$B71,"-",$D71))</f>
        <v>-</v>
      </c>
      <c r="AC71" s="21" t="str">
        <f t="shared" ref="AC71" si="4805">IF(LanBoo1LevelCurrent&gt;=$B71,"-",IF(LanBoo1LevelDesired&lt;$B71,"-",$E71))</f>
        <v>-</v>
      </c>
      <c r="AD71" s="15" t="str">
        <f t="shared" ref="AD71" si="4806">IF(MarGog1LevelCurrent&gt;=$B71,"-",IF(MarGog1LevelDesired&lt;$B71,"-",$C71))</f>
        <v>-</v>
      </c>
      <c r="AE71" s="1" t="str">
        <f t="shared" ref="AE71" si="4807">IF(MarGog1LevelCurrent&gt;=$B71,"-",IF(MarGog1LevelDesired&lt;$B71,"-",$D71))</f>
        <v>-</v>
      </c>
      <c r="AF71" s="21" t="str">
        <f t="shared" ref="AF71" si="4808">IF(MarGog1LevelCurrent&gt;=$B71,"-",IF(MarGog1LevelDesired&lt;$B71,"-",$E71))</f>
        <v>-</v>
      </c>
      <c r="AG71" s="15" t="str">
        <f t="shared" ref="AG71" si="4809">IF(MarGlo1LevelCurrent&gt;=$B71,"-",IF(MarGlo1LevelDesired&lt;$B71,"-",$C71))</f>
        <v>-</v>
      </c>
      <c r="AH71" s="1" t="str">
        <f t="shared" ref="AH71" si="4810">IF(MarGlo1LevelCurrent&gt;=$B71,"-",IF(MarGlo1LevelDesired&lt;$B71,"-",$D71))</f>
        <v>-</v>
      </c>
      <c r="AI71" s="21" t="str">
        <f t="shared" ref="AI71" si="4811">IF(MarGlo1LevelCurrent&gt;=$B71,"-",IF(MarGlo1LevelDesired&lt;$B71,"-",$E71))</f>
        <v>-</v>
      </c>
      <c r="AJ71" s="15" t="str">
        <f t="shared" ref="AJ71" si="4812">IF(MarBel1LevelCurrent&gt;=$B71,"-",IF(MarBel1LevelDesired&lt;$B71,"-",$C71))</f>
        <v>-</v>
      </c>
      <c r="AK71" s="1" t="str">
        <f t="shared" ref="AK71" si="4813">IF(MarBel1LevelCurrent&gt;=$B71,"-",IF(MarBel1LevelDesired&lt;$B71,"-",$D71))</f>
        <v>-</v>
      </c>
      <c r="AL71" s="21" t="str">
        <f t="shared" ref="AL71" si="4814">IF(MarBel1LevelCurrent&gt;=$B71,"-",IF(MarBel1LevelDesired&lt;$B71,"-",$E71))</f>
        <v>-</v>
      </c>
      <c r="AM71" s="15" t="str">
        <f t="shared" ref="AM71" si="4815">IF(MarBoo1LevelCurrent&gt;=$B71,"-",IF(MarBoo1LevelDesired&lt;$B71,"-",$C71))</f>
        <v>-</v>
      </c>
      <c r="AN71" s="1" t="str">
        <f t="shared" ref="AN71" si="4816">IF(MarBoo1LevelCurrent&gt;=$B71,"-",IF(MarBoo1LevelDesired&lt;$B71,"-",$D71))</f>
        <v>-</v>
      </c>
      <c r="AO71" s="21" t="str">
        <f t="shared" ref="AO71" si="4817">IF(MarBoo1LevelCurrent&gt;=$B71,"-",IF(MarBoo1LevelDesired&lt;$B71,"-",$E71))</f>
        <v>-</v>
      </c>
      <c r="AP71" s="15" t="str">
        <f t="shared" ref="AP71" si="4818">IF(InfGog2LevelCurrent&gt;=$B71,"-",IF(InfGog2LevelDesired&lt;$B71,"-",$C71))</f>
        <v>-</v>
      </c>
      <c r="AQ71" s="1" t="str">
        <f t="shared" ref="AQ71" si="4819">IF(InfGog2LevelCurrent&gt;=$B71,"-",IF(InfGog2LevelDesired&lt;$B71,"-",$D71))</f>
        <v>-</v>
      </c>
      <c r="AR71" s="21" t="str">
        <f t="shared" ref="AR71" si="4820">IF(InfGog2LevelCurrent&gt;=$B71,"-",IF(InfGog2LevelDesired&lt;$B71,"-",$E71))</f>
        <v>-</v>
      </c>
      <c r="AS71" s="15" t="str">
        <f t="shared" ref="AS71" si="4821">IF(InfGlo2LevelCurrent&gt;=$B71,"-",IF(InfGlo2LevelDesired&lt;$B71,"-",$C71))</f>
        <v>-</v>
      </c>
      <c r="AT71" s="1" t="str">
        <f t="shared" ref="AT71" si="4822">IF(InfGlo2LevelCurrent&gt;=$B71,"-",IF(InfGlo2LevelDesired&lt;$B71,"-",$D71))</f>
        <v>-</v>
      </c>
      <c r="AU71" s="21" t="str">
        <f t="shared" ref="AU71" si="4823">IF(InfGlo2LevelCurrent&gt;=$B71,"-",IF(InfGlo2LevelDesired&lt;$B71,"-",$E71))</f>
        <v>-</v>
      </c>
      <c r="AV71" s="15" t="str">
        <f t="shared" ref="AV71" si="4824">IF(InfBel2LevelCurrent&gt;=$B71,"-",IF(InfBel2LevelDesired&lt;$B71,"-",$C71))</f>
        <v>-</v>
      </c>
      <c r="AW71" s="1" t="str">
        <f t="shared" ref="AW71" si="4825">IF(InfBel2LevelCurrent&gt;=$B71,"-",IF(InfBel2LevelDesired&lt;$B71,"-",$D71))</f>
        <v>-</v>
      </c>
      <c r="AX71" s="21" t="str">
        <f t="shared" ref="AX71" si="4826">IF(InfBel2LevelCurrent&gt;=$B71,"-",IF(InfBel2LevelDesired&lt;$B71,"-",$E71))</f>
        <v>-</v>
      </c>
      <c r="AY71" s="15" t="str">
        <f t="shared" ref="AY71" si="4827">IF(InfBoo2LevelCurrent&gt;=$B71,"-",IF(InfBoo2LevelDesired&lt;$B71,"-",$C71))</f>
        <v>-</v>
      </c>
      <c r="AZ71" s="1" t="str">
        <f t="shared" ref="AZ71" si="4828">IF(InfBoo2LevelCurrent&gt;=$B71,"-",IF(InfBoo2LevelDesired&lt;$B71,"-",$D71))</f>
        <v>-</v>
      </c>
      <c r="BA71" s="21" t="str">
        <f t="shared" ref="BA71" si="4829">IF(InfBoo2LevelCurrent&gt;=$B71,"-",IF(InfBoo2LevelDesired&lt;$B71,"-",$E71))</f>
        <v>-</v>
      </c>
      <c r="BB71" s="15" t="str">
        <f t="shared" ref="BB71" si="4830">IF(LanGog2LevelCurrent&gt;=$B71,"-",IF(LanGog2LevelDesired&lt;$B71,"-",$C71))</f>
        <v>-</v>
      </c>
      <c r="BC71" s="1" t="str">
        <f t="shared" ref="BC71" si="4831">IF(LanGog2LevelCurrent&gt;=$B71,"-",IF(LanGog2LevelDesired&lt;$B71,"-",$D71))</f>
        <v>-</v>
      </c>
      <c r="BD71" s="21" t="str">
        <f t="shared" ref="BD71" si="4832">IF(LanGog2LevelCurrent&gt;=$B71,"-",IF(LanGog2LevelDesired&lt;$B71,"-",$E71))</f>
        <v>-</v>
      </c>
      <c r="BE71" s="15" t="str">
        <f t="shared" ref="BE71" si="4833">IF(LanGlo2LevelCurrent&gt;=$B71,"-",IF(LanGlo2LevelDesired&lt;$B71,"-",$C71))</f>
        <v>-</v>
      </c>
      <c r="BF71" s="1" t="str">
        <f t="shared" ref="BF71" si="4834">IF(LanGlo2LevelCurrent&gt;=$B71,"-",IF(LanGlo2LevelDesired&lt;$B71,"-",$D71))</f>
        <v>-</v>
      </c>
      <c r="BG71" s="21" t="str">
        <f t="shared" ref="BG71" si="4835">IF(LanGlo2LevelCurrent&gt;=$B71,"-",IF(LanGlo2LevelDesired&lt;$B71,"-",$E71))</f>
        <v>-</v>
      </c>
      <c r="BH71" s="15" t="str">
        <f t="shared" ref="BH71" si="4836">IF(LanBel2LevelCurrent&gt;=$B71,"-",IF(LanBel2LevelDesired&lt;$B71,"-",$C71))</f>
        <v>-</v>
      </c>
      <c r="BI71" s="1" t="str">
        <f t="shared" ref="BI71" si="4837">IF(LanBel2LevelCurrent&gt;=$B71,"-",IF(LanBel2LevelDesired&lt;$B71,"-",$D71))</f>
        <v>-</v>
      </c>
      <c r="BJ71" s="21" t="str">
        <f t="shared" ref="BJ71" si="4838">IF(LanBel2LevelCurrent&gt;=$B71,"-",IF(LanBel2LevelDesired&lt;$B71,"-",$E71))</f>
        <v>-</v>
      </c>
      <c r="BK71" s="15" t="str">
        <f t="shared" ref="BK71" si="4839">IF(LanBoo2LevelCurrent&gt;=$B71,"-",IF(LanBoo2LevelDesired&lt;$B71,"-",$C71))</f>
        <v>-</v>
      </c>
      <c r="BL71" s="1" t="str">
        <f t="shared" ref="BL71" si="4840">IF(LanBoo2LevelCurrent&gt;=$B71,"-",IF(LanBoo2LevelDesired&lt;$B71,"-",$D71))</f>
        <v>-</v>
      </c>
      <c r="BM71" s="21" t="str">
        <f t="shared" ref="BM71" si="4841">IF(LanBoo2LevelCurrent&gt;=$B71,"-",IF(LanBoo2LevelDesired&lt;$B71,"-",$E71))</f>
        <v>-</v>
      </c>
      <c r="BN71" s="15" t="str">
        <f t="shared" ref="BN71" si="4842">IF(MarGog2LevelCurrent&gt;=$B71,"-",IF(MarGog2LevelDesired&lt;$B71,"-",$C71))</f>
        <v>-</v>
      </c>
      <c r="BO71" s="1" t="str">
        <f t="shared" ref="BO71" si="4843">IF(MarGog2LevelCurrent&gt;=$B71,"-",IF(MarGog2LevelDesired&lt;$B71,"-",$D71))</f>
        <v>-</v>
      </c>
      <c r="BP71" s="21" t="str">
        <f t="shared" ref="BP71" si="4844">IF(MarGog2LevelCurrent&gt;=$B71,"-",IF(MarGog2LevelDesired&lt;$B71,"-",$E71))</f>
        <v>-</v>
      </c>
      <c r="BQ71" s="15" t="str">
        <f t="shared" ref="BQ71" si="4845">IF(MarGlo2LevelCurrent&gt;=$B71,"-",IF(MarGlo2LevelDesired&lt;$B71,"-",$C71))</f>
        <v>-</v>
      </c>
      <c r="BR71" s="1" t="str">
        <f t="shared" ref="BR71" si="4846">IF(MarGlo2LevelCurrent&gt;=$B71,"-",IF(MarGlo2LevelDesired&lt;$B71,"-",$D71))</f>
        <v>-</v>
      </c>
      <c r="BS71" s="21" t="str">
        <f t="shared" ref="BS71" si="4847">IF(MarGlo2LevelCurrent&gt;=$B71,"-",IF(MarGlo2LevelDesired&lt;$B71,"-",$E71))</f>
        <v>-</v>
      </c>
      <c r="BT71" s="15" t="str">
        <f t="shared" ref="BT71" si="4848">IF(MarBel2LevelCurrent&gt;=$B71,"-",IF(MarBel2LevelDesired&lt;$B71,"-",$C71))</f>
        <v>-</v>
      </c>
      <c r="BU71" s="1" t="str">
        <f t="shared" ref="BU71" si="4849">IF(MarBel2LevelCurrent&gt;=$B71,"-",IF(MarBel2LevelDesired&lt;$B71,"-",$D71))</f>
        <v>-</v>
      </c>
      <c r="BV71" s="21" t="str">
        <f t="shared" ref="BV71" si="4850">IF(MarBel2LevelCurrent&gt;=$B71,"-",IF(MarBel2LevelDesired&lt;$B71,"-",$E71))</f>
        <v>-</v>
      </c>
      <c r="BW71" s="15" t="str">
        <f t="shared" ref="BW71" si="4851">IF(MarBoo2LevelCurrent&gt;=$B71,"-",IF(MarBoo2LevelDesired&lt;$B71,"-",$C71))</f>
        <v>-</v>
      </c>
      <c r="BX71" s="1" t="str">
        <f t="shared" ref="BX71" si="4852">IF(MarBoo2LevelCurrent&gt;=$B71,"-",IF(MarBoo2LevelDesired&lt;$B71,"-",$D71))</f>
        <v>-</v>
      </c>
      <c r="BY71" s="21" t="str">
        <f t="shared" ref="BY71" si="4853">IF(MarBoo2LevelCurrent&gt;=$B71,"-",IF(MarBoo2LevelDesired&lt;$B71,"-",$E71))</f>
        <v>-</v>
      </c>
      <c r="BZ71" s="15" t="str">
        <f t="shared" si="4748"/>
        <v>-</v>
      </c>
      <c r="CA71" s="1" t="str" cm="1">
        <f t="array" ref="CA71">IF(InfGog3LevelCurrent&gt;=$B71,"-",IF(InfGog3LevelDesired&lt;$B71,"-",$D71))</f>
        <v>-</v>
      </c>
      <c r="CB71" s="21" t="str" cm="1">
        <f t="array" ref="CB71">IF(InfGog3LevelCurrent&gt;=$B71,"-",IF(InfGog3LevelDesired&lt;$B71,"-",$E71))</f>
        <v>-</v>
      </c>
      <c r="CC71" s="15" t="str">
        <f t="shared" si="4749"/>
        <v>-</v>
      </c>
      <c r="CD71" s="1" t="str">
        <f t="shared" si="4750"/>
        <v>-</v>
      </c>
      <c r="CE71" s="21" t="str">
        <f t="shared" si="4751"/>
        <v>-</v>
      </c>
      <c r="CF71" s="15" t="str">
        <f t="shared" si="4752"/>
        <v>-</v>
      </c>
      <c r="CG71" s="1" t="str">
        <f t="shared" si="4753"/>
        <v>-</v>
      </c>
      <c r="CH71" s="21" t="str">
        <f t="shared" si="4754"/>
        <v>-</v>
      </c>
      <c r="CI71" s="15" t="str">
        <f t="shared" si="4755"/>
        <v>-</v>
      </c>
      <c r="CJ71" s="1" t="str">
        <f t="shared" si="4756"/>
        <v>-</v>
      </c>
      <c r="CK71" s="21" t="str">
        <f t="shared" si="4757"/>
        <v>-</v>
      </c>
      <c r="CL71" s="15" t="str">
        <f t="shared" si="4758"/>
        <v>-</v>
      </c>
      <c r="CM71" s="1" t="str">
        <f t="shared" si="4759"/>
        <v>-</v>
      </c>
      <c r="CN71" s="21" t="str">
        <f t="shared" si="4760"/>
        <v>-</v>
      </c>
      <c r="CO71" s="15" t="str">
        <f t="shared" si="4761"/>
        <v>-</v>
      </c>
      <c r="CP71" s="1" t="str">
        <f t="shared" si="4762"/>
        <v>-</v>
      </c>
      <c r="CQ71" s="21" t="str">
        <f t="shared" si="4763"/>
        <v>-</v>
      </c>
      <c r="CR71" s="15" t="str">
        <f t="shared" si="4764"/>
        <v>-</v>
      </c>
      <c r="CS71" s="1" t="str">
        <f t="shared" si="4765"/>
        <v>-</v>
      </c>
      <c r="CT71" s="21" t="str">
        <f t="shared" si="4766"/>
        <v>-</v>
      </c>
      <c r="CU71" s="15" t="str">
        <f t="shared" si="4767"/>
        <v>-</v>
      </c>
      <c r="CV71" s="1" t="str">
        <f t="shared" si="4768"/>
        <v>-</v>
      </c>
      <c r="CW71" s="21" t="str">
        <f t="shared" si="4769"/>
        <v>-</v>
      </c>
      <c r="CX71" s="15" t="str">
        <f t="shared" si="4770"/>
        <v>-</v>
      </c>
      <c r="CY71" s="1" t="str">
        <f t="shared" si="4771"/>
        <v>-</v>
      </c>
      <c r="CZ71" s="21" t="str">
        <f t="shared" si="4772"/>
        <v>-</v>
      </c>
      <c r="DA71" s="15" t="str">
        <f t="shared" si="4773"/>
        <v>-</v>
      </c>
      <c r="DB71" s="1" t="str">
        <f t="shared" si="4774"/>
        <v>-</v>
      </c>
      <c r="DC71" s="21" t="str">
        <f t="shared" si="4775"/>
        <v>-</v>
      </c>
      <c r="DD71" s="15" t="str">
        <f t="shared" si="4776"/>
        <v>-</v>
      </c>
      <c r="DE71" s="1" t="str">
        <f t="shared" si="4777"/>
        <v>-</v>
      </c>
      <c r="DF71" s="21" t="str">
        <f t="shared" si="4778"/>
        <v>-</v>
      </c>
      <c r="DG71" s="15" t="str">
        <f t="shared" si="4779"/>
        <v>-</v>
      </c>
      <c r="DH71" s="1" t="str">
        <f t="shared" si="4780"/>
        <v>-</v>
      </c>
      <c r="DI71" s="21" t="str">
        <f t="shared" si="4781"/>
        <v>-</v>
      </c>
    </row>
    <row r="72" spans="2:113" x14ac:dyDescent="0.3">
      <c r="B72" s="1">
        <v>67</v>
      </c>
      <c r="C72" s="67">
        <v>890</v>
      </c>
      <c r="D72" s="88" t="s">
        <v>27</v>
      </c>
      <c r="E72" s="21" t="s">
        <v>27</v>
      </c>
      <c r="F72" s="15" t="str">
        <f t="shared" ref="F72" si="4854">IF(InfGog1LevelCurrent&gt;=$B72,"-",IF(InfGog1LevelDesired&lt;$B72,"-",$C72))</f>
        <v>-</v>
      </c>
      <c r="G72" s="1" t="str">
        <f t="shared" ref="G72" si="4855">IF(InfGog1LevelCurrent&gt;=$B72,"-",IF(InfGog1LevelDesired&lt;$B72,"-",$D72))</f>
        <v>-</v>
      </c>
      <c r="H72" s="21" t="str">
        <f t="shared" ref="H72" si="4856">IF(InfGog1LevelCurrent&gt;=$B72,"-",IF(InfGog1LevelDesired&lt;$B72,"-",$E72))</f>
        <v>-</v>
      </c>
      <c r="I72" s="15" t="str">
        <f t="shared" ref="I72" si="4857">IF(InfGlo1LevelCurrent&gt;=$B72,"-",IF(InfGlo1LevelDesired&lt;$B72,"-",$C72))</f>
        <v>-</v>
      </c>
      <c r="J72" s="1" t="str">
        <f t="shared" ref="J72" si="4858">IF(InfGlo1LevelCurrent&gt;=$B72,"-",IF(InfGlo1LevelDesired&lt;$B72,"-",$D72))</f>
        <v>-</v>
      </c>
      <c r="K72" s="21" t="str">
        <f t="shared" ref="K72" si="4859">IF(InfGlo1LevelCurrent&gt;=$B72,"-",IF(InfGlo1LevelDesired&lt;$B72,"-",$E72))</f>
        <v>-</v>
      </c>
      <c r="L72" s="15" t="str">
        <f t="shared" ref="L72" si="4860">IF(InfBel1LevelCurrent&gt;=$B72,"-",IF(InfBel1LevelDesired&lt;$B72,"-",$C72))</f>
        <v>-</v>
      </c>
      <c r="M72" s="1" t="str">
        <f t="shared" ref="M72" si="4861">IF(InfBel1LevelCurrent&gt;=$B72,"-",IF(InfBel1LevelDesired&lt;$B72,"-",$D72))</f>
        <v>-</v>
      </c>
      <c r="N72" s="21" t="str">
        <f t="shared" ref="N72" si="4862">IF(InfBel1LevelCurrent&gt;=$B72,"-",IF(InfBel1LevelDesired&lt;$B72,"-",$E72))</f>
        <v>-</v>
      </c>
      <c r="O72" s="15" t="str">
        <f t="shared" ref="O72" si="4863">IF(InfBoo1LevelCurrent&gt;=$B72,"-",IF(InfBoo1LevelDesired&lt;$B72,"-",$C72))</f>
        <v>-</v>
      </c>
      <c r="P72" s="1" t="str">
        <f t="shared" ref="P72" si="4864">IF(InfBoo1LevelCurrent&gt;=$B72,"-",IF(InfBoo1LevelDesired&lt;$B72,"-",$D72))</f>
        <v>-</v>
      </c>
      <c r="Q72" s="21" t="str">
        <f t="shared" ref="Q72" si="4865">IF(InfBoo1LevelCurrent&gt;=$B72,"-",IF(InfBoo1LevelDesired&lt;$B72,"-",$E72))</f>
        <v>-</v>
      </c>
      <c r="R72" s="15" t="str">
        <f t="shared" ref="R72" si="4866">IF(LanGog1LevelCurrent&gt;=$B72,"-",IF(LanGog1LevelDesired&lt;$B72,"-",$C72))</f>
        <v>-</v>
      </c>
      <c r="S72" s="1" t="str">
        <f t="shared" ref="S72" si="4867">IF(LanGog1LevelCurrent&gt;=$B72,"-",IF(LanGog1LevelDesired&lt;$B72,"-",$D72))</f>
        <v>-</v>
      </c>
      <c r="T72" s="21" t="str">
        <f t="shared" ref="T72" si="4868">IF(LanGog1LevelCurrent&gt;=$B72,"-",IF(LanGog1LevelDesired&lt;$B72,"-",$E72))</f>
        <v>-</v>
      </c>
      <c r="U72" s="15" t="str">
        <f t="shared" ref="U72" si="4869">IF(LanGlo1LevelCurrent&gt;=$B72,"-",IF(LanGlo1LevelDesired&lt;$B72,"-",$C72))</f>
        <v>-</v>
      </c>
      <c r="V72" s="1" t="str">
        <f t="shared" ref="V72" si="4870">IF(LanGlo1LevelCurrent&gt;=$B72,"-",IF(LanGlo1LevelDesired&lt;$B72,"-",$D72))</f>
        <v>-</v>
      </c>
      <c r="W72" s="21" t="str">
        <f t="shared" ref="W72" si="4871">IF(LanGlo1LevelCurrent&gt;=$B72,"-",IF(LanGlo1LevelDesired&lt;$B72,"-",$E72))</f>
        <v>-</v>
      </c>
      <c r="X72" s="15" t="str">
        <f t="shared" ref="X72" si="4872">IF(LanBel1LevelCurrent&gt;=$B72,"-",IF(LanBel1LevelDesired&lt;$B72,"-",$C72))</f>
        <v>-</v>
      </c>
      <c r="Y72" s="1" t="str">
        <f t="shared" ref="Y72" si="4873">IF(LanBel1LevelCurrent&gt;=$B72,"-",IF(LanBel1LevelDesired&lt;$B72,"-",$D72))</f>
        <v>-</v>
      </c>
      <c r="Z72" s="21" t="str">
        <f t="shared" ref="Z72" si="4874">IF(LanBel1LevelCurrent&gt;=$B72,"-",IF(LanBel1LevelDesired&lt;$B72,"-",$E72))</f>
        <v>-</v>
      </c>
      <c r="AA72" s="15" t="str">
        <f t="shared" ref="AA72" si="4875">IF(LanBoo1LevelCurrent&gt;=$B72,"-",IF(LanBoo1LevelDesired&lt;$B72,"-",$C72))</f>
        <v>-</v>
      </c>
      <c r="AB72" s="1" t="str">
        <f t="shared" ref="AB72" si="4876">IF(LanBoo1LevelCurrent&gt;=$B72,"-",IF(LanBoo1LevelDesired&lt;$B72,"-",$D72))</f>
        <v>-</v>
      </c>
      <c r="AC72" s="21" t="str">
        <f t="shared" ref="AC72" si="4877">IF(LanBoo1LevelCurrent&gt;=$B72,"-",IF(LanBoo1LevelDesired&lt;$B72,"-",$E72))</f>
        <v>-</v>
      </c>
      <c r="AD72" s="15" t="str">
        <f t="shared" ref="AD72" si="4878">IF(MarGog1LevelCurrent&gt;=$B72,"-",IF(MarGog1LevelDesired&lt;$B72,"-",$C72))</f>
        <v>-</v>
      </c>
      <c r="AE72" s="1" t="str">
        <f t="shared" ref="AE72" si="4879">IF(MarGog1LevelCurrent&gt;=$B72,"-",IF(MarGog1LevelDesired&lt;$B72,"-",$D72))</f>
        <v>-</v>
      </c>
      <c r="AF72" s="21" t="str">
        <f t="shared" ref="AF72" si="4880">IF(MarGog1LevelCurrent&gt;=$B72,"-",IF(MarGog1LevelDesired&lt;$B72,"-",$E72))</f>
        <v>-</v>
      </c>
      <c r="AG72" s="15" t="str">
        <f t="shared" ref="AG72" si="4881">IF(MarGlo1LevelCurrent&gt;=$B72,"-",IF(MarGlo1LevelDesired&lt;$B72,"-",$C72))</f>
        <v>-</v>
      </c>
      <c r="AH72" s="1" t="str">
        <f t="shared" ref="AH72" si="4882">IF(MarGlo1LevelCurrent&gt;=$B72,"-",IF(MarGlo1LevelDesired&lt;$B72,"-",$D72))</f>
        <v>-</v>
      </c>
      <c r="AI72" s="21" t="str">
        <f t="shared" ref="AI72" si="4883">IF(MarGlo1LevelCurrent&gt;=$B72,"-",IF(MarGlo1LevelDesired&lt;$B72,"-",$E72))</f>
        <v>-</v>
      </c>
      <c r="AJ72" s="15" t="str">
        <f t="shared" ref="AJ72" si="4884">IF(MarBel1LevelCurrent&gt;=$B72,"-",IF(MarBel1LevelDesired&lt;$B72,"-",$C72))</f>
        <v>-</v>
      </c>
      <c r="AK72" s="1" t="str">
        <f t="shared" ref="AK72" si="4885">IF(MarBel1LevelCurrent&gt;=$B72,"-",IF(MarBel1LevelDesired&lt;$B72,"-",$D72))</f>
        <v>-</v>
      </c>
      <c r="AL72" s="21" t="str">
        <f t="shared" ref="AL72" si="4886">IF(MarBel1LevelCurrent&gt;=$B72,"-",IF(MarBel1LevelDesired&lt;$B72,"-",$E72))</f>
        <v>-</v>
      </c>
      <c r="AM72" s="15" t="str">
        <f t="shared" ref="AM72" si="4887">IF(MarBoo1LevelCurrent&gt;=$B72,"-",IF(MarBoo1LevelDesired&lt;$B72,"-",$C72))</f>
        <v>-</v>
      </c>
      <c r="AN72" s="1" t="str">
        <f t="shared" ref="AN72" si="4888">IF(MarBoo1LevelCurrent&gt;=$B72,"-",IF(MarBoo1LevelDesired&lt;$B72,"-",$D72))</f>
        <v>-</v>
      </c>
      <c r="AO72" s="21" t="str">
        <f t="shared" ref="AO72" si="4889">IF(MarBoo1LevelCurrent&gt;=$B72,"-",IF(MarBoo1LevelDesired&lt;$B72,"-",$E72))</f>
        <v>-</v>
      </c>
      <c r="AP72" s="15" t="str">
        <f t="shared" ref="AP72" si="4890">IF(InfGog2LevelCurrent&gt;=$B72,"-",IF(InfGog2LevelDesired&lt;$B72,"-",$C72))</f>
        <v>-</v>
      </c>
      <c r="AQ72" s="1" t="str">
        <f t="shared" ref="AQ72" si="4891">IF(InfGog2LevelCurrent&gt;=$B72,"-",IF(InfGog2LevelDesired&lt;$B72,"-",$D72))</f>
        <v>-</v>
      </c>
      <c r="AR72" s="21" t="str">
        <f t="shared" ref="AR72" si="4892">IF(InfGog2LevelCurrent&gt;=$B72,"-",IF(InfGog2LevelDesired&lt;$B72,"-",$E72))</f>
        <v>-</v>
      </c>
      <c r="AS72" s="15" t="str">
        <f t="shared" ref="AS72" si="4893">IF(InfGlo2LevelCurrent&gt;=$B72,"-",IF(InfGlo2LevelDesired&lt;$B72,"-",$C72))</f>
        <v>-</v>
      </c>
      <c r="AT72" s="1" t="str">
        <f t="shared" ref="AT72" si="4894">IF(InfGlo2LevelCurrent&gt;=$B72,"-",IF(InfGlo2LevelDesired&lt;$B72,"-",$D72))</f>
        <v>-</v>
      </c>
      <c r="AU72" s="21" t="str">
        <f t="shared" ref="AU72" si="4895">IF(InfGlo2LevelCurrent&gt;=$B72,"-",IF(InfGlo2LevelDesired&lt;$B72,"-",$E72))</f>
        <v>-</v>
      </c>
      <c r="AV72" s="15" t="str">
        <f t="shared" ref="AV72" si="4896">IF(InfBel2LevelCurrent&gt;=$B72,"-",IF(InfBel2LevelDesired&lt;$B72,"-",$C72))</f>
        <v>-</v>
      </c>
      <c r="AW72" s="1" t="str">
        <f t="shared" ref="AW72" si="4897">IF(InfBel2LevelCurrent&gt;=$B72,"-",IF(InfBel2LevelDesired&lt;$B72,"-",$D72))</f>
        <v>-</v>
      </c>
      <c r="AX72" s="21" t="str">
        <f t="shared" ref="AX72" si="4898">IF(InfBel2LevelCurrent&gt;=$B72,"-",IF(InfBel2LevelDesired&lt;$B72,"-",$E72))</f>
        <v>-</v>
      </c>
      <c r="AY72" s="15" t="str">
        <f t="shared" ref="AY72" si="4899">IF(InfBoo2LevelCurrent&gt;=$B72,"-",IF(InfBoo2LevelDesired&lt;$B72,"-",$C72))</f>
        <v>-</v>
      </c>
      <c r="AZ72" s="1" t="str">
        <f t="shared" ref="AZ72" si="4900">IF(InfBoo2LevelCurrent&gt;=$B72,"-",IF(InfBoo2LevelDesired&lt;$B72,"-",$D72))</f>
        <v>-</v>
      </c>
      <c r="BA72" s="21" t="str">
        <f t="shared" ref="BA72" si="4901">IF(InfBoo2LevelCurrent&gt;=$B72,"-",IF(InfBoo2LevelDesired&lt;$B72,"-",$E72))</f>
        <v>-</v>
      </c>
      <c r="BB72" s="15" t="str">
        <f t="shared" ref="BB72" si="4902">IF(LanGog2LevelCurrent&gt;=$B72,"-",IF(LanGog2LevelDesired&lt;$B72,"-",$C72))</f>
        <v>-</v>
      </c>
      <c r="BC72" s="1" t="str">
        <f t="shared" ref="BC72" si="4903">IF(LanGog2LevelCurrent&gt;=$B72,"-",IF(LanGog2LevelDesired&lt;$B72,"-",$D72))</f>
        <v>-</v>
      </c>
      <c r="BD72" s="21" t="str">
        <f t="shared" ref="BD72" si="4904">IF(LanGog2LevelCurrent&gt;=$B72,"-",IF(LanGog2LevelDesired&lt;$B72,"-",$E72))</f>
        <v>-</v>
      </c>
      <c r="BE72" s="15" t="str">
        <f t="shared" ref="BE72" si="4905">IF(LanGlo2LevelCurrent&gt;=$B72,"-",IF(LanGlo2LevelDesired&lt;$B72,"-",$C72))</f>
        <v>-</v>
      </c>
      <c r="BF72" s="1" t="str">
        <f t="shared" ref="BF72" si="4906">IF(LanGlo2LevelCurrent&gt;=$B72,"-",IF(LanGlo2LevelDesired&lt;$B72,"-",$D72))</f>
        <v>-</v>
      </c>
      <c r="BG72" s="21" t="str">
        <f t="shared" ref="BG72" si="4907">IF(LanGlo2LevelCurrent&gt;=$B72,"-",IF(LanGlo2LevelDesired&lt;$B72,"-",$E72))</f>
        <v>-</v>
      </c>
      <c r="BH72" s="15" t="str">
        <f t="shared" ref="BH72" si="4908">IF(LanBel2LevelCurrent&gt;=$B72,"-",IF(LanBel2LevelDesired&lt;$B72,"-",$C72))</f>
        <v>-</v>
      </c>
      <c r="BI72" s="1" t="str">
        <f t="shared" ref="BI72" si="4909">IF(LanBel2LevelCurrent&gt;=$B72,"-",IF(LanBel2LevelDesired&lt;$B72,"-",$D72))</f>
        <v>-</v>
      </c>
      <c r="BJ72" s="21" t="str">
        <f t="shared" ref="BJ72" si="4910">IF(LanBel2LevelCurrent&gt;=$B72,"-",IF(LanBel2LevelDesired&lt;$B72,"-",$E72))</f>
        <v>-</v>
      </c>
      <c r="BK72" s="15" t="str">
        <f t="shared" ref="BK72" si="4911">IF(LanBoo2LevelCurrent&gt;=$B72,"-",IF(LanBoo2LevelDesired&lt;$B72,"-",$C72))</f>
        <v>-</v>
      </c>
      <c r="BL72" s="1" t="str">
        <f t="shared" ref="BL72" si="4912">IF(LanBoo2LevelCurrent&gt;=$B72,"-",IF(LanBoo2LevelDesired&lt;$B72,"-",$D72))</f>
        <v>-</v>
      </c>
      <c r="BM72" s="21" t="str">
        <f t="shared" ref="BM72" si="4913">IF(LanBoo2LevelCurrent&gt;=$B72,"-",IF(LanBoo2LevelDesired&lt;$B72,"-",$E72))</f>
        <v>-</v>
      </c>
      <c r="BN72" s="15" t="str">
        <f t="shared" ref="BN72" si="4914">IF(MarGog2LevelCurrent&gt;=$B72,"-",IF(MarGog2LevelDesired&lt;$B72,"-",$C72))</f>
        <v>-</v>
      </c>
      <c r="BO72" s="1" t="str">
        <f t="shared" ref="BO72" si="4915">IF(MarGog2LevelCurrent&gt;=$B72,"-",IF(MarGog2LevelDesired&lt;$B72,"-",$D72))</f>
        <v>-</v>
      </c>
      <c r="BP72" s="21" t="str">
        <f t="shared" ref="BP72" si="4916">IF(MarGog2LevelCurrent&gt;=$B72,"-",IF(MarGog2LevelDesired&lt;$B72,"-",$E72))</f>
        <v>-</v>
      </c>
      <c r="BQ72" s="15" t="str">
        <f t="shared" ref="BQ72" si="4917">IF(MarGlo2LevelCurrent&gt;=$B72,"-",IF(MarGlo2LevelDesired&lt;$B72,"-",$C72))</f>
        <v>-</v>
      </c>
      <c r="BR72" s="1" t="str">
        <f t="shared" ref="BR72" si="4918">IF(MarGlo2LevelCurrent&gt;=$B72,"-",IF(MarGlo2LevelDesired&lt;$B72,"-",$D72))</f>
        <v>-</v>
      </c>
      <c r="BS72" s="21" t="str">
        <f t="shared" ref="BS72" si="4919">IF(MarGlo2LevelCurrent&gt;=$B72,"-",IF(MarGlo2LevelDesired&lt;$B72,"-",$E72))</f>
        <v>-</v>
      </c>
      <c r="BT72" s="15" t="str">
        <f t="shared" ref="BT72" si="4920">IF(MarBel2LevelCurrent&gt;=$B72,"-",IF(MarBel2LevelDesired&lt;$B72,"-",$C72))</f>
        <v>-</v>
      </c>
      <c r="BU72" s="1" t="str">
        <f t="shared" ref="BU72" si="4921">IF(MarBel2LevelCurrent&gt;=$B72,"-",IF(MarBel2LevelDesired&lt;$B72,"-",$D72))</f>
        <v>-</v>
      </c>
      <c r="BV72" s="21" t="str">
        <f t="shared" ref="BV72" si="4922">IF(MarBel2LevelCurrent&gt;=$B72,"-",IF(MarBel2LevelDesired&lt;$B72,"-",$E72))</f>
        <v>-</v>
      </c>
      <c r="BW72" s="15" t="str">
        <f t="shared" ref="BW72" si="4923">IF(MarBoo2LevelCurrent&gt;=$B72,"-",IF(MarBoo2LevelDesired&lt;$B72,"-",$C72))</f>
        <v>-</v>
      </c>
      <c r="BX72" s="1" t="str">
        <f t="shared" ref="BX72" si="4924">IF(MarBoo2LevelCurrent&gt;=$B72,"-",IF(MarBoo2LevelDesired&lt;$B72,"-",$D72))</f>
        <v>-</v>
      </c>
      <c r="BY72" s="21" t="str">
        <f t="shared" ref="BY72" si="4925">IF(MarBoo2LevelCurrent&gt;=$B72,"-",IF(MarBoo2LevelDesired&lt;$B72,"-",$E72))</f>
        <v>-</v>
      </c>
      <c r="BZ72" s="15" t="str">
        <f t="shared" si="4748"/>
        <v>-</v>
      </c>
      <c r="CA72" s="1" t="str" cm="1">
        <f t="array" ref="CA72">IF(InfGog3LevelCurrent&gt;=$B72,"-",IF(InfGog3LevelDesired&lt;$B72,"-",$D72))</f>
        <v>-</v>
      </c>
      <c r="CB72" s="21" t="str" cm="1">
        <f t="array" ref="CB72">IF(InfGog3LevelCurrent&gt;=$B72,"-",IF(InfGog3LevelDesired&lt;$B72,"-",$E72))</f>
        <v>-</v>
      </c>
      <c r="CC72" s="15" t="str">
        <f t="shared" si="4749"/>
        <v>-</v>
      </c>
      <c r="CD72" s="1" t="str">
        <f t="shared" si="4750"/>
        <v>-</v>
      </c>
      <c r="CE72" s="21" t="str">
        <f t="shared" si="4751"/>
        <v>-</v>
      </c>
      <c r="CF72" s="15" t="str">
        <f t="shared" si="4752"/>
        <v>-</v>
      </c>
      <c r="CG72" s="1" t="str">
        <f t="shared" si="4753"/>
        <v>-</v>
      </c>
      <c r="CH72" s="21" t="str">
        <f t="shared" si="4754"/>
        <v>-</v>
      </c>
      <c r="CI72" s="15" t="str">
        <f t="shared" si="4755"/>
        <v>-</v>
      </c>
      <c r="CJ72" s="1" t="str">
        <f t="shared" si="4756"/>
        <v>-</v>
      </c>
      <c r="CK72" s="21" t="str">
        <f t="shared" si="4757"/>
        <v>-</v>
      </c>
      <c r="CL72" s="15" t="str">
        <f t="shared" si="4758"/>
        <v>-</v>
      </c>
      <c r="CM72" s="1" t="str">
        <f t="shared" si="4759"/>
        <v>-</v>
      </c>
      <c r="CN72" s="21" t="str">
        <f t="shared" si="4760"/>
        <v>-</v>
      </c>
      <c r="CO72" s="15" t="str">
        <f t="shared" si="4761"/>
        <v>-</v>
      </c>
      <c r="CP72" s="1" t="str">
        <f t="shared" si="4762"/>
        <v>-</v>
      </c>
      <c r="CQ72" s="21" t="str">
        <f t="shared" si="4763"/>
        <v>-</v>
      </c>
      <c r="CR72" s="15" t="str">
        <f t="shared" si="4764"/>
        <v>-</v>
      </c>
      <c r="CS72" s="1" t="str">
        <f t="shared" si="4765"/>
        <v>-</v>
      </c>
      <c r="CT72" s="21" t="str">
        <f t="shared" si="4766"/>
        <v>-</v>
      </c>
      <c r="CU72" s="15" t="str">
        <f t="shared" si="4767"/>
        <v>-</v>
      </c>
      <c r="CV72" s="1" t="str">
        <f t="shared" si="4768"/>
        <v>-</v>
      </c>
      <c r="CW72" s="21" t="str">
        <f t="shared" si="4769"/>
        <v>-</v>
      </c>
      <c r="CX72" s="15" t="str">
        <f t="shared" si="4770"/>
        <v>-</v>
      </c>
      <c r="CY72" s="1" t="str">
        <f t="shared" si="4771"/>
        <v>-</v>
      </c>
      <c r="CZ72" s="21" t="str">
        <f t="shared" si="4772"/>
        <v>-</v>
      </c>
      <c r="DA72" s="15" t="str">
        <f t="shared" si="4773"/>
        <v>-</v>
      </c>
      <c r="DB72" s="1" t="str">
        <f t="shared" si="4774"/>
        <v>-</v>
      </c>
      <c r="DC72" s="21" t="str">
        <f t="shared" si="4775"/>
        <v>-</v>
      </c>
      <c r="DD72" s="15" t="str">
        <f t="shared" si="4776"/>
        <v>-</v>
      </c>
      <c r="DE72" s="1" t="str">
        <f t="shared" si="4777"/>
        <v>-</v>
      </c>
      <c r="DF72" s="21" t="str">
        <f t="shared" si="4778"/>
        <v>-</v>
      </c>
      <c r="DG72" s="15" t="str">
        <f t="shared" si="4779"/>
        <v>-</v>
      </c>
      <c r="DH72" s="1" t="str">
        <f t="shared" si="4780"/>
        <v>-</v>
      </c>
      <c r="DI72" s="21" t="str">
        <f t="shared" si="4781"/>
        <v>-</v>
      </c>
    </row>
    <row r="73" spans="2:113" x14ac:dyDescent="0.3">
      <c r="B73" s="1">
        <v>68</v>
      </c>
      <c r="C73" s="67">
        <v>920</v>
      </c>
      <c r="D73" s="88" t="s">
        <v>27</v>
      </c>
      <c r="E73" s="21" t="s">
        <v>27</v>
      </c>
      <c r="F73" s="15" t="str">
        <f t="shared" ref="F73" si="4926">IF(InfGog1LevelCurrent&gt;=$B73,"-",IF(InfGog1LevelDesired&lt;$B73,"-",$C73))</f>
        <v>-</v>
      </c>
      <c r="G73" s="1" t="str">
        <f t="shared" ref="G73" si="4927">IF(InfGog1LevelCurrent&gt;=$B73,"-",IF(InfGog1LevelDesired&lt;$B73,"-",$D73))</f>
        <v>-</v>
      </c>
      <c r="H73" s="21" t="str">
        <f t="shared" ref="H73" si="4928">IF(InfGog1LevelCurrent&gt;=$B73,"-",IF(InfGog1LevelDesired&lt;$B73,"-",$E73))</f>
        <v>-</v>
      </c>
      <c r="I73" s="15" t="str">
        <f t="shared" ref="I73" si="4929">IF(InfGlo1LevelCurrent&gt;=$B73,"-",IF(InfGlo1LevelDesired&lt;$B73,"-",$C73))</f>
        <v>-</v>
      </c>
      <c r="J73" s="1" t="str">
        <f t="shared" ref="J73" si="4930">IF(InfGlo1LevelCurrent&gt;=$B73,"-",IF(InfGlo1LevelDesired&lt;$B73,"-",$D73))</f>
        <v>-</v>
      </c>
      <c r="K73" s="21" t="str">
        <f t="shared" ref="K73" si="4931">IF(InfGlo1LevelCurrent&gt;=$B73,"-",IF(InfGlo1LevelDesired&lt;$B73,"-",$E73))</f>
        <v>-</v>
      </c>
      <c r="L73" s="15" t="str">
        <f t="shared" ref="L73" si="4932">IF(InfBel1LevelCurrent&gt;=$B73,"-",IF(InfBel1LevelDesired&lt;$B73,"-",$C73))</f>
        <v>-</v>
      </c>
      <c r="M73" s="1" t="str">
        <f t="shared" ref="M73" si="4933">IF(InfBel1LevelCurrent&gt;=$B73,"-",IF(InfBel1LevelDesired&lt;$B73,"-",$D73))</f>
        <v>-</v>
      </c>
      <c r="N73" s="21" t="str">
        <f t="shared" ref="N73" si="4934">IF(InfBel1LevelCurrent&gt;=$B73,"-",IF(InfBel1LevelDesired&lt;$B73,"-",$E73))</f>
        <v>-</v>
      </c>
      <c r="O73" s="15" t="str">
        <f t="shared" ref="O73" si="4935">IF(InfBoo1LevelCurrent&gt;=$B73,"-",IF(InfBoo1LevelDesired&lt;$B73,"-",$C73))</f>
        <v>-</v>
      </c>
      <c r="P73" s="1" t="str">
        <f t="shared" ref="P73" si="4936">IF(InfBoo1LevelCurrent&gt;=$B73,"-",IF(InfBoo1LevelDesired&lt;$B73,"-",$D73))</f>
        <v>-</v>
      </c>
      <c r="Q73" s="21" t="str">
        <f t="shared" ref="Q73" si="4937">IF(InfBoo1LevelCurrent&gt;=$B73,"-",IF(InfBoo1LevelDesired&lt;$B73,"-",$E73))</f>
        <v>-</v>
      </c>
      <c r="R73" s="15" t="str">
        <f t="shared" ref="R73" si="4938">IF(LanGog1LevelCurrent&gt;=$B73,"-",IF(LanGog1LevelDesired&lt;$B73,"-",$C73))</f>
        <v>-</v>
      </c>
      <c r="S73" s="1" t="str">
        <f t="shared" ref="S73" si="4939">IF(LanGog1LevelCurrent&gt;=$B73,"-",IF(LanGog1LevelDesired&lt;$B73,"-",$D73))</f>
        <v>-</v>
      </c>
      <c r="T73" s="21" t="str">
        <f t="shared" ref="T73" si="4940">IF(LanGog1LevelCurrent&gt;=$B73,"-",IF(LanGog1LevelDesired&lt;$B73,"-",$E73))</f>
        <v>-</v>
      </c>
      <c r="U73" s="15" t="str">
        <f t="shared" ref="U73" si="4941">IF(LanGlo1LevelCurrent&gt;=$B73,"-",IF(LanGlo1LevelDesired&lt;$B73,"-",$C73))</f>
        <v>-</v>
      </c>
      <c r="V73" s="1" t="str">
        <f t="shared" ref="V73" si="4942">IF(LanGlo1LevelCurrent&gt;=$B73,"-",IF(LanGlo1LevelDesired&lt;$B73,"-",$D73))</f>
        <v>-</v>
      </c>
      <c r="W73" s="21" t="str">
        <f t="shared" ref="W73" si="4943">IF(LanGlo1LevelCurrent&gt;=$B73,"-",IF(LanGlo1LevelDesired&lt;$B73,"-",$E73))</f>
        <v>-</v>
      </c>
      <c r="X73" s="15" t="str">
        <f t="shared" ref="X73" si="4944">IF(LanBel1LevelCurrent&gt;=$B73,"-",IF(LanBel1LevelDesired&lt;$B73,"-",$C73))</f>
        <v>-</v>
      </c>
      <c r="Y73" s="1" t="str">
        <f t="shared" ref="Y73" si="4945">IF(LanBel1LevelCurrent&gt;=$B73,"-",IF(LanBel1LevelDesired&lt;$B73,"-",$D73))</f>
        <v>-</v>
      </c>
      <c r="Z73" s="21" t="str">
        <f t="shared" ref="Z73" si="4946">IF(LanBel1LevelCurrent&gt;=$B73,"-",IF(LanBel1LevelDesired&lt;$B73,"-",$E73))</f>
        <v>-</v>
      </c>
      <c r="AA73" s="15" t="str">
        <f t="shared" ref="AA73" si="4947">IF(LanBoo1LevelCurrent&gt;=$B73,"-",IF(LanBoo1LevelDesired&lt;$B73,"-",$C73))</f>
        <v>-</v>
      </c>
      <c r="AB73" s="1" t="str">
        <f t="shared" ref="AB73" si="4948">IF(LanBoo1LevelCurrent&gt;=$B73,"-",IF(LanBoo1LevelDesired&lt;$B73,"-",$D73))</f>
        <v>-</v>
      </c>
      <c r="AC73" s="21" t="str">
        <f t="shared" ref="AC73" si="4949">IF(LanBoo1LevelCurrent&gt;=$B73,"-",IF(LanBoo1LevelDesired&lt;$B73,"-",$E73))</f>
        <v>-</v>
      </c>
      <c r="AD73" s="15" t="str">
        <f t="shared" ref="AD73" si="4950">IF(MarGog1LevelCurrent&gt;=$B73,"-",IF(MarGog1LevelDesired&lt;$B73,"-",$C73))</f>
        <v>-</v>
      </c>
      <c r="AE73" s="1" t="str">
        <f t="shared" ref="AE73" si="4951">IF(MarGog1LevelCurrent&gt;=$B73,"-",IF(MarGog1LevelDesired&lt;$B73,"-",$D73))</f>
        <v>-</v>
      </c>
      <c r="AF73" s="21" t="str">
        <f t="shared" ref="AF73" si="4952">IF(MarGog1LevelCurrent&gt;=$B73,"-",IF(MarGog1LevelDesired&lt;$B73,"-",$E73))</f>
        <v>-</v>
      </c>
      <c r="AG73" s="15" t="str">
        <f t="shared" ref="AG73" si="4953">IF(MarGlo1LevelCurrent&gt;=$B73,"-",IF(MarGlo1LevelDesired&lt;$B73,"-",$C73))</f>
        <v>-</v>
      </c>
      <c r="AH73" s="1" t="str">
        <f t="shared" ref="AH73" si="4954">IF(MarGlo1LevelCurrent&gt;=$B73,"-",IF(MarGlo1LevelDesired&lt;$B73,"-",$D73))</f>
        <v>-</v>
      </c>
      <c r="AI73" s="21" t="str">
        <f t="shared" ref="AI73" si="4955">IF(MarGlo1LevelCurrent&gt;=$B73,"-",IF(MarGlo1LevelDesired&lt;$B73,"-",$E73))</f>
        <v>-</v>
      </c>
      <c r="AJ73" s="15" t="str">
        <f t="shared" ref="AJ73" si="4956">IF(MarBel1LevelCurrent&gt;=$B73,"-",IF(MarBel1LevelDesired&lt;$B73,"-",$C73))</f>
        <v>-</v>
      </c>
      <c r="AK73" s="1" t="str">
        <f t="shared" ref="AK73" si="4957">IF(MarBel1LevelCurrent&gt;=$B73,"-",IF(MarBel1LevelDesired&lt;$B73,"-",$D73))</f>
        <v>-</v>
      </c>
      <c r="AL73" s="21" t="str">
        <f t="shared" ref="AL73" si="4958">IF(MarBel1LevelCurrent&gt;=$B73,"-",IF(MarBel1LevelDesired&lt;$B73,"-",$E73))</f>
        <v>-</v>
      </c>
      <c r="AM73" s="15" t="str">
        <f t="shared" ref="AM73" si="4959">IF(MarBoo1LevelCurrent&gt;=$B73,"-",IF(MarBoo1LevelDesired&lt;$B73,"-",$C73))</f>
        <v>-</v>
      </c>
      <c r="AN73" s="1" t="str">
        <f t="shared" ref="AN73" si="4960">IF(MarBoo1LevelCurrent&gt;=$B73,"-",IF(MarBoo1LevelDesired&lt;$B73,"-",$D73))</f>
        <v>-</v>
      </c>
      <c r="AO73" s="21" t="str">
        <f t="shared" ref="AO73" si="4961">IF(MarBoo1LevelCurrent&gt;=$B73,"-",IF(MarBoo1LevelDesired&lt;$B73,"-",$E73))</f>
        <v>-</v>
      </c>
      <c r="AP73" s="15" t="str">
        <f t="shared" ref="AP73" si="4962">IF(InfGog2LevelCurrent&gt;=$B73,"-",IF(InfGog2LevelDesired&lt;$B73,"-",$C73))</f>
        <v>-</v>
      </c>
      <c r="AQ73" s="1" t="str">
        <f t="shared" ref="AQ73" si="4963">IF(InfGog2LevelCurrent&gt;=$B73,"-",IF(InfGog2LevelDesired&lt;$B73,"-",$D73))</f>
        <v>-</v>
      </c>
      <c r="AR73" s="21" t="str">
        <f t="shared" ref="AR73" si="4964">IF(InfGog2LevelCurrent&gt;=$B73,"-",IF(InfGog2LevelDesired&lt;$B73,"-",$E73))</f>
        <v>-</v>
      </c>
      <c r="AS73" s="15" t="str">
        <f t="shared" ref="AS73" si="4965">IF(InfGlo2LevelCurrent&gt;=$B73,"-",IF(InfGlo2LevelDesired&lt;$B73,"-",$C73))</f>
        <v>-</v>
      </c>
      <c r="AT73" s="1" t="str">
        <f t="shared" ref="AT73" si="4966">IF(InfGlo2LevelCurrent&gt;=$B73,"-",IF(InfGlo2LevelDesired&lt;$B73,"-",$D73))</f>
        <v>-</v>
      </c>
      <c r="AU73" s="21" t="str">
        <f t="shared" ref="AU73" si="4967">IF(InfGlo2LevelCurrent&gt;=$B73,"-",IF(InfGlo2LevelDesired&lt;$B73,"-",$E73))</f>
        <v>-</v>
      </c>
      <c r="AV73" s="15" t="str">
        <f t="shared" ref="AV73" si="4968">IF(InfBel2LevelCurrent&gt;=$B73,"-",IF(InfBel2LevelDesired&lt;$B73,"-",$C73))</f>
        <v>-</v>
      </c>
      <c r="AW73" s="1" t="str">
        <f t="shared" ref="AW73" si="4969">IF(InfBel2LevelCurrent&gt;=$B73,"-",IF(InfBel2LevelDesired&lt;$B73,"-",$D73))</f>
        <v>-</v>
      </c>
      <c r="AX73" s="21" t="str">
        <f t="shared" ref="AX73" si="4970">IF(InfBel2LevelCurrent&gt;=$B73,"-",IF(InfBel2LevelDesired&lt;$B73,"-",$E73))</f>
        <v>-</v>
      </c>
      <c r="AY73" s="15" t="str">
        <f t="shared" ref="AY73" si="4971">IF(InfBoo2LevelCurrent&gt;=$B73,"-",IF(InfBoo2LevelDesired&lt;$B73,"-",$C73))</f>
        <v>-</v>
      </c>
      <c r="AZ73" s="1" t="str">
        <f t="shared" ref="AZ73" si="4972">IF(InfBoo2LevelCurrent&gt;=$B73,"-",IF(InfBoo2LevelDesired&lt;$B73,"-",$D73))</f>
        <v>-</v>
      </c>
      <c r="BA73" s="21" t="str">
        <f t="shared" ref="BA73" si="4973">IF(InfBoo2LevelCurrent&gt;=$B73,"-",IF(InfBoo2LevelDesired&lt;$B73,"-",$E73))</f>
        <v>-</v>
      </c>
      <c r="BB73" s="15" t="str">
        <f t="shared" ref="BB73" si="4974">IF(LanGog2LevelCurrent&gt;=$B73,"-",IF(LanGog2LevelDesired&lt;$B73,"-",$C73))</f>
        <v>-</v>
      </c>
      <c r="BC73" s="1" t="str">
        <f t="shared" ref="BC73" si="4975">IF(LanGog2LevelCurrent&gt;=$B73,"-",IF(LanGog2LevelDesired&lt;$B73,"-",$D73))</f>
        <v>-</v>
      </c>
      <c r="BD73" s="21" t="str">
        <f t="shared" ref="BD73" si="4976">IF(LanGog2LevelCurrent&gt;=$B73,"-",IF(LanGog2LevelDesired&lt;$B73,"-",$E73))</f>
        <v>-</v>
      </c>
      <c r="BE73" s="15" t="str">
        <f t="shared" ref="BE73" si="4977">IF(LanGlo2LevelCurrent&gt;=$B73,"-",IF(LanGlo2LevelDesired&lt;$B73,"-",$C73))</f>
        <v>-</v>
      </c>
      <c r="BF73" s="1" t="str">
        <f t="shared" ref="BF73" si="4978">IF(LanGlo2LevelCurrent&gt;=$B73,"-",IF(LanGlo2LevelDesired&lt;$B73,"-",$D73))</f>
        <v>-</v>
      </c>
      <c r="BG73" s="21" t="str">
        <f t="shared" ref="BG73" si="4979">IF(LanGlo2LevelCurrent&gt;=$B73,"-",IF(LanGlo2LevelDesired&lt;$B73,"-",$E73))</f>
        <v>-</v>
      </c>
      <c r="BH73" s="15" t="str">
        <f t="shared" ref="BH73" si="4980">IF(LanBel2LevelCurrent&gt;=$B73,"-",IF(LanBel2LevelDesired&lt;$B73,"-",$C73))</f>
        <v>-</v>
      </c>
      <c r="BI73" s="1" t="str">
        <f t="shared" ref="BI73" si="4981">IF(LanBel2LevelCurrent&gt;=$B73,"-",IF(LanBel2LevelDesired&lt;$B73,"-",$D73))</f>
        <v>-</v>
      </c>
      <c r="BJ73" s="21" t="str">
        <f t="shared" ref="BJ73" si="4982">IF(LanBel2LevelCurrent&gt;=$B73,"-",IF(LanBel2LevelDesired&lt;$B73,"-",$E73))</f>
        <v>-</v>
      </c>
      <c r="BK73" s="15" t="str">
        <f t="shared" ref="BK73" si="4983">IF(LanBoo2LevelCurrent&gt;=$B73,"-",IF(LanBoo2LevelDesired&lt;$B73,"-",$C73))</f>
        <v>-</v>
      </c>
      <c r="BL73" s="1" t="str">
        <f t="shared" ref="BL73" si="4984">IF(LanBoo2LevelCurrent&gt;=$B73,"-",IF(LanBoo2LevelDesired&lt;$B73,"-",$D73))</f>
        <v>-</v>
      </c>
      <c r="BM73" s="21" t="str">
        <f t="shared" ref="BM73" si="4985">IF(LanBoo2LevelCurrent&gt;=$B73,"-",IF(LanBoo2LevelDesired&lt;$B73,"-",$E73))</f>
        <v>-</v>
      </c>
      <c r="BN73" s="15" t="str">
        <f t="shared" ref="BN73" si="4986">IF(MarGog2LevelCurrent&gt;=$B73,"-",IF(MarGog2LevelDesired&lt;$B73,"-",$C73))</f>
        <v>-</v>
      </c>
      <c r="BO73" s="1" t="str">
        <f t="shared" ref="BO73" si="4987">IF(MarGog2LevelCurrent&gt;=$B73,"-",IF(MarGog2LevelDesired&lt;$B73,"-",$D73))</f>
        <v>-</v>
      </c>
      <c r="BP73" s="21" t="str">
        <f t="shared" ref="BP73" si="4988">IF(MarGog2LevelCurrent&gt;=$B73,"-",IF(MarGog2LevelDesired&lt;$B73,"-",$E73))</f>
        <v>-</v>
      </c>
      <c r="BQ73" s="15" t="str">
        <f t="shared" ref="BQ73" si="4989">IF(MarGlo2LevelCurrent&gt;=$B73,"-",IF(MarGlo2LevelDesired&lt;$B73,"-",$C73))</f>
        <v>-</v>
      </c>
      <c r="BR73" s="1" t="str">
        <f t="shared" ref="BR73" si="4990">IF(MarGlo2LevelCurrent&gt;=$B73,"-",IF(MarGlo2LevelDesired&lt;$B73,"-",$D73))</f>
        <v>-</v>
      </c>
      <c r="BS73" s="21" t="str">
        <f t="shared" ref="BS73" si="4991">IF(MarGlo2LevelCurrent&gt;=$B73,"-",IF(MarGlo2LevelDesired&lt;$B73,"-",$E73))</f>
        <v>-</v>
      </c>
      <c r="BT73" s="15" t="str">
        <f t="shared" ref="BT73" si="4992">IF(MarBel2LevelCurrent&gt;=$B73,"-",IF(MarBel2LevelDesired&lt;$B73,"-",$C73))</f>
        <v>-</v>
      </c>
      <c r="BU73" s="1" t="str">
        <f t="shared" ref="BU73" si="4993">IF(MarBel2LevelCurrent&gt;=$B73,"-",IF(MarBel2LevelDesired&lt;$B73,"-",$D73))</f>
        <v>-</v>
      </c>
      <c r="BV73" s="21" t="str">
        <f t="shared" ref="BV73" si="4994">IF(MarBel2LevelCurrent&gt;=$B73,"-",IF(MarBel2LevelDesired&lt;$B73,"-",$E73))</f>
        <v>-</v>
      </c>
      <c r="BW73" s="15" t="str">
        <f t="shared" ref="BW73" si="4995">IF(MarBoo2LevelCurrent&gt;=$B73,"-",IF(MarBoo2LevelDesired&lt;$B73,"-",$C73))</f>
        <v>-</v>
      </c>
      <c r="BX73" s="1" t="str">
        <f t="shared" ref="BX73" si="4996">IF(MarBoo2LevelCurrent&gt;=$B73,"-",IF(MarBoo2LevelDesired&lt;$B73,"-",$D73))</f>
        <v>-</v>
      </c>
      <c r="BY73" s="21" t="str">
        <f t="shared" ref="BY73" si="4997">IF(MarBoo2LevelCurrent&gt;=$B73,"-",IF(MarBoo2LevelDesired&lt;$B73,"-",$E73))</f>
        <v>-</v>
      </c>
      <c r="BZ73" s="15" t="str">
        <f t="shared" si="4748"/>
        <v>-</v>
      </c>
      <c r="CA73" s="1" t="str" cm="1">
        <f t="array" ref="CA73">IF(InfGog3LevelCurrent&gt;=$B73,"-",IF(InfGog3LevelDesired&lt;$B73,"-",$D73))</f>
        <v>-</v>
      </c>
      <c r="CB73" s="21" t="str" cm="1">
        <f t="array" ref="CB73">IF(InfGog3LevelCurrent&gt;=$B73,"-",IF(InfGog3LevelDesired&lt;$B73,"-",$E73))</f>
        <v>-</v>
      </c>
      <c r="CC73" s="15" t="str">
        <f t="shared" si="4749"/>
        <v>-</v>
      </c>
      <c r="CD73" s="1" t="str">
        <f t="shared" si="4750"/>
        <v>-</v>
      </c>
      <c r="CE73" s="21" t="str">
        <f t="shared" si="4751"/>
        <v>-</v>
      </c>
      <c r="CF73" s="15" t="str">
        <f t="shared" si="4752"/>
        <v>-</v>
      </c>
      <c r="CG73" s="1" t="str">
        <f t="shared" si="4753"/>
        <v>-</v>
      </c>
      <c r="CH73" s="21" t="str">
        <f t="shared" si="4754"/>
        <v>-</v>
      </c>
      <c r="CI73" s="15" t="str">
        <f t="shared" si="4755"/>
        <v>-</v>
      </c>
      <c r="CJ73" s="1" t="str">
        <f t="shared" si="4756"/>
        <v>-</v>
      </c>
      <c r="CK73" s="21" t="str">
        <f t="shared" si="4757"/>
        <v>-</v>
      </c>
      <c r="CL73" s="15" t="str">
        <f t="shared" si="4758"/>
        <v>-</v>
      </c>
      <c r="CM73" s="1" t="str">
        <f t="shared" si="4759"/>
        <v>-</v>
      </c>
      <c r="CN73" s="21" t="str">
        <f t="shared" si="4760"/>
        <v>-</v>
      </c>
      <c r="CO73" s="15" t="str">
        <f t="shared" si="4761"/>
        <v>-</v>
      </c>
      <c r="CP73" s="1" t="str">
        <f t="shared" si="4762"/>
        <v>-</v>
      </c>
      <c r="CQ73" s="21" t="str">
        <f t="shared" si="4763"/>
        <v>-</v>
      </c>
      <c r="CR73" s="15" t="str">
        <f t="shared" si="4764"/>
        <v>-</v>
      </c>
      <c r="CS73" s="1" t="str">
        <f t="shared" si="4765"/>
        <v>-</v>
      </c>
      <c r="CT73" s="21" t="str">
        <f t="shared" si="4766"/>
        <v>-</v>
      </c>
      <c r="CU73" s="15" t="str">
        <f t="shared" si="4767"/>
        <v>-</v>
      </c>
      <c r="CV73" s="1" t="str">
        <f t="shared" si="4768"/>
        <v>-</v>
      </c>
      <c r="CW73" s="21" t="str">
        <f t="shared" si="4769"/>
        <v>-</v>
      </c>
      <c r="CX73" s="15" t="str">
        <f t="shared" si="4770"/>
        <v>-</v>
      </c>
      <c r="CY73" s="1" t="str">
        <f t="shared" si="4771"/>
        <v>-</v>
      </c>
      <c r="CZ73" s="21" t="str">
        <f t="shared" si="4772"/>
        <v>-</v>
      </c>
      <c r="DA73" s="15" t="str">
        <f t="shared" si="4773"/>
        <v>-</v>
      </c>
      <c r="DB73" s="1" t="str">
        <f t="shared" si="4774"/>
        <v>-</v>
      </c>
      <c r="DC73" s="21" t="str">
        <f t="shared" si="4775"/>
        <v>-</v>
      </c>
      <c r="DD73" s="15" t="str">
        <f t="shared" si="4776"/>
        <v>-</v>
      </c>
      <c r="DE73" s="1" t="str">
        <f t="shared" si="4777"/>
        <v>-</v>
      </c>
      <c r="DF73" s="21" t="str">
        <f t="shared" si="4778"/>
        <v>-</v>
      </c>
      <c r="DG73" s="15" t="str">
        <f t="shared" si="4779"/>
        <v>-</v>
      </c>
      <c r="DH73" s="1" t="str">
        <f t="shared" si="4780"/>
        <v>-</v>
      </c>
      <c r="DI73" s="21" t="str">
        <f t="shared" si="4781"/>
        <v>-</v>
      </c>
    </row>
    <row r="74" spans="2:113" x14ac:dyDescent="0.3">
      <c r="B74" s="1">
        <v>69</v>
      </c>
      <c r="C74" s="67">
        <v>950</v>
      </c>
      <c r="D74" s="88" t="s">
        <v>27</v>
      </c>
      <c r="E74" s="21" t="s">
        <v>27</v>
      </c>
      <c r="F74" s="15" t="str">
        <f t="shared" ref="F74" si="4998">IF(InfGog1LevelCurrent&gt;=$B74,"-",IF(InfGog1LevelDesired&lt;$B74,"-",$C74))</f>
        <v>-</v>
      </c>
      <c r="G74" s="1" t="str">
        <f t="shared" ref="G74" si="4999">IF(InfGog1LevelCurrent&gt;=$B74,"-",IF(InfGog1LevelDesired&lt;$B74,"-",$D74))</f>
        <v>-</v>
      </c>
      <c r="H74" s="21" t="str">
        <f t="shared" ref="H74" si="5000">IF(InfGog1LevelCurrent&gt;=$B74,"-",IF(InfGog1LevelDesired&lt;$B74,"-",$E74))</f>
        <v>-</v>
      </c>
      <c r="I74" s="15" t="str">
        <f t="shared" ref="I74" si="5001">IF(InfGlo1LevelCurrent&gt;=$B74,"-",IF(InfGlo1LevelDesired&lt;$B74,"-",$C74))</f>
        <v>-</v>
      </c>
      <c r="J74" s="1" t="str">
        <f t="shared" ref="J74" si="5002">IF(InfGlo1LevelCurrent&gt;=$B74,"-",IF(InfGlo1LevelDesired&lt;$B74,"-",$D74))</f>
        <v>-</v>
      </c>
      <c r="K74" s="21" t="str">
        <f t="shared" ref="K74" si="5003">IF(InfGlo1LevelCurrent&gt;=$B74,"-",IF(InfGlo1LevelDesired&lt;$B74,"-",$E74))</f>
        <v>-</v>
      </c>
      <c r="L74" s="15" t="str">
        <f t="shared" ref="L74" si="5004">IF(InfBel1LevelCurrent&gt;=$B74,"-",IF(InfBel1LevelDesired&lt;$B74,"-",$C74))</f>
        <v>-</v>
      </c>
      <c r="M74" s="1" t="str">
        <f t="shared" ref="M74" si="5005">IF(InfBel1LevelCurrent&gt;=$B74,"-",IF(InfBel1LevelDesired&lt;$B74,"-",$D74))</f>
        <v>-</v>
      </c>
      <c r="N74" s="21" t="str">
        <f t="shared" ref="N74" si="5006">IF(InfBel1LevelCurrent&gt;=$B74,"-",IF(InfBel1LevelDesired&lt;$B74,"-",$E74))</f>
        <v>-</v>
      </c>
      <c r="O74" s="15" t="str">
        <f t="shared" ref="O74" si="5007">IF(InfBoo1LevelCurrent&gt;=$B74,"-",IF(InfBoo1LevelDesired&lt;$B74,"-",$C74))</f>
        <v>-</v>
      </c>
      <c r="P74" s="1" t="str">
        <f t="shared" ref="P74" si="5008">IF(InfBoo1LevelCurrent&gt;=$B74,"-",IF(InfBoo1LevelDesired&lt;$B74,"-",$D74))</f>
        <v>-</v>
      </c>
      <c r="Q74" s="21" t="str">
        <f t="shared" ref="Q74" si="5009">IF(InfBoo1LevelCurrent&gt;=$B74,"-",IF(InfBoo1LevelDesired&lt;$B74,"-",$E74))</f>
        <v>-</v>
      </c>
      <c r="R74" s="15" t="str">
        <f t="shared" ref="R74" si="5010">IF(LanGog1LevelCurrent&gt;=$B74,"-",IF(LanGog1LevelDesired&lt;$B74,"-",$C74))</f>
        <v>-</v>
      </c>
      <c r="S74" s="1" t="str">
        <f t="shared" ref="S74" si="5011">IF(LanGog1LevelCurrent&gt;=$B74,"-",IF(LanGog1LevelDesired&lt;$B74,"-",$D74))</f>
        <v>-</v>
      </c>
      <c r="T74" s="21" t="str">
        <f t="shared" ref="T74" si="5012">IF(LanGog1LevelCurrent&gt;=$B74,"-",IF(LanGog1LevelDesired&lt;$B74,"-",$E74))</f>
        <v>-</v>
      </c>
      <c r="U74" s="15" t="str">
        <f t="shared" ref="U74" si="5013">IF(LanGlo1LevelCurrent&gt;=$B74,"-",IF(LanGlo1LevelDesired&lt;$B74,"-",$C74))</f>
        <v>-</v>
      </c>
      <c r="V74" s="1" t="str">
        <f t="shared" ref="V74" si="5014">IF(LanGlo1LevelCurrent&gt;=$B74,"-",IF(LanGlo1LevelDesired&lt;$B74,"-",$D74))</f>
        <v>-</v>
      </c>
      <c r="W74" s="21" t="str">
        <f t="shared" ref="W74" si="5015">IF(LanGlo1LevelCurrent&gt;=$B74,"-",IF(LanGlo1LevelDesired&lt;$B74,"-",$E74))</f>
        <v>-</v>
      </c>
      <c r="X74" s="15" t="str">
        <f t="shared" ref="X74" si="5016">IF(LanBel1LevelCurrent&gt;=$B74,"-",IF(LanBel1LevelDesired&lt;$B74,"-",$C74))</f>
        <v>-</v>
      </c>
      <c r="Y74" s="1" t="str">
        <f t="shared" ref="Y74" si="5017">IF(LanBel1LevelCurrent&gt;=$B74,"-",IF(LanBel1LevelDesired&lt;$B74,"-",$D74))</f>
        <v>-</v>
      </c>
      <c r="Z74" s="21" t="str">
        <f t="shared" ref="Z74" si="5018">IF(LanBel1LevelCurrent&gt;=$B74,"-",IF(LanBel1LevelDesired&lt;$B74,"-",$E74))</f>
        <v>-</v>
      </c>
      <c r="AA74" s="15" t="str">
        <f t="shared" ref="AA74" si="5019">IF(LanBoo1LevelCurrent&gt;=$B74,"-",IF(LanBoo1LevelDesired&lt;$B74,"-",$C74))</f>
        <v>-</v>
      </c>
      <c r="AB74" s="1" t="str">
        <f t="shared" ref="AB74" si="5020">IF(LanBoo1LevelCurrent&gt;=$B74,"-",IF(LanBoo1LevelDesired&lt;$B74,"-",$D74))</f>
        <v>-</v>
      </c>
      <c r="AC74" s="21" t="str">
        <f t="shared" ref="AC74" si="5021">IF(LanBoo1LevelCurrent&gt;=$B74,"-",IF(LanBoo1LevelDesired&lt;$B74,"-",$E74))</f>
        <v>-</v>
      </c>
      <c r="AD74" s="15" t="str">
        <f t="shared" ref="AD74" si="5022">IF(MarGog1LevelCurrent&gt;=$B74,"-",IF(MarGog1LevelDesired&lt;$B74,"-",$C74))</f>
        <v>-</v>
      </c>
      <c r="AE74" s="1" t="str">
        <f t="shared" ref="AE74" si="5023">IF(MarGog1LevelCurrent&gt;=$B74,"-",IF(MarGog1LevelDesired&lt;$B74,"-",$D74))</f>
        <v>-</v>
      </c>
      <c r="AF74" s="21" t="str">
        <f t="shared" ref="AF74" si="5024">IF(MarGog1LevelCurrent&gt;=$B74,"-",IF(MarGog1LevelDesired&lt;$B74,"-",$E74))</f>
        <v>-</v>
      </c>
      <c r="AG74" s="15" t="str">
        <f t="shared" ref="AG74" si="5025">IF(MarGlo1LevelCurrent&gt;=$B74,"-",IF(MarGlo1LevelDesired&lt;$B74,"-",$C74))</f>
        <v>-</v>
      </c>
      <c r="AH74" s="1" t="str">
        <f t="shared" ref="AH74" si="5026">IF(MarGlo1LevelCurrent&gt;=$B74,"-",IF(MarGlo1LevelDesired&lt;$B74,"-",$D74))</f>
        <v>-</v>
      </c>
      <c r="AI74" s="21" t="str">
        <f t="shared" ref="AI74" si="5027">IF(MarGlo1LevelCurrent&gt;=$B74,"-",IF(MarGlo1LevelDesired&lt;$B74,"-",$E74))</f>
        <v>-</v>
      </c>
      <c r="AJ74" s="15" t="str">
        <f t="shared" ref="AJ74" si="5028">IF(MarBel1LevelCurrent&gt;=$B74,"-",IF(MarBel1LevelDesired&lt;$B74,"-",$C74))</f>
        <v>-</v>
      </c>
      <c r="AK74" s="1" t="str">
        <f t="shared" ref="AK74" si="5029">IF(MarBel1LevelCurrent&gt;=$B74,"-",IF(MarBel1LevelDesired&lt;$B74,"-",$D74))</f>
        <v>-</v>
      </c>
      <c r="AL74" s="21" t="str">
        <f t="shared" ref="AL74" si="5030">IF(MarBel1LevelCurrent&gt;=$B74,"-",IF(MarBel1LevelDesired&lt;$B74,"-",$E74))</f>
        <v>-</v>
      </c>
      <c r="AM74" s="15" t="str">
        <f t="shared" ref="AM74" si="5031">IF(MarBoo1LevelCurrent&gt;=$B74,"-",IF(MarBoo1LevelDesired&lt;$B74,"-",$C74))</f>
        <v>-</v>
      </c>
      <c r="AN74" s="1" t="str">
        <f t="shared" ref="AN74" si="5032">IF(MarBoo1LevelCurrent&gt;=$B74,"-",IF(MarBoo1LevelDesired&lt;$B74,"-",$D74))</f>
        <v>-</v>
      </c>
      <c r="AO74" s="21" t="str">
        <f t="shared" ref="AO74" si="5033">IF(MarBoo1LevelCurrent&gt;=$B74,"-",IF(MarBoo1LevelDesired&lt;$B74,"-",$E74))</f>
        <v>-</v>
      </c>
      <c r="AP74" s="15" t="str">
        <f t="shared" ref="AP74" si="5034">IF(InfGog2LevelCurrent&gt;=$B74,"-",IF(InfGog2LevelDesired&lt;$B74,"-",$C74))</f>
        <v>-</v>
      </c>
      <c r="AQ74" s="1" t="str">
        <f t="shared" ref="AQ74" si="5035">IF(InfGog2LevelCurrent&gt;=$B74,"-",IF(InfGog2LevelDesired&lt;$B74,"-",$D74))</f>
        <v>-</v>
      </c>
      <c r="AR74" s="21" t="str">
        <f t="shared" ref="AR74" si="5036">IF(InfGog2LevelCurrent&gt;=$B74,"-",IF(InfGog2LevelDesired&lt;$B74,"-",$E74))</f>
        <v>-</v>
      </c>
      <c r="AS74" s="15" t="str">
        <f t="shared" ref="AS74" si="5037">IF(InfGlo2LevelCurrent&gt;=$B74,"-",IF(InfGlo2LevelDesired&lt;$B74,"-",$C74))</f>
        <v>-</v>
      </c>
      <c r="AT74" s="1" t="str">
        <f t="shared" ref="AT74" si="5038">IF(InfGlo2LevelCurrent&gt;=$B74,"-",IF(InfGlo2LevelDesired&lt;$B74,"-",$D74))</f>
        <v>-</v>
      </c>
      <c r="AU74" s="21" t="str">
        <f t="shared" ref="AU74" si="5039">IF(InfGlo2LevelCurrent&gt;=$B74,"-",IF(InfGlo2LevelDesired&lt;$B74,"-",$E74))</f>
        <v>-</v>
      </c>
      <c r="AV74" s="15" t="str">
        <f t="shared" ref="AV74" si="5040">IF(InfBel2LevelCurrent&gt;=$B74,"-",IF(InfBel2LevelDesired&lt;$B74,"-",$C74))</f>
        <v>-</v>
      </c>
      <c r="AW74" s="1" t="str">
        <f t="shared" ref="AW74" si="5041">IF(InfBel2LevelCurrent&gt;=$B74,"-",IF(InfBel2LevelDesired&lt;$B74,"-",$D74))</f>
        <v>-</v>
      </c>
      <c r="AX74" s="21" t="str">
        <f t="shared" ref="AX74" si="5042">IF(InfBel2LevelCurrent&gt;=$B74,"-",IF(InfBel2LevelDesired&lt;$B74,"-",$E74))</f>
        <v>-</v>
      </c>
      <c r="AY74" s="15" t="str">
        <f t="shared" ref="AY74" si="5043">IF(InfBoo2LevelCurrent&gt;=$B74,"-",IF(InfBoo2LevelDesired&lt;$B74,"-",$C74))</f>
        <v>-</v>
      </c>
      <c r="AZ74" s="1" t="str">
        <f t="shared" ref="AZ74" si="5044">IF(InfBoo2LevelCurrent&gt;=$B74,"-",IF(InfBoo2LevelDesired&lt;$B74,"-",$D74))</f>
        <v>-</v>
      </c>
      <c r="BA74" s="21" t="str">
        <f t="shared" ref="BA74" si="5045">IF(InfBoo2LevelCurrent&gt;=$B74,"-",IF(InfBoo2LevelDesired&lt;$B74,"-",$E74))</f>
        <v>-</v>
      </c>
      <c r="BB74" s="15" t="str">
        <f t="shared" ref="BB74" si="5046">IF(LanGog2LevelCurrent&gt;=$B74,"-",IF(LanGog2LevelDesired&lt;$B74,"-",$C74))</f>
        <v>-</v>
      </c>
      <c r="BC74" s="1" t="str">
        <f t="shared" ref="BC74" si="5047">IF(LanGog2LevelCurrent&gt;=$B74,"-",IF(LanGog2LevelDesired&lt;$B74,"-",$D74))</f>
        <v>-</v>
      </c>
      <c r="BD74" s="21" t="str">
        <f t="shared" ref="BD74" si="5048">IF(LanGog2LevelCurrent&gt;=$B74,"-",IF(LanGog2LevelDesired&lt;$B74,"-",$E74))</f>
        <v>-</v>
      </c>
      <c r="BE74" s="15" t="str">
        <f t="shared" ref="BE74" si="5049">IF(LanGlo2LevelCurrent&gt;=$B74,"-",IF(LanGlo2LevelDesired&lt;$B74,"-",$C74))</f>
        <v>-</v>
      </c>
      <c r="BF74" s="1" t="str">
        <f t="shared" ref="BF74" si="5050">IF(LanGlo2LevelCurrent&gt;=$B74,"-",IF(LanGlo2LevelDesired&lt;$B74,"-",$D74))</f>
        <v>-</v>
      </c>
      <c r="BG74" s="21" t="str">
        <f t="shared" ref="BG74" si="5051">IF(LanGlo2LevelCurrent&gt;=$B74,"-",IF(LanGlo2LevelDesired&lt;$B74,"-",$E74))</f>
        <v>-</v>
      </c>
      <c r="BH74" s="15" t="str">
        <f t="shared" ref="BH74" si="5052">IF(LanBel2LevelCurrent&gt;=$B74,"-",IF(LanBel2LevelDesired&lt;$B74,"-",$C74))</f>
        <v>-</v>
      </c>
      <c r="BI74" s="1" t="str">
        <f t="shared" ref="BI74" si="5053">IF(LanBel2LevelCurrent&gt;=$B74,"-",IF(LanBel2LevelDesired&lt;$B74,"-",$D74))</f>
        <v>-</v>
      </c>
      <c r="BJ74" s="21" t="str">
        <f t="shared" ref="BJ74" si="5054">IF(LanBel2LevelCurrent&gt;=$B74,"-",IF(LanBel2LevelDesired&lt;$B74,"-",$E74))</f>
        <v>-</v>
      </c>
      <c r="BK74" s="15" t="str">
        <f t="shared" ref="BK74" si="5055">IF(LanBoo2LevelCurrent&gt;=$B74,"-",IF(LanBoo2LevelDesired&lt;$B74,"-",$C74))</f>
        <v>-</v>
      </c>
      <c r="BL74" s="1" t="str">
        <f t="shared" ref="BL74" si="5056">IF(LanBoo2LevelCurrent&gt;=$B74,"-",IF(LanBoo2LevelDesired&lt;$B74,"-",$D74))</f>
        <v>-</v>
      </c>
      <c r="BM74" s="21" t="str">
        <f t="shared" ref="BM74" si="5057">IF(LanBoo2LevelCurrent&gt;=$B74,"-",IF(LanBoo2LevelDesired&lt;$B74,"-",$E74))</f>
        <v>-</v>
      </c>
      <c r="BN74" s="15" t="str">
        <f t="shared" ref="BN74" si="5058">IF(MarGog2LevelCurrent&gt;=$B74,"-",IF(MarGog2LevelDesired&lt;$B74,"-",$C74))</f>
        <v>-</v>
      </c>
      <c r="BO74" s="1" t="str">
        <f t="shared" ref="BO74" si="5059">IF(MarGog2LevelCurrent&gt;=$B74,"-",IF(MarGog2LevelDesired&lt;$B74,"-",$D74))</f>
        <v>-</v>
      </c>
      <c r="BP74" s="21" t="str">
        <f t="shared" ref="BP74" si="5060">IF(MarGog2LevelCurrent&gt;=$B74,"-",IF(MarGog2LevelDesired&lt;$B74,"-",$E74))</f>
        <v>-</v>
      </c>
      <c r="BQ74" s="15" t="str">
        <f t="shared" ref="BQ74" si="5061">IF(MarGlo2LevelCurrent&gt;=$B74,"-",IF(MarGlo2LevelDesired&lt;$B74,"-",$C74))</f>
        <v>-</v>
      </c>
      <c r="BR74" s="1" t="str">
        <f t="shared" ref="BR74" si="5062">IF(MarGlo2LevelCurrent&gt;=$B74,"-",IF(MarGlo2LevelDesired&lt;$B74,"-",$D74))</f>
        <v>-</v>
      </c>
      <c r="BS74" s="21" t="str">
        <f t="shared" ref="BS74" si="5063">IF(MarGlo2LevelCurrent&gt;=$B74,"-",IF(MarGlo2LevelDesired&lt;$B74,"-",$E74))</f>
        <v>-</v>
      </c>
      <c r="BT74" s="15" t="str">
        <f t="shared" ref="BT74" si="5064">IF(MarBel2LevelCurrent&gt;=$B74,"-",IF(MarBel2LevelDesired&lt;$B74,"-",$C74))</f>
        <v>-</v>
      </c>
      <c r="BU74" s="1" t="str">
        <f t="shared" ref="BU74" si="5065">IF(MarBel2LevelCurrent&gt;=$B74,"-",IF(MarBel2LevelDesired&lt;$B74,"-",$D74))</f>
        <v>-</v>
      </c>
      <c r="BV74" s="21" t="str">
        <f t="shared" ref="BV74" si="5066">IF(MarBel2LevelCurrent&gt;=$B74,"-",IF(MarBel2LevelDesired&lt;$B74,"-",$E74))</f>
        <v>-</v>
      </c>
      <c r="BW74" s="15" t="str">
        <f t="shared" ref="BW74" si="5067">IF(MarBoo2LevelCurrent&gt;=$B74,"-",IF(MarBoo2LevelDesired&lt;$B74,"-",$C74))</f>
        <v>-</v>
      </c>
      <c r="BX74" s="1" t="str">
        <f t="shared" ref="BX74" si="5068">IF(MarBoo2LevelCurrent&gt;=$B74,"-",IF(MarBoo2LevelDesired&lt;$B74,"-",$D74))</f>
        <v>-</v>
      </c>
      <c r="BY74" s="21" t="str">
        <f t="shared" ref="BY74" si="5069">IF(MarBoo2LevelCurrent&gt;=$B74,"-",IF(MarBoo2LevelDesired&lt;$B74,"-",$E74))</f>
        <v>-</v>
      </c>
      <c r="BZ74" s="15" t="str">
        <f t="shared" si="4748"/>
        <v>-</v>
      </c>
      <c r="CA74" s="1" t="str" cm="1">
        <f t="array" ref="CA74">IF(InfGog3LevelCurrent&gt;=$B74,"-",IF(InfGog3LevelDesired&lt;$B74,"-",$D74))</f>
        <v>-</v>
      </c>
      <c r="CB74" s="21" t="str" cm="1">
        <f t="array" ref="CB74">IF(InfGog3LevelCurrent&gt;=$B74,"-",IF(InfGog3LevelDesired&lt;$B74,"-",$E74))</f>
        <v>-</v>
      </c>
      <c r="CC74" s="15" t="str">
        <f t="shared" si="4749"/>
        <v>-</v>
      </c>
      <c r="CD74" s="1" t="str">
        <f t="shared" si="4750"/>
        <v>-</v>
      </c>
      <c r="CE74" s="21" t="str">
        <f t="shared" si="4751"/>
        <v>-</v>
      </c>
      <c r="CF74" s="15" t="str">
        <f t="shared" si="4752"/>
        <v>-</v>
      </c>
      <c r="CG74" s="1" t="str">
        <f t="shared" si="4753"/>
        <v>-</v>
      </c>
      <c r="CH74" s="21" t="str">
        <f t="shared" si="4754"/>
        <v>-</v>
      </c>
      <c r="CI74" s="15" t="str">
        <f t="shared" si="4755"/>
        <v>-</v>
      </c>
      <c r="CJ74" s="1" t="str">
        <f t="shared" si="4756"/>
        <v>-</v>
      </c>
      <c r="CK74" s="21" t="str">
        <f t="shared" si="4757"/>
        <v>-</v>
      </c>
      <c r="CL74" s="15" t="str">
        <f t="shared" si="4758"/>
        <v>-</v>
      </c>
      <c r="CM74" s="1" t="str">
        <f t="shared" si="4759"/>
        <v>-</v>
      </c>
      <c r="CN74" s="21" t="str">
        <f t="shared" si="4760"/>
        <v>-</v>
      </c>
      <c r="CO74" s="15" t="str">
        <f t="shared" si="4761"/>
        <v>-</v>
      </c>
      <c r="CP74" s="1" t="str">
        <f t="shared" si="4762"/>
        <v>-</v>
      </c>
      <c r="CQ74" s="21" t="str">
        <f t="shared" si="4763"/>
        <v>-</v>
      </c>
      <c r="CR74" s="15" t="str">
        <f t="shared" si="4764"/>
        <v>-</v>
      </c>
      <c r="CS74" s="1" t="str">
        <f t="shared" si="4765"/>
        <v>-</v>
      </c>
      <c r="CT74" s="21" t="str">
        <f t="shared" si="4766"/>
        <v>-</v>
      </c>
      <c r="CU74" s="15" t="str">
        <f t="shared" si="4767"/>
        <v>-</v>
      </c>
      <c r="CV74" s="1" t="str">
        <f t="shared" si="4768"/>
        <v>-</v>
      </c>
      <c r="CW74" s="21" t="str">
        <f t="shared" si="4769"/>
        <v>-</v>
      </c>
      <c r="CX74" s="15" t="str">
        <f t="shared" si="4770"/>
        <v>-</v>
      </c>
      <c r="CY74" s="1" t="str">
        <f t="shared" si="4771"/>
        <v>-</v>
      </c>
      <c r="CZ74" s="21" t="str">
        <f t="shared" si="4772"/>
        <v>-</v>
      </c>
      <c r="DA74" s="15" t="str">
        <f t="shared" si="4773"/>
        <v>-</v>
      </c>
      <c r="DB74" s="1" t="str">
        <f t="shared" si="4774"/>
        <v>-</v>
      </c>
      <c r="DC74" s="21" t="str">
        <f t="shared" si="4775"/>
        <v>-</v>
      </c>
      <c r="DD74" s="15" t="str">
        <f t="shared" si="4776"/>
        <v>-</v>
      </c>
      <c r="DE74" s="1" t="str">
        <f t="shared" si="4777"/>
        <v>-</v>
      </c>
      <c r="DF74" s="21" t="str">
        <f t="shared" si="4778"/>
        <v>-</v>
      </c>
      <c r="DG74" s="15" t="str">
        <f t="shared" si="4779"/>
        <v>-</v>
      </c>
      <c r="DH74" s="1" t="str">
        <f t="shared" si="4780"/>
        <v>-</v>
      </c>
      <c r="DI74" s="21" t="str">
        <f t="shared" si="4781"/>
        <v>-</v>
      </c>
    </row>
    <row r="75" spans="2:113" x14ac:dyDescent="0.3">
      <c r="B75" s="1">
        <v>70</v>
      </c>
      <c r="C75" s="67">
        <v>990</v>
      </c>
      <c r="D75" s="88" t="s">
        <v>27</v>
      </c>
      <c r="E75" s="21" t="s">
        <v>27</v>
      </c>
      <c r="F75" s="15" t="str">
        <f t="shared" ref="F75" si="5070">IF(InfGog1LevelCurrent&gt;=$B75,"-",IF(InfGog1LevelDesired&lt;$B75,"-",$C75))</f>
        <v>-</v>
      </c>
      <c r="G75" s="1" t="str">
        <f t="shared" ref="G75" si="5071">IF(InfGog1LevelCurrent&gt;=$B75,"-",IF(InfGog1LevelDesired&lt;$B75,"-",$D75))</f>
        <v>-</v>
      </c>
      <c r="H75" s="21" t="str">
        <f t="shared" ref="H75" si="5072">IF(InfGog1LevelCurrent&gt;=$B75,"-",IF(InfGog1LevelDesired&lt;$B75,"-",$E75))</f>
        <v>-</v>
      </c>
      <c r="I75" s="15" t="str">
        <f t="shared" ref="I75" si="5073">IF(InfGlo1LevelCurrent&gt;=$B75,"-",IF(InfGlo1LevelDesired&lt;$B75,"-",$C75))</f>
        <v>-</v>
      </c>
      <c r="J75" s="1" t="str">
        <f t="shared" ref="J75" si="5074">IF(InfGlo1LevelCurrent&gt;=$B75,"-",IF(InfGlo1LevelDesired&lt;$B75,"-",$D75))</f>
        <v>-</v>
      </c>
      <c r="K75" s="21" t="str">
        <f t="shared" ref="K75" si="5075">IF(InfGlo1LevelCurrent&gt;=$B75,"-",IF(InfGlo1LevelDesired&lt;$B75,"-",$E75))</f>
        <v>-</v>
      </c>
      <c r="L75" s="15" t="str">
        <f t="shared" ref="L75" si="5076">IF(InfBel1LevelCurrent&gt;=$B75,"-",IF(InfBel1LevelDesired&lt;$B75,"-",$C75))</f>
        <v>-</v>
      </c>
      <c r="M75" s="1" t="str">
        <f t="shared" ref="M75" si="5077">IF(InfBel1LevelCurrent&gt;=$B75,"-",IF(InfBel1LevelDesired&lt;$B75,"-",$D75))</f>
        <v>-</v>
      </c>
      <c r="N75" s="21" t="str">
        <f t="shared" ref="N75" si="5078">IF(InfBel1LevelCurrent&gt;=$B75,"-",IF(InfBel1LevelDesired&lt;$B75,"-",$E75))</f>
        <v>-</v>
      </c>
      <c r="O75" s="15" t="str">
        <f t="shared" ref="O75" si="5079">IF(InfBoo1LevelCurrent&gt;=$B75,"-",IF(InfBoo1LevelDesired&lt;$B75,"-",$C75))</f>
        <v>-</v>
      </c>
      <c r="P75" s="1" t="str">
        <f t="shared" ref="P75" si="5080">IF(InfBoo1LevelCurrent&gt;=$B75,"-",IF(InfBoo1LevelDesired&lt;$B75,"-",$D75))</f>
        <v>-</v>
      </c>
      <c r="Q75" s="21" t="str">
        <f t="shared" ref="Q75" si="5081">IF(InfBoo1LevelCurrent&gt;=$B75,"-",IF(InfBoo1LevelDesired&lt;$B75,"-",$E75))</f>
        <v>-</v>
      </c>
      <c r="R75" s="15" t="str">
        <f t="shared" ref="R75" si="5082">IF(LanGog1LevelCurrent&gt;=$B75,"-",IF(LanGog1LevelDesired&lt;$B75,"-",$C75))</f>
        <v>-</v>
      </c>
      <c r="S75" s="1" t="str">
        <f t="shared" ref="S75" si="5083">IF(LanGog1LevelCurrent&gt;=$B75,"-",IF(LanGog1LevelDesired&lt;$B75,"-",$D75))</f>
        <v>-</v>
      </c>
      <c r="T75" s="21" t="str">
        <f t="shared" ref="T75" si="5084">IF(LanGog1LevelCurrent&gt;=$B75,"-",IF(LanGog1LevelDesired&lt;$B75,"-",$E75))</f>
        <v>-</v>
      </c>
      <c r="U75" s="15" t="str">
        <f t="shared" ref="U75" si="5085">IF(LanGlo1LevelCurrent&gt;=$B75,"-",IF(LanGlo1LevelDesired&lt;$B75,"-",$C75))</f>
        <v>-</v>
      </c>
      <c r="V75" s="1" t="str">
        <f t="shared" ref="V75" si="5086">IF(LanGlo1LevelCurrent&gt;=$B75,"-",IF(LanGlo1LevelDesired&lt;$B75,"-",$D75))</f>
        <v>-</v>
      </c>
      <c r="W75" s="21" t="str">
        <f t="shared" ref="W75" si="5087">IF(LanGlo1LevelCurrent&gt;=$B75,"-",IF(LanGlo1LevelDesired&lt;$B75,"-",$E75))</f>
        <v>-</v>
      </c>
      <c r="X75" s="15" t="str">
        <f t="shared" ref="X75" si="5088">IF(LanBel1LevelCurrent&gt;=$B75,"-",IF(LanBel1LevelDesired&lt;$B75,"-",$C75))</f>
        <v>-</v>
      </c>
      <c r="Y75" s="1" t="str">
        <f t="shared" ref="Y75" si="5089">IF(LanBel1LevelCurrent&gt;=$B75,"-",IF(LanBel1LevelDesired&lt;$B75,"-",$D75))</f>
        <v>-</v>
      </c>
      <c r="Z75" s="21" t="str">
        <f t="shared" ref="Z75" si="5090">IF(LanBel1LevelCurrent&gt;=$B75,"-",IF(LanBel1LevelDesired&lt;$B75,"-",$E75))</f>
        <v>-</v>
      </c>
      <c r="AA75" s="15" t="str">
        <f t="shared" ref="AA75" si="5091">IF(LanBoo1LevelCurrent&gt;=$B75,"-",IF(LanBoo1LevelDesired&lt;$B75,"-",$C75))</f>
        <v>-</v>
      </c>
      <c r="AB75" s="1" t="str">
        <f t="shared" ref="AB75" si="5092">IF(LanBoo1LevelCurrent&gt;=$B75,"-",IF(LanBoo1LevelDesired&lt;$B75,"-",$D75))</f>
        <v>-</v>
      </c>
      <c r="AC75" s="21" t="str">
        <f t="shared" ref="AC75" si="5093">IF(LanBoo1LevelCurrent&gt;=$B75,"-",IF(LanBoo1LevelDesired&lt;$B75,"-",$E75))</f>
        <v>-</v>
      </c>
      <c r="AD75" s="15" t="str">
        <f t="shared" ref="AD75" si="5094">IF(MarGog1LevelCurrent&gt;=$B75,"-",IF(MarGog1LevelDesired&lt;$B75,"-",$C75))</f>
        <v>-</v>
      </c>
      <c r="AE75" s="1" t="str">
        <f t="shared" ref="AE75" si="5095">IF(MarGog1LevelCurrent&gt;=$B75,"-",IF(MarGog1LevelDesired&lt;$B75,"-",$D75))</f>
        <v>-</v>
      </c>
      <c r="AF75" s="21" t="str">
        <f t="shared" ref="AF75" si="5096">IF(MarGog1LevelCurrent&gt;=$B75,"-",IF(MarGog1LevelDesired&lt;$B75,"-",$E75))</f>
        <v>-</v>
      </c>
      <c r="AG75" s="15" t="str">
        <f t="shared" ref="AG75" si="5097">IF(MarGlo1LevelCurrent&gt;=$B75,"-",IF(MarGlo1LevelDesired&lt;$B75,"-",$C75))</f>
        <v>-</v>
      </c>
      <c r="AH75" s="1" t="str">
        <f t="shared" ref="AH75" si="5098">IF(MarGlo1LevelCurrent&gt;=$B75,"-",IF(MarGlo1LevelDesired&lt;$B75,"-",$D75))</f>
        <v>-</v>
      </c>
      <c r="AI75" s="21" t="str">
        <f t="shared" ref="AI75" si="5099">IF(MarGlo1LevelCurrent&gt;=$B75,"-",IF(MarGlo1LevelDesired&lt;$B75,"-",$E75))</f>
        <v>-</v>
      </c>
      <c r="AJ75" s="15" t="str">
        <f t="shared" ref="AJ75" si="5100">IF(MarBel1LevelCurrent&gt;=$B75,"-",IF(MarBel1LevelDesired&lt;$B75,"-",$C75))</f>
        <v>-</v>
      </c>
      <c r="AK75" s="1" t="str">
        <f t="shared" ref="AK75" si="5101">IF(MarBel1LevelCurrent&gt;=$B75,"-",IF(MarBel1LevelDesired&lt;$B75,"-",$D75))</f>
        <v>-</v>
      </c>
      <c r="AL75" s="21" t="str">
        <f t="shared" ref="AL75" si="5102">IF(MarBel1LevelCurrent&gt;=$B75,"-",IF(MarBel1LevelDesired&lt;$B75,"-",$E75))</f>
        <v>-</v>
      </c>
      <c r="AM75" s="15" t="str">
        <f t="shared" ref="AM75" si="5103">IF(MarBoo1LevelCurrent&gt;=$B75,"-",IF(MarBoo1LevelDesired&lt;$B75,"-",$C75))</f>
        <v>-</v>
      </c>
      <c r="AN75" s="1" t="str">
        <f t="shared" ref="AN75" si="5104">IF(MarBoo1LevelCurrent&gt;=$B75,"-",IF(MarBoo1LevelDesired&lt;$B75,"-",$D75))</f>
        <v>-</v>
      </c>
      <c r="AO75" s="21" t="str">
        <f t="shared" ref="AO75" si="5105">IF(MarBoo1LevelCurrent&gt;=$B75,"-",IF(MarBoo1LevelDesired&lt;$B75,"-",$E75))</f>
        <v>-</v>
      </c>
      <c r="AP75" s="15" t="str">
        <f t="shared" ref="AP75" si="5106">IF(InfGog2LevelCurrent&gt;=$B75,"-",IF(InfGog2LevelDesired&lt;$B75,"-",$C75))</f>
        <v>-</v>
      </c>
      <c r="AQ75" s="1" t="str">
        <f t="shared" ref="AQ75" si="5107">IF(InfGog2LevelCurrent&gt;=$B75,"-",IF(InfGog2LevelDesired&lt;$B75,"-",$D75))</f>
        <v>-</v>
      </c>
      <c r="AR75" s="21" t="str">
        <f t="shared" ref="AR75" si="5108">IF(InfGog2LevelCurrent&gt;=$B75,"-",IF(InfGog2LevelDesired&lt;$B75,"-",$E75))</f>
        <v>-</v>
      </c>
      <c r="AS75" s="15" t="str">
        <f t="shared" ref="AS75" si="5109">IF(InfGlo2LevelCurrent&gt;=$B75,"-",IF(InfGlo2LevelDesired&lt;$B75,"-",$C75))</f>
        <v>-</v>
      </c>
      <c r="AT75" s="1" t="str">
        <f t="shared" ref="AT75" si="5110">IF(InfGlo2LevelCurrent&gt;=$B75,"-",IF(InfGlo2LevelDesired&lt;$B75,"-",$D75))</f>
        <v>-</v>
      </c>
      <c r="AU75" s="21" t="str">
        <f t="shared" ref="AU75" si="5111">IF(InfGlo2LevelCurrent&gt;=$B75,"-",IF(InfGlo2LevelDesired&lt;$B75,"-",$E75))</f>
        <v>-</v>
      </c>
      <c r="AV75" s="15" t="str">
        <f t="shared" ref="AV75" si="5112">IF(InfBel2LevelCurrent&gt;=$B75,"-",IF(InfBel2LevelDesired&lt;$B75,"-",$C75))</f>
        <v>-</v>
      </c>
      <c r="AW75" s="1" t="str">
        <f t="shared" ref="AW75" si="5113">IF(InfBel2LevelCurrent&gt;=$B75,"-",IF(InfBel2LevelDesired&lt;$B75,"-",$D75))</f>
        <v>-</v>
      </c>
      <c r="AX75" s="21" t="str">
        <f t="shared" ref="AX75" si="5114">IF(InfBel2LevelCurrent&gt;=$B75,"-",IF(InfBel2LevelDesired&lt;$B75,"-",$E75))</f>
        <v>-</v>
      </c>
      <c r="AY75" s="15" t="str">
        <f t="shared" ref="AY75" si="5115">IF(InfBoo2LevelCurrent&gt;=$B75,"-",IF(InfBoo2LevelDesired&lt;$B75,"-",$C75))</f>
        <v>-</v>
      </c>
      <c r="AZ75" s="1" t="str">
        <f t="shared" ref="AZ75" si="5116">IF(InfBoo2LevelCurrent&gt;=$B75,"-",IF(InfBoo2LevelDesired&lt;$B75,"-",$D75))</f>
        <v>-</v>
      </c>
      <c r="BA75" s="21" t="str">
        <f t="shared" ref="BA75" si="5117">IF(InfBoo2LevelCurrent&gt;=$B75,"-",IF(InfBoo2LevelDesired&lt;$B75,"-",$E75))</f>
        <v>-</v>
      </c>
      <c r="BB75" s="15" t="str">
        <f t="shared" ref="BB75" si="5118">IF(LanGog2LevelCurrent&gt;=$B75,"-",IF(LanGog2LevelDesired&lt;$B75,"-",$C75))</f>
        <v>-</v>
      </c>
      <c r="BC75" s="1" t="str">
        <f t="shared" ref="BC75" si="5119">IF(LanGog2LevelCurrent&gt;=$B75,"-",IF(LanGog2LevelDesired&lt;$B75,"-",$D75))</f>
        <v>-</v>
      </c>
      <c r="BD75" s="21" t="str">
        <f t="shared" ref="BD75" si="5120">IF(LanGog2LevelCurrent&gt;=$B75,"-",IF(LanGog2LevelDesired&lt;$B75,"-",$E75))</f>
        <v>-</v>
      </c>
      <c r="BE75" s="15" t="str">
        <f t="shared" ref="BE75" si="5121">IF(LanGlo2LevelCurrent&gt;=$B75,"-",IF(LanGlo2LevelDesired&lt;$B75,"-",$C75))</f>
        <v>-</v>
      </c>
      <c r="BF75" s="1" t="str">
        <f t="shared" ref="BF75" si="5122">IF(LanGlo2LevelCurrent&gt;=$B75,"-",IF(LanGlo2LevelDesired&lt;$B75,"-",$D75))</f>
        <v>-</v>
      </c>
      <c r="BG75" s="21" t="str">
        <f t="shared" ref="BG75" si="5123">IF(LanGlo2LevelCurrent&gt;=$B75,"-",IF(LanGlo2LevelDesired&lt;$B75,"-",$E75))</f>
        <v>-</v>
      </c>
      <c r="BH75" s="15" t="str">
        <f t="shared" ref="BH75" si="5124">IF(LanBel2LevelCurrent&gt;=$B75,"-",IF(LanBel2LevelDesired&lt;$B75,"-",$C75))</f>
        <v>-</v>
      </c>
      <c r="BI75" s="1" t="str">
        <f t="shared" ref="BI75" si="5125">IF(LanBel2LevelCurrent&gt;=$B75,"-",IF(LanBel2LevelDesired&lt;$B75,"-",$D75))</f>
        <v>-</v>
      </c>
      <c r="BJ75" s="21" t="str">
        <f t="shared" ref="BJ75" si="5126">IF(LanBel2LevelCurrent&gt;=$B75,"-",IF(LanBel2LevelDesired&lt;$B75,"-",$E75))</f>
        <v>-</v>
      </c>
      <c r="BK75" s="15" t="str">
        <f t="shared" ref="BK75" si="5127">IF(LanBoo2LevelCurrent&gt;=$B75,"-",IF(LanBoo2LevelDesired&lt;$B75,"-",$C75))</f>
        <v>-</v>
      </c>
      <c r="BL75" s="1" t="str">
        <f t="shared" ref="BL75" si="5128">IF(LanBoo2LevelCurrent&gt;=$B75,"-",IF(LanBoo2LevelDesired&lt;$B75,"-",$D75))</f>
        <v>-</v>
      </c>
      <c r="BM75" s="21" t="str">
        <f t="shared" ref="BM75" si="5129">IF(LanBoo2LevelCurrent&gt;=$B75,"-",IF(LanBoo2LevelDesired&lt;$B75,"-",$E75))</f>
        <v>-</v>
      </c>
      <c r="BN75" s="15" t="str">
        <f t="shared" ref="BN75" si="5130">IF(MarGog2LevelCurrent&gt;=$B75,"-",IF(MarGog2LevelDesired&lt;$B75,"-",$C75))</f>
        <v>-</v>
      </c>
      <c r="BO75" s="1" t="str">
        <f t="shared" ref="BO75" si="5131">IF(MarGog2LevelCurrent&gt;=$B75,"-",IF(MarGog2LevelDesired&lt;$B75,"-",$D75))</f>
        <v>-</v>
      </c>
      <c r="BP75" s="21" t="str">
        <f t="shared" ref="BP75" si="5132">IF(MarGog2LevelCurrent&gt;=$B75,"-",IF(MarGog2LevelDesired&lt;$B75,"-",$E75))</f>
        <v>-</v>
      </c>
      <c r="BQ75" s="15" t="str">
        <f t="shared" ref="BQ75" si="5133">IF(MarGlo2LevelCurrent&gt;=$B75,"-",IF(MarGlo2LevelDesired&lt;$B75,"-",$C75))</f>
        <v>-</v>
      </c>
      <c r="BR75" s="1" t="str">
        <f t="shared" ref="BR75" si="5134">IF(MarGlo2LevelCurrent&gt;=$B75,"-",IF(MarGlo2LevelDesired&lt;$B75,"-",$D75))</f>
        <v>-</v>
      </c>
      <c r="BS75" s="21" t="str">
        <f t="shared" ref="BS75" si="5135">IF(MarGlo2LevelCurrent&gt;=$B75,"-",IF(MarGlo2LevelDesired&lt;$B75,"-",$E75))</f>
        <v>-</v>
      </c>
      <c r="BT75" s="15" t="str">
        <f t="shared" ref="BT75" si="5136">IF(MarBel2LevelCurrent&gt;=$B75,"-",IF(MarBel2LevelDesired&lt;$B75,"-",$C75))</f>
        <v>-</v>
      </c>
      <c r="BU75" s="1" t="str">
        <f t="shared" ref="BU75" si="5137">IF(MarBel2LevelCurrent&gt;=$B75,"-",IF(MarBel2LevelDesired&lt;$B75,"-",$D75))</f>
        <v>-</v>
      </c>
      <c r="BV75" s="21" t="str">
        <f t="shared" ref="BV75" si="5138">IF(MarBel2LevelCurrent&gt;=$B75,"-",IF(MarBel2LevelDesired&lt;$B75,"-",$E75))</f>
        <v>-</v>
      </c>
      <c r="BW75" s="15" t="str">
        <f t="shared" ref="BW75" si="5139">IF(MarBoo2LevelCurrent&gt;=$B75,"-",IF(MarBoo2LevelDesired&lt;$B75,"-",$C75))</f>
        <v>-</v>
      </c>
      <c r="BX75" s="1" t="str">
        <f t="shared" ref="BX75" si="5140">IF(MarBoo2LevelCurrent&gt;=$B75,"-",IF(MarBoo2LevelDesired&lt;$B75,"-",$D75))</f>
        <v>-</v>
      </c>
      <c r="BY75" s="21" t="str">
        <f t="shared" ref="BY75" si="5141">IF(MarBoo2LevelCurrent&gt;=$B75,"-",IF(MarBoo2LevelDesired&lt;$B75,"-",$E75))</f>
        <v>-</v>
      </c>
      <c r="BZ75" s="15" t="str">
        <f t="shared" si="4748"/>
        <v>-</v>
      </c>
      <c r="CA75" s="1" t="str" cm="1">
        <f t="array" ref="CA75">IF(InfGog3LevelCurrent&gt;=$B75,"-",IF(InfGog3LevelDesired&lt;$B75,"-",$D75))</f>
        <v>-</v>
      </c>
      <c r="CB75" s="21" t="str" cm="1">
        <f t="array" ref="CB75">IF(InfGog3LevelCurrent&gt;=$B75,"-",IF(InfGog3LevelDesired&lt;$B75,"-",$E75))</f>
        <v>-</v>
      </c>
      <c r="CC75" s="15" t="str">
        <f t="shared" si="4749"/>
        <v>-</v>
      </c>
      <c r="CD75" s="1" t="str">
        <f t="shared" si="4750"/>
        <v>-</v>
      </c>
      <c r="CE75" s="21" t="str">
        <f t="shared" si="4751"/>
        <v>-</v>
      </c>
      <c r="CF75" s="15" t="str">
        <f t="shared" si="4752"/>
        <v>-</v>
      </c>
      <c r="CG75" s="1" t="str">
        <f t="shared" si="4753"/>
        <v>-</v>
      </c>
      <c r="CH75" s="21" t="str">
        <f t="shared" si="4754"/>
        <v>-</v>
      </c>
      <c r="CI75" s="15" t="str">
        <f t="shared" si="4755"/>
        <v>-</v>
      </c>
      <c r="CJ75" s="1" t="str">
        <f t="shared" si="4756"/>
        <v>-</v>
      </c>
      <c r="CK75" s="21" t="str">
        <f t="shared" si="4757"/>
        <v>-</v>
      </c>
      <c r="CL75" s="15" t="str">
        <f t="shared" si="4758"/>
        <v>-</v>
      </c>
      <c r="CM75" s="1" t="str">
        <f t="shared" si="4759"/>
        <v>-</v>
      </c>
      <c r="CN75" s="21" t="str">
        <f t="shared" si="4760"/>
        <v>-</v>
      </c>
      <c r="CO75" s="15" t="str">
        <f t="shared" si="4761"/>
        <v>-</v>
      </c>
      <c r="CP75" s="1" t="str">
        <f t="shared" si="4762"/>
        <v>-</v>
      </c>
      <c r="CQ75" s="21" t="str">
        <f t="shared" si="4763"/>
        <v>-</v>
      </c>
      <c r="CR75" s="15" t="str">
        <f t="shared" si="4764"/>
        <v>-</v>
      </c>
      <c r="CS75" s="1" t="str">
        <f t="shared" si="4765"/>
        <v>-</v>
      </c>
      <c r="CT75" s="21" t="str">
        <f t="shared" si="4766"/>
        <v>-</v>
      </c>
      <c r="CU75" s="15" t="str">
        <f t="shared" si="4767"/>
        <v>-</v>
      </c>
      <c r="CV75" s="1" t="str">
        <f t="shared" si="4768"/>
        <v>-</v>
      </c>
      <c r="CW75" s="21" t="str">
        <f t="shared" si="4769"/>
        <v>-</v>
      </c>
      <c r="CX75" s="15" t="str">
        <f t="shared" si="4770"/>
        <v>-</v>
      </c>
      <c r="CY75" s="1" t="str">
        <f t="shared" si="4771"/>
        <v>-</v>
      </c>
      <c r="CZ75" s="21" t="str">
        <f t="shared" si="4772"/>
        <v>-</v>
      </c>
      <c r="DA75" s="15" t="str">
        <f t="shared" si="4773"/>
        <v>-</v>
      </c>
      <c r="DB75" s="1" t="str">
        <f t="shared" si="4774"/>
        <v>-</v>
      </c>
      <c r="DC75" s="21" t="str">
        <f t="shared" si="4775"/>
        <v>-</v>
      </c>
      <c r="DD75" s="15" t="str">
        <f t="shared" si="4776"/>
        <v>-</v>
      </c>
      <c r="DE75" s="1" t="str">
        <f t="shared" si="4777"/>
        <v>-</v>
      </c>
      <c r="DF75" s="21" t="str">
        <f t="shared" si="4778"/>
        <v>-</v>
      </c>
      <c r="DG75" s="15" t="str">
        <f t="shared" si="4779"/>
        <v>-</v>
      </c>
      <c r="DH75" s="1" t="str">
        <f t="shared" si="4780"/>
        <v>-</v>
      </c>
      <c r="DI75" s="21" t="str">
        <f t="shared" si="4781"/>
        <v>-</v>
      </c>
    </row>
    <row r="76" spans="2:113" x14ac:dyDescent="0.3">
      <c r="B76" s="1">
        <v>71</v>
      </c>
      <c r="C76" s="67">
        <v>1030</v>
      </c>
      <c r="D76" s="88" t="s">
        <v>27</v>
      </c>
      <c r="E76" s="21" t="s">
        <v>27</v>
      </c>
      <c r="F76" s="15" t="str">
        <f t="shared" ref="F76" si="5142">IF(InfGog1LevelCurrent&gt;=$B76,"-",IF(InfGog1LevelDesired&lt;$B76,"-",$C76))</f>
        <v>-</v>
      </c>
      <c r="G76" s="1" t="str">
        <f t="shared" ref="G76" si="5143">IF(InfGog1LevelCurrent&gt;=$B76,"-",IF(InfGog1LevelDesired&lt;$B76,"-",$D76))</f>
        <v>-</v>
      </c>
      <c r="H76" s="21" t="str">
        <f t="shared" ref="H76" si="5144">IF(InfGog1LevelCurrent&gt;=$B76,"-",IF(InfGog1LevelDesired&lt;$B76,"-",$E76))</f>
        <v>-</v>
      </c>
      <c r="I76" s="15" t="str">
        <f t="shared" ref="I76" si="5145">IF(InfGlo1LevelCurrent&gt;=$B76,"-",IF(InfGlo1LevelDesired&lt;$B76,"-",$C76))</f>
        <v>-</v>
      </c>
      <c r="J76" s="1" t="str">
        <f t="shared" ref="J76" si="5146">IF(InfGlo1LevelCurrent&gt;=$B76,"-",IF(InfGlo1LevelDesired&lt;$B76,"-",$D76))</f>
        <v>-</v>
      </c>
      <c r="K76" s="21" t="str">
        <f t="shared" ref="K76" si="5147">IF(InfGlo1LevelCurrent&gt;=$B76,"-",IF(InfGlo1LevelDesired&lt;$B76,"-",$E76))</f>
        <v>-</v>
      </c>
      <c r="L76" s="15" t="str">
        <f t="shared" ref="L76" si="5148">IF(InfBel1LevelCurrent&gt;=$B76,"-",IF(InfBel1LevelDesired&lt;$B76,"-",$C76))</f>
        <v>-</v>
      </c>
      <c r="M76" s="1" t="str">
        <f t="shared" ref="M76" si="5149">IF(InfBel1LevelCurrent&gt;=$B76,"-",IF(InfBel1LevelDesired&lt;$B76,"-",$D76))</f>
        <v>-</v>
      </c>
      <c r="N76" s="21" t="str">
        <f t="shared" ref="N76" si="5150">IF(InfBel1LevelCurrent&gt;=$B76,"-",IF(InfBel1LevelDesired&lt;$B76,"-",$E76))</f>
        <v>-</v>
      </c>
      <c r="O76" s="15" t="str">
        <f t="shared" ref="O76" si="5151">IF(InfBoo1LevelCurrent&gt;=$B76,"-",IF(InfBoo1LevelDesired&lt;$B76,"-",$C76))</f>
        <v>-</v>
      </c>
      <c r="P76" s="1" t="str">
        <f t="shared" ref="P76" si="5152">IF(InfBoo1LevelCurrent&gt;=$B76,"-",IF(InfBoo1LevelDesired&lt;$B76,"-",$D76))</f>
        <v>-</v>
      </c>
      <c r="Q76" s="21" t="str">
        <f t="shared" ref="Q76" si="5153">IF(InfBoo1LevelCurrent&gt;=$B76,"-",IF(InfBoo1LevelDesired&lt;$B76,"-",$E76))</f>
        <v>-</v>
      </c>
      <c r="R76" s="15" t="str">
        <f t="shared" ref="R76" si="5154">IF(LanGog1LevelCurrent&gt;=$B76,"-",IF(LanGog1LevelDesired&lt;$B76,"-",$C76))</f>
        <v>-</v>
      </c>
      <c r="S76" s="1" t="str">
        <f t="shared" ref="S76" si="5155">IF(LanGog1LevelCurrent&gt;=$B76,"-",IF(LanGog1LevelDesired&lt;$B76,"-",$D76))</f>
        <v>-</v>
      </c>
      <c r="T76" s="21" t="str">
        <f t="shared" ref="T76" si="5156">IF(LanGog1LevelCurrent&gt;=$B76,"-",IF(LanGog1LevelDesired&lt;$B76,"-",$E76))</f>
        <v>-</v>
      </c>
      <c r="U76" s="15" t="str">
        <f t="shared" ref="U76" si="5157">IF(LanGlo1LevelCurrent&gt;=$B76,"-",IF(LanGlo1LevelDesired&lt;$B76,"-",$C76))</f>
        <v>-</v>
      </c>
      <c r="V76" s="1" t="str">
        <f t="shared" ref="V76" si="5158">IF(LanGlo1LevelCurrent&gt;=$B76,"-",IF(LanGlo1LevelDesired&lt;$B76,"-",$D76))</f>
        <v>-</v>
      </c>
      <c r="W76" s="21" t="str">
        <f t="shared" ref="W76" si="5159">IF(LanGlo1LevelCurrent&gt;=$B76,"-",IF(LanGlo1LevelDesired&lt;$B76,"-",$E76))</f>
        <v>-</v>
      </c>
      <c r="X76" s="15" t="str">
        <f t="shared" ref="X76" si="5160">IF(LanBel1LevelCurrent&gt;=$B76,"-",IF(LanBel1LevelDesired&lt;$B76,"-",$C76))</f>
        <v>-</v>
      </c>
      <c r="Y76" s="1" t="str">
        <f t="shared" ref="Y76" si="5161">IF(LanBel1LevelCurrent&gt;=$B76,"-",IF(LanBel1LevelDesired&lt;$B76,"-",$D76))</f>
        <v>-</v>
      </c>
      <c r="Z76" s="21" t="str">
        <f t="shared" ref="Z76" si="5162">IF(LanBel1LevelCurrent&gt;=$B76,"-",IF(LanBel1LevelDesired&lt;$B76,"-",$E76))</f>
        <v>-</v>
      </c>
      <c r="AA76" s="15" t="str">
        <f t="shared" ref="AA76" si="5163">IF(LanBoo1LevelCurrent&gt;=$B76,"-",IF(LanBoo1LevelDesired&lt;$B76,"-",$C76))</f>
        <v>-</v>
      </c>
      <c r="AB76" s="1" t="str">
        <f t="shared" ref="AB76" si="5164">IF(LanBoo1LevelCurrent&gt;=$B76,"-",IF(LanBoo1LevelDesired&lt;$B76,"-",$D76))</f>
        <v>-</v>
      </c>
      <c r="AC76" s="21" t="str">
        <f t="shared" ref="AC76" si="5165">IF(LanBoo1LevelCurrent&gt;=$B76,"-",IF(LanBoo1LevelDesired&lt;$B76,"-",$E76))</f>
        <v>-</v>
      </c>
      <c r="AD76" s="15" t="str">
        <f t="shared" ref="AD76" si="5166">IF(MarGog1LevelCurrent&gt;=$B76,"-",IF(MarGog1LevelDesired&lt;$B76,"-",$C76))</f>
        <v>-</v>
      </c>
      <c r="AE76" s="1" t="str">
        <f t="shared" ref="AE76" si="5167">IF(MarGog1LevelCurrent&gt;=$B76,"-",IF(MarGog1LevelDesired&lt;$B76,"-",$D76))</f>
        <v>-</v>
      </c>
      <c r="AF76" s="21" t="str">
        <f t="shared" ref="AF76" si="5168">IF(MarGog1LevelCurrent&gt;=$B76,"-",IF(MarGog1LevelDesired&lt;$B76,"-",$E76))</f>
        <v>-</v>
      </c>
      <c r="AG76" s="15" t="str">
        <f t="shared" ref="AG76" si="5169">IF(MarGlo1LevelCurrent&gt;=$B76,"-",IF(MarGlo1LevelDesired&lt;$B76,"-",$C76))</f>
        <v>-</v>
      </c>
      <c r="AH76" s="1" t="str">
        <f t="shared" ref="AH76" si="5170">IF(MarGlo1LevelCurrent&gt;=$B76,"-",IF(MarGlo1LevelDesired&lt;$B76,"-",$D76))</f>
        <v>-</v>
      </c>
      <c r="AI76" s="21" t="str">
        <f t="shared" ref="AI76" si="5171">IF(MarGlo1LevelCurrent&gt;=$B76,"-",IF(MarGlo1LevelDesired&lt;$B76,"-",$E76))</f>
        <v>-</v>
      </c>
      <c r="AJ76" s="15" t="str">
        <f t="shared" ref="AJ76" si="5172">IF(MarBel1LevelCurrent&gt;=$B76,"-",IF(MarBel1LevelDesired&lt;$B76,"-",$C76))</f>
        <v>-</v>
      </c>
      <c r="AK76" s="1" t="str">
        <f t="shared" ref="AK76" si="5173">IF(MarBel1LevelCurrent&gt;=$B76,"-",IF(MarBel1LevelDesired&lt;$B76,"-",$D76))</f>
        <v>-</v>
      </c>
      <c r="AL76" s="21" t="str">
        <f t="shared" ref="AL76" si="5174">IF(MarBel1LevelCurrent&gt;=$B76,"-",IF(MarBel1LevelDesired&lt;$B76,"-",$E76))</f>
        <v>-</v>
      </c>
      <c r="AM76" s="15" t="str">
        <f t="shared" ref="AM76" si="5175">IF(MarBoo1LevelCurrent&gt;=$B76,"-",IF(MarBoo1LevelDesired&lt;$B76,"-",$C76))</f>
        <v>-</v>
      </c>
      <c r="AN76" s="1" t="str">
        <f t="shared" ref="AN76" si="5176">IF(MarBoo1LevelCurrent&gt;=$B76,"-",IF(MarBoo1LevelDesired&lt;$B76,"-",$D76))</f>
        <v>-</v>
      </c>
      <c r="AO76" s="21" t="str">
        <f t="shared" ref="AO76" si="5177">IF(MarBoo1LevelCurrent&gt;=$B76,"-",IF(MarBoo1LevelDesired&lt;$B76,"-",$E76))</f>
        <v>-</v>
      </c>
      <c r="AP76" s="15" t="str">
        <f t="shared" ref="AP76" si="5178">IF(InfGog2LevelCurrent&gt;=$B76,"-",IF(InfGog2LevelDesired&lt;$B76,"-",$C76))</f>
        <v>-</v>
      </c>
      <c r="AQ76" s="1" t="str">
        <f t="shared" ref="AQ76" si="5179">IF(InfGog2LevelCurrent&gt;=$B76,"-",IF(InfGog2LevelDesired&lt;$B76,"-",$D76))</f>
        <v>-</v>
      </c>
      <c r="AR76" s="21" t="str">
        <f t="shared" ref="AR76" si="5180">IF(InfGog2LevelCurrent&gt;=$B76,"-",IF(InfGog2LevelDesired&lt;$B76,"-",$E76))</f>
        <v>-</v>
      </c>
      <c r="AS76" s="15" t="str">
        <f t="shared" ref="AS76" si="5181">IF(InfGlo2LevelCurrent&gt;=$B76,"-",IF(InfGlo2LevelDesired&lt;$B76,"-",$C76))</f>
        <v>-</v>
      </c>
      <c r="AT76" s="1" t="str">
        <f t="shared" ref="AT76" si="5182">IF(InfGlo2LevelCurrent&gt;=$B76,"-",IF(InfGlo2LevelDesired&lt;$B76,"-",$D76))</f>
        <v>-</v>
      </c>
      <c r="AU76" s="21" t="str">
        <f t="shared" ref="AU76" si="5183">IF(InfGlo2LevelCurrent&gt;=$B76,"-",IF(InfGlo2LevelDesired&lt;$B76,"-",$E76))</f>
        <v>-</v>
      </c>
      <c r="AV76" s="15" t="str">
        <f t="shared" ref="AV76" si="5184">IF(InfBel2LevelCurrent&gt;=$B76,"-",IF(InfBel2LevelDesired&lt;$B76,"-",$C76))</f>
        <v>-</v>
      </c>
      <c r="AW76" s="1" t="str">
        <f t="shared" ref="AW76" si="5185">IF(InfBel2LevelCurrent&gt;=$B76,"-",IF(InfBel2LevelDesired&lt;$B76,"-",$D76))</f>
        <v>-</v>
      </c>
      <c r="AX76" s="21" t="str">
        <f t="shared" ref="AX76" si="5186">IF(InfBel2LevelCurrent&gt;=$B76,"-",IF(InfBel2LevelDesired&lt;$B76,"-",$E76))</f>
        <v>-</v>
      </c>
      <c r="AY76" s="15" t="str">
        <f t="shared" ref="AY76" si="5187">IF(InfBoo2LevelCurrent&gt;=$B76,"-",IF(InfBoo2LevelDesired&lt;$B76,"-",$C76))</f>
        <v>-</v>
      </c>
      <c r="AZ76" s="1" t="str">
        <f t="shared" ref="AZ76" si="5188">IF(InfBoo2LevelCurrent&gt;=$B76,"-",IF(InfBoo2LevelDesired&lt;$B76,"-",$D76))</f>
        <v>-</v>
      </c>
      <c r="BA76" s="21" t="str">
        <f t="shared" ref="BA76" si="5189">IF(InfBoo2LevelCurrent&gt;=$B76,"-",IF(InfBoo2LevelDesired&lt;$B76,"-",$E76))</f>
        <v>-</v>
      </c>
      <c r="BB76" s="15" t="str">
        <f t="shared" ref="BB76" si="5190">IF(LanGog2LevelCurrent&gt;=$B76,"-",IF(LanGog2LevelDesired&lt;$B76,"-",$C76))</f>
        <v>-</v>
      </c>
      <c r="BC76" s="1" t="str">
        <f t="shared" ref="BC76" si="5191">IF(LanGog2LevelCurrent&gt;=$B76,"-",IF(LanGog2LevelDesired&lt;$B76,"-",$D76))</f>
        <v>-</v>
      </c>
      <c r="BD76" s="21" t="str">
        <f t="shared" ref="BD76" si="5192">IF(LanGog2LevelCurrent&gt;=$B76,"-",IF(LanGog2LevelDesired&lt;$B76,"-",$E76))</f>
        <v>-</v>
      </c>
      <c r="BE76" s="15" t="str">
        <f t="shared" ref="BE76" si="5193">IF(LanGlo2LevelCurrent&gt;=$B76,"-",IF(LanGlo2LevelDesired&lt;$B76,"-",$C76))</f>
        <v>-</v>
      </c>
      <c r="BF76" s="1" t="str">
        <f t="shared" ref="BF76" si="5194">IF(LanGlo2LevelCurrent&gt;=$B76,"-",IF(LanGlo2LevelDesired&lt;$B76,"-",$D76))</f>
        <v>-</v>
      </c>
      <c r="BG76" s="21" t="str">
        <f t="shared" ref="BG76" si="5195">IF(LanGlo2LevelCurrent&gt;=$B76,"-",IF(LanGlo2LevelDesired&lt;$B76,"-",$E76))</f>
        <v>-</v>
      </c>
      <c r="BH76" s="15" t="str">
        <f t="shared" ref="BH76" si="5196">IF(LanBel2LevelCurrent&gt;=$B76,"-",IF(LanBel2LevelDesired&lt;$B76,"-",$C76))</f>
        <v>-</v>
      </c>
      <c r="BI76" s="1" t="str">
        <f t="shared" ref="BI76" si="5197">IF(LanBel2LevelCurrent&gt;=$B76,"-",IF(LanBel2LevelDesired&lt;$B76,"-",$D76))</f>
        <v>-</v>
      </c>
      <c r="BJ76" s="21" t="str">
        <f t="shared" ref="BJ76" si="5198">IF(LanBel2LevelCurrent&gt;=$B76,"-",IF(LanBel2LevelDesired&lt;$B76,"-",$E76))</f>
        <v>-</v>
      </c>
      <c r="BK76" s="15" t="str">
        <f t="shared" ref="BK76" si="5199">IF(LanBoo2LevelCurrent&gt;=$B76,"-",IF(LanBoo2LevelDesired&lt;$B76,"-",$C76))</f>
        <v>-</v>
      </c>
      <c r="BL76" s="1" t="str">
        <f t="shared" ref="BL76" si="5200">IF(LanBoo2LevelCurrent&gt;=$B76,"-",IF(LanBoo2LevelDesired&lt;$B76,"-",$D76))</f>
        <v>-</v>
      </c>
      <c r="BM76" s="21" t="str">
        <f t="shared" ref="BM76" si="5201">IF(LanBoo2LevelCurrent&gt;=$B76,"-",IF(LanBoo2LevelDesired&lt;$B76,"-",$E76))</f>
        <v>-</v>
      </c>
      <c r="BN76" s="15" t="str">
        <f t="shared" ref="BN76" si="5202">IF(MarGog2LevelCurrent&gt;=$B76,"-",IF(MarGog2LevelDesired&lt;$B76,"-",$C76))</f>
        <v>-</v>
      </c>
      <c r="BO76" s="1" t="str">
        <f t="shared" ref="BO76" si="5203">IF(MarGog2LevelCurrent&gt;=$B76,"-",IF(MarGog2LevelDesired&lt;$B76,"-",$D76))</f>
        <v>-</v>
      </c>
      <c r="BP76" s="21" t="str">
        <f t="shared" ref="BP76" si="5204">IF(MarGog2LevelCurrent&gt;=$B76,"-",IF(MarGog2LevelDesired&lt;$B76,"-",$E76))</f>
        <v>-</v>
      </c>
      <c r="BQ76" s="15" t="str">
        <f t="shared" ref="BQ76" si="5205">IF(MarGlo2LevelCurrent&gt;=$B76,"-",IF(MarGlo2LevelDesired&lt;$B76,"-",$C76))</f>
        <v>-</v>
      </c>
      <c r="BR76" s="1" t="str">
        <f t="shared" ref="BR76" si="5206">IF(MarGlo2LevelCurrent&gt;=$B76,"-",IF(MarGlo2LevelDesired&lt;$B76,"-",$D76))</f>
        <v>-</v>
      </c>
      <c r="BS76" s="21" t="str">
        <f t="shared" ref="BS76" si="5207">IF(MarGlo2LevelCurrent&gt;=$B76,"-",IF(MarGlo2LevelDesired&lt;$B76,"-",$E76))</f>
        <v>-</v>
      </c>
      <c r="BT76" s="15" t="str">
        <f t="shared" ref="BT76" si="5208">IF(MarBel2LevelCurrent&gt;=$B76,"-",IF(MarBel2LevelDesired&lt;$B76,"-",$C76))</f>
        <v>-</v>
      </c>
      <c r="BU76" s="1" t="str">
        <f t="shared" ref="BU76" si="5209">IF(MarBel2LevelCurrent&gt;=$B76,"-",IF(MarBel2LevelDesired&lt;$B76,"-",$D76))</f>
        <v>-</v>
      </c>
      <c r="BV76" s="21" t="str">
        <f t="shared" ref="BV76" si="5210">IF(MarBel2LevelCurrent&gt;=$B76,"-",IF(MarBel2LevelDesired&lt;$B76,"-",$E76))</f>
        <v>-</v>
      </c>
      <c r="BW76" s="15" t="str">
        <f t="shared" ref="BW76" si="5211">IF(MarBoo2LevelCurrent&gt;=$B76,"-",IF(MarBoo2LevelDesired&lt;$B76,"-",$C76))</f>
        <v>-</v>
      </c>
      <c r="BX76" s="1" t="str">
        <f t="shared" ref="BX76" si="5212">IF(MarBoo2LevelCurrent&gt;=$B76,"-",IF(MarBoo2LevelDesired&lt;$B76,"-",$D76))</f>
        <v>-</v>
      </c>
      <c r="BY76" s="21" t="str">
        <f t="shared" ref="BY76" si="5213">IF(MarBoo2LevelCurrent&gt;=$B76,"-",IF(MarBoo2LevelDesired&lt;$B76,"-",$E76))</f>
        <v>-</v>
      </c>
      <c r="BZ76" s="15" t="str">
        <f t="shared" si="4748"/>
        <v>-</v>
      </c>
      <c r="CA76" s="1" t="str" cm="1">
        <f t="array" ref="CA76">IF(InfGog3LevelCurrent&gt;=$B76,"-",IF(InfGog3LevelDesired&lt;$B76,"-",$D76))</f>
        <v>-</v>
      </c>
      <c r="CB76" s="21" t="str" cm="1">
        <f t="array" ref="CB76">IF(InfGog3LevelCurrent&gt;=$B76,"-",IF(InfGog3LevelDesired&lt;$B76,"-",$E76))</f>
        <v>-</v>
      </c>
      <c r="CC76" s="15" t="str">
        <f t="shared" si="4749"/>
        <v>-</v>
      </c>
      <c r="CD76" s="1" t="str">
        <f t="shared" si="4750"/>
        <v>-</v>
      </c>
      <c r="CE76" s="21" t="str">
        <f t="shared" si="4751"/>
        <v>-</v>
      </c>
      <c r="CF76" s="15" t="str">
        <f t="shared" si="4752"/>
        <v>-</v>
      </c>
      <c r="CG76" s="1" t="str">
        <f t="shared" si="4753"/>
        <v>-</v>
      </c>
      <c r="CH76" s="21" t="str">
        <f t="shared" si="4754"/>
        <v>-</v>
      </c>
      <c r="CI76" s="15" t="str">
        <f t="shared" si="4755"/>
        <v>-</v>
      </c>
      <c r="CJ76" s="1" t="str">
        <f t="shared" si="4756"/>
        <v>-</v>
      </c>
      <c r="CK76" s="21" t="str">
        <f t="shared" si="4757"/>
        <v>-</v>
      </c>
      <c r="CL76" s="15" t="str">
        <f t="shared" si="4758"/>
        <v>-</v>
      </c>
      <c r="CM76" s="1" t="str">
        <f t="shared" si="4759"/>
        <v>-</v>
      </c>
      <c r="CN76" s="21" t="str">
        <f t="shared" si="4760"/>
        <v>-</v>
      </c>
      <c r="CO76" s="15" t="str">
        <f t="shared" si="4761"/>
        <v>-</v>
      </c>
      <c r="CP76" s="1" t="str">
        <f t="shared" si="4762"/>
        <v>-</v>
      </c>
      <c r="CQ76" s="21" t="str">
        <f t="shared" si="4763"/>
        <v>-</v>
      </c>
      <c r="CR76" s="15" t="str">
        <f t="shared" si="4764"/>
        <v>-</v>
      </c>
      <c r="CS76" s="1" t="str">
        <f t="shared" si="4765"/>
        <v>-</v>
      </c>
      <c r="CT76" s="21" t="str">
        <f t="shared" si="4766"/>
        <v>-</v>
      </c>
      <c r="CU76" s="15" t="str">
        <f t="shared" si="4767"/>
        <v>-</v>
      </c>
      <c r="CV76" s="1" t="str">
        <f t="shared" si="4768"/>
        <v>-</v>
      </c>
      <c r="CW76" s="21" t="str">
        <f t="shared" si="4769"/>
        <v>-</v>
      </c>
      <c r="CX76" s="15" t="str">
        <f t="shared" si="4770"/>
        <v>-</v>
      </c>
      <c r="CY76" s="1" t="str">
        <f t="shared" si="4771"/>
        <v>-</v>
      </c>
      <c r="CZ76" s="21" t="str">
        <f t="shared" si="4772"/>
        <v>-</v>
      </c>
      <c r="DA76" s="15" t="str">
        <f t="shared" si="4773"/>
        <v>-</v>
      </c>
      <c r="DB76" s="1" t="str">
        <f t="shared" si="4774"/>
        <v>-</v>
      </c>
      <c r="DC76" s="21" t="str">
        <f t="shared" si="4775"/>
        <v>-</v>
      </c>
      <c r="DD76" s="15" t="str">
        <f t="shared" si="4776"/>
        <v>-</v>
      </c>
      <c r="DE76" s="1" t="str">
        <f t="shared" si="4777"/>
        <v>-</v>
      </c>
      <c r="DF76" s="21" t="str">
        <f t="shared" si="4778"/>
        <v>-</v>
      </c>
      <c r="DG76" s="15" t="str">
        <f t="shared" si="4779"/>
        <v>-</v>
      </c>
      <c r="DH76" s="1" t="str">
        <f t="shared" si="4780"/>
        <v>-</v>
      </c>
      <c r="DI76" s="21" t="str">
        <f t="shared" si="4781"/>
        <v>-</v>
      </c>
    </row>
    <row r="77" spans="2:113" x14ac:dyDescent="0.3">
      <c r="B77" s="1">
        <v>72</v>
      </c>
      <c r="C77" s="67">
        <v>1070</v>
      </c>
      <c r="D77" s="88" t="s">
        <v>27</v>
      </c>
      <c r="E77" s="21" t="s">
        <v>27</v>
      </c>
      <c r="F77" s="15" t="str">
        <f t="shared" ref="F77" si="5214">IF(InfGog1LevelCurrent&gt;=$B77,"-",IF(InfGog1LevelDesired&lt;$B77,"-",$C77))</f>
        <v>-</v>
      </c>
      <c r="G77" s="1" t="str">
        <f t="shared" ref="G77" si="5215">IF(InfGog1LevelCurrent&gt;=$B77,"-",IF(InfGog1LevelDesired&lt;$B77,"-",$D77))</f>
        <v>-</v>
      </c>
      <c r="H77" s="21" t="str">
        <f t="shared" ref="H77" si="5216">IF(InfGog1LevelCurrent&gt;=$B77,"-",IF(InfGog1LevelDesired&lt;$B77,"-",$E77))</f>
        <v>-</v>
      </c>
      <c r="I77" s="15" t="str">
        <f t="shared" ref="I77" si="5217">IF(InfGlo1LevelCurrent&gt;=$B77,"-",IF(InfGlo1LevelDesired&lt;$B77,"-",$C77))</f>
        <v>-</v>
      </c>
      <c r="J77" s="1" t="str">
        <f t="shared" ref="J77" si="5218">IF(InfGlo1LevelCurrent&gt;=$B77,"-",IF(InfGlo1LevelDesired&lt;$B77,"-",$D77))</f>
        <v>-</v>
      </c>
      <c r="K77" s="21" t="str">
        <f t="shared" ref="K77" si="5219">IF(InfGlo1LevelCurrent&gt;=$B77,"-",IF(InfGlo1LevelDesired&lt;$B77,"-",$E77))</f>
        <v>-</v>
      </c>
      <c r="L77" s="15" t="str">
        <f t="shared" ref="L77" si="5220">IF(InfBel1LevelCurrent&gt;=$B77,"-",IF(InfBel1LevelDesired&lt;$B77,"-",$C77))</f>
        <v>-</v>
      </c>
      <c r="M77" s="1" t="str">
        <f t="shared" ref="M77" si="5221">IF(InfBel1LevelCurrent&gt;=$B77,"-",IF(InfBel1LevelDesired&lt;$B77,"-",$D77))</f>
        <v>-</v>
      </c>
      <c r="N77" s="21" t="str">
        <f t="shared" ref="N77" si="5222">IF(InfBel1LevelCurrent&gt;=$B77,"-",IF(InfBel1LevelDesired&lt;$B77,"-",$E77))</f>
        <v>-</v>
      </c>
      <c r="O77" s="15" t="str">
        <f t="shared" ref="O77" si="5223">IF(InfBoo1LevelCurrent&gt;=$B77,"-",IF(InfBoo1LevelDesired&lt;$B77,"-",$C77))</f>
        <v>-</v>
      </c>
      <c r="P77" s="1" t="str">
        <f t="shared" ref="P77" si="5224">IF(InfBoo1LevelCurrent&gt;=$B77,"-",IF(InfBoo1LevelDesired&lt;$B77,"-",$D77))</f>
        <v>-</v>
      </c>
      <c r="Q77" s="21" t="str">
        <f t="shared" ref="Q77" si="5225">IF(InfBoo1LevelCurrent&gt;=$B77,"-",IF(InfBoo1LevelDesired&lt;$B77,"-",$E77))</f>
        <v>-</v>
      </c>
      <c r="R77" s="15" t="str">
        <f t="shared" ref="R77" si="5226">IF(LanGog1LevelCurrent&gt;=$B77,"-",IF(LanGog1LevelDesired&lt;$B77,"-",$C77))</f>
        <v>-</v>
      </c>
      <c r="S77" s="1" t="str">
        <f t="shared" ref="S77" si="5227">IF(LanGog1LevelCurrent&gt;=$B77,"-",IF(LanGog1LevelDesired&lt;$B77,"-",$D77))</f>
        <v>-</v>
      </c>
      <c r="T77" s="21" t="str">
        <f t="shared" ref="T77" si="5228">IF(LanGog1LevelCurrent&gt;=$B77,"-",IF(LanGog1LevelDesired&lt;$B77,"-",$E77))</f>
        <v>-</v>
      </c>
      <c r="U77" s="15" t="str">
        <f t="shared" ref="U77" si="5229">IF(LanGlo1LevelCurrent&gt;=$B77,"-",IF(LanGlo1LevelDesired&lt;$B77,"-",$C77))</f>
        <v>-</v>
      </c>
      <c r="V77" s="1" t="str">
        <f t="shared" ref="V77" si="5230">IF(LanGlo1LevelCurrent&gt;=$B77,"-",IF(LanGlo1LevelDesired&lt;$B77,"-",$D77))</f>
        <v>-</v>
      </c>
      <c r="W77" s="21" t="str">
        <f t="shared" ref="W77" si="5231">IF(LanGlo1LevelCurrent&gt;=$B77,"-",IF(LanGlo1LevelDesired&lt;$B77,"-",$E77))</f>
        <v>-</v>
      </c>
      <c r="X77" s="15" t="str">
        <f t="shared" ref="X77" si="5232">IF(LanBel1LevelCurrent&gt;=$B77,"-",IF(LanBel1LevelDesired&lt;$B77,"-",$C77))</f>
        <v>-</v>
      </c>
      <c r="Y77" s="1" t="str">
        <f t="shared" ref="Y77" si="5233">IF(LanBel1LevelCurrent&gt;=$B77,"-",IF(LanBel1LevelDesired&lt;$B77,"-",$D77))</f>
        <v>-</v>
      </c>
      <c r="Z77" s="21" t="str">
        <f t="shared" ref="Z77" si="5234">IF(LanBel1LevelCurrent&gt;=$B77,"-",IF(LanBel1LevelDesired&lt;$B77,"-",$E77))</f>
        <v>-</v>
      </c>
      <c r="AA77" s="15" t="str">
        <f t="shared" ref="AA77" si="5235">IF(LanBoo1LevelCurrent&gt;=$B77,"-",IF(LanBoo1LevelDesired&lt;$B77,"-",$C77))</f>
        <v>-</v>
      </c>
      <c r="AB77" s="1" t="str">
        <f t="shared" ref="AB77" si="5236">IF(LanBoo1LevelCurrent&gt;=$B77,"-",IF(LanBoo1LevelDesired&lt;$B77,"-",$D77))</f>
        <v>-</v>
      </c>
      <c r="AC77" s="21" t="str">
        <f t="shared" ref="AC77" si="5237">IF(LanBoo1LevelCurrent&gt;=$B77,"-",IF(LanBoo1LevelDesired&lt;$B77,"-",$E77))</f>
        <v>-</v>
      </c>
      <c r="AD77" s="15" t="str">
        <f t="shared" ref="AD77" si="5238">IF(MarGog1LevelCurrent&gt;=$B77,"-",IF(MarGog1LevelDesired&lt;$B77,"-",$C77))</f>
        <v>-</v>
      </c>
      <c r="AE77" s="1" t="str">
        <f t="shared" ref="AE77" si="5239">IF(MarGog1LevelCurrent&gt;=$B77,"-",IF(MarGog1LevelDesired&lt;$B77,"-",$D77))</f>
        <v>-</v>
      </c>
      <c r="AF77" s="21" t="str">
        <f t="shared" ref="AF77" si="5240">IF(MarGog1LevelCurrent&gt;=$B77,"-",IF(MarGog1LevelDesired&lt;$B77,"-",$E77))</f>
        <v>-</v>
      </c>
      <c r="AG77" s="15" t="str">
        <f t="shared" ref="AG77" si="5241">IF(MarGlo1LevelCurrent&gt;=$B77,"-",IF(MarGlo1LevelDesired&lt;$B77,"-",$C77))</f>
        <v>-</v>
      </c>
      <c r="AH77" s="1" t="str">
        <f t="shared" ref="AH77" si="5242">IF(MarGlo1LevelCurrent&gt;=$B77,"-",IF(MarGlo1LevelDesired&lt;$B77,"-",$D77))</f>
        <v>-</v>
      </c>
      <c r="AI77" s="21" t="str">
        <f t="shared" ref="AI77" si="5243">IF(MarGlo1LevelCurrent&gt;=$B77,"-",IF(MarGlo1LevelDesired&lt;$B77,"-",$E77))</f>
        <v>-</v>
      </c>
      <c r="AJ77" s="15" t="str">
        <f t="shared" ref="AJ77" si="5244">IF(MarBel1LevelCurrent&gt;=$B77,"-",IF(MarBel1LevelDesired&lt;$B77,"-",$C77))</f>
        <v>-</v>
      </c>
      <c r="AK77" s="1" t="str">
        <f t="shared" ref="AK77" si="5245">IF(MarBel1LevelCurrent&gt;=$B77,"-",IF(MarBel1LevelDesired&lt;$B77,"-",$D77))</f>
        <v>-</v>
      </c>
      <c r="AL77" s="21" t="str">
        <f t="shared" ref="AL77" si="5246">IF(MarBel1LevelCurrent&gt;=$B77,"-",IF(MarBel1LevelDesired&lt;$B77,"-",$E77))</f>
        <v>-</v>
      </c>
      <c r="AM77" s="15" t="str">
        <f t="shared" ref="AM77" si="5247">IF(MarBoo1LevelCurrent&gt;=$B77,"-",IF(MarBoo1LevelDesired&lt;$B77,"-",$C77))</f>
        <v>-</v>
      </c>
      <c r="AN77" s="1" t="str">
        <f t="shared" ref="AN77" si="5248">IF(MarBoo1LevelCurrent&gt;=$B77,"-",IF(MarBoo1LevelDesired&lt;$B77,"-",$D77))</f>
        <v>-</v>
      </c>
      <c r="AO77" s="21" t="str">
        <f t="shared" ref="AO77" si="5249">IF(MarBoo1LevelCurrent&gt;=$B77,"-",IF(MarBoo1LevelDesired&lt;$B77,"-",$E77))</f>
        <v>-</v>
      </c>
      <c r="AP77" s="15" t="str">
        <f t="shared" ref="AP77" si="5250">IF(InfGog2LevelCurrent&gt;=$B77,"-",IF(InfGog2LevelDesired&lt;$B77,"-",$C77))</f>
        <v>-</v>
      </c>
      <c r="AQ77" s="1" t="str">
        <f t="shared" ref="AQ77" si="5251">IF(InfGog2LevelCurrent&gt;=$B77,"-",IF(InfGog2LevelDesired&lt;$B77,"-",$D77))</f>
        <v>-</v>
      </c>
      <c r="AR77" s="21" t="str">
        <f t="shared" ref="AR77" si="5252">IF(InfGog2LevelCurrent&gt;=$B77,"-",IF(InfGog2LevelDesired&lt;$B77,"-",$E77))</f>
        <v>-</v>
      </c>
      <c r="AS77" s="15" t="str">
        <f t="shared" ref="AS77" si="5253">IF(InfGlo2LevelCurrent&gt;=$B77,"-",IF(InfGlo2LevelDesired&lt;$B77,"-",$C77))</f>
        <v>-</v>
      </c>
      <c r="AT77" s="1" t="str">
        <f t="shared" ref="AT77" si="5254">IF(InfGlo2LevelCurrent&gt;=$B77,"-",IF(InfGlo2LevelDesired&lt;$B77,"-",$D77))</f>
        <v>-</v>
      </c>
      <c r="AU77" s="21" t="str">
        <f t="shared" ref="AU77" si="5255">IF(InfGlo2LevelCurrent&gt;=$B77,"-",IF(InfGlo2LevelDesired&lt;$B77,"-",$E77))</f>
        <v>-</v>
      </c>
      <c r="AV77" s="15" t="str">
        <f t="shared" ref="AV77" si="5256">IF(InfBel2LevelCurrent&gt;=$B77,"-",IF(InfBel2LevelDesired&lt;$B77,"-",$C77))</f>
        <v>-</v>
      </c>
      <c r="AW77" s="1" t="str">
        <f t="shared" ref="AW77" si="5257">IF(InfBel2LevelCurrent&gt;=$B77,"-",IF(InfBel2LevelDesired&lt;$B77,"-",$D77))</f>
        <v>-</v>
      </c>
      <c r="AX77" s="21" t="str">
        <f t="shared" ref="AX77" si="5258">IF(InfBel2LevelCurrent&gt;=$B77,"-",IF(InfBel2LevelDesired&lt;$B77,"-",$E77))</f>
        <v>-</v>
      </c>
      <c r="AY77" s="15" t="str">
        <f t="shared" ref="AY77" si="5259">IF(InfBoo2LevelCurrent&gt;=$B77,"-",IF(InfBoo2LevelDesired&lt;$B77,"-",$C77))</f>
        <v>-</v>
      </c>
      <c r="AZ77" s="1" t="str">
        <f t="shared" ref="AZ77" si="5260">IF(InfBoo2LevelCurrent&gt;=$B77,"-",IF(InfBoo2LevelDesired&lt;$B77,"-",$D77))</f>
        <v>-</v>
      </c>
      <c r="BA77" s="21" t="str">
        <f t="shared" ref="BA77" si="5261">IF(InfBoo2LevelCurrent&gt;=$B77,"-",IF(InfBoo2LevelDesired&lt;$B77,"-",$E77))</f>
        <v>-</v>
      </c>
      <c r="BB77" s="15" t="str">
        <f t="shared" ref="BB77" si="5262">IF(LanGog2LevelCurrent&gt;=$B77,"-",IF(LanGog2LevelDesired&lt;$B77,"-",$C77))</f>
        <v>-</v>
      </c>
      <c r="BC77" s="1" t="str">
        <f t="shared" ref="BC77" si="5263">IF(LanGog2LevelCurrent&gt;=$B77,"-",IF(LanGog2LevelDesired&lt;$B77,"-",$D77))</f>
        <v>-</v>
      </c>
      <c r="BD77" s="21" t="str">
        <f t="shared" ref="BD77" si="5264">IF(LanGog2LevelCurrent&gt;=$B77,"-",IF(LanGog2LevelDesired&lt;$B77,"-",$E77))</f>
        <v>-</v>
      </c>
      <c r="BE77" s="15" t="str">
        <f t="shared" ref="BE77" si="5265">IF(LanGlo2LevelCurrent&gt;=$B77,"-",IF(LanGlo2LevelDesired&lt;$B77,"-",$C77))</f>
        <v>-</v>
      </c>
      <c r="BF77" s="1" t="str">
        <f t="shared" ref="BF77" si="5266">IF(LanGlo2LevelCurrent&gt;=$B77,"-",IF(LanGlo2LevelDesired&lt;$B77,"-",$D77))</f>
        <v>-</v>
      </c>
      <c r="BG77" s="21" t="str">
        <f t="shared" ref="BG77" si="5267">IF(LanGlo2LevelCurrent&gt;=$B77,"-",IF(LanGlo2LevelDesired&lt;$B77,"-",$E77))</f>
        <v>-</v>
      </c>
      <c r="BH77" s="15" t="str">
        <f t="shared" ref="BH77" si="5268">IF(LanBel2LevelCurrent&gt;=$B77,"-",IF(LanBel2LevelDesired&lt;$B77,"-",$C77))</f>
        <v>-</v>
      </c>
      <c r="BI77" s="1" t="str">
        <f t="shared" ref="BI77" si="5269">IF(LanBel2LevelCurrent&gt;=$B77,"-",IF(LanBel2LevelDesired&lt;$B77,"-",$D77))</f>
        <v>-</v>
      </c>
      <c r="BJ77" s="21" t="str">
        <f t="shared" ref="BJ77" si="5270">IF(LanBel2LevelCurrent&gt;=$B77,"-",IF(LanBel2LevelDesired&lt;$B77,"-",$E77))</f>
        <v>-</v>
      </c>
      <c r="BK77" s="15" t="str">
        <f t="shared" ref="BK77" si="5271">IF(LanBoo2LevelCurrent&gt;=$B77,"-",IF(LanBoo2LevelDesired&lt;$B77,"-",$C77))</f>
        <v>-</v>
      </c>
      <c r="BL77" s="1" t="str">
        <f t="shared" ref="BL77" si="5272">IF(LanBoo2LevelCurrent&gt;=$B77,"-",IF(LanBoo2LevelDesired&lt;$B77,"-",$D77))</f>
        <v>-</v>
      </c>
      <c r="BM77" s="21" t="str">
        <f t="shared" ref="BM77" si="5273">IF(LanBoo2LevelCurrent&gt;=$B77,"-",IF(LanBoo2LevelDesired&lt;$B77,"-",$E77))</f>
        <v>-</v>
      </c>
      <c r="BN77" s="15" t="str">
        <f t="shared" ref="BN77" si="5274">IF(MarGog2LevelCurrent&gt;=$B77,"-",IF(MarGog2LevelDesired&lt;$B77,"-",$C77))</f>
        <v>-</v>
      </c>
      <c r="BO77" s="1" t="str">
        <f t="shared" ref="BO77" si="5275">IF(MarGog2LevelCurrent&gt;=$B77,"-",IF(MarGog2LevelDesired&lt;$B77,"-",$D77))</f>
        <v>-</v>
      </c>
      <c r="BP77" s="21" t="str">
        <f t="shared" ref="BP77" si="5276">IF(MarGog2LevelCurrent&gt;=$B77,"-",IF(MarGog2LevelDesired&lt;$B77,"-",$E77))</f>
        <v>-</v>
      </c>
      <c r="BQ77" s="15" t="str">
        <f t="shared" ref="BQ77" si="5277">IF(MarGlo2LevelCurrent&gt;=$B77,"-",IF(MarGlo2LevelDesired&lt;$B77,"-",$C77))</f>
        <v>-</v>
      </c>
      <c r="BR77" s="1" t="str">
        <f t="shared" ref="BR77" si="5278">IF(MarGlo2LevelCurrent&gt;=$B77,"-",IF(MarGlo2LevelDesired&lt;$B77,"-",$D77))</f>
        <v>-</v>
      </c>
      <c r="BS77" s="21" t="str">
        <f t="shared" ref="BS77" si="5279">IF(MarGlo2LevelCurrent&gt;=$B77,"-",IF(MarGlo2LevelDesired&lt;$B77,"-",$E77))</f>
        <v>-</v>
      </c>
      <c r="BT77" s="15" t="str">
        <f t="shared" ref="BT77" si="5280">IF(MarBel2LevelCurrent&gt;=$B77,"-",IF(MarBel2LevelDesired&lt;$B77,"-",$C77))</f>
        <v>-</v>
      </c>
      <c r="BU77" s="1" t="str">
        <f t="shared" ref="BU77" si="5281">IF(MarBel2LevelCurrent&gt;=$B77,"-",IF(MarBel2LevelDesired&lt;$B77,"-",$D77))</f>
        <v>-</v>
      </c>
      <c r="BV77" s="21" t="str">
        <f t="shared" ref="BV77" si="5282">IF(MarBel2LevelCurrent&gt;=$B77,"-",IF(MarBel2LevelDesired&lt;$B77,"-",$E77))</f>
        <v>-</v>
      </c>
      <c r="BW77" s="15" t="str">
        <f t="shared" ref="BW77" si="5283">IF(MarBoo2LevelCurrent&gt;=$B77,"-",IF(MarBoo2LevelDesired&lt;$B77,"-",$C77))</f>
        <v>-</v>
      </c>
      <c r="BX77" s="1" t="str">
        <f t="shared" ref="BX77" si="5284">IF(MarBoo2LevelCurrent&gt;=$B77,"-",IF(MarBoo2LevelDesired&lt;$B77,"-",$D77))</f>
        <v>-</v>
      </c>
      <c r="BY77" s="21" t="str">
        <f t="shared" ref="BY77" si="5285">IF(MarBoo2LevelCurrent&gt;=$B77,"-",IF(MarBoo2LevelDesired&lt;$B77,"-",$E77))</f>
        <v>-</v>
      </c>
      <c r="BZ77" s="15" t="str">
        <f t="shared" si="4748"/>
        <v>-</v>
      </c>
      <c r="CA77" s="1" t="str" cm="1">
        <f t="array" ref="CA77">IF(InfGog3LevelCurrent&gt;=$B77,"-",IF(InfGog3LevelDesired&lt;$B77,"-",$D77))</f>
        <v>-</v>
      </c>
      <c r="CB77" s="21" t="str" cm="1">
        <f t="array" ref="CB77">IF(InfGog3LevelCurrent&gt;=$B77,"-",IF(InfGog3LevelDesired&lt;$B77,"-",$E77))</f>
        <v>-</v>
      </c>
      <c r="CC77" s="15" t="str">
        <f t="shared" si="4749"/>
        <v>-</v>
      </c>
      <c r="CD77" s="1" t="str">
        <f t="shared" si="4750"/>
        <v>-</v>
      </c>
      <c r="CE77" s="21" t="str">
        <f t="shared" si="4751"/>
        <v>-</v>
      </c>
      <c r="CF77" s="15" t="str">
        <f t="shared" si="4752"/>
        <v>-</v>
      </c>
      <c r="CG77" s="1" t="str">
        <f t="shared" si="4753"/>
        <v>-</v>
      </c>
      <c r="CH77" s="21" t="str">
        <f t="shared" si="4754"/>
        <v>-</v>
      </c>
      <c r="CI77" s="15" t="str">
        <f t="shared" si="4755"/>
        <v>-</v>
      </c>
      <c r="CJ77" s="1" t="str">
        <f t="shared" si="4756"/>
        <v>-</v>
      </c>
      <c r="CK77" s="21" t="str">
        <f t="shared" si="4757"/>
        <v>-</v>
      </c>
      <c r="CL77" s="15" t="str">
        <f t="shared" si="4758"/>
        <v>-</v>
      </c>
      <c r="CM77" s="1" t="str">
        <f t="shared" si="4759"/>
        <v>-</v>
      </c>
      <c r="CN77" s="21" t="str">
        <f t="shared" si="4760"/>
        <v>-</v>
      </c>
      <c r="CO77" s="15" t="str">
        <f t="shared" si="4761"/>
        <v>-</v>
      </c>
      <c r="CP77" s="1" t="str">
        <f t="shared" si="4762"/>
        <v>-</v>
      </c>
      <c r="CQ77" s="21" t="str">
        <f t="shared" si="4763"/>
        <v>-</v>
      </c>
      <c r="CR77" s="15" t="str">
        <f t="shared" si="4764"/>
        <v>-</v>
      </c>
      <c r="CS77" s="1" t="str">
        <f t="shared" si="4765"/>
        <v>-</v>
      </c>
      <c r="CT77" s="21" t="str">
        <f t="shared" si="4766"/>
        <v>-</v>
      </c>
      <c r="CU77" s="15" t="str">
        <f t="shared" si="4767"/>
        <v>-</v>
      </c>
      <c r="CV77" s="1" t="str">
        <f t="shared" si="4768"/>
        <v>-</v>
      </c>
      <c r="CW77" s="21" t="str">
        <f t="shared" si="4769"/>
        <v>-</v>
      </c>
      <c r="CX77" s="15" t="str">
        <f t="shared" si="4770"/>
        <v>-</v>
      </c>
      <c r="CY77" s="1" t="str">
        <f t="shared" si="4771"/>
        <v>-</v>
      </c>
      <c r="CZ77" s="21" t="str">
        <f t="shared" si="4772"/>
        <v>-</v>
      </c>
      <c r="DA77" s="15" t="str">
        <f t="shared" si="4773"/>
        <v>-</v>
      </c>
      <c r="DB77" s="1" t="str">
        <f t="shared" si="4774"/>
        <v>-</v>
      </c>
      <c r="DC77" s="21" t="str">
        <f t="shared" si="4775"/>
        <v>-</v>
      </c>
      <c r="DD77" s="15" t="str">
        <f t="shared" si="4776"/>
        <v>-</v>
      </c>
      <c r="DE77" s="1" t="str">
        <f t="shared" si="4777"/>
        <v>-</v>
      </c>
      <c r="DF77" s="21" t="str">
        <f t="shared" si="4778"/>
        <v>-</v>
      </c>
      <c r="DG77" s="15" t="str">
        <f t="shared" si="4779"/>
        <v>-</v>
      </c>
      <c r="DH77" s="1" t="str">
        <f t="shared" si="4780"/>
        <v>-</v>
      </c>
      <c r="DI77" s="21" t="str">
        <f t="shared" si="4781"/>
        <v>-</v>
      </c>
    </row>
    <row r="78" spans="2:113" x14ac:dyDescent="0.3">
      <c r="B78" s="1">
        <v>73</v>
      </c>
      <c r="C78" s="67">
        <v>1110</v>
      </c>
      <c r="D78" s="88" t="s">
        <v>27</v>
      </c>
      <c r="E78" s="21" t="s">
        <v>27</v>
      </c>
      <c r="F78" s="15" t="str">
        <f t="shared" ref="F78" si="5286">IF(InfGog1LevelCurrent&gt;=$B78,"-",IF(InfGog1LevelDesired&lt;$B78,"-",$C78))</f>
        <v>-</v>
      </c>
      <c r="G78" s="1" t="str">
        <f t="shared" ref="G78" si="5287">IF(InfGog1LevelCurrent&gt;=$B78,"-",IF(InfGog1LevelDesired&lt;$B78,"-",$D78))</f>
        <v>-</v>
      </c>
      <c r="H78" s="21" t="str">
        <f t="shared" ref="H78" si="5288">IF(InfGog1LevelCurrent&gt;=$B78,"-",IF(InfGog1LevelDesired&lt;$B78,"-",$E78))</f>
        <v>-</v>
      </c>
      <c r="I78" s="15" t="str">
        <f t="shared" ref="I78" si="5289">IF(InfGlo1LevelCurrent&gt;=$B78,"-",IF(InfGlo1LevelDesired&lt;$B78,"-",$C78))</f>
        <v>-</v>
      </c>
      <c r="J78" s="1" t="str">
        <f t="shared" ref="J78" si="5290">IF(InfGlo1LevelCurrent&gt;=$B78,"-",IF(InfGlo1LevelDesired&lt;$B78,"-",$D78))</f>
        <v>-</v>
      </c>
      <c r="K78" s="21" t="str">
        <f t="shared" ref="K78" si="5291">IF(InfGlo1LevelCurrent&gt;=$B78,"-",IF(InfGlo1LevelDesired&lt;$B78,"-",$E78))</f>
        <v>-</v>
      </c>
      <c r="L78" s="15" t="str">
        <f t="shared" ref="L78" si="5292">IF(InfBel1LevelCurrent&gt;=$B78,"-",IF(InfBel1LevelDesired&lt;$B78,"-",$C78))</f>
        <v>-</v>
      </c>
      <c r="M78" s="1" t="str">
        <f t="shared" ref="M78" si="5293">IF(InfBel1LevelCurrent&gt;=$B78,"-",IF(InfBel1LevelDesired&lt;$B78,"-",$D78))</f>
        <v>-</v>
      </c>
      <c r="N78" s="21" t="str">
        <f t="shared" ref="N78" si="5294">IF(InfBel1LevelCurrent&gt;=$B78,"-",IF(InfBel1LevelDesired&lt;$B78,"-",$E78))</f>
        <v>-</v>
      </c>
      <c r="O78" s="15" t="str">
        <f t="shared" ref="O78" si="5295">IF(InfBoo1LevelCurrent&gt;=$B78,"-",IF(InfBoo1LevelDesired&lt;$B78,"-",$C78))</f>
        <v>-</v>
      </c>
      <c r="P78" s="1" t="str">
        <f t="shared" ref="P78" si="5296">IF(InfBoo1LevelCurrent&gt;=$B78,"-",IF(InfBoo1LevelDesired&lt;$B78,"-",$D78))</f>
        <v>-</v>
      </c>
      <c r="Q78" s="21" t="str">
        <f t="shared" ref="Q78" si="5297">IF(InfBoo1LevelCurrent&gt;=$B78,"-",IF(InfBoo1LevelDesired&lt;$B78,"-",$E78))</f>
        <v>-</v>
      </c>
      <c r="R78" s="15" t="str">
        <f t="shared" ref="R78" si="5298">IF(LanGog1LevelCurrent&gt;=$B78,"-",IF(LanGog1LevelDesired&lt;$B78,"-",$C78))</f>
        <v>-</v>
      </c>
      <c r="S78" s="1" t="str">
        <f t="shared" ref="S78" si="5299">IF(LanGog1LevelCurrent&gt;=$B78,"-",IF(LanGog1LevelDesired&lt;$B78,"-",$D78))</f>
        <v>-</v>
      </c>
      <c r="T78" s="21" t="str">
        <f t="shared" ref="T78" si="5300">IF(LanGog1LevelCurrent&gt;=$B78,"-",IF(LanGog1LevelDesired&lt;$B78,"-",$E78))</f>
        <v>-</v>
      </c>
      <c r="U78" s="15" t="str">
        <f t="shared" ref="U78" si="5301">IF(LanGlo1LevelCurrent&gt;=$B78,"-",IF(LanGlo1LevelDesired&lt;$B78,"-",$C78))</f>
        <v>-</v>
      </c>
      <c r="V78" s="1" t="str">
        <f t="shared" ref="V78" si="5302">IF(LanGlo1LevelCurrent&gt;=$B78,"-",IF(LanGlo1LevelDesired&lt;$B78,"-",$D78))</f>
        <v>-</v>
      </c>
      <c r="W78" s="21" t="str">
        <f t="shared" ref="W78" si="5303">IF(LanGlo1LevelCurrent&gt;=$B78,"-",IF(LanGlo1LevelDesired&lt;$B78,"-",$E78))</f>
        <v>-</v>
      </c>
      <c r="X78" s="15" t="str">
        <f t="shared" ref="X78" si="5304">IF(LanBel1LevelCurrent&gt;=$B78,"-",IF(LanBel1LevelDesired&lt;$B78,"-",$C78))</f>
        <v>-</v>
      </c>
      <c r="Y78" s="1" t="str">
        <f t="shared" ref="Y78" si="5305">IF(LanBel1LevelCurrent&gt;=$B78,"-",IF(LanBel1LevelDesired&lt;$B78,"-",$D78))</f>
        <v>-</v>
      </c>
      <c r="Z78" s="21" t="str">
        <f t="shared" ref="Z78" si="5306">IF(LanBel1LevelCurrent&gt;=$B78,"-",IF(LanBel1LevelDesired&lt;$B78,"-",$E78))</f>
        <v>-</v>
      </c>
      <c r="AA78" s="15" t="str">
        <f t="shared" ref="AA78" si="5307">IF(LanBoo1LevelCurrent&gt;=$B78,"-",IF(LanBoo1LevelDesired&lt;$B78,"-",$C78))</f>
        <v>-</v>
      </c>
      <c r="AB78" s="1" t="str">
        <f t="shared" ref="AB78" si="5308">IF(LanBoo1LevelCurrent&gt;=$B78,"-",IF(LanBoo1LevelDesired&lt;$B78,"-",$D78))</f>
        <v>-</v>
      </c>
      <c r="AC78" s="21" t="str">
        <f t="shared" ref="AC78" si="5309">IF(LanBoo1LevelCurrent&gt;=$B78,"-",IF(LanBoo1LevelDesired&lt;$B78,"-",$E78))</f>
        <v>-</v>
      </c>
      <c r="AD78" s="15" t="str">
        <f t="shared" ref="AD78" si="5310">IF(MarGog1LevelCurrent&gt;=$B78,"-",IF(MarGog1LevelDesired&lt;$B78,"-",$C78))</f>
        <v>-</v>
      </c>
      <c r="AE78" s="1" t="str">
        <f t="shared" ref="AE78" si="5311">IF(MarGog1LevelCurrent&gt;=$B78,"-",IF(MarGog1LevelDesired&lt;$B78,"-",$D78))</f>
        <v>-</v>
      </c>
      <c r="AF78" s="21" t="str">
        <f t="shared" ref="AF78" si="5312">IF(MarGog1LevelCurrent&gt;=$B78,"-",IF(MarGog1LevelDesired&lt;$B78,"-",$E78))</f>
        <v>-</v>
      </c>
      <c r="AG78" s="15" t="str">
        <f t="shared" ref="AG78" si="5313">IF(MarGlo1LevelCurrent&gt;=$B78,"-",IF(MarGlo1LevelDesired&lt;$B78,"-",$C78))</f>
        <v>-</v>
      </c>
      <c r="AH78" s="1" t="str">
        <f t="shared" ref="AH78" si="5314">IF(MarGlo1LevelCurrent&gt;=$B78,"-",IF(MarGlo1LevelDesired&lt;$B78,"-",$D78))</f>
        <v>-</v>
      </c>
      <c r="AI78" s="21" t="str">
        <f t="shared" ref="AI78" si="5315">IF(MarGlo1LevelCurrent&gt;=$B78,"-",IF(MarGlo1LevelDesired&lt;$B78,"-",$E78))</f>
        <v>-</v>
      </c>
      <c r="AJ78" s="15" t="str">
        <f t="shared" ref="AJ78" si="5316">IF(MarBel1LevelCurrent&gt;=$B78,"-",IF(MarBel1LevelDesired&lt;$B78,"-",$C78))</f>
        <v>-</v>
      </c>
      <c r="AK78" s="1" t="str">
        <f t="shared" ref="AK78" si="5317">IF(MarBel1LevelCurrent&gt;=$B78,"-",IF(MarBel1LevelDesired&lt;$B78,"-",$D78))</f>
        <v>-</v>
      </c>
      <c r="AL78" s="21" t="str">
        <f t="shared" ref="AL78" si="5318">IF(MarBel1LevelCurrent&gt;=$B78,"-",IF(MarBel1LevelDesired&lt;$B78,"-",$E78))</f>
        <v>-</v>
      </c>
      <c r="AM78" s="15" t="str">
        <f t="shared" ref="AM78" si="5319">IF(MarBoo1LevelCurrent&gt;=$B78,"-",IF(MarBoo1LevelDesired&lt;$B78,"-",$C78))</f>
        <v>-</v>
      </c>
      <c r="AN78" s="1" t="str">
        <f t="shared" ref="AN78" si="5320">IF(MarBoo1LevelCurrent&gt;=$B78,"-",IF(MarBoo1LevelDesired&lt;$B78,"-",$D78))</f>
        <v>-</v>
      </c>
      <c r="AO78" s="21" t="str">
        <f t="shared" ref="AO78" si="5321">IF(MarBoo1LevelCurrent&gt;=$B78,"-",IF(MarBoo1LevelDesired&lt;$B78,"-",$E78))</f>
        <v>-</v>
      </c>
      <c r="AP78" s="15" t="str">
        <f t="shared" ref="AP78" si="5322">IF(InfGog2LevelCurrent&gt;=$B78,"-",IF(InfGog2LevelDesired&lt;$B78,"-",$C78))</f>
        <v>-</v>
      </c>
      <c r="AQ78" s="1" t="str">
        <f t="shared" ref="AQ78" si="5323">IF(InfGog2LevelCurrent&gt;=$B78,"-",IF(InfGog2LevelDesired&lt;$B78,"-",$D78))</f>
        <v>-</v>
      </c>
      <c r="AR78" s="21" t="str">
        <f t="shared" ref="AR78" si="5324">IF(InfGog2LevelCurrent&gt;=$B78,"-",IF(InfGog2LevelDesired&lt;$B78,"-",$E78))</f>
        <v>-</v>
      </c>
      <c r="AS78" s="15" t="str">
        <f t="shared" ref="AS78" si="5325">IF(InfGlo2LevelCurrent&gt;=$B78,"-",IF(InfGlo2LevelDesired&lt;$B78,"-",$C78))</f>
        <v>-</v>
      </c>
      <c r="AT78" s="1" t="str">
        <f t="shared" ref="AT78" si="5326">IF(InfGlo2LevelCurrent&gt;=$B78,"-",IF(InfGlo2LevelDesired&lt;$B78,"-",$D78))</f>
        <v>-</v>
      </c>
      <c r="AU78" s="21" t="str">
        <f t="shared" ref="AU78" si="5327">IF(InfGlo2LevelCurrent&gt;=$B78,"-",IF(InfGlo2LevelDesired&lt;$B78,"-",$E78))</f>
        <v>-</v>
      </c>
      <c r="AV78" s="15" t="str">
        <f t="shared" ref="AV78" si="5328">IF(InfBel2LevelCurrent&gt;=$B78,"-",IF(InfBel2LevelDesired&lt;$B78,"-",$C78))</f>
        <v>-</v>
      </c>
      <c r="AW78" s="1" t="str">
        <f t="shared" ref="AW78" si="5329">IF(InfBel2LevelCurrent&gt;=$B78,"-",IF(InfBel2LevelDesired&lt;$B78,"-",$D78))</f>
        <v>-</v>
      </c>
      <c r="AX78" s="21" t="str">
        <f t="shared" ref="AX78" si="5330">IF(InfBel2LevelCurrent&gt;=$B78,"-",IF(InfBel2LevelDesired&lt;$B78,"-",$E78))</f>
        <v>-</v>
      </c>
      <c r="AY78" s="15" t="str">
        <f t="shared" ref="AY78" si="5331">IF(InfBoo2LevelCurrent&gt;=$B78,"-",IF(InfBoo2LevelDesired&lt;$B78,"-",$C78))</f>
        <v>-</v>
      </c>
      <c r="AZ78" s="1" t="str">
        <f t="shared" ref="AZ78" si="5332">IF(InfBoo2LevelCurrent&gt;=$B78,"-",IF(InfBoo2LevelDesired&lt;$B78,"-",$D78))</f>
        <v>-</v>
      </c>
      <c r="BA78" s="21" t="str">
        <f t="shared" ref="BA78" si="5333">IF(InfBoo2LevelCurrent&gt;=$B78,"-",IF(InfBoo2LevelDesired&lt;$B78,"-",$E78))</f>
        <v>-</v>
      </c>
      <c r="BB78" s="15" t="str">
        <f t="shared" ref="BB78" si="5334">IF(LanGog2LevelCurrent&gt;=$B78,"-",IF(LanGog2LevelDesired&lt;$B78,"-",$C78))</f>
        <v>-</v>
      </c>
      <c r="BC78" s="1" t="str">
        <f t="shared" ref="BC78" si="5335">IF(LanGog2LevelCurrent&gt;=$B78,"-",IF(LanGog2LevelDesired&lt;$B78,"-",$D78))</f>
        <v>-</v>
      </c>
      <c r="BD78" s="21" t="str">
        <f t="shared" ref="BD78" si="5336">IF(LanGog2LevelCurrent&gt;=$B78,"-",IF(LanGog2LevelDesired&lt;$B78,"-",$E78))</f>
        <v>-</v>
      </c>
      <c r="BE78" s="15" t="str">
        <f t="shared" ref="BE78" si="5337">IF(LanGlo2LevelCurrent&gt;=$B78,"-",IF(LanGlo2LevelDesired&lt;$B78,"-",$C78))</f>
        <v>-</v>
      </c>
      <c r="BF78" s="1" t="str">
        <f t="shared" ref="BF78" si="5338">IF(LanGlo2LevelCurrent&gt;=$B78,"-",IF(LanGlo2LevelDesired&lt;$B78,"-",$D78))</f>
        <v>-</v>
      </c>
      <c r="BG78" s="21" t="str">
        <f t="shared" ref="BG78" si="5339">IF(LanGlo2LevelCurrent&gt;=$B78,"-",IF(LanGlo2LevelDesired&lt;$B78,"-",$E78))</f>
        <v>-</v>
      </c>
      <c r="BH78" s="15" t="str">
        <f t="shared" ref="BH78" si="5340">IF(LanBel2LevelCurrent&gt;=$B78,"-",IF(LanBel2LevelDesired&lt;$B78,"-",$C78))</f>
        <v>-</v>
      </c>
      <c r="BI78" s="1" t="str">
        <f t="shared" ref="BI78" si="5341">IF(LanBel2LevelCurrent&gt;=$B78,"-",IF(LanBel2LevelDesired&lt;$B78,"-",$D78))</f>
        <v>-</v>
      </c>
      <c r="BJ78" s="21" t="str">
        <f t="shared" ref="BJ78" si="5342">IF(LanBel2LevelCurrent&gt;=$B78,"-",IF(LanBel2LevelDesired&lt;$B78,"-",$E78))</f>
        <v>-</v>
      </c>
      <c r="BK78" s="15" t="str">
        <f t="shared" ref="BK78" si="5343">IF(LanBoo2LevelCurrent&gt;=$B78,"-",IF(LanBoo2LevelDesired&lt;$B78,"-",$C78))</f>
        <v>-</v>
      </c>
      <c r="BL78" s="1" t="str">
        <f t="shared" ref="BL78" si="5344">IF(LanBoo2LevelCurrent&gt;=$B78,"-",IF(LanBoo2LevelDesired&lt;$B78,"-",$D78))</f>
        <v>-</v>
      </c>
      <c r="BM78" s="21" t="str">
        <f t="shared" ref="BM78" si="5345">IF(LanBoo2LevelCurrent&gt;=$B78,"-",IF(LanBoo2LevelDesired&lt;$B78,"-",$E78))</f>
        <v>-</v>
      </c>
      <c r="BN78" s="15" t="str">
        <f t="shared" ref="BN78" si="5346">IF(MarGog2LevelCurrent&gt;=$B78,"-",IF(MarGog2LevelDesired&lt;$B78,"-",$C78))</f>
        <v>-</v>
      </c>
      <c r="BO78" s="1" t="str">
        <f t="shared" ref="BO78" si="5347">IF(MarGog2LevelCurrent&gt;=$B78,"-",IF(MarGog2LevelDesired&lt;$B78,"-",$D78))</f>
        <v>-</v>
      </c>
      <c r="BP78" s="21" t="str">
        <f t="shared" ref="BP78" si="5348">IF(MarGog2LevelCurrent&gt;=$B78,"-",IF(MarGog2LevelDesired&lt;$B78,"-",$E78))</f>
        <v>-</v>
      </c>
      <c r="BQ78" s="15" t="str">
        <f t="shared" ref="BQ78" si="5349">IF(MarGlo2LevelCurrent&gt;=$B78,"-",IF(MarGlo2LevelDesired&lt;$B78,"-",$C78))</f>
        <v>-</v>
      </c>
      <c r="BR78" s="1" t="str">
        <f t="shared" ref="BR78" si="5350">IF(MarGlo2LevelCurrent&gt;=$B78,"-",IF(MarGlo2LevelDesired&lt;$B78,"-",$D78))</f>
        <v>-</v>
      </c>
      <c r="BS78" s="21" t="str">
        <f t="shared" ref="BS78" si="5351">IF(MarGlo2LevelCurrent&gt;=$B78,"-",IF(MarGlo2LevelDesired&lt;$B78,"-",$E78))</f>
        <v>-</v>
      </c>
      <c r="BT78" s="15" t="str">
        <f t="shared" ref="BT78" si="5352">IF(MarBel2LevelCurrent&gt;=$B78,"-",IF(MarBel2LevelDesired&lt;$B78,"-",$C78))</f>
        <v>-</v>
      </c>
      <c r="BU78" s="1" t="str">
        <f t="shared" ref="BU78" si="5353">IF(MarBel2LevelCurrent&gt;=$B78,"-",IF(MarBel2LevelDesired&lt;$B78,"-",$D78))</f>
        <v>-</v>
      </c>
      <c r="BV78" s="21" t="str">
        <f t="shared" ref="BV78" si="5354">IF(MarBel2LevelCurrent&gt;=$B78,"-",IF(MarBel2LevelDesired&lt;$B78,"-",$E78))</f>
        <v>-</v>
      </c>
      <c r="BW78" s="15" t="str">
        <f t="shared" ref="BW78" si="5355">IF(MarBoo2LevelCurrent&gt;=$B78,"-",IF(MarBoo2LevelDesired&lt;$B78,"-",$C78))</f>
        <v>-</v>
      </c>
      <c r="BX78" s="1" t="str">
        <f t="shared" ref="BX78" si="5356">IF(MarBoo2LevelCurrent&gt;=$B78,"-",IF(MarBoo2LevelDesired&lt;$B78,"-",$D78))</f>
        <v>-</v>
      </c>
      <c r="BY78" s="21" t="str">
        <f t="shared" ref="BY78" si="5357">IF(MarBoo2LevelCurrent&gt;=$B78,"-",IF(MarBoo2LevelDesired&lt;$B78,"-",$E78))</f>
        <v>-</v>
      </c>
      <c r="BZ78" s="15" t="str">
        <f t="shared" si="4748"/>
        <v>-</v>
      </c>
      <c r="CA78" s="1" t="str" cm="1">
        <f t="array" ref="CA78">IF(InfGog3LevelCurrent&gt;=$B78,"-",IF(InfGog3LevelDesired&lt;$B78,"-",$D78))</f>
        <v>-</v>
      </c>
      <c r="CB78" s="21" t="str" cm="1">
        <f t="array" ref="CB78">IF(InfGog3LevelCurrent&gt;=$B78,"-",IF(InfGog3LevelDesired&lt;$B78,"-",$E78))</f>
        <v>-</v>
      </c>
      <c r="CC78" s="15" t="str">
        <f t="shared" si="4749"/>
        <v>-</v>
      </c>
      <c r="CD78" s="1" t="str">
        <f t="shared" si="4750"/>
        <v>-</v>
      </c>
      <c r="CE78" s="21" t="str">
        <f t="shared" si="4751"/>
        <v>-</v>
      </c>
      <c r="CF78" s="15" t="str">
        <f t="shared" si="4752"/>
        <v>-</v>
      </c>
      <c r="CG78" s="1" t="str">
        <f t="shared" si="4753"/>
        <v>-</v>
      </c>
      <c r="CH78" s="21" t="str">
        <f t="shared" si="4754"/>
        <v>-</v>
      </c>
      <c r="CI78" s="15" t="str">
        <f t="shared" si="4755"/>
        <v>-</v>
      </c>
      <c r="CJ78" s="1" t="str">
        <f t="shared" si="4756"/>
        <v>-</v>
      </c>
      <c r="CK78" s="21" t="str">
        <f t="shared" si="4757"/>
        <v>-</v>
      </c>
      <c r="CL78" s="15" t="str">
        <f t="shared" si="4758"/>
        <v>-</v>
      </c>
      <c r="CM78" s="1" t="str">
        <f t="shared" si="4759"/>
        <v>-</v>
      </c>
      <c r="CN78" s="21" t="str">
        <f t="shared" si="4760"/>
        <v>-</v>
      </c>
      <c r="CO78" s="15" t="str">
        <f t="shared" si="4761"/>
        <v>-</v>
      </c>
      <c r="CP78" s="1" t="str">
        <f t="shared" si="4762"/>
        <v>-</v>
      </c>
      <c r="CQ78" s="21" t="str">
        <f t="shared" si="4763"/>
        <v>-</v>
      </c>
      <c r="CR78" s="15" t="str">
        <f t="shared" si="4764"/>
        <v>-</v>
      </c>
      <c r="CS78" s="1" t="str">
        <f t="shared" si="4765"/>
        <v>-</v>
      </c>
      <c r="CT78" s="21" t="str">
        <f t="shared" si="4766"/>
        <v>-</v>
      </c>
      <c r="CU78" s="15" t="str">
        <f t="shared" si="4767"/>
        <v>-</v>
      </c>
      <c r="CV78" s="1" t="str">
        <f t="shared" si="4768"/>
        <v>-</v>
      </c>
      <c r="CW78" s="21" t="str">
        <f t="shared" si="4769"/>
        <v>-</v>
      </c>
      <c r="CX78" s="15" t="str">
        <f t="shared" si="4770"/>
        <v>-</v>
      </c>
      <c r="CY78" s="1" t="str">
        <f t="shared" si="4771"/>
        <v>-</v>
      </c>
      <c r="CZ78" s="21" t="str">
        <f t="shared" si="4772"/>
        <v>-</v>
      </c>
      <c r="DA78" s="15" t="str">
        <f t="shared" si="4773"/>
        <v>-</v>
      </c>
      <c r="DB78" s="1" t="str">
        <f t="shared" si="4774"/>
        <v>-</v>
      </c>
      <c r="DC78" s="21" t="str">
        <f t="shared" si="4775"/>
        <v>-</v>
      </c>
      <c r="DD78" s="15" t="str">
        <f t="shared" si="4776"/>
        <v>-</v>
      </c>
      <c r="DE78" s="1" t="str">
        <f t="shared" si="4777"/>
        <v>-</v>
      </c>
      <c r="DF78" s="21" t="str">
        <f t="shared" si="4778"/>
        <v>-</v>
      </c>
      <c r="DG78" s="15" t="str">
        <f t="shared" si="4779"/>
        <v>-</v>
      </c>
      <c r="DH78" s="1" t="str">
        <f t="shared" si="4780"/>
        <v>-</v>
      </c>
      <c r="DI78" s="21" t="str">
        <f t="shared" si="4781"/>
        <v>-</v>
      </c>
    </row>
    <row r="79" spans="2:113" x14ac:dyDescent="0.3">
      <c r="B79" s="1">
        <v>74</v>
      </c>
      <c r="C79" s="67">
        <v>1150</v>
      </c>
      <c r="D79" s="88" t="s">
        <v>27</v>
      </c>
      <c r="E79" s="21" t="s">
        <v>27</v>
      </c>
      <c r="F79" s="15" t="str">
        <f t="shared" ref="F79" si="5358">IF(InfGog1LevelCurrent&gt;=$B79,"-",IF(InfGog1LevelDesired&lt;$B79,"-",$C79))</f>
        <v>-</v>
      </c>
      <c r="G79" s="1" t="str">
        <f t="shared" ref="G79" si="5359">IF(InfGog1LevelCurrent&gt;=$B79,"-",IF(InfGog1LevelDesired&lt;$B79,"-",$D79))</f>
        <v>-</v>
      </c>
      <c r="H79" s="21" t="str">
        <f t="shared" ref="H79" si="5360">IF(InfGog1LevelCurrent&gt;=$B79,"-",IF(InfGog1LevelDesired&lt;$B79,"-",$E79))</f>
        <v>-</v>
      </c>
      <c r="I79" s="15" t="str">
        <f t="shared" ref="I79" si="5361">IF(InfGlo1LevelCurrent&gt;=$B79,"-",IF(InfGlo1LevelDesired&lt;$B79,"-",$C79))</f>
        <v>-</v>
      </c>
      <c r="J79" s="1" t="str">
        <f t="shared" ref="J79" si="5362">IF(InfGlo1LevelCurrent&gt;=$B79,"-",IF(InfGlo1LevelDesired&lt;$B79,"-",$D79))</f>
        <v>-</v>
      </c>
      <c r="K79" s="21" t="str">
        <f t="shared" ref="K79" si="5363">IF(InfGlo1LevelCurrent&gt;=$B79,"-",IF(InfGlo1LevelDesired&lt;$B79,"-",$E79))</f>
        <v>-</v>
      </c>
      <c r="L79" s="15" t="str">
        <f t="shared" ref="L79" si="5364">IF(InfBel1LevelCurrent&gt;=$B79,"-",IF(InfBel1LevelDesired&lt;$B79,"-",$C79))</f>
        <v>-</v>
      </c>
      <c r="M79" s="1" t="str">
        <f t="shared" ref="M79" si="5365">IF(InfBel1LevelCurrent&gt;=$B79,"-",IF(InfBel1LevelDesired&lt;$B79,"-",$D79))</f>
        <v>-</v>
      </c>
      <c r="N79" s="21" t="str">
        <f t="shared" ref="N79" si="5366">IF(InfBel1LevelCurrent&gt;=$B79,"-",IF(InfBel1LevelDesired&lt;$B79,"-",$E79))</f>
        <v>-</v>
      </c>
      <c r="O79" s="15" t="str">
        <f t="shared" ref="O79" si="5367">IF(InfBoo1LevelCurrent&gt;=$B79,"-",IF(InfBoo1LevelDesired&lt;$B79,"-",$C79))</f>
        <v>-</v>
      </c>
      <c r="P79" s="1" t="str">
        <f t="shared" ref="P79" si="5368">IF(InfBoo1LevelCurrent&gt;=$B79,"-",IF(InfBoo1LevelDesired&lt;$B79,"-",$D79))</f>
        <v>-</v>
      </c>
      <c r="Q79" s="21" t="str">
        <f t="shared" ref="Q79" si="5369">IF(InfBoo1LevelCurrent&gt;=$B79,"-",IF(InfBoo1LevelDesired&lt;$B79,"-",$E79))</f>
        <v>-</v>
      </c>
      <c r="R79" s="15" t="str">
        <f t="shared" ref="R79" si="5370">IF(LanGog1LevelCurrent&gt;=$B79,"-",IF(LanGog1LevelDesired&lt;$B79,"-",$C79))</f>
        <v>-</v>
      </c>
      <c r="S79" s="1" t="str">
        <f t="shared" ref="S79" si="5371">IF(LanGog1LevelCurrent&gt;=$B79,"-",IF(LanGog1LevelDesired&lt;$B79,"-",$D79))</f>
        <v>-</v>
      </c>
      <c r="T79" s="21" t="str">
        <f t="shared" ref="T79" si="5372">IF(LanGog1LevelCurrent&gt;=$B79,"-",IF(LanGog1LevelDesired&lt;$B79,"-",$E79))</f>
        <v>-</v>
      </c>
      <c r="U79" s="15" t="str">
        <f t="shared" ref="U79" si="5373">IF(LanGlo1LevelCurrent&gt;=$B79,"-",IF(LanGlo1LevelDesired&lt;$B79,"-",$C79))</f>
        <v>-</v>
      </c>
      <c r="V79" s="1" t="str">
        <f t="shared" ref="V79" si="5374">IF(LanGlo1LevelCurrent&gt;=$B79,"-",IF(LanGlo1LevelDesired&lt;$B79,"-",$D79))</f>
        <v>-</v>
      </c>
      <c r="W79" s="21" t="str">
        <f t="shared" ref="W79" si="5375">IF(LanGlo1LevelCurrent&gt;=$B79,"-",IF(LanGlo1LevelDesired&lt;$B79,"-",$E79))</f>
        <v>-</v>
      </c>
      <c r="X79" s="15" t="str">
        <f t="shared" ref="X79" si="5376">IF(LanBel1LevelCurrent&gt;=$B79,"-",IF(LanBel1LevelDesired&lt;$B79,"-",$C79))</f>
        <v>-</v>
      </c>
      <c r="Y79" s="1" t="str">
        <f t="shared" ref="Y79" si="5377">IF(LanBel1LevelCurrent&gt;=$B79,"-",IF(LanBel1LevelDesired&lt;$B79,"-",$D79))</f>
        <v>-</v>
      </c>
      <c r="Z79" s="21" t="str">
        <f t="shared" ref="Z79" si="5378">IF(LanBel1LevelCurrent&gt;=$B79,"-",IF(LanBel1LevelDesired&lt;$B79,"-",$E79))</f>
        <v>-</v>
      </c>
      <c r="AA79" s="15" t="str">
        <f t="shared" ref="AA79" si="5379">IF(LanBoo1LevelCurrent&gt;=$B79,"-",IF(LanBoo1LevelDesired&lt;$B79,"-",$C79))</f>
        <v>-</v>
      </c>
      <c r="AB79" s="1" t="str">
        <f t="shared" ref="AB79" si="5380">IF(LanBoo1LevelCurrent&gt;=$B79,"-",IF(LanBoo1LevelDesired&lt;$B79,"-",$D79))</f>
        <v>-</v>
      </c>
      <c r="AC79" s="21" t="str">
        <f t="shared" ref="AC79" si="5381">IF(LanBoo1LevelCurrent&gt;=$B79,"-",IF(LanBoo1LevelDesired&lt;$B79,"-",$E79))</f>
        <v>-</v>
      </c>
      <c r="AD79" s="15" t="str">
        <f t="shared" ref="AD79" si="5382">IF(MarGog1LevelCurrent&gt;=$B79,"-",IF(MarGog1LevelDesired&lt;$B79,"-",$C79))</f>
        <v>-</v>
      </c>
      <c r="AE79" s="1" t="str">
        <f t="shared" ref="AE79" si="5383">IF(MarGog1LevelCurrent&gt;=$B79,"-",IF(MarGog1LevelDesired&lt;$B79,"-",$D79))</f>
        <v>-</v>
      </c>
      <c r="AF79" s="21" t="str">
        <f t="shared" ref="AF79" si="5384">IF(MarGog1LevelCurrent&gt;=$B79,"-",IF(MarGog1LevelDesired&lt;$B79,"-",$E79))</f>
        <v>-</v>
      </c>
      <c r="AG79" s="15" t="str">
        <f t="shared" ref="AG79" si="5385">IF(MarGlo1LevelCurrent&gt;=$B79,"-",IF(MarGlo1LevelDesired&lt;$B79,"-",$C79))</f>
        <v>-</v>
      </c>
      <c r="AH79" s="1" t="str">
        <f t="shared" ref="AH79" si="5386">IF(MarGlo1LevelCurrent&gt;=$B79,"-",IF(MarGlo1LevelDesired&lt;$B79,"-",$D79))</f>
        <v>-</v>
      </c>
      <c r="AI79" s="21" t="str">
        <f t="shared" ref="AI79" si="5387">IF(MarGlo1LevelCurrent&gt;=$B79,"-",IF(MarGlo1LevelDesired&lt;$B79,"-",$E79))</f>
        <v>-</v>
      </c>
      <c r="AJ79" s="15" t="str">
        <f t="shared" ref="AJ79" si="5388">IF(MarBel1LevelCurrent&gt;=$B79,"-",IF(MarBel1LevelDesired&lt;$B79,"-",$C79))</f>
        <v>-</v>
      </c>
      <c r="AK79" s="1" t="str">
        <f t="shared" ref="AK79" si="5389">IF(MarBel1LevelCurrent&gt;=$B79,"-",IF(MarBel1LevelDesired&lt;$B79,"-",$D79))</f>
        <v>-</v>
      </c>
      <c r="AL79" s="21" t="str">
        <f t="shared" ref="AL79" si="5390">IF(MarBel1LevelCurrent&gt;=$B79,"-",IF(MarBel1LevelDesired&lt;$B79,"-",$E79))</f>
        <v>-</v>
      </c>
      <c r="AM79" s="15" t="str">
        <f t="shared" ref="AM79" si="5391">IF(MarBoo1LevelCurrent&gt;=$B79,"-",IF(MarBoo1LevelDesired&lt;$B79,"-",$C79))</f>
        <v>-</v>
      </c>
      <c r="AN79" s="1" t="str">
        <f t="shared" ref="AN79" si="5392">IF(MarBoo1LevelCurrent&gt;=$B79,"-",IF(MarBoo1LevelDesired&lt;$B79,"-",$D79))</f>
        <v>-</v>
      </c>
      <c r="AO79" s="21" t="str">
        <f t="shared" ref="AO79" si="5393">IF(MarBoo1LevelCurrent&gt;=$B79,"-",IF(MarBoo1LevelDesired&lt;$B79,"-",$E79))</f>
        <v>-</v>
      </c>
      <c r="AP79" s="15" t="str">
        <f t="shared" ref="AP79" si="5394">IF(InfGog2LevelCurrent&gt;=$B79,"-",IF(InfGog2LevelDesired&lt;$B79,"-",$C79))</f>
        <v>-</v>
      </c>
      <c r="AQ79" s="1" t="str">
        <f t="shared" ref="AQ79" si="5395">IF(InfGog2LevelCurrent&gt;=$B79,"-",IF(InfGog2LevelDesired&lt;$B79,"-",$D79))</f>
        <v>-</v>
      </c>
      <c r="AR79" s="21" t="str">
        <f t="shared" ref="AR79" si="5396">IF(InfGog2LevelCurrent&gt;=$B79,"-",IF(InfGog2LevelDesired&lt;$B79,"-",$E79))</f>
        <v>-</v>
      </c>
      <c r="AS79" s="15" t="str">
        <f t="shared" ref="AS79" si="5397">IF(InfGlo2LevelCurrent&gt;=$B79,"-",IF(InfGlo2LevelDesired&lt;$B79,"-",$C79))</f>
        <v>-</v>
      </c>
      <c r="AT79" s="1" t="str">
        <f t="shared" ref="AT79" si="5398">IF(InfGlo2LevelCurrent&gt;=$B79,"-",IF(InfGlo2LevelDesired&lt;$B79,"-",$D79))</f>
        <v>-</v>
      </c>
      <c r="AU79" s="21" t="str">
        <f t="shared" ref="AU79" si="5399">IF(InfGlo2LevelCurrent&gt;=$B79,"-",IF(InfGlo2LevelDesired&lt;$B79,"-",$E79))</f>
        <v>-</v>
      </c>
      <c r="AV79" s="15" t="str">
        <f t="shared" ref="AV79" si="5400">IF(InfBel2LevelCurrent&gt;=$B79,"-",IF(InfBel2LevelDesired&lt;$B79,"-",$C79))</f>
        <v>-</v>
      </c>
      <c r="AW79" s="1" t="str">
        <f t="shared" ref="AW79" si="5401">IF(InfBel2LevelCurrent&gt;=$B79,"-",IF(InfBel2LevelDesired&lt;$B79,"-",$D79))</f>
        <v>-</v>
      </c>
      <c r="AX79" s="21" t="str">
        <f t="shared" ref="AX79" si="5402">IF(InfBel2LevelCurrent&gt;=$B79,"-",IF(InfBel2LevelDesired&lt;$B79,"-",$E79))</f>
        <v>-</v>
      </c>
      <c r="AY79" s="15" t="str">
        <f t="shared" ref="AY79" si="5403">IF(InfBoo2LevelCurrent&gt;=$B79,"-",IF(InfBoo2LevelDesired&lt;$B79,"-",$C79))</f>
        <v>-</v>
      </c>
      <c r="AZ79" s="1" t="str">
        <f t="shared" ref="AZ79" si="5404">IF(InfBoo2LevelCurrent&gt;=$B79,"-",IF(InfBoo2LevelDesired&lt;$B79,"-",$D79))</f>
        <v>-</v>
      </c>
      <c r="BA79" s="21" t="str">
        <f t="shared" ref="BA79" si="5405">IF(InfBoo2LevelCurrent&gt;=$B79,"-",IF(InfBoo2LevelDesired&lt;$B79,"-",$E79))</f>
        <v>-</v>
      </c>
      <c r="BB79" s="15" t="str">
        <f t="shared" ref="BB79" si="5406">IF(LanGog2LevelCurrent&gt;=$B79,"-",IF(LanGog2LevelDesired&lt;$B79,"-",$C79))</f>
        <v>-</v>
      </c>
      <c r="BC79" s="1" t="str">
        <f t="shared" ref="BC79" si="5407">IF(LanGog2LevelCurrent&gt;=$B79,"-",IF(LanGog2LevelDesired&lt;$B79,"-",$D79))</f>
        <v>-</v>
      </c>
      <c r="BD79" s="21" t="str">
        <f t="shared" ref="BD79" si="5408">IF(LanGog2LevelCurrent&gt;=$B79,"-",IF(LanGog2LevelDesired&lt;$B79,"-",$E79))</f>
        <v>-</v>
      </c>
      <c r="BE79" s="15" t="str">
        <f t="shared" ref="BE79" si="5409">IF(LanGlo2LevelCurrent&gt;=$B79,"-",IF(LanGlo2LevelDesired&lt;$B79,"-",$C79))</f>
        <v>-</v>
      </c>
      <c r="BF79" s="1" t="str">
        <f t="shared" ref="BF79" si="5410">IF(LanGlo2LevelCurrent&gt;=$B79,"-",IF(LanGlo2LevelDesired&lt;$B79,"-",$D79))</f>
        <v>-</v>
      </c>
      <c r="BG79" s="21" t="str">
        <f t="shared" ref="BG79" si="5411">IF(LanGlo2LevelCurrent&gt;=$B79,"-",IF(LanGlo2LevelDesired&lt;$B79,"-",$E79))</f>
        <v>-</v>
      </c>
      <c r="BH79" s="15" t="str">
        <f t="shared" ref="BH79" si="5412">IF(LanBel2LevelCurrent&gt;=$B79,"-",IF(LanBel2LevelDesired&lt;$B79,"-",$C79))</f>
        <v>-</v>
      </c>
      <c r="BI79" s="1" t="str">
        <f t="shared" ref="BI79" si="5413">IF(LanBel2LevelCurrent&gt;=$B79,"-",IF(LanBel2LevelDesired&lt;$B79,"-",$D79))</f>
        <v>-</v>
      </c>
      <c r="BJ79" s="21" t="str">
        <f t="shared" ref="BJ79" si="5414">IF(LanBel2LevelCurrent&gt;=$B79,"-",IF(LanBel2LevelDesired&lt;$B79,"-",$E79))</f>
        <v>-</v>
      </c>
      <c r="BK79" s="15" t="str">
        <f t="shared" ref="BK79" si="5415">IF(LanBoo2LevelCurrent&gt;=$B79,"-",IF(LanBoo2LevelDesired&lt;$B79,"-",$C79))</f>
        <v>-</v>
      </c>
      <c r="BL79" s="1" t="str">
        <f t="shared" ref="BL79" si="5416">IF(LanBoo2LevelCurrent&gt;=$B79,"-",IF(LanBoo2LevelDesired&lt;$B79,"-",$D79))</f>
        <v>-</v>
      </c>
      <c r="BM79" s="21" t="str">
        <f t="shared" ref="BM79" si="5417">IF(LanBoo2LevelCurrent&gt;=$B79,"-",IF(LanBoo2LevelDesired&lt;$B79,"-",$E79))</f>
        <v>-</v>
      </c>
      <c r="BN79" s="15" t="str">
        <f t="shared" ref="BN79" si="5418">IF(MarGog2LevelCurrent&gt;=$B79,"-",IF(MarGog2LevelDesired&lt;$B79,"-",$C79))</f>
        <v>-</v>
      </c>
      <c r="BO79" s="1" t="str">
        <f t="shared" ref="BO79" si="5419">IF(MarGog2LevelCurrent&gt;=$B79,"-",IF(MarGog2LevelDesired&lt;$B79,"-",$D79))</f>
        <v>-</v>
      </c>
      <c r="BP79" s="21" t="str">
        <f t="shared" ref="BP79" si="5420">IF(MarGog2LevelCurrent&gt;=$B79,"-",IF(MarGog2LevelDesired&lt;$B79,"-",$E79))</f>
        <v>-</v>
      </c>
      <c r="BQ79" s="15" t="str">
        <f t="shared" ref="BQ79" si="5421">IF(MarGlo2LevelCurrent&gt;=$B79,"-",IF(MarGlo2LevelDesired&lt;$B79,"-",$C79))</f>
        <v>-</v>
      </c>
      <c r="BR79" s="1" t="str">
        <f t="shared" ref="BR79" si="5422">IF(MarGlo2LevelCurrent&gt;=$B79,"-",IF(MarGlo2LevelDesired&lt;$B79,"-",$D79))</f>
        <v>-</v>
      </c>
      <c r="BS79" s="21" t="str">
        <f t="shared" ref="BS79" si="5423">IF(MarGlo2LevelCurrent&gt;=$B79,"-",IF(MarGlo2LevelDesired&lt;$B79,"-",$E79))</f>
        <v>-</v>
      </c>
      <c r="BT79" s="15" t="str">
        <f t="shared" ref="BT79" si="5424">IF(MarBel2LevelCurrent&gt;=$B79,"-",IF(MarBel2LevelDesired&lt;$B79,"-",$C79))</f>
        <v>-</v>
      </c>
      <c r="BU79" s="1" t="str">
        <f t="shared" ref="BU79" si="5425">IF(MarBel2LevelCurrent&gt;=$B79,"-",IF(MarBel2LevelDesired&lt;$B79,"-",$D79))</f>
        <v>-</v>
      </c>
      <c r="BV79" s="21" t="str">
        <f t="shared" ref="BV79" si="5426">IF(MarBel2LevelCurrent&gt;=$B79,"-",IF(MarBel2LevelDesired&lt;$B79,"-",$E79))</f>
        <v>-</v>
      </c>
      <c r="BW79" s="15" t="str">
        <f t="shared" ref="BW79" si="5427">IF(MarBoo2LevelCurrent&gt;=$B79,"-",IF(MarBoo2LevelDesired&lt;$B79,"-",$C79))</f>
        <v>-</v>
      </c>
      <c r="BX79" s="1" t="str">
        <f t="shared" ref="BX79" si="5428">IF(MarBoo2LevelCurrent&gt;=$B79,"-",IF(MarBoo2LevelDesired&lt;$B79,"-",$D79))</f>
        <v>-</v>
      </c>
      <c r="BY79" s="21" t="str">
        <f t="shared" ref="BY79" si="5429">IF(MarBoo2LevelCurrent&gt;=$B79,"-",IF(MarBoo2LevelDesired&lt;$B79,"-",$E79))</f>
        <v>-</v>
      </c>
      <c r="BZ79" s="15" t="str">
        <f t="shared" si="4748"/>
        <v>-</v>
      </c>
      <c r="CA79" s="1" t="str" cm="1">
        <f t="array" ref="CA79">IF(InfGog3LevelCurrent&gt;=$B79,"-",IF(InfGog3LevelDesired&lt;$B79,"-",$D79))</f>
        <v>-</v>
      </c>
      <c r="CB79" s="21" t="str" cm="1">
        <f t="array" ref="CB79">IF(InfGog3LevelCurrent&gt;=$B79,"-",IF(InfGog3LevelDesired&lt;$B79,"-",$E79))</f>
        <v>-</v>
      </c>
      <c r="CC79" s="15" t="str">
        <f t="shared" si="4749"/>
        <v>-</v>
      </c>
      <c r="CD79" s="1" t="str">
        <f t="shared" si="4750"/>
        <v>-</v>
      </c>
      <c r="CE79" s="21" t="str">
        <f t="shared" si="4751"/>
        <v>-</v>
      </c>
      <c r="CF79" s="15" t="str">
        <f t="shared" si="4752"/>
        <v>-</v>
      </c>
      <c r="CG79" s="1" t="str">
        <f t="shared" si="4753"/>
        <v>-</v>
      </c>
      <c r="CH79" s="21" t="str">
        <f t="shared" si="4754"/>
        <v>-</v>
      </c>
      <c r="CI79" s="15" t="str">
        <f t="shared" si="4755"/>
        <v>-</v>
      </c>
      <c r="CJ79" s="1" t="str">
        <f t="shared" si="4756"/>
        <v>-</v>
      </c>
      <c r="CK79" s="21" t="str">
        <f t="shared" si="4757"/>
        <v>-</v>
      </c>
      <c r="CL79" s="15" t="str">
        <f t="shared" si="4758"/>
        <v>-</v>
      </c>
      <c r="CM79" s="1" t="str">
        <f t="shared" si="4759"/>
        <v>-</v>
      </c>
      <c r="CN79" s="21" t="str">
        <f t="shared" si="4760"/>
        <v>-</v>
      </c>
      <c r="CO79" s="15" t="str">
        <f t="shared" si="4761"/>
        <v>-</v>
      </c>
      <c r="CP79" s="1" t="str">
        <f t="shared" si="4762"/>
        <v>-</v>
      </c>
      <c r="CQ79" s="21" t="str">
        <f t="shared" si="4763"/>
        <v>-</v>
      </c>
      <c r="CR79" s="15" t="str">
        <f t="shared" si="4764"/>
        <v>-</v>
      </c>
      <c r="CS79" s="1" t="str">
        <f t="shared" si="4765"/>
        <v>-</v>
      </c>
      <c r="CT79" s="21" t="str">
        <f t="shared" si="4766"/>
        <v>-</v>
      </c>
      <c r="CU79" s="15" t="str">
        <f t="shared" si="4767"/>
        <v>-</v>
      </c>
      <c r="CV79" s="1" t="str">
        <f t="shared" si="4768"/>
        <v>-</v>
      </c>
      <c r="CW79" s="21" t="str">
        <f t="shared" si="4769"/>
        <v>-</v>
      </c>
      <c r="CX79" s="15" t="str">
        <f t="shared" si="4770"/>
        <v>-</v>
      </c>
      <c r="CY79" s="1" t="str">
        <f t="shared" si="4771"/>
        <v>-</v>
      </c>
      <c r="CZ79" s="21" t="str">
        <f t="shared" si="4772"/>
        <v>-</v>
      </c>
      <c r="DA79" s="15" t="str">
        <f t="shared" si="4773"/>
        <v>-</v>
      </c>
      <c r="DB79" s="1" t="str">
        <f t="shared" si="4774"/>
        <v>-</v>
      </c>
      <c r="DC79" s="21" t="str">
        <f t="shared" si="4775"/>
        <v>-</v>
      </c>
      <c r="DD79" s="15" t="str">
        <f t="shared" si="4776"/>
        <v>-</v>
      </c>
      <c r="DE79" s="1" t="str">
        <f t="shared" si="4777"/>
        <v>-</v>
      </c>
      <c r="DF79" s="21" t="str">
        <f t="shared" si="4778"/>
        <v>-</v>
      </c>
      <c r="DG79" s="15" t="str">
        <f t="shared" si="4779"/>
        <v>-</v>
      </c>
      <c r="DH79" s="1" t="str">
        <f t="shared" si="4780"/>
        <v>-</v>
      </c>
      <c r="DI79" s="21" t="str">
        <f t="shared" si="4781"/>
        <v>-</v>
      </c>
    </row>
    <row r="80" spans="2:113" x14ac:dyDescent="0.3">
      <c r="B80" s="1">
        <v>75</v>
      </c>
      <c r="C80" s="67">
        <v>1190</v>
      </c>
      <c r="D80" s="88" t="s">
        <v>27</v>
      </c>
      <c r="E80" s="21" t="s">
        <v>27</v>
      </c>
      <c r="F80" s="15" t="str">
        <f t="shared" ref="F80" si="5430">IF(InfGog1LevelCurrent&gt;=$B80,"-",IF(InfGog1LevelDesired&lt;$B80,"-",$C80))</f>
        <v>-</v>
      </c>
      <c r="G80" s="1" t="str">
        <f t="shared" ref="G80" si="5431">IF(InfGog1LevelCurrent&gt;=$B80,"-",IF(InfGog1LevelDesired&lt;$B80,"-",$D80))</f>
        <v>-</v>
      </c>
      <c r="H80" s="21" t="str">
        <f t="shared" ref="H80" si="5432">IF(InfGog1LevelCurrent&gt;=$B80,"-",IF(InfGog1LevelDesired&lt;$B80,"-",$E80))</f>
        <v>-</v>
      </c>
      <c r="I80" s="15" t="str">
        <f t="shared" ref="I80" si="5433">IF(InfGlo1LevelCurrent&gt;=$B80,"-",IF(InfGlo1LevelDesired&lt;$B80,"-",$C80))</f>
        <v>-</v>
      </c>
      <c r="J80" s="1" t="str">
        <f t="shared" ref="J80" si="5434">IF(InfGlo1LevelCurrent&gt;=$B80,"-",IF(InfGlo1LevelDesired&lt;$B80,"-",$D80))</f>
        <v>-</v>
      </c>
      <c r="K80" s="21" t="str">
        <f t="shared" ref="K80" si="5435">IF(InfGlo1LevelCurrent&gt;=$B80,"-",IF(InfGlo1LevelDesired&lt;$B80,"-",$E80))</f>
        <v>-</v>
      </c>
      <c r="L80" s="15" t="str">
        <f t="shared" ref="L80" si="5436">IF(InfBel1LevelCurrent&gt;=$B80,"-",IF(InfBel1LevelDesired&lt;$B80,"-",$C80))</f>
        <v>-</v>
      </c>
      <c r="M80" s="1" t="str">
        <f t="shared" ref="M80" si="5437">IF(InfBel1LevelCurrent&gt;=$B80,"-",IF(InfBel1LevelDesired&lt;$B80,"-",$D80))</f>
        <v>-</v>
      </c>
      <c r="N80" s="21" t="str">
        <f t="shared" ref="N80" si="5438">IF(InfBel1LevelCurrent&gt;=$B80,"-",IF(InfBel1LevelDesired&lt;$B80,"-",$E80))</f>
        <v>-</v>
      </c>
      <c r="O80" s="15" t="str">
        <f t="shared" ref="O80" si="5439">IF(InfBoo1LevelCurrent&gt;=$B80,"-",IF(InfBoo1LevelDesired&lt;$B80,"-",$C80))</f>
        <v>-</v>
      </c>
      <c r="P80" s="1" t="str">
        <f t="shared" ref="P80" si="5440">IF(InfBoo1LevelCurrent&gt;=$B80,"-",IF(InfBoo1LevelDesired&lt;$B80,"-",$D80))</f>
        <v>-</v>
      </c>
      <c r="Q80" s="21" t="str">
        <f t="shared" ref="Q80" si="5441">IF(InfBoo1LevelCurrent&gt;=$B80,"-",IF(InfBoo1LevelDesired&lt;$B80,"-",$E80))</f>
        <v>-</v>
      </c>
      <c r="R80" s="15" t="str">
        <f t="shared" ref="R80" si="5442">IF(LanGog1LevelCurrent&gt;=$B80,"-",IF(LanGog1LevelDesired&lt;$B80,"-",$C80))</f>
        <v>-</v>
      </c>
      <c r="S80" s="1" t="str">
        <f t="shared" ref="S80" si="5443">IF(LanGog1LevelCurrent&gt;=$B80,"-",IF(LanGog1LevelDesired&lt;$B80,"-",$D80))</f>
        <v>-</v>
      </c>
      <c r="T80" s="21" t="str">
        <f t="shared" ref="T80" si="5444">IF(LanGog1LevelCurrent&gt;=$B80,"-",IF(LanGog1LevelDesired&lt;$B80,"-",$E80))</f>
        <v>-</v>
      </c>
      <c r="U80" s="15" t="str">
        <f t="shared" ref="U80" si="5445">IF(LanGlo1LevelCurrent&gt;=$B80,"-",IF(LanGlo1LevelDesired&lt;$B80,"-",$C80))</f>
        <v>-</v>
      </c>
      <c r="V80" s="1" t="str">
        <f t="shared" ref="V80" si="5446">IF(LanGlo1LevelCurrent&gt;=$B80,"-",IF(LanGlo1LevelDesired&lt;$B80,"-",$D80))</f>
        <v>-</v>
      </c>
      <c r="W80" s="21" t="str">
        <f t="shared" ref="W80" si="5447">IF(LanGlo1LevelCurrent&gt;=$B80,"-",IF(LanGlo1LevelDesired&lt;$B80,"-",$E80))</f>
        <v>-</v>
      </c>
      <c r="X80" s="15" t="str">
        <f t="shared" ref="X80" si="5448">IF(LanBel1LevelCurrent&gt;=$B80,"-",IF(LanBel1LevelDesired&lt;$B80,"-",$C80))</f>
        <v>-</v>
      </c>
      <c r="Y80" s="1" t="str">
        <f t="shared" ref="Y80" si="5449">IF(LanBel1LevelCurrent&gt;=$B80,"-",IF(LanBel1LevelDesired&lt;$B80,"-",$D80))</f>
        <v>-</v>
      </c>
      <c r="Z80" s="21" t="str">
        <f t="shared" ref="Z80" si="5450">IF(LanBel1LevelCurrent&gt;=$B80,"-",IF(LanBel1LevelDesired&lt;$B80,"-",$E80))</f>
        <v>-</v>
      </c>
      <c r="AA80" s="15" t="str">
        <f t="shared" ref="AA80" si="5451">IF(LanBoo1LevelCurrent&gt;=$B80,"-",IF(LanBoo1LevelDesired&lt;$B80,"-",$C80))</f>
        <v>-</v>
      </c>
      <c r="AB80" s="1" t="str">
        <f t="shared" ref="AB80" si="5452">IF(LanBoo1LevelCurrent&gt;=$B80,"-",IF(LanBoo1LevelDesired&lt;$B80,"-",$D80))</f>
        <v>-</v>
      </c>
      <c r="AC80" s="21" t="str">
        <f t="shared" ref="AC80" si="5453">IF(LanBoo1LevelCurrent&gt;=$B80,"-",IF(LanBoo1LevelDesired&lt;$B80,"-",$E80))</f>
        <v>-</v>
      </c>
      <c r="AD80" s="15" t="str">
        <f t="shared" ref="AD80" si="5454">IF(MarGog1LevelCurrent&gt;=$B80,"-",IF(MarGog1LevelDesired&lt;$B80,"-",$C80))</f>
        <v>-</v>
      </c>
      <c r="AE80" s="1" t="str">
        <f t="shared" ref="AE80" si="5455">IF(MarGog1LevelCurrent&gt;=$B80,"-",IF(MarGog1LevelDesired&lt;$B80,"-",$D80))</f>
        <v>-</v>
      </c>
      <c r="AF80" s="21" t="str">
        <f t="shared" ref="AF80" si="5456">IF(MarGog1LevelCurrent&gt;=$B80,"-",IF(MarGog1LevelDesired&lt;$B80,"-",$E80))</f>
        <v>-</v>
      </c>
      <c r="AG80" s="15" t="str">
        <f t="shared" ref="AG80" si="5457">IF(MarGlo1LevelCurrent&gt;=$B80,"-",IF(MarGlo1LevelDesired&lt;$B80,"-",$C80))</f>
        <v>-</v>
      </c>
      <c r="AH80" s="1" t="str">
        <f t="shared" ref="AH80" si="5458">IF(MarGlo1LevelCurrent&gt;=$B80,"-",IF(MarGlo1LevelDesired&lt;$B80,"-",$D80))</f>
        <v>-</v>
      </c>
      <c r="AI80" s="21" t="str">
        <f t="shared" ref="AI80" si="5459">IF(MarGlo1LevelCurrent&gt;=$B80,"-",IF(MarGlo1LevelDesired&lt;$B80,"-",$E80))</f>
        <v>-</v>
      </c>
      <c r="AJ80" s="15" t="str">
        <f t="shared" ref="AJ80" si="5460">IF(MarBel1LevelCurrent&gt;=$B80,"-",IF(MarBel1LevelDesired&lt;$B80,"-",$C80))</f>
        <v>-</v>
      </c>
      <c r="AK80" s="1" t="str">
        <f t="shared" ref="AK80" si="5461">IF(MarBel1LevelCurrent&gt;=$B80,"-",IF(MarBel1LevelDesired&lt;$B80,"-",$D80))</f>
        <v>-</v>
      </c>
      <c r="AL80" s="21" t="str">
        <f t="shared" ref="AL80" si="5462">IF(MarBel1LevelCurrent&gt;=$B80,"-",IF(MarBel1LevelDesired&lt;$B80,"-",$E80))</f>
        <v>-</v>
      </c>
      <c r="AM80" s="15" t="str">
        <f t="shared" ref="AM80" si="5463">IF(MarBoo1LevelCurrent&gt;=$B80,"-",IF(MarBoo1LevelDesired&lt;$B80,"-",$C80))</f>
        <v>-</v>
      </c>
      <c r="AN80" s="1" t="str">
        <f t="shared" ref="AN80" si="5464">IF(MarBoo1LevelCurrent&gt;=$B80,"-",IF(MarBoo1LevelDesired&lt;$B80,"-",$D80))</f>
        <v>-</v>
      </c>
      <c r="AO80" s="21" t="str">
        <f t="shared" ref="AO80" si="5465">IF(MarBoo1LevelCurrent&gt;=$B80,"-",IF(MarBoo1LevelDesired&lt;$B80,"-",$E80))</f>
        <v>-</v>
      </c>
      <c r="AP80" s="15" t="str">
        <f t="shared" ref="AP80" si="5466">IF(InfGog2LevelCurrent&gt;=$B80,"-",IF(InfGog2LevelDesired&lt;$B80,"-",$C80))</f>
        <v>-</v>
      </c>
      <c r="AQ80" s="1" t="str">
        <f t="shared" ref="AQ80" si="5467">IF(InfGog2LevelCurrent&gt;=$B80,"-",IF(InfGog2LevelDesired&lt;$B80,"-",$D80))</f>
        <v>-</v>
      </c>
      <c r="AR80" s="21" t="str">
        <f t="shared" ref="AR80" si="5468">IF(InfGog2LevelCurrent&gt;=$B80,"-",IF(InfGog2LevelDesired&lt;$B80,"-",$E80))</f>
        <v>-</v>
      </c>
      <c r="AS80" s="15" t="str">
        <f t="shared" ref="AS80" si="5469">IF(InfGlo2LevelCurrent&gt;=$B80,"-",IF(InfGlo2LevelDesired&lt;$B80,"-",$C80))</f>
        <v>-</v>
      </c>
      <c r="AT80" s="1" t="str">
        <f t="shared" ref="AT80" si="5470">IF(InfGlo2LevelCurrent&gt;=$B80,"-",IF(InfGlo2LevelDesired&lt;$B80,"-",$D80))</f>
        <v>-</v>
      </c>
      <c r="AU80" s="21" t="str">
        <f t="shared" ref="AU80" si="5471">IF(InfGlo2LevelCurrent&gt;=$B80,"-",IF(InfGlo2LevelDesired&lt;$B80,"-",$E80))</f>
        <v>-</v>
      </c>
      <c r="AV80" s="15" t="str">
        <f t="shared" ref="AV80" si="5472">IF(InfBel2LevelCurrent&gt;=$B80,"-",IF(InfBel2LevelDesired&lt;$B80,"-",$C80))</f>
        <v>-</v>
      </c>
      <c r="AW80" s="1" t="str">
        <f t="shared" ref="AW80" si="5473">IF(InfBel2LevelCurrent&gt;=$B80,"-",IF(InfBel2LevelDesired&lt;$B80,"-",$D80))</f>
        <v>-</v>
      </c>
      <c r="AX80" s="21" t="str">
        <f t="shared" ref="AX80" si="5474">IF(InfBel2LevelCurrent&gt;=$B80,"-",IF(InfBel2LevelDesired&lt;$B80,"-",$E80))</f>
        <v>-</v>
      </c>
      <c r="AY80" s="15" t="str">
        <f t="shared" ref="AY80" si="5475">IF(InfBoo2LevelCurrent&gt;=$B80,"-",IF(InfBoo2LevelDesired&lt;$B80,"-",$C80))</f>
        <v>-</v>
      </c>
      <c r="AZ80" s="1" t="str">
        <f t="shared" ref="AZ80" si="5476">IF(InfBoo2LevelCurrent&gt;=$B80,"-",IF(InfBoo2LevelDesired&lt;$B80,"-",$D80))</f>
        <v>-</v>
      </c>
      <c r="BA80" s="21" t="str">
        <f t="shared" ref="BA80" si="5477">IF(InfBoo2LevelCurrent&gt;=$B80,"-",IF(InfBoo2LevelDesired&lt;$B80,"-",$E80))</f>
        <v>-</v>
      </c>
      <c r="BB80" s="15" t="str">
        <f t="shared" ref="BB80" si="5478">IF(LanGog2LevelCurrent&gt;=$B80,"-",IF(LanGog2LevelDesired&lt;$B80,"-",$C80))</f>
        <v>-</v>
      </c>
      <c r="BC80" s="1" t="str">
        <f t="shared" ref="BC80" si="5479">IF(LanGog2LevelCurrent&gt;=$B80,"-",IF(LanGog2LevelDesired&lt;$B80,"-",$D80))</f>
        <v>-</v>
      </c>
      <c r="BD80" s="21" t="str">
        <f t="shared" ref="BD80" si="5480">IF(LanGog2LevelCurrent&gt;=$B80,"-",IF(LanGog2LevelDesired&lt;$B80,"-",$E80))</f>
        <v>-</v>
      </c>
      <c r="BE80" s="15" t="str">
        <f t="shared" ref="BE80" si="5481">IF(LanGlo2LevelCurrent&gt;=$B80,"-",IF(LanGlo2LevelDesired&lt;$B80,"-",$C80))</f>
        <v>-</v>
      </c>
      <c r="BF80" s="1" t="str">
        <f t="shared" ref="BF80" si="5482">IF(LanGlo2LevelCurrent&gt;=$B80,"-",IF(LanGlo2LevelDesired&lt;$B80,"-",$D80))</f>
        <v>-</v>
      </c>
      <c r="BG80" s="21" t="str">
        <f t="shared" ref="BG80" si="5483">IF(LanGlo2LevelCurrent&gt;=$B80,"-",IF(LanGlo2LevelDesired&lt;$B80,"-",$E80))</f>
        <v>-</v>
      </c>
      <c r="BH80" s="15" t="str">
        <f t="shared" ref="BH80" si="5484">IF(LanBel2LevelCurrent&gt;=$B80,"-",IF(LanBel2LevelDesired&lt;$B80,"-",$C80))</f>
        <v>-</v>
      </c>
      <c r="BI80" s="1" t="str">
        <f t="shared" ref="BI80" si="5485">IF(LanBel2LevelCurrent&gt;=$B80,"-",IF(LanBel2LevelDesired&lt;$B80,"-",$D80))</f>
        <v>-</v>
      </c>
      <c r="BJ80" s="21" t="str">
        <f t="shared" ref="BJ80" si="5486">IF(LanBel2LevelCurrent&gt;=$B80,"-",IF(LanBel2LevelDesired&lt;$B80,"-",$E80))</f>
        <v>-</v>
      </c>
      <c r="BK80" s="15" t="str">
        <f t="shared" ref="BK80" si="5487">IF(LanBoo2LevelCurrent&gt;=$B80,"-",IF(LanBoo2LevelDesired&lt;$B80,"-",$C80))</f>
        <v>-</v>
      </c>
      <c r="BL80" s="1" t="str">
        <f t="shared" ref="BL80" si="5488">IF(LanBoo2LevelCurrent&gt;=$B80,"-",IF(LanBoo2LevelDesired&lt;$B80,"-",$D80))</f>
        <v>-</v>
      </c>
      <c r="BM80" s="21" t="str">
        <f t="shared" ref="BM80" si="5489">IF(LanBoo2LevelCurrent&gt;=$B80,"-",IF(LanBoo2LevelDesired&lt;$B80,"-",$E80))</f>
        <v>-</v>
      </c>
      <c r="BN80" s="15" t="str">
        <f t="shared" ref="BN80" si="5490">IF(MarGog2LevelCurrent&gt;=$B80,"-",IF(MarGog2LevelDesired&lt;$B80,"-",$C80))</f>
        <v>-</v>
      </c>
      <c r="BO80" s="1" t="str">
        <f t="shared" ref="BO80" si="5491">IF(MarGog2LevelCurrent&gt;=$B80,"-",IF(MarGog2LevelDesired&lt;$B80,"-",$D80))</f>
        <v>-</v>
      </c>
      <c r="BP80" s="21" t="str">
        <f t="shared" ref="BP80" si="5492">IF(MarGog2LevelCurrent&gt;=$B80,"-",IF(MarGog2LevelDesired&lt;$B80,"-",$E80))</f>
        <v>-</v>
      </c>
      <c r="BQ80" s="15" t="str">
        <f t="shared" ref="BQ80" si="5493">IF(MarGlo2LevelCurrent&gt;=$B80,"-",IF(MarGlo2LevelDesired&lt;$B80,"-",$C80))</f>
        <v>-</v>
      </c>
      <c r="BR80" s="1" t="str">
        <f t="shared" ref="BR80" si="5494">IF(MarGlo2LevelCurrent&gt;=$B80,"-",IF(MarGlo2LevelDesired&lt;$B80,"-",$D80))</f>
        <v>-</v>
      </c>
      <c r="BS80" s="21" t="str">
        <f t="shared" ref="BS80" si="5495">IF(MarGlo2LevelCurrent&gt;=$B80,"-",IF(MarGlo2LevelDesired&lt;$B80,"-",$E80))</f>
        <v>-</v>
      </c>
      <c r="BT80" s="15" t="str">
        <f t="shared" ref="BT80" si="5496">IF(MarBel2LevelCurrent&gt;=$B80,"-",IF(MarBel2LevelDesired&lt;$B80,"-",$C80))</f>
        <v>-</v>
      </c>
      <c r="BU80" s="1" t="str">
        <f t="shared" ref="BU80" si="5497">IF(MarBel2LevelCurrent&gt;=$B80,"-",IF(MarBel2LevelDesired&lt;$B80,"-",$D80))</f>
        <v>-</v>
      </c>
      <c r="BV80" s="21" t="str">
        <f t="shared" ref="BV80" si="5498">IF(MarBel2LevelCurrent&gt;=$B80,"-",IF(MarBel2LevelDesired&lt;$B80,"-",$E80))</f>
        <v>-</v>
      </c>
      <c r="BW80" s="15" t="str">
        <f t="shared" ref="BW80" si="5499">IF(MarBoo2LevelCurrent&gt;=$B80,"-",IF(MarBoo2LevelDesired&lt;$B80,"-",$C80))</f>
        <v>-</v>
      </c>
      <c r="BX80" s="1" t="str">
        <f t="shared" ref="BX80" si="5500">IF(MarBoo2LevelCurrent&gt;=$B80,"-",IF(MarBoo2LevelDesired&lt;$B80,"-",$D80))</f>
        <v>-</v>
      </c>
      <c r="BY80" s="21" t="str">
        <f t="shared" ref="BY80" si="5501">IF(MarBoo2LevelCurrent&gt;=$B80,"-",IF(MarBoo2LevelDesired&lt;$B80,"-",$E80))</f>
        <v>-</v>
      </c>
      <c r="BZ80" s="15" t="str">
        <f t="shared" si="4748"/>
        <v>-</v>
      </c>
      <c r="CA80" s="1" t="str" cm="1">
        <f t="array" ref="CA80">IF(InfGog3LevelCurrent&gt;=$B80,"-",IF(InfGog3LevelDesired&lt;$B80,"-",$D80))</f>
        <v>-</v>
      </c>
      <c r="CB80" s="21" t="str" cm="1">
        <f t="array" ref="CB80">IF(InfGog3LevelCurrent&gt;=$B80,"-",IF(InfGog3LevelDesired&lt;$B80,"-",$E80))</f>
        <v>-</v>
      </c>
      <c r="CC80" s="15" t="str">
        <f t="shared" si="4749"/>
        <v>-</v>
      </c>
      <c r="CD80" s="1" t="str">
        <f t="shared" si="4750"/>
        <v>-</v>
      </c>
      <c r="CE80" s="21" t="str">
        <f t="shared" si="4751"/>
        <v>-</v>
      </c>
      <c r="CF80" s="15" t="str">
        <f t="shared" si="4752"/>
        <v>-</v>
      </c>
      <c r="CG80" s="1" t="str">
        <f t="shared" si="4753"/>
        <v>-</v>
      </c>
      <c r="CH80" s="21" t="str">
        <f t="shared" si="4754"/>
        <v>-</v>
      </c>
      <c r="CI80" s="15" t="str">
        <f t="shared" si="4755"/>
        <v>-</v>
      </c>
      <c r="CJ80" s="1" t="str">
        <f t="shared" si="4756"/>
        <v>-</v>
      </c>
      <c r="CK80" s="21" t="str">
        <f t="shared" si="4757"/>
        <v>-</v>
      </c>
      <c r="CL80" s="15" t="str">
        <f t="shared" si="4758"/>
        <v>-</v>
      </c>
      <c r="CM80" s="1" t="str">
        <f t="shared" si="4759"/>
        <v>-</v>
      </c>
      <c r="CN80" s="21" t="str">
        <f t="shared" si="4760"/>
        <v>-</v>
      </c>
      <c r="CO80" s="15" t="str">
        <f t="shared" si="4761"/>
        <v>-</v>
      </c>
      <c r="CP80" s="1" t="str">
        <f t="shared" si="4762"/>
        <v>-</v>
      </c>
      <c r="CQ80" s="21" t="str">
        <f t="shared" si="4763"/>
        <v>-</v>
      </c>
      <c r="CR80" s="15" t="str">
        <f t="shared" si="4764"/>
        <v>-</v>
      </c>
      <c r="CS80" s="1" t="str">
        <f t="shared" si="4765"/>
        <v>-</v>
      </c>
      <c r="CT80" s="21" t="str">
        <f t="shared" si="4766"/>
        <v>-</v>
      </c>
      <c r="CU80" s="15" t="str">
        <f t="shared" si="4767"/>
        <v>-</v>
      </c>
      <c r="CV80" s="1" t="str">
        <f t="shared" si="4768"/>
        <v>-</v>
      </c>
      <c r="CW80" s="21" t="str">
        <f t="shared" si="4769"/>
        <v>-</v>
      </c>
      <c r="CX80" s="15" t="str">
        <f t="shared" si="4770"/>
        <v>-</v>
      </c>
      <c r="CY80" s="1" t="str">
        <f t="shared" si="4771"/>
        <v>-</v>
      </c>
      <c r="CZ80" s="21" t="str">
        <f t="shared" si="4772"/>
        <v>-</v>
      </c>
      <c r="DA80" s="15" t="str">
        <f t="shared" si="4773"/>
        <v>-</v>
      </c>
      <c r="DB80" s="1" t="str">
        <f t="shared" si="4774"/>
        <v>-</v>
      </c>
      <c r="DC80" s="21" t="str">
        <f t="shared" si="4775"/>
        <v>-</v>
      </c>
      <c r="DD80" s="15" t="str">
        <f t="shared" si="4776"/>
        <v>-</v>
      </c>
      <c r="DE80" s="1" t="str">
        <f t="shared" si="4777"/>
        <v>-</v>
      </c>
      <c r="DF80" s="21" t="str">
        <f t="shared" si="4778"/>
        <v>-</v>
      </c>
      <c r="DG80" s="15" t="str">
        <f t="shared" si="4779"/>
        <v>-</v>
      </c>
      <c r="DH80" s="1" t="str">
        <f t="shared" si="4780"/>
        <v>-</v>
      </c>
      <c r="DI80" s="21" t="str">
        <f t="shared" si="4781"/>
        <v>-</v>
      </c>
    </row>
    <row r="81" spans="2:113" x14ac:dyDescent="0.3">
      <c r="B81" s="1">
        <v>76</v>
      </c>
      <c r="C81" s="67">
        <v>1230</v>
      </c>
      <c r="D81" s="88" t="s">
        <v>27</v>
      </c>
      <c r="E81" s="21" t="s">
        <v>27</v>
      </c>
      <c r="F81" s="15" t="str">
        <f t="shared" ref="F81" si="5502">IF(InfGog1LevelCurrent&gt;=$B81,"-",IF(InfGog1LevelDesired&lt;$B81,"-",$C81))</f>
        <v>-</v>
      </c>
      <c r="G81" s="1" t="str">
        <f t="shared" ref="G81" si="5503">IF(InfGog1LevelCurrent&gt;=$B81,"-",IF(InfGog1LevelDesired&lt;$B81,"-",$D81))</f>
        <v>-</v>
      </c>
      <c r="H81" s="21" t="str">
        <f t="shared" ref="H81" si="5504">IF(InfGog1LevelCurrent&gt;=$B81,"-",IF(InfGog1LevelDesired&lt;$B81,"-",$E81))</f>
        <v>-</v>
      </c>
      <c r="I81" s="15" t="str">
        <f t="shared" ref="I81" si="5505">IF(InfGlo1LevelCurrent&gt;=$B81,"-",IF(InfGlo1LevelDesired&lt;$B81,"-",$C81))</f>
        <v>-</v>
      </c>
      <c r="J81" s="1" t="str">
        <f t="shared" ref="J81" si="5506">IF(InfGlo1LevelCurrent&gt;=$B81,"-",IF(InfGlo1LevelDesired&lt;$B81,"-",$D81))</f>
        <v>-</v>
      </c>
      <c r="K81" s="21" t="str">
        <f t="shared" ref="K81" si="5507">IF(InfGlo1LevelCurrent&gt;=$B81,"-",IF(InfGlo1LevelDesired&lt;$B81,"-",$E81))</f>
        <v>-</v>
      </c>
      <c r="L81" s="15" t="str">
        <f t="shared" ref="L81" si="5508">IF(InfBel1LevelCurrent&gt;=$B81,"-",IF(InfBel1LevelDesired&lt;$B81,"-",$C81))</f>
        <v>-</v>
      </c>
      <c r="M81" s="1" t="str">
        <f t="shared" ref="M81" si="5509">IF(InfBel1LevelCurrent&gt;=$B81,"-",IF(InfBel1LevelDesired&lt;$B81,"-",$D81))</f>
        <v>-</v>
      </c>
      <c r="N81" s="21" t="str">
        <f t="shared" ref="N81" si="5510">IF(InfBel1LevelCurrent&gt;=$B81,"-",IF(InfBel1LevelDesired&lt;$B81,"-",$E81))</f>
        <v>-</v>
      </c>
      <c r="O81" s="15" t="str">
        <f t="shared" ref="O81" si="5511">IF(InfBoo1LevelCurrent&gt;=$B81,"-",IF(InfBoo1LevelDesired&lt;$B81,"-",$C81))</f>
        <v>-</v>
      </c>
      <c r="P81" s="1" t="str">
        <f t="shared" ref="P81" si="5512">IF(InfBoo1LevelCurrent&gt;=$B81,"-",IF(InfBoo1LevelDesired&lt;$B81,"-",$D81))</f>
        <v>-</v>
      </c>
      <c r="Q81" s="21" t="str">
        <f t="shared" ref="Q81" si="5513">IF(InfBoo1LevelCurrent&gt;=$B81,"-",IF(InfBoo1LevelDesired&lt;$B81,"-",$E81))</f>
        <v>-</v>
      </c>
      <c r="R81" s="15" t="str">
        <f t="shared" ref="R81" si="5514">IF(LanGog1LevelCurrent&gt;=$B81,"-",IF(LanGog1LevelDesired&lt;$B81,"-",$C81))</f>
        <v>-</v>
      </c>
      <c r="S81" s="1" t="str">
        <f t="shared" ref="S81" si="5515">IF(LanGog1LevelCurrent&gt;=$B81,"-",IF(LanGog1LevelDesired&lt;$B81,"-",$D81))</f>
        <v>-</v>
      </c>
      <c r="T81" s="21" t="str">
        <f t="shared" ref="T81" si="5516">IF(LanGog1LevelCurrent&gt;=$B81,"-",IF(LanGog1LevelDesired&lt;$B81,"-",$E81))</f>
        <v>-</v>
      </c>
      <c r="U81" s="15" t="str">
        <f t="shared" ref="U81" si="5517">IF(LanGlo1LevelCurrent&gt;=$B81,"-",IF(LanGlo1LevelDesired&lt;$B81,"-",$C81))</f>
        <v>-</v>
      </c>
      <c r="V81" s="1" t="str">
        <f t="shared" ref="V81" si="5518">IF(LanGlo1LevelCurrent&gt;=$B81,"-",IF(LanGlo1LevelDesired&lt;$B81,"-",$D81))</f>
        <v>-</v>
      </c>
      <c r="W81" s="21" t="str">
        <f t="shared" ref="W81" si="5519">IF(LanGlo1LevelCurrent&gt;=$B81,"-",IF(LanGlo1LevelDesired&lt;$B81,"-",$E81))</f>
        <v>-</v>
      </c>
      <c r="X81" s="15" t="str">
        <f t="shared" ref="X81" si="5520">IF(LanBel1LevelCurrent&gt;=$B81,"-",IF(LanBel1LevelDesired&lt;$B81,"-",$C81))</f>
        <v>-</v>
      </c>
      <c r="Y81" s="1" t="str">
        <f t="shared" ref="Y81" si="5521">IF(LanBel1LevelCurrent&gt;=$B81,"-",IF(LanBel1LevelDesired&lt;$B81,"-",$D81))</f>
        <v>-</v>
      </c>
      <c r="Z81" s="21" t="str">
        <f t="shared" ref="Z81" si="5522">IF(LanBel1LevelCurrent&gt;=$B81,"-",IF(LanBel1LevelDesired&lt;$B81,"-",$E81))</f>
        <v>-</v>
      </c>
      <c r="AA81" s="15" t="str">
        <f t="shared" ref="AA81" si="5523">IF(LanBoo1LevelCurrent&gt;=$B81,"-",IF(LanBoo1LevelDesired&lt;$B81,"-",$C81))</f>
        <v>-</v>
      </c>
      <c r="AB81" s="1" t="str">
        <f t="shared" ref="AB81" si="5524">IF(LanBoo1LevelCurrent&gt;=$B81,"-",IF(LanBoo1LevelDesired&lt;$B81,"-",$D81))</f>
        <v>-</v>
      </c>
      <c r="AC81" s="21" t="str">
        <f t="shared" ref="AC81" si="5525">IF(LanBoo1LevelCurrent&gt;=$B81,"-",IF(LanBoo1LevelDesired&lt;$B81,"-",$E81))</f>
        <v>-</v>
      </c>
      <c r="AD81" s="15" t="str">
        <f t="shared" ref="AD81" si="5526">IF(MarGog1LevelCurrent&gt;=$B81,"-",IF(MarGog1LevelDesired&lt;$B81,"-",$C81))</f>
        <v>-</v>
      </c>
      <c r="AE81" s="1" t="str">
        <f t="shared" ref="AE81" si="5527">IF(MarGog1LevelCurrent&gt;=$B81,"-",IF(MarGog1LevelDesired&lt;$B81,"-",$D81))</f>
        <v>-</v>
      </c>
      <c r="AF81" s="21" t="str">
        <f t="shared" ref="AF81" si="5528">IF(MarGog1LevelCurrent&gt;=$B81,"-",IF(MarGog1LevelDesired&lt;$B81,"-",$E81))</f>
        <v>-</v>
      </c>
      <c r="AG81" s="15" t="str">
        <f t="shared" ref="AG81" si="5529">IF(MarGlo1LevelCurrent&gt;=$B81,"-",IF(MarGlo1LevelDesired&lt;$B81,"-",$C81))</f>
        <v>-</v>
      </c>
      <c r="AH81" s="1" t="str">
        <f t="shared" ref="AH81" si="5530">IF(MarGlo1LevelCurrent&gt;=$B81,"-",IF(MarGlo1LevelDesired&lt;$B81,"-",$D81))</f>
        <v>-</v>
      </c>
      <c r="AI81" s="21" t="str">
        <f t="shared" ref="AI81" si="5531">IF(MarGlo1LevelCurrent&gt;=$B81,"-",IF(MarGlo1LevelDesired&lt;$B81,"-",$E81))</f>
        <v>-</v>
      </c>
      <c r="AJ81" s="15" t="str">
        <f t="shared" ref="AJ81" si="5532">IF(MarBel1LevelCurrent&gt;=$B81,"-",IF(MarBel1LevelDesired&lt;$B81,"-",$C81))</f>
        <v>-</v>
      </c>
      <c r="AK81" s="1" t="str">
        <f t="shared" ref="AK81" si="5533">IF(MarBel1LevelCurrent&gt;=$B81,"-",IF(MarBel1LevelDesired&lt;$B81,"-",$D81))</f>
        <v>-</v>
      </c>
      <c r="AL81" s="21" t="str">
        <f t="shared" ref="AL81" si="5534">IF(MarBel1LevelCurrent&gt;=$B81,"-",IF(MarBel1LevelDesired&lt;$B81,"-",$E81))</f>
        <v>-</v>
      </c>
      <c r="AM81" s="15" t="str">
        <f t="shared" ref="AM81" si="5535">IF(MarBoo1LevelCurrent&gt;=$B81,"-",IF(MarBoo1LevelDesired&lt;$B81,"-",$C81))</f>
        <v>-</v>
      </c>
      <c r="AN81" s="1" t="str">
        <f t="shared" ref="AN81" si="5536">IF(MarBoo1LevelCurrent&gt;=$B81,"-",IF(MarBoo1LevelDesired&lt;$B81,"-",$D81))</f>
        <v>-</v>
      </c>
      <c r="AO81" s="21" t="str">
        <f t="shared" ref="AO81" si="5537">IF(MarBoo1LevelCurrent&gt;=$B81,"-",IF(MarBoo1LevelDesired&lt;$B81,"-",$E81))</f>
        <v>-</v>
      </c>
      <c r="AP81" s="15" t="str">
        <f t="shared" ref="AP81" si="5538">IF(InfGog2LevelCurrent&gt;=$B81,"-",IF(InfGog2LevelDesired&lt;$B81,"-",$C81))</f>
        <v>-</v>
      </c>
      <c r="AQ81" s="1" t="str">
        <f t="shared" ref="AQ81" si="5539">IF(InfGog2LevelCurrent&gt;=$B81,"-",IF(InfGog2LevelDesired&lt;$B81,"-",$D81))</f>
        <v>-</v>
      </c>
      <c r="AR81" s="21" t="str">
        <f t="shared" ref="AR81" si="5540">IF(InfGog2LevelCurrent&gt;=$B81,"-",IF(InfGog2LevelDesired&lt;$B81,"-",$E81))</f>
        <v>-</v>
      </c>
      <c r="AS81" s="15" t="str">
        <f t="shared" ref="AS81" si="5541">IF(InfGlo2LevelCurrent&gt;=$B81,"-",IF(InfGlo2LevelDesired&lt;$B81,"-",$C81))</f>
        <v>-</v>
      </c>
      <c r="AT81" s="1" t="str">
        <f t="shared" ref="AT81" si="5542">IF(InfGlo2LevelCurrent&gt;=$B81,"-",IF(InfGlo2LevelDesired&lt;$B81,"-",$D81))</f>
        <v>-</v>
      </c>
      <c r="AU81" s="21" t="str">
        <f t="shared" ref="AU81" si="5543">IF(InfGlo2LevelCurrent&gt;=$B81,"-",IF(InfGlo2LevelDesired&lt;$B81,"-",$E81))</f>
        <v>-</v>
      </c>
      <c r="AV81" s="15" t="str">
        <f t="shared" ref="AV81" si="5544">IF(InfBel2LevelCurrent&gt;=$B81,"-",IF(InfBel2LevelDesired&lt;$B81,"-",$C81))</f>
        <v>-</v>
      </c>
      <c r="AW81" s="1" t="str">
        <f t="shared" ref="AW81" si="5545">IF(InfBel2LevelCurrent&gt;=$B81,"-",IF(InfBel2LevelDesired&lt;$B81,"-",$D81))</f>
        <v>-</v>
      </c>
      <c r="AX81" s="21" t="str">
        <f t="shared" ref="AX81" si="5546">IF(InfBel2LevelCurrent&gt;=$B81,"-",IF(InfBel2LevelDesired&lt;$B81,"-",$E81))</f>
        <v>-</v>
      </c>
      <c r="AY81" s="15" t="str">
        <f t="shared" ref="AY81" si="5547">IF(InfBoo2LevelCurrent&gt;=$B81,"-",IF(InfBoo2LevelDesired&lt;$B81,"-",$C81))</f>
        <v>-</v>
      </c>
      <c r="AZ81" s="1" t="str">
        <f t="shared" ref="AZ81" si="5548">IF(InfBoo2LevelCurrent&gt;=$B81,"-",IF(InfBoo2LevelDesired&lt;$B81,"-",$D81))</f>
        <v>-</v>
      </c>
      <c r="BA81" s="21" t="str">
        <f t="shared" ref="BA81" si="5549">IF(InfBoo2LevelCurrent&gt;=$B81,"-",IF(InfBoo2LevelDesired&lt;$B81,"-",$E81))</f>
        <v>-</v>
      </c>
      <c r="BB81" s="15" t="str">
        <f t="shared" ref="BB81" si="5550">IF(LanGog2LevelCurrent&gt;=$B81,"-",IF(LanGog2LevelDesired&lt;$B81,"-",$C81))</f>
        <v>-</v>
      </c>
      <c r="BC81" s="1" t="str">
        <f t="shared" ref="BC81" si="5551">IF(LanGog2LevelCurrent&gt;=$B81,"-",IF(LanGog2LevelDesired&lt;$B81,"-",$D81))</f>
        <v>-</v>
      </c>
      <c r="BD81" s="21" t="str">
        <f t="shared" ref="BD81" si="5552">IF(LanGog2LevelCurrent&gt;=$B81,"-",IF(LanGog2LevelDesired&lt;$B81,"-",$E81))</f>
        <v>-</v>
      </c>
      <c r="BE81" s="15" t="str">
        <f t="shared" ref="BE81" si="5553">IF(LanGlo2LevelCurrent&gt;=$B81,"-",IF(LanGlo2LevelDesired&lt;$B81,"-",$C81))</f>
        <v>-</v>
      </c>
      <c r="BF81" s="1" t="str">
        <f t="shared" ref="BF81" si="5554">IF(LanGlo2LevelCurrent&gt;=$B81,"-",IF(LanGlo2LevelDesired&lt;$B81,"-",$D81))</f>
        <v>-</v>
      </c>
      <c r="BG81" s="21" t="str">
        <f t="shared" ref="BG81" si="5555">IF(LanGlo2LevelCurrent&gt;=$B81,"-",IF(LanGlo2LevelDesired&lt;$B81,"-",$E81))</f>
        <v>-</v>
      </c>
      <c r="BH81" s="15" t="str">
        <f t="shared" ref="BH81" si="5556">IF(LanBel2LevelCurrent&gt;=$B81,"-",IF(LanBel2LevelDesired&lt;$B81,"-",$C81))</f>
        <v>-</v>
      </c>
      <c r="BI81" s="1" t="str">
        <f t="shared" ref="BI81" si="5557">IF(LanBel2LevelCurrent&gt;=$B81,"-",IF(LanBel2LevelDesired&lt;$B81,"-",$D81))</f>
        <v>-</v>
      </c>
      <c r="BJ81" s="21" t="str">
        <f t="shared" ref="BJ81" si="5558">IF(LanBel2LevelCurrent&gt;=$B81,"-",IF(LanBel2LevelDesired&lt;$B81,"-",$E81))</f>
        <v>-</v>
      </c>
      <c r="BK81" s="15" t="str">
        <f t="shared" ref="BK81" si="5559">IF(LanBoo2LevelCurrent&gt;=$B81,"-",IF(LanBoo2LevelDesired&lt;$B81,"-",$C81))</f>
        <v>-</v>
      </c>
      <c r="BL81" s="1" t="str">
        <f t="shared" ref="BL81" si="5560">IF(LanBoo2LevelCurrent&gt;=$B81,"-",IF(LanBoo2LevelDesired&lt;$B81,"-",$D81))</f>
        <v>-</v>
      </c>
      <c r="BM81" s="21" t="str">
        <f t="shared" ref="BM81" si="5561">IF(LanBoo2LevelCurrent&gt;=$B81,"-",IF(LanBoo2LevelDesired&lt;$B81,"-",$E81))</f>
        <v>-</v>
      </c>
      <c r="BN81" s="15" t="str">
        <f t="shared" ref="BN81" si="5562">IF(MarGog2LevelCurrent&gt;=$B81,"-",IF(MarGog2LevelDesired&lt;$B81,"-",$C81))</f>
        <v>-</v>
      </c>
      <c r="BO81" s="1" t="str">
        <f t="shared" ref="BO81" si="5563">IF(MarGog2LevelCurrent&gt;=$B81,"-",IF(MarGog2LevelDesired&lt;$B81,"-",$D81))</f>
        <v>-</v>
      </c>
      <c r="BP81" s="21" t="str">
        <f t="shared" ref="BP81" si="5564">IF(MarGog2LevelCurrent&gt;=$B81,"-",IF(MarGog2LevelDesired&lt;$B81,"-",$E81))</f>
        <v>-</v>
      </c>
      <c r="BQ81" s="15" t="str">
        <f t="shared" ref="BQ81" si="5565">IF(MarGlo2LevelCurrent&gt;=$B81,"-",IF(MarGlo2LevelDesired&lt;$B81,"-",$C81))</f>
        <v>-</v>
      </c>
      <c r="BR81" s="1" t="str">
        <f t="shared" ref="BR81" si="5566">IF(MarGlo2LevelCurrent&gt;=$B81,"-",IF(MarGlo2LevelDesired&lt;$B81,"-",$D81))</f>
        <v>-</v>
      </c>
      <c r="BS81" s="21" t="str">
        <f t="shared" ref="BS81" si="5567">IF(MarGlo2LevelCurrent&gt;=$B81,"-",IF(MarGlo2LevelDesired&lt;$B81,"-",$E81))</f>
        <v>-</v>
      </c>
      <c r="BT81" s="15" t="str">
        <f t="shared" ref="BT81" si="5568">IF(MarBel2LevelCurrent&gt;=$B81,"-",IF(MarBel2LevelDesired&lt;$B81,"-",$C81))</f>
        <v>-</v>
      </c>
      <c r="BU81" s="1" t="str">
        <f t="shared" ref="BU81" si="5569">IF(MarBel2LevelCurrent&gt;=$B81,"-",IF(MarBel2LevelDesired&lt;$B81,"-",$D81))</f>
        <v>-</v>
      </c>
      <c r="BV81" s="21" t="str">
        <f t="shared" ref="BV81" si="5570">IF(MarBel2LevelCurrent&gt;=$B81,"-",IF(MarBel2LevelDesired&lt;$B81,"-",$E81))</f>
        <v>-</v>
      </c>
      <c r="BW81" s="15" t="str">
        <f t="shared" ref="BW81" si="5571">IF(MarBoo2LevelCurrent&gt;=$B81,"-",IF(MarBoo2LevelDesired&lt;$B81,"-",$C81))</f>
        <v>-</v>
      </c>
      <c r="BX81" s="1" t="str">
        <f t="shared" ref="BX81" si="5572">IF(MarBoo2LevelCurrent&gt;=$B81,"-",IF(MarBoo2LevelDesired&lt;$B81,"-",$D81))</f>
        <v>-</v>
      </c>
      <c r="BY81" s="21" t="str">
        <f t="shared" ref="BY81" si="5573">IF(MarBoo2LevelCurrent&gt;=$B81,"-",IF(MarBoo2LevelDesired&lt;$B81,"-",$E81))</f>
        <v>-</v>
      </c>
      <c r="BZ81" s="15" t="str">
        <f t="shared" si="4748"/>
        <v>-</v>
      </c>
      <c r="CA81" s="1" t="str" cm="1">
        <f t="array" ref="CA81">IF(InfGog3LevelCurrent&gt;=$B81,"-",IF(InfGog3LevelDesired&lt;$B81,"-",$D81))</f>
        <v>-</v>
      </c>
      <c r="CB81" s="21" t="str" cm="1">
        <f t="array" ref="CB81">IF(InfGog3LevelCurrent&gt;=$B81,"-",IF(InfGog3LevelDesired&lt;$B81,"-",$E81))</f>
        <v>-</v>
      </c>
      <c r="CC81" s="15" t="str">
        <f t="shared" si="4749"/>
        <v>-</v>
      </c>
      <c r="CD81" s="1" t="str">
        <f t="shared" si="4750"/>
        <v>-</v>
      </c>
      <c r="CE81" s="21" t="str">
        <f t="shared" si="4751"/>
        <v>-</v>
      </c>
      <c r="CF81" s="15" t="str">
        <f t="shared" si="4752"/>
        <v>-</v>
      </c>
      <c r="CG81" s="1" t="str">
        <f t="shared" si="4753"/>
        <v>-</v>
      </c>
      <c r="CH81" s="21" t="str">
        <f t="shared" si="4754"/>
        <v>-</v>
      </c>
      <c r="CI81" s="15" t="str">
        <f t="shared" si="4755"/>
        <v>-</v>
      </c>
      <c r="CJ81" s="1" t="str">
        <f t="shared" si="4756"/>
        <v>-</v>
      </c>
      <c r="CK81" s="21" t="str">
        <f t="shared" si="4757"/>
        <v>-</v>
      </c>
      <c r="CL81" s="15" t="str">
        <f t="shared" si="4758"/>
        <v>-</v>
      </c>
      <c r="CM81" s="1" t="str">
        <f t="shared" si="4759"/>
        <v>-</v>
      </c>
      <c r="CN81" s="21" t="str">
        <f t="shared" si="4760"/>
        <v>-</v>
      </c>
      <c r="CO81" s="15" t="str">
        <f t="shared" si="4761"/>
        <v>-</v>
      </c>
      <c r="CP81" s="1" t="str">
        <f t="shared" si="4762"/>
        <v>-</v>
      </c>
      <c r="CQ81" s="21" t="str">
        <f t="shared" si="4763"/>
        <v>-</v>
      </c>
      <c r="CR81" s="15" t="str">
        <f t="shared" si="4764"/>
        <v>-</v>
      </c>
      <c r="CS81" s="1" t="str">
        <f t="shared" si="4765"/>
        <v>-</v>
      </c>
      <c r="CT81" s="21" t="str">
        <f t="shared" si="4766"/>
        <v>-</v>
      </c>
      <c r="CU81" s="15" t="str">
        <f t="shared" si="4767"/>
        <v>-</v>
      </c>
      <c r="CV81" s="1" t="str">
        <f t="shared" si="4768"/>
        <v>-</v>
      </c>
      <c r="CW81" s="21" t="str">
        <f t="shared" si="4769"/>
        <v>-</v>
      </c>
      <c r="CX81" s="15" t="str">
        <f t="shared" si="4770"/>
        <v>-</v>
      </c>
      <c r="CY81" s="1" t="str">
        <f t="shared" si="4771"/>
        <v>-</v>
      </c>
      <c r="CZ81" s="21" t="str">
        <f t="shared" si="4772"/>
        <v>-</v>
      </c>
      <c r="DA81" s="15" t="str">
        <f t="shared" si="4773"/>
        <v>-</v>
      </c>
      <c r="DB81" s="1" t="str">
        <f t="shared" si="4774"/>
        <v>-</v>
      </c>
      <c r="DC81" s="21" t="str">
        <f t="shared" si="4775"/>
        <v>-</v>
      </c>
      <c r="DD81" s="15" t="str">
        <f t="shared" si="4776"/>
        <v>-</v>
      </c>
      <c r="DE81" s="1" t="str">
        <f t="shared" si="4777"/>
        <v>-</v>
      </c>
      <c r="DF81" s="21" t="str">
        <f t="shared" si="4778"/>
        <v>-</v>
      </c>
      <c r="DG81" s="15" t="str">
        <f t="shared" si="4779"/>
        <v>-</v>
      </c>
      <c r="DH81" s="1" t="str">
        <f t="shared" si="4780"/>
        <v>-</v>
      </c>
      <c r="DI81" s="21" t="str">
        <f t="shared" si="4781"/>
        <v>-</v>
      </c>
    </row>
    <row r="82" spans="2:113" x14ac:dyDescent="0.3">
      <c r="B82" s="1">
        <v>77</v>
      </c>
      <c r="C82" s="67">
        <v>1270</v>
      </c>
      <c r="D82" s="88" t="s">
        <v>27</v>
      </c>
      <c r="E82" s="21" t="s">
        <v>27</v>
      </c>
      <c r="F82" s="15" t="str">
        <f t="shared" ref="F82" si="5574">IF(InfGog1LevelCurrent&gt;=$B82,"-",IF(InfGog1LevelDesired&lt;$B82,"-",$C82))</f>
        <v>-</v>
      </c>
      <c r="G82" s="1" t="str">
        <f t="shared" ref="G82" si="5575">IF(InfGog1LevelCurrent&gt;=$B82,"-",IF(InfGog1LevelDesired&lt;$B82,"-",$D82))</f>
        <v>-</v>
      </c>
      <c r="H82" s="21" t="str">
        <f t="shared" ref="H82" si="5576">IF(InfGog1LevelCurrent&gt;=$B82,"-",IF(InfGog1LevelDesired&lt;$B82,"-",$E82))</f>
        <v>-</v>
      </c>
      <c r="I82" s="15" t="str">
        <f t="shared" ref="I82" si="5577">IF(InfGlo1LevelCurrent&gt;=$B82,"-",IF(InfGlo1LevelDesired&lt;$B82,"-",$C82))</f>
        <v>-</v>
      </c>
      <c r="J82" s="1" t="str">
        <f t="shared" ref="J82" si="5578">IF(InfGlo1LevelCurrent&gt;=$B82,"-",IF(InfGlo1LevelDesired&lt;$B82,"-",$D82))</f>
        <v>-</v>
      </c>
      <c r="K82" s="21" t="str">
        <f t="shared" ref="K82" si="5579">IF(InfGlo1LevelCurrent&gt;=$B82,"-",IF(InfGlo1LevelDesired&lt;$B82,"-",$E82))</f>
        <v>-</v>
      </c>
      <c r="L82" s="15" t="str">
        <f t="shared" ref="L82" si="5580">IF(InfBel1LevelCurrent&gt;=$B82,"-",IF(InfBel1LevelDesired&lt;$B82,"-",$C82))</f>
        <v>-</v>
      </c>
      <c r="M82" s="1" t="str">
        <f t="shared" ref="M82" si="5581">IF(InfBel1LevelCurrent&gt;=$B82,"-",IF(InfBel1LevelDesired&lt;$B82,"-",$D82))</f>
        <v>-</v>
      </c>
      <c r="N82" s="21" t="str">
        <f t="shared" ref="N82" si="5582">IF(InfBel1LevelCurrent&gt;=$B82,"-",IF(InfBel1LevelDesired&lt;$B82,"-",$E82))</f>
        <v>-</v>
      </c>
      <c r="O82" s="15" t="str">
        <f t="shared" ref="O82" si="5583">IF(InfBoo1LevelCurrent&gt;=$B82,"-",IF(InfBoo1LevelDesired&lt;$B82,"-",$C82))</f>
        <v>-</v>
      </c>
      <c r="P82" s="1" t="str">
        <f t="shared" ref="P82" si="5584">IF(InfBoo1LevelCurrent&gt;=$B82,"-",IF(InfBoo1LevelDesired&lt;$B82,"-",$D82))</f>
        <v>-</v>
      </c>
      <c r="Q82" s="21" t="str">
        <f t="shared" ref="Q82" si="5585">IF(InfBoo1LevelCurrent&gt;=$B82,"-",IF(InfBoo1LevelDesired&lt;$B82,"-",$E82))</f>
        <v>-</v>
      </c>
      <c r="R82" s="15" t="str">
        <f t="shared" ref="R82" si="5586">IF(LanGog1LevelCurrent&gt;=$B82,"-",IF(LanGog1LevelDesired&lt;$B82,"-",$C82))</f>
        <v>-</v>
      </c>
      <c r="S82" s="1" t="str">
        <f t="shared" ref="S82" si="5587">IF(LanGog1LevelCurrent&gt;=$B82,"-",IF(LanGog1LevelDesired&lt;$B82,"-",$D82))</f>
        <v>-</v>
      </c>
      <c r="T82" s="21" t="str">
        <f t="shared" ref="T82" si="5588">IF(LanGog1LevelCurrent&gt;=$B82,"-",IF(LanGog1LevelDesired&lt;$B82,"-",$E82))</f>
        <v>-</v>
      </c>
      <c r="U82" s="15" t="str">
        <f t="shared" ref="U82" si="5589">IF(LanGlo1LevelCurrent&gt;=$B82,"-",IF(LanGlo1LevelDesired&lt;$B82,"-",$C82))</f>
        <v>-</v>
      </c>
      <c r="V82" s="1" t="str">
        <f t="shared" ref="V82" si="5590">IF(LanGlo1LevelCurrent&gt;=$B82,"-",IF(LanGlo1LevelDesired&lt;$B82,"-",$D82))</f>
        <v>-</v>
      </c>
      <c r="W82" s="21" t="str">
        <f t="shared" ref="W82" si="5591">IF(LanGlo1LevelCurrent&gt;=$B82,"-",IF(LanGlo1LevelDesired&lt;$B82,"-",$E82))</f>
        <v>-</v>
      </c>
      <c r="X82" s="15" t="str">
        <f t="shared" ref="X82" si="5592">IF(LanBel1LevelCurrent&gt;=$B82,"-",IF(LanBel1LevelDesired&lt;$B82,"-",$C82))</f>
        <v>-</v>
      </c>
      <c r="Y82" s="1" t="str">
        <f t="shared" ref="Y82" si="5593">IF(LanBel1LevelCurrent&gt;=$B82,"-",IF(LanBel1LevelDesired&lt;$B82,"-",$D82))</f>
        <v>-</v>
      </c>
      <c r="Z82" s="21" t="str">
        <f t="shared" ref="Z82" si="5594">IF(LanBel1LevelCurrent&gt;=$B82,"-",IF(LanBel1LevelDesired&lt;$B82,"-",$E82))</f>
        <v>-</v>
      </c>
      <c r="AA82" s="15" t="str">
        <f t="shared" ref="AA82" si="5595">IF(LanBoo1LevelCurrent&gt;=$B82,"-",IF(LanBoo1LevelDesired&lt;$B82,"-",$C82))</f>
        <v>-</v>
      </c>
      <c r="AB82" s="1" t="str">
        <f t="shared" ref="AB82" si="5596">IF(LanBoo1LevelCurrent&gt;=$B82,"-",IF(LanBoo1LevelDesired&lt;$B82,"-",$D82))</f>
        <v>-</v>
      </c>
      <c r="AC82" s="21" t="str">
        <f t="shared" ref="AC82" si="5597">IF(LanBoo1LevelCurrent&gt;=$B82,"-",IF(LanBoo1LevelDesired&lt;$B82,"-",$E82))</f>
        <v>-</v>
      </c>
      <c r="AD82" s="15" t="str">
        <f t="shared" ref="AD82" si="5598">IF(MarGog1LevelCurrent&gt;=$B82,"-",IF(MarGog1LevelDesired&lt;$B82,"-",$C82))</f>
        <v>-</v>
      </c>
      <c r="AE82" s="1" t="str">
        <f t="shared" ref="AE82" si="5599">IF(MarGog1LevelCurrent&gt;=$B82,"-",IF(MarGog1LevelDesired&lt;$B82,"-",$D82))</f>
        <v>-</v>
      </c>
      <c r="AF82" s="21" t="str">
        <f t="shared" ref="AF82" si="5600">IF(MarGog1LevelCurrent&gt;=$B82,"-",IF(MarGog1LevelDesired&lt;$B82,"-",$E82))</f>
        <v>-</v>
      </c>
      <c r="AG82" s="15" t="str">
        <f t="shared" ref="AG82" si="5601">IF(MarGlo1LevelCurrent&gt;=$B82,"-",IF(MarGlo1LevelDesired&lt;$B82,"-",$C82))</f>
        <v>-</v>
      </c>
      <c r="AH82" s="1" t="str">
        <f t="shared" ref="AH82" si="5602">IF(MarGlo1LevelCurrent&gt;=$B82,"-",IF(MarGlo1LevelDesired&lt;$B82,"-",$D82))</f>
        <v>-</v>
      </c>
      <c r="AI82" s="21" t="str">
        <f t="shared" ref="AI82" si="5603">IF(MarGlo1LevelCurrent&gt;=$B82,"-",IF(MarGlo1LevelDesired&lt;$B82,"-",$E82))</f>
        <v>-</v>
      </c>
      <c r="AJ82" s="15" t="str">
        <f t="shared" ref="AJ82" si="5604">IF(MarBel1LevelCurrent&gt;=$B82,"-",IF(MarBel1LevelDesired&lt;$B82,"-",$C82))</f>
        <v>-</v>
      </c>
      <c r="AK82" s="1" t="str">
        <f t="shared" ref="AK82" si="5605">IF(MarBel1LevelCurrent&gt;=$B82,"-",IF(MarBel1LevelDesired&lt;$B82,"-",$D82))</f>
        <v>-</v>
      </c>
      <c r="AL82" s="21" t="str">
        <f t="shared" ref="AL82" si="5606">IF(MarBel1LevelCurrent&gt;=$B82,"-",IF(MarBel1LevelDesired&lt;$B82,"-",$E82))</f>
        <v>-</v>
      </c>
      <c r="AM82" s="15" t="str">
        <f t="shared" ref="AM82" si="5607">IF(MarBoo1LevelCurrent&gt;=$B82,"-",IF(MarBoo1LevelDesired&lt;$B82,"-",$C82))</f>
        <v>-</v>
      </c>
      <c r="AN82" s="1" t="str">
        <f t="shared" ref="AN82" si="5608">IF(MarBoo1LevelCurrent&gt;=$B82,"-",IF(MarBoo1LevelDesired&lt;$B82,"-",$D82))</f>
        <v>-</v>
      </c>
      <c r="AO82" s="21" t="str">
        <f t="shared" ref="AO82" si="5609">IF(MarBoo1LevelCurrent&gt;=$B82,"-",IF(MarBoo1LevelDesired&lt;$B82,"-",$E82))</f>
        <v>-</v>
      </c>
      <c r="AP82" s="15" t="str">
        <f t="shared" ref="AP82" si="5610">IF(InfGog2LevelCurrent&gt;=$B82,"-",IF(InfGog2LevelDesired&lt;$B82,"-",$C82))</f>
        <v>-</v>
      </c>
      <c r="AQ82" s="1" t="str">
        <f t="shared" ref="AQ82" si="5611">IF(InfGog2LevelCurrent&gt;=$B82,"-",IF(InfGog2LevelDesired&lt;$B82,"-",$D82))</f>
        <v>-</v>
      </c>
      <c r="AR82" s="21" t="str">
        <f t="shared" ref="AR82" si="5612">IF(InfGog2LevelCurrent&gt;=$B82,"-",IF(InfGog2LevelDesired&lt;$B82,"-",$E82))</f>
        <v>-</v>
      </c>
      <c r="AS82" s="15" t="str">
        <f t="shared" ref="AS82" si="5613">IF(InfGlo2LevelCurrent&gt;=$B82,"-",IF(InfGlo2LevelDesired&lt;$B82,"-",$C82))</f>
        <v>-</v>
      </c>
      <c r="AT82" s="1" t="str">
        <f t="shared" ref="AT82" si="5614">IF(InfGlo2LevelCurrent&gt;=$B82,"-",IF(InfGlo2LevelDesired&lt;$B82,"-",$D82))</f>
        <v>-</v>
      </c>
      <c r="AU82" s="21" t="str">
        <f t="shared" ref="AU82" si="5615">IF(InfGlo2LevelCurrent&gt;=$B82,"-",IF(InfGlo2LevelDesired&lt;$B82,"-",$E82))</f>
        <v>-</v>
      </c>
      <c r="AV82" s="15" t="str">
        <f t="shared" ref="AV82" si="5616">IF(InfBel2LevelCurrent&gt;=$B82,"-",IF(InfBel2LevelDesired&lt;$B82,"-",$C82))</f>
        <v>-</v>
      </c>
      <c r="AW82" s="1" t="str">
        <f t="shared" ref="AW82" si="5617">IF(InfBel2LevelCurrent&gt;=$B82,"-",IF(InfBel2LevelDesired&lt;$B82,"-",$D82))</f>
        <v>-</v>
      </c>
      <c r="AX82" s="21" t="str">
        <f t="shared" ref="AX82" si="5618">IF(InfBel2LevelCurrent&gt;=$B82,"-",IF(InfBel2LevelDesired&lt;$B82,"-",$E82))</f>
        <v>-</v>
      </c>
      <c r="AY82" s="15" t="str">
        <f t="shared" ref="AY82" si="5619">IF(InfBoo2LevelCurrent&gt;=$B82,"-",IF(InfBoo2LevelDesired&lt;$B82,"-",$C82))</f>
        <v>-</v>
      </c>
      <c r="AZ82" s="1" t="str">
        <f t="shared" ref="AZ82" si="5620">IF(InfBoo2LevelCurrent&gt;=$B82,"-",IF(InfBoo2LevelDesired&lt;$B82,"-",$D82))</f>
        <v>-</v>
      </c>
      <c r="BA82" s="21" t="str">
        <f t="shared" ref="BA82" si="5621">IF(InfBoo2LevelCurrent&gt;=$B82,"-",IF(InfBoo2LevelDesired&lt;$B82,"-",$E82))</f>
        <v>-</v>
      </c>
      <c r="BB82" s="15" t="str">
        <f t="shared" ref="BB82" si="5622">IF(LanGog2LevelCurrent&gt;=$B82,"-",IF(LanGog2LevelDesired&lt;$B82,"-",$C82))</f>
        <v>-</v>
      </c>
      <c r="BC82" s="1" t="str">
        <f t="shared" ref="BC82" si="5623">IF(LanGog2LevelCurrent&gt;=$B82,"-",IF(LanGog2LevelDesired&lt;$B82,"-",$D82))</f>
        <v>-</v>
      </c>
      <c r="BD82" s="21" t="str">
        <f t="shared" ref="BD82" si="5624">IF(LanGog2LevelCurrent&gt;=$B82,"-",IF(LanGog2LevelDesired&lt;$B82,"-",$E82))</f>
        <v>-</v>
      </c>
      <c r="BE82" s="15" t="str">
        <f t="shared" ref="BE82" si="5625">IF(LanGlo2LevelCurrent&gt;=$B82,"-",IF(LanGlo2LevelDesired&lt;$B82,"-",$C82))</f>
        <v>-</v>
      </c>
      <c r="BF82" s="1" t="str">
        <f t="shared" ref="BF82" si="5626">IF(LanGlo2LevelCurrent&gt;=$B82,"-",IF(LanGlo2LevelDesired&lt;$B82,"-",$D82))</f>
        <v>-</v>
      </c>
      <c r="BG82" s="21" t="str">
        <f t="shared" ref="BG82" si="5627">IF(LanGlo2LevelCurrent&gt;=$B82,"-",IF(LanGlo2LevelDesired&lt;$B82,"-",$E82))</f>
        <v>-</v>
      </c>
      <c r="BH82" s="15" t="str">
        <f t="shared" ref="BH82" si="5628">IF(LanBel2LevelCurrent&gt;=$B82,"-",IF(LanBel2LevelDesired&lt;$B82,"-",$C82))</f>
        <v>-</v>
      </c>
      <c r="BI82" s="1" t="str">
        <f t="shared" ref="BI82" si="5629">IF(LanBel2LevelCurrent&gt;=$B82,"-",IF(LanBel2LevelDesired&lt;$B82,"-",$D82))</f>
        <v>-</v>
      </c>
      <c r="BJ82" s="21" t="str">
        <f t="shared" ref="BJ82" si="5630">IF(LanBel2LevelCurrent&gt;=$B82,"-",IF(LanBel2LevelDesired&lt;$B82,"-",$E82))</f>
        <v>-</v>
      </c>
      <c r="BK82" s="15" t="str">
        <f t="shared" ref="BK82" si="5631">IF(LanBoo2LevelCurrent&gt;=$B82,"-",IF(LanBoo2LevelDesired&lt;$B82,"-",$C82))</f>
        <v>-</v>
      </c>
      <c r="BL82" s="1" t="str">
        <f t="shared" ref="BL82" si="5632">IF(LanBoo2LevelCurrent&gt;=$B82,"-",IF(LanBoo2LevelDesired&lt;$B82,"-",$D82))</f>
        <v>-</v>
      </c>
      <c r="BM82" s="21" t="str">
        <f t="shared" ref="BM82" si="5633">IF(LanBoo2LevelCurrent&gt;=$B82,"-",IF(LanBoo2LevelDesired&lt;$B82,"-",$E82))</f>
        <v>-</v>
      </c>
      <c r="BN82" s="15" t="str">
        <f t="shared" ref="BN82" si="5634">IF(MarGog2LevelCurrent&gt;=$B82,"-",IF(MarGog2LevelDesired&lt;$B82,"-",$C82))</f>
        <v>-</v>
      </c>
      <c r="BO82" s="1" t="str">
        <f t="shared" ref="BO82" si="5635">IF(MarGog2LevelCurrent&gt;=$B82,"-",IF(MarGog2LevelDesired&lt;$B82,"-",$D82))</f>
        <v>-</v>
      </c>
      <c r="BP82" s="21" t="str">
        <f t="shared" ref="BP82" si="5636">IF(MarGog2LevelCurrent&gt;=$B82,"-",IF(MarGog2LevelDesired&lt;$B82,"-",$E82))</f>
        <v>-</v>
      </c>
      <c r="BQ82" s="15" t="str">
        <f t="shared" ref="BQ82" si="5637">IF(MarGlo2LevelCurrent&gt;=$B82,"-",IF(MarGlo2LevelDesired&lt;$B82,"-",$C82))</f>
        <v>-</v>
      </c>
      <c r="BR82" s="1" t="str">
        <f t="shared" ref="BR82" si="5638">IF(MarGlo2LevelCurrent&gt;=$B82,"-",IF(MarGlo2LevelDesired&lt;$B82,"-",$D82))</f>
        <v>-</v>
      </c>
      <c r="BS82" s="21" t="str">
        <f t="shared" ref="BS82" si="5639">IF(MarGlo2LevelCurrent&gt;=$B82,"-",IF(MarGlo2LevelDesired&lt;$B82,"-",$E82))</f>
        <v>-</v>
      </c>
      <c r="BT82" s="15" t="str">
        <f t="shared" ref="BT82" si="5640">IF(MarBel2LevelCurrent&gt;=$B82,"-",IF(MarBel2LevelDesired&lt;$B82,"-",$C82))</f>
        <v>-</v>
      </c>
      <c r="BU82" s="1" t="str">
        <f t="shared" ref="BU82" si="5641">IF(MarBel2LevelCurrent&gt;=$B82,"-",IF(MarBel2LevelDesired&lt;$B82,"-",$D82))</f>
        <v>-</v>
      </c>
      <c r="BV82" s="21" t="str">
        <f t="shared" ref="BV82" si="5642">IF(MarBel2LevelCurrent&gt;=$B82,"-",IF(MarBel2LevelDesired&lt;$B82,"-",$E82))</f>
        <v>-</v>
      </c>
      <c r="BW82" s="15" t="str">
        <f t="shared" ref="BW82" si="5643">IF(MarBoo2LevelCurrent&gt;=$B82,"-",IF(MarBoo2LevelDesired&lt;$B82,"-",$C82))</f>
        <v>-</v>
      </c>
      <c r="BX82" s="1" t="str">
        <f t="shared" ref="BX82" si="5644">IF(MarBoo2LevelCurrent&gt;=$B82,"-",IF(MarBoo2LevelDesired&lt;$B82,"-",$D82))</f>
        <v>-</v>
      </c>
      <c r="BY82" s="21" t="str">
        <f t="shared" ref="BY82" si="5645">IF(MarBoo2LevelCurrent&gt;=$B82,"-",IF(MarBoo2LevelDesired&lt;$B82,"-",$E82))</f>
        <v>-</v>
      </c>
      <c r="BZ82" s="15" t="str">
        <f t="shared" si="4748"/>
        <v>-</v>
      </c>
      <c r="CA82" s="1" t="str" cm="1">
        <f t="array" ref="CA82">IF(InfGog3LevelCurrent&gt;=$B82,"-",IF(InfGog3LevelDesired&lt;$B82,"-",$D82))</f>
        <v>-</v>
      </c>
      <c r="CB82" s="21" t="str" cm="1">
        <f t="array" ref="CB82">IF(InfGog3LevelCurrent&gt;=$B82,"-",IF(InfGog3LevelDesired&lt;$B82,"-",$E82))</f>
        <v>-</v>
      </c>
      <c r="CC82" s="15" t="str">
        <f t="shared" si="4749"/>
        <v>-</v>
      </c>
      <c r="CD82" s="1" t="str">
        <f t="shared" si="4750"/>
        <v>-</v>
      </c>
      <c r="CE82" s="21" t="str">
        <f t="shared" si="4751"/>
        <v>-</v>
      </c>
      <c r="CF82" s="15" t="str">
        <f t="shared" si="4752"/>
        <v>-</v>
      </c>
      <c r="CG82" s="1" t="str">
        <f t="shared" si="4753"/>
        <v>-</v>
      </c>
      <c r="CH82" s="21" t="str">
        <f t="shared" si="4754"/>
        <v>-</v>
      </c>
      <c r="CI82" s="15" t="str">
        <f t="shared" si="4755"/>
        <v>-</v>
      </c>
      <c r="CJ82" s="1" t="str">
        <f t="shared" si="4756"/>
        <v>-</v>
      </c>
      <c r="CK82" s="21" t="str">
        <f t="shared" si="4757"/>
        <v>-</v>
      </c>
      <c r="CL82" s="15" t="str">
        <f t="shared" si="4758"/>
        <v>-</v>
      </c>
      <c r="CM82" s="1" t="str">
        <f t="shared" si="4759"/>
        <v>-</v>
      </c>
      <c r="CN82" s="21" t="str">
        <f t="shared" si="4760"/>
        <v>-</v>
      </c>
      <c r="CO82" s="15" t="str">
        <f t="shared" si="4761"/>
        <v>-</v>
      </c>
      <c r="CP82" s="1" t="str">
        <f t="shared" si="4762"/>
        <v>-</v>
      </c>
      <c r="CQ82" s="21" t="str">
        <f t="shared" si="4763"/>
        <v>-</v>
      </c>
      <c r="CR82" s="15" t="str">
        <f t="shared" si="4764"/>
        <v>-</v>
      </c>
      <c r="CS82" s="1" t="str">
        <f t="shared" si="4765"/>
        <v>-</v>
      </c>
      <c r="CT82" s="21" t="str">
        <f t="shared" si="4766"/>
        <v>-</v>
      </c>
      <c r="CU82" s="15" t="str">
        <f t="shared" si="4767"/>
        <v>-</v>
      </c>
      <c r="CV82" s="1" t="str">
        <f t="shared" si="4768"/>
        <v>-</v>
      </c>
      <c r="CW82" s="21" t="str">
        <f t="shared" si="4769"/>
        <v>-</v>
      </c>
      <c r="CX82" s="15" t="str">
        <f t="shared" si="4770"/>
        <v>-</v>
      </c>
      <c r="CY82" s="1" t="str">
        <f t="shared" si="4771"/>
        <v>-</v>
      </c>
      <c r="CZ82" s="21" t="str">
        <f t="shared" si="4772"/>
        <v>-</v>
      </c>
      <c r="DA82" s="15" t="str">
        <f t="shared" si="4773"/>
        <v>-</v>
      </c>
      <c r="DB82" s="1" t="str">
        <f t="shared" si="4774"/>
        <v>-</v>
      </c>
      <c r="DC82" s="21" t="str">
        <f t="shared" si="4775"/>
        <v>-</v>
      </c>
      <c r="DD82" s="15" t="str">
        <f t="shared" si="4776"/>
        <v>-</v>
      </c>
      <c r="DE82" s="1" t="str">
        <f t="shared" si="4777"/>
        <v>-</v>
      </c>
      <c r="DF82" s="21" t="str">
        <f t="shared" si="4778"/>
        <v>-</v>
      </c>
      <c r="DG82" s="15" t="str">
        <f t="shared" si="4779"/>
        <v>-</v>
      </c>
      <c r="DH82" s="1" t="str">
        <f t="shared" si="4780"/>
        <v>-</v>
      </c>
      <c r="DI82" s="21" t="str">
        <f t="shared" si="4781"/>
        <v>-</v>
      </c>
    </row>
    <row r="83" spans="2:113" x14ac:dyDescent="0.3">
      <c r="B83" s="1">
        <v>78</v>
      </c>
      <c r="C83" s="67">
        <v>1310</v>
      </c>
      <c r="D83" s="88" t="s">
        <v>27</v>
      </c>
      <c r="E83" s="21" t="s">
        <v>27</v>
      </c>
      <c r="F83" s="15" t="str">
        <f t="shared" ref="F83" si="5646">IF(InfGog1LevelCurrent&gt;=$B83,"-",IF(InfGog1LevelDesired&lt;$B83,"-",$C83))</f>
        <v>-</v>
      </c>
      <c r="G83" s="1" t="str">
        <f t="shared" ref="G83" si="5647">IF(InfGog1LevelCurrent&gt;=$B83,"-",IF(InfGog1LevelDesired&lt;$B83,"-",$D83))</f>
        <v>-</v>
      </c>
      <c r="H83" s="21" t="str">
        <f t="shared" ref="H83" si="5648">IF(InfGog1LevelCurrent&gt;=$B83,"-",IF(InfGog1LevelDesired&lt;$B83,"-",$E83))</f>
        <v>-</v>
      </c>
      <c r="I83" s="15" t="str">
        <f t="shared" ref="I83" si="5649">IF(InfGlo1LevelCurrent&gt;=$B83,"-",IF(InfGlo1LevelDesired&lt;$B83,"-",$C83))</f>
        <v>-</v>
      </c>
      <c r="J83" s="1" t="str">
        <f t="shared" ref="J83" si="5650">IF(InfGlo1LevelCurrent&gt;=$B83,"-",IF(InfGlo1LevelDesired&lt;$B83,"-",$D83))</f>
        <v>-</v>
      </c>
      <c r="K83" s="21" t="str">
        <f t="shared" ref="K83" si="5651">IF(InfGlo1LevelCurrent&gt;=$B83,"-",IF(InfGlo1LevelDesired&lt;$B83,"-",$E83))</f>
        <v>-</v>
      </c>
      <c r="L83" s="15" t="str">
        <f t="shared" ref="L83" si="5652">IF(InfBel1LevelCurrent&gt;=$B83,"-",IF(InfBel1LevelDesired&lt;$B83,"-",$C83))</f>
        <v>-</v>
      </c>
      <c r="M83" s="1" t="str">
        <f t="shared" ref="M83" si="5653">IF(InfBel1LevelCurrent&gt;=$B83,"-",IF(InfBel1LevelDesired&lt;$B83,"-",$D83))</f>
        <v>-</v>
      </c>
      <c r="N83" s="21" t="str">
        <f t="shared" ref="N83" si="5654">IF(InfBel1LevelCurrent&gt;=$B83,"-",IF(InfBel1LevelDesired&lt;$B83,"-",$E83))</f>
        <v>-</v>
      </c>
      <c r="O83" s="15" t="str">
        <f t="shared" ref="O83" si="5655">IF(InfBoo1LevelCurrent&gt;=$B83,"-",IF(InfBoo1LevelDesired&lt;$B83,"-",$C83))</f>
        <v>-</v>
      </c>
      <c r="P83" s="1" t="str">
        <f t="shared" ref="P83" si="5656">IF(InfBoo1LevelCurrent&gt;=$B83,"-",IF(InfBoo1LevelDesired&lt;$B83,"-",$D83))</f>
        <v>-</v>
      </c>
      <c r="Q83" s="21" t="str">
        <f t="shared" ref="Q83" si="5657">IF(InfBoo1LevelCurrent&gt;=$B83,"-",IF(InfBoo1LevelDesired&lt;$B83,"-",$E83))</f>
        <v>-</v>
      </c>
      <c r="R83" s="15" t="str">
        <f t="shared" ref="R83" si="5658">IF(LanGog1LevelCurrent&gt;=$B83,"-",IF(LanGog1LevelDesired&lt;$B83,"-",$C83))</f>
        <v>-</v>
      </c>
      <c r="S83" s="1" t="str">
        <f t="shared" ref="S83" si="5659">IF(LanGog1LevelCurrent&gt;=$B83,"-",IF(LanGog1LevelDesired&lt;$B83,"-",$D83))</f>
        <v>-</v>
      </c>
      <c r="T83" s="21" t="str">
        <f t="shared" ref="T83" si="5660">IF(LanGog1LevelCurrent&gt;=$B83,"-",IF(LanGog1LevelDesired&lt;$B83,"-",$E83))</f>
        <v>-</v>
      </c>
      <c r="U83" s="15" t="str">
        <f t="shared" ref="U83" si="5661">IF(LanGlo1LevelCurrent&gt;=$B83,"-",IF(LanGlo1LevelDesired&lt;$B83,"-",$C83))</f>
        <v>-</v>
      </c>
      <c r="V83" s="1" t="str">
        <f t="shared" ref="V83" si="5662">IF(LanGlo1LevelCurrent&gt;=$B83,"-",IF(LanGlo1LevelDesired&lt;$B83,"-",$D83))</f>
        <v>-</v>
      </c>
      <c r="W83" s="21" t="str">
        <f t="shared" ref="W83" si="5663">IF(LanGlo1LevelCurrent&gt;=$B83,"-",IF(LanGlo1LevelDesired&lt;$B83,"-",$E83))</f>
        <v>-</v>
      </c>
      <c r="X83" s="15" t="str">
        <f t="shared" ref="X83" si="5664">IF(LanBel1LevelCurrent&gt;=$B83,"-",IF(LanBel1LevelDesired&lt;$B83,"-",$C83))</f>
        <v>-</v>
      </c>
      <c r="Y83" s="1" t="str">
        <f t="shared" ref="Y83" si="5665">IF(LanBel1LevelCurrent&gt;=$B83,"-",IF(LanBel1LevelDesired&lt;$B83,"-",$D83))</f>
        <v>-</v>
      </c>
      <c r="Z83" s="21" t="str">
        <f t="shared" ref="Z83" si="5666">IF(LanBel1LevelCurrent&gt;=$B83,"-",IF(LanBel1LevelDesired&lt;$B83,"-",$E83))</f>
        <v>-</v>
      </c>
      <c r="AA83" s="15" t="str">
        <f t="shared" ref="AA83" si="5667">IF(LanBoo1LevelCurrent&gt;=$B83,"-",IF(LanBoo1LevelDesired&lt;$B83,"-",$C83))</f>
        <v>-</v>
      </c>
      <c r="AB83" s="1" t="str">
        <f t="shared" ref="AB83" si="5668">IF(LanBoo1LevelCurrent&gt;=$B83,"-",IF(LanBoo1LevelDesired&lt;$B83,"-",$D83))</f>
        <v>-</v>
      </c>
      <c r="AC83" s="21" t="str">
        <f t="shared" ref="AC83" si="5669">IF(LanBoo1LevelCurrent&gt;=$B83,"-",IF(LanBoo1LevelDesired&lt;$B83,"-",$E83))</f>
        <v>-</v>
      </c>
      <c r="AD83" s="15" t="str">
        <f t="shared" ref="AD83" si="5670">IF(MarGog1LevelCurrent&gt;=$B83,"-",IF(MarGog1LevelDesired&lt;$B83,"-",$C83))</f>
        <v>-</v>
      </c>
      <c r="AE83" s="1" t="str">
        <f t="shared" ref="AE83" si="5671">IF(MarGog1LevelCurrent&gt;=$B83,"-",IF(MarGog1LevelDesired&lt;$B83,"-",$D83))</f>
        <v>-</v>
      </c>
      <c r="AF83" s="21" t="str">
        <f t="shared" ref="AF83" si="5672">IF(MarGog1LevelCurrent&gt;=$B83,"-",IF(MarGog1LevelDesired&lt;$B83,"-",$E83))</f>
        <v>-</v>
      </c>
      <c r="AG83" s="15" t="str">
        <f t="shared" ref="AG83" si="5673">IF(MarGlo1LevelCurrent&gt;=$B83,"-",IF(MarGlo1LevelDesired&lt;$B83,"-",$C83))</f>
        <v>-</v>
      </c>
      <c r="AH83" s="1" t="str">
        <f t="shared" ref="AH83" si="5674">IF(MarGlo1LevelCurrent&gt;=$B83,"-",IF(MarGlo1LevelDesired&lt;$B83,"-",$D83))</f>
        <v>-</v>
      </c>
      <c r="AI83" s="21" t="str">
        <f t="shared" ref="AI83" si="5675">IF(MarGlo1LevelCurrent&gt;=$B83,"-",IF(MarGlo1LevelDesired&lt;$B83,"-",$E83))</f>
        <v>-</v>
      </c>
      <c r="AJ83" s="15" t="str">
        <f t="shared" ref="AJ83" si="5676">IF(MarBel1LevelCurrent&gt;=$B83,"-",IF(MarBel1LevelDesired&lt;$B83,"-",$C83))</f>
        <v>-</v>
      </c>
      <c r="AK83" s="1" t="str">
        <f t="shared" ref="AK83" si="5677">IF(MarBel1LevelCurrent&gt;=$B83,"-",IF(MarBel1LevelDesired&lt;$B83,"-",$D83))</f>
        <v>-</v>
      </c>
      <c r="AL83" s="21" t="str">
        <f t="shared" ref="AL83" si="5678">IF(MarBel1LevelCurrent&gt;=$B83,"-",IF(MarBel1LevelDesired&lt;$B83,"-",$E83))</f>
        <v>-</v>
      </c>
      <c r="AM83" s="15" t="str">
        <f t="shared" ref="AM83" si="5679">IF(MarBoo1LevelCurrent&gt;=$B83,"-",IF(MarBoo1LevelDesired&lt;$B83,"-",$C83))</f>
        <v>-</v>
      </c>
      <c r="AN83" s="1" t="str">
        <f t="shared" ref="AN83" si="5680">IF(MarBoo1LevelCurrent&gt;=$B83,"-",IF(MarBoo1LevelDesired&lt;$B83,"-",$D83))</f>
        <v>-</v>
      </c>
      <c r="AO83" s="21" t="str">
        <f t="shared" ref="AO83" si="5681">IF(MarBoo1LevelCurrent&gt;=$B83,"-",IF(MarBoo1LevelDesired&lt;$B83,"-",$E83))</f>
        <v>-</v>
      </c>
      <c r="AP83" s="15" t="str">
        <f t="shared" ref="AP83" si="5682">IF(InfGog2LevelCurrent&gt;=$B83,"-",IF(InfGog2LevelDesired&lt;$B83,"-",$C83))</f>
        <v>-</v>
      </c>
      <c r="AQ83" s="1" t="str">
        <f t="shared" ref="AQ83" si="5683">IF(InfGog2LevelCurrent&gt;=$B83,"-",IF(InfGog2LevelDesired&lt;$B83,"-",$D83))</f>
        <v>-</v>
      </c>
      <c r="AR83" s="21" t="str">
        <f t="shared" ref="AR83" si="5684">IF(InfGog2LevelCurrent&gt;=$B83,"-",IF(InfGog2LevelDesired&lt;$B83,"-",$E83))</f>
        <v>-</v>
      </c>
      <c r="AS83" s="15" t="str">
        <f t="shared" ref="AS83" si="5685">IF(InfGlo2LevelCurrent&gt;=$B83,"-",IF(InfGlo2LevelDesired&lt;$B83,"-",$C83))</f>
        <v>-</v>
      </c>
      <c r="AT83" s="1" t="str">
        <f t="shared" ref="AT83" si="5686">IF(InfGlo2LevelCurrent&gt;=$B83,"-",IF(InfGlo2LevelDesired&lt;$B83,"-",$D83))</f>
        <v>-</v>
      </c>
      <c r="AU83" s="21" t="str">
        <f t="shared" ref="AU83" si="5687">IF(InfGlo2LevelCurrent&gt;=$B83,"-",IF(InfGlo2LevelDesired&lt;$B83,"-",$E83))</f>
        <v>-</v>
      </c>
      <c r="AV83" s="15" t="str">
        <f t="shared" ref="AV83" si="5688">IF(InfBel2LevelCurrent&gt;=$B83,"-",IF(InfBel2LevelDesired&lt;$B83,"-",$C83))</f>
        <v>-</v>
      </c>
      <c r="AW83" s="1" t="str">
        <f t="shared" ref="AW83" si="5689">IF(InfBel2LevelCurrent&gt;=$B83,"-",IF(InfBel2LevelDesired&lt;$B83,"-",$D83))</f>
        <v>-</v>
      </c>
      <c r="AX83" s="21" t="str">
        <f t="shared" ref="AX83" si="5690">IF(InfBel2LevelCurrent&gt;=$B83,"-",IF(InfBel2LevelDesired&lt;$B83,"-",$E83))</f>
        <v>-</v>
      </c>
      <c r="AY83" s="15" t="str">
        <f t="shared" ref="AY83" si="5691">IF(InfBoo2LevelCurrent&gt;=$B83,"-",IF(InfBoo2LevelDesired&lt;$B83,"-",$C83))</f>
        <v>-</v>
      </c>
      <c r="AZ83" s="1" t="str">
        <f t="shared" ref="AZ83" si="5692">IF(InfBoo2LevelCurrent&gt;=$B83,"-",IF(InfBoo2LevelDesired&lt;$B83,"-",$D83))</f>
        <v>-</v>
      </c>
      <c r="BA83" s="21" t="str">
        <f t="shared" ref="BA83" si="5693">IF(InfBoo2LevelCurrent&gt;=$B83,"-",IF(InfBoo2LevelDesired&lt;$B83,"-",$E83))</f>
        <v>-</v>
      </c>
      <c r="BB83" s="15" t="str">
        <f t="shared" ref="BB83" si="5694">IF(LanGog2LevelCurrent&gt;=$B83,"-",IF(LanGog2LevelDesired&lt;$B83,"-",$C83))</f>
        <v>-</v>
      </c>
      <c r="BC83" s="1" t="str">
        <f t="shared" ref="BC83" si="5695">IF(LanGog2LevelCurrent&gt;=$B83,"-",IF(LanGog2LevelDesired&lt;$B83,"-",$D83))</f>
        <v>-</v>
      </c>
      <c r="BD83" s="21" t="str">
        <f t="shared" ref="BD83" si="5696">IF(LanGog2LevelCurrent&gt;=$B83,"-",IF(LanGog2LevelDesired&lt;$B83,"-",$E83))</f>
        <v>-</v>
      </c>
      <c r="BE83" s="15" t="str">
        <f t="shared" ref="BE83" si="5697">IF(LanGlo2LevelCurrent&gt;=$B83,"-",IF(LanGlo2LevelDesired&lt;$B83,"-",$C83))</f>
        <v>-</v>
      </c>
      <c r="BF83" s="1" t="str">
        <f t="shared" ref="BF83" si="5698">IF(LanGlo2LevelCurrent&gt;=$B83,"-",IF(LanGlo2LevelDesired&lt;$B83,"-",$D83))</f>
        <v>-</v>
      </c>
      <c r="BG83" s="21" t="str">
        <f t="shared" ref="BG83" si="5699">IF(LanGlo2LevelCurrent&gt;=$B83,"-",IF(LanGlo2LevelDesired&lt;$B83,"-",$E83))</f>
        <v>-</v>
      </c>
      <c r="BH83" s="15" t="str">
        <f t="shared" ref="BH83" si="5700">IF(LanBel2LevelCurrent&gt;=$B83,"-",IF(LanBel2LevelDesired&lt;$B83,"-",$C83))</f>
        <v>-</v>
      </c>
      <c r="BI83" s="1" t="str">
        <f t="shared" ref="BI83" si="5701">IF(LanBel2LevelCurrent&gt;=$B83,"-",IF(LanBel2LevelDesired&lt;$B83,"-",$D83))</f>
        <v>-</v>
      </c>
      <c r="BJ83" s="21" t="str">
        <f t="shared" ref="BJ83" si="5702">IF(LanBel2LevelCurrent&gt;=$B83,"-",IF(LanBel2LevelDesired&lt;$B83,"-",$E83))</f>
        <v>-</v>
      </c>
      <c r="BK83" s="15" t="str">
        <f t="shared" ref="BK83" si="5703">IF(LanBoo2LevelCurrent&gt;=$B83,"-",IF(LanBoo2LevelDesired&lt;$B83,"-",$C83))</f>
        <v>-</v>
      </c>
      <c r="BL83" s="1" t="str">
        <f t="shared" ref="BL83" si="5704">IF(LanBoo2LevelCurrent&gt;=$B83,"-",IF(LanBoo2LevelDesired&lt;$B83,"-",$D83))</f>
        <v>-</v>
      </c>
      <c r="BM83" s="21" t="str">
        <f t="shared" ref="BM83" si="5705">IF(LanBoo2LevelCurrent&gt;=$B83,"-",IF(LanBoo2LevelDesired&lt;$B83,"-",$E83))</f>
        <v>-</v>
      </c>
      <c r="BN83" s="15" t="str">
        <f t="shared" ref="BN83" si="5706">IF(MarGog2LevelCurrent&gt;=$B83,"-",IF(MarGog2LevelDesired&lt;$B83,"-",$C83))</f>
        <v>-</v>
      </c>
      <c r="BO83" s="1" t="str">
        <f t="shared" ref="BO83" si="5707">IF(MarGog2LevelCurrent&gt;=$B83,"-",IF(MarGog2LevelDesired&lt;$B83,"-",$D83))</f>
        <v>-</v>
      </c>
      <c r="BP83" s="21" t="str">
        <f t="shared" ref="BP83" si="5708">IF(MarGog2LevelCurrent&gt;=$B83,"-",IF(MarGog2LevelDesired&lt;$B83,"-",$E83))</f>
        <v>-</v>
      </c>
      <c r="BQ83" s="15" t="str">
        <f t="shared" ref="BQ83" si="5709">IF(MarGlo2LevelCurrent&gt;=$B83,"-",IF(MarGlo2LevelDesired&lt;$B83,"-",$C83))</f>
        <v>-</v>
      </c>
      <c r="BR83" s="1" t="str">
        <f t="shared" ref="BR83" si="5710">IF(MarGlo2LevelCurrent&gt;=$B83,"-",IF(MarGlo2LevelDesired&lt;$B83,"-",$D83))</f>
        <v>-</v>
      </c>
      <c r="BS83" s="21" t="str">
        <f t="shared" ref="BS83" si="5711">IF(MarGlo2LevelCurrent&gt;=$B83,"-",IF(MarGlo2LevelDesired&lt;$B83,"-",$E83))</f>
        <v>-</v>
      </c>
      <c r="BT83" s="15" t="str">
        <f t="shared" ref="BT83" si="5712">IF(MarBel2LevelCurrent&gt;=$B83,"-",IF(MarBel2LevelDesired&lt;$B83,"-",$C83))</f>
        <v>-</v>
      </c>
      <c r="BU83" s="1" t="str">
        <f t="shared" ref="BU83" si="5713">IF(MarBel2LevelCurrent&gt;=$B83,"-",IF(MarBel2LevelDesired&lt;$B83,"-",$D83))</f>
        <v>-</v>
      </c>
      <c r="BV83" s="21" t="str">
        <f t="shared" ref="BV83" si="5714">IF(MarBel2LevelCurrent&gt;=$B83,"-",IF(MarBel2LevelDesired&lt;$B83,"-",$E83))</f>
        <v>-</v>
      </c>
      <c r="BW83" s="15" t="str">
        <f t="shared" ref="BW83" si="5715">IF(MarBoo2LevelCurrent&gt;=$B83,"-",IF(MarBoo2LevelDesired&lt;$B83,"-",$C83))</f>
        <v>-</v>
      </c>
      <c r="BX83" s="1" t="str">
        <f t="shared" ref="BX83" si="5716">IF(MarBoo2LevelCurrent&gt;=$B83,"-",IF(MarBoo2LevelDesired&lt;$B83,"-",$D83))</f>
        <v>-</v>
      </c>
      <c r="BY83" s="21" t="str">
        <f t="shared" ref="BY83" si="5717">IF(MarBoo2LevelCurrent&gt;=$B83,"-",IF(MarBoo2LevelDesired&lt;$B83,"-",$E83))</f>
        <v>-</v>
      </c>
      <c r="BZ83" s="15" t="str">
        <f t="shared" si="4748"/>
        <v>-</v>
      </c>
      <c r="CA83" s="1" t="str" cm="1">
        <f t="array" ref="CA83">IF(InfGog3LevelCurrent&gt;=$B83,"-",IF(InfGog3LevelDesired&lt;$B83,"-",$D83))</f>
        <v>-</v>
      </c>
      <c r="CB83" s="21" t="str" cm="1">
        <f t="array" ref="CB83">IF(InfGog3LevelCurrent&gt;=$B83,"-",IF(InfGog3LevelDesired&lt;$B83,"-",$E83))</f>
        <v>-</v>
      </c>
      <c r="CC83" s="15" t="str">
        <f t="shared" si="4749"/>
        <v>-</v>
      </c>
      <c r="CD83" s="1" t="str">
        <f t="shared" si="4750"/>
        <v>-</v>
      </c>
      <c r="CE83" s="21" t="str">
        <f t="shared" si="4751"/>
        <v>-</v>
      </c>
      <c r="CF83" s="15" t="str">
        <f t="shared" si="4752"/>
        <v>-</v>
      </c>
      <c r="CG83" s="1" t="str">
        <f t="shared" si="4753"/>
        <v>-</v>
      </c>
      <c r="CH83" s="21" t="str">
        <f t="shared" si="4754"/>
        <v>-</v>
      </c>
      <c r="CI83" s="15" t="str">
        <f t="shared" si="4755"/>
        <v>-</v>
      </c>
      <c r="CJ83" s="1" t="str">
        <f t="shared" si="4756"/>
        <v>-</v>
      </c>
      <c r="CK83" s="21" t="str">
        <f t="shared" si="4757"/>
        <v>-</v>
      </c>
      <c r="CL83" s="15" t="str">
        <f t="shared" si="4758"/>
        <v>-</v>
      </c>
      <c r="CM83" s="1" t="str">
        <f t="shared" si="4759"/>
        <v>-</v>
      </c>
      <c r="CN83" s="21" t="str">
        <f t="shared" si="4760"/>
        <v>-</v>
      </c>
      <c r="CO83" s="15" t="str">
        <f t="shared" si="4761"/>
        <v>-</v>
      </c>
      <c r="CP83" s="1" t="str">
        <f t="shared" si="4762"/>
        <v>-</v>
      </c>
      <c r="CQ83" s="21" t="str">
        <f t="shared" si="4763"/>
        <v>-</v>
      </c>
      <c r="CR83" s="15" t="str">
        <f t="shared" si="4764"/>
        <v>-</v>
      </c>
      <c r="CS83" s="1" t="str">
        <f t="shared" si="4765"/>
        <v>-</v>
      </c>
      <c r="CT83" s="21" t="str">
        <f t="shared" si="4766"/>
        <v>-</v>
      </c>
      <c r="CU83" s="15" t="str">
        <f t="shared" si="4767"/>
        <v>-</v>
      </c>
      <c r="CV83" s="1" t="str">
        <f t="shared" si="4768"/>
        <v>-</v>
      </c>
      <c r="CW83" s="21" t="str">
        <f t="shared" si="4769"/>
        <v>-</v>
      </c>
      <c r="CX83" s="15" t="str">
        <f t="shared" si="4770"/>
        <v>-</v>
      </c>
      <c r="CY83" s="1" t="str">
        <f t="shared" si="4771"/>
        <v>-</v>
      </c>
      <c r="CZ83" s="21" t="str">
        <f t="shared" si="4772"/>
        <v>-</v>
      </c>
      <c r="DA83" s="15" t="str">
        <f t="shared" si="4773"/>
        <v>-</v>
      </c>
      <c r="DB83" s="1" t="str">
        <f t="shared" si="4774"/>
        <v>-</v>
      </c>
      <c r="DC83" s="21" t="str">
        <f t="shared" si="4775"/>
        <v>-</v>
      </c>
      <c r="DD83" s="15" t="str">
        <f t="shared" si="4776"/>
        <v>-</v>
      </c>
      <c r="DE83" s="1" t="str">
        <f t="shared" si="4777"/>
        <v>-</v>
      </c>
      <c r="DF83" s="21" t="str">
        <f t="shared" si="4778"/>
        <v>-</v>
      </c>
      <c r="DG83" s="15" t="str">
        <f t="shared" si="4779"/>
        <v>-</v>
      </c>
      <c r="DH83" s="1" t="str">
        <f t="shared" si="4780"/>
        <v>-</v>
      </c>
      <c r="DI83" s="21" t="str">
        <f t="shared" si="4781"/>
        <v>-</v>
      </c>
    </row>
    <row r="84" spans="2:113" x14ac:dyDescent="0.3">
      <c r="B84" s="1">
        <v>79</v>
      </c>
      <c r="C84" s="67">
        <v>1350</v>
      </c>
      <c r="D84" s="88" t="s">
        <v>27</v>
      </c>
      <c r="E84" s="21" t="s">
        <v>27</v>
      </c>
      <c r="F84" s="15" t="str">
        <f t="shared" ref="F84" si="5718">IF(InfGog1LevelCurrent&gt;=$B84,"-",IF(InfGog1LevelDesired&lt;$B84,"-",$C84))</f>
        <v>-</v>
      </c>
      <c r="G84" s="1" t="str">
        <f t="shared" ref="G84" si="5719">IF(InfGog1LevelCurrent&gt;=$B84,"-",IF(InfGog1LevelDesired&lt;$B84,"-",$D84))</f>
        <v>-</v>
      </c>
      <c r="H84" s="21" t="str">
        <f t="shared" ref="H84" si="5720">IF(InfGog1LevelCurrent&gt;=$B84,"-",IF(InfGog1LevelDesired&lt;$B84,"-",$E84))</f>
        <v>-</v>
      </c>
      <c r="I84" s="15" t="str">
        <f t="shared" ref="I84" si="5721">IF(InfGlo1LevelCurrent&gt;=$B84,"-",IF(InfGlo1LevelDesired&lt;$B84,"-",$C84))</f>
        <v>-</v>
      </c>
      <c r="J84" s="1" t="str">
        <f t="shared" ref="J84" si="5722">IF(InfGlo1LevelCurrent&gt;=$B84,"-",IF(InfGlo1LevelDesired&lt;$B84,"-",$D84))</f>
        <v>-</v>
      </c>
      <c r="K84" s="21" t="str">
        <f t="shared" ref="K84" si="5723">IF(InfGlo1LevelCurrent&gt;=$B84,"-",IF(InfGlo1LevelDesired&lt;$B84,"-",$E84))</f>
        <v>-</v>
      </c>
      <c r="L84" s="15" t="str">
        <f t="shared" ref="L84" si="5724">IF(InfBel1LevelCurrent&gt;=$B84,"-",IF(InfBel1LevelDesired&lt;$B84,"-",$C84))</f>
        <v>-</v>
      </c>
      <c r="M84" s="1" t="str">
        <f t="shared" ref="M84" si="5725">IF(InfBel1LevelCurrent&gt;=$B84,"-",IF(InfBel1LevelDesired&lt;$B84,"-",$D84))</f>
        <v>-</v>
      </c>
      <c r="N84" s="21" t="str">
        <f t="shared" ref="N84" si="5726">IF(InfBel1LevelCurrent&gt;=$B84,"-",IF(InfBel1LevelDesired&lt;$B84,"-",$E84))</f>
        <v>-</v>
      </c>
      <c r="O84" s="15" t="str">
        <f t="shared" ref="O84" si="5727">IF(InfBoo1LevelCurrent&gt;=$B84,"-",IF(InfBoo1LevelDesired&lt;$B84,"-",$C84))</f>
        <v>-</v>
      </c>
      <c r="P84" s="1" t="str">
        <f t="shared" ref="P84" si="5728">IF(InfBoo1LevelCurrent&gt;=$B84,"-",IF(InfBoo1LevelDesired&lt;$B84,"-",$D84))</f>
        <v>-</v>
      </c>
      <c r="Q84" s="21" t="str">
        <f t="shared" ref="Q84" si="5729">IF(InfBoo1LevelCurrent&gt;=$B84,"-",IF(InfBoo1LevelDesired&lt;$B84,"-",$E84))</f>
        <v>-</v>
      </c>
      <c r="R84" s="15" t="str">
        <f t="shared" ref="R84" si="5730">IF(LanGog1LevelCurrent&gt;=$B84,"-",IF(LanGog1LevelDesired&lt;$B84,"-",$C84))</f>
        <v>-</v>
      </c>
      <c r="S84" s="1" t="str">
        <f t="shared" ref="S84" si="5731">IF(LanGog1LevelCurrent&gt;=$B84,"-",IF(LanGog1LevelDesired&lt;$B84,"-",$D84))</f>
        <v>-</v>
      </c>
      <c r="T84" s="21" t="str">
        <f t="shared" ref="T84" si="5732">IF(LanGog1LevelCurrent&gt;=$B84,"-",IF(LanGog1LevelDesired&lt;$B84,"-",$E84))</f>
        <v>-</v>
      </c>
      <c r="U84" s="15" t="str">
        <f t="shared" ref="U84" si="5733">IF(LanGlo1LevelCurrent&gt;=$B84,"-",IF(LanGlo1LevelDesired&lt;$B84,"-",$C84))</f>
        <v>-</v>
      </c>
      <c r="V84" s="1" t="str">
        <f t="shared" ref="V84" si="5734">IF(LanGlo1LevelCurrent&gt;=$B84,"-",IF(LanGlo1LevelDesired&lt;$B84,"-",$D84))</f>
        <v>-</v>
      </c>
      <c r="W84" s="21" t="str">
        <f t="shared" ref="W84" si="5735">IF(LanGlo1LevelCurrent&gt;=$B84,"-",IF(LanGlo1LevelDesired&lt;$B84,"-",$E84))</f>
        <v>-</v>
      </c>
      <c r="X84" s="15" t="str">
        <f t="shared" ref="X84" si="5736">IF(LanBel1LevelCurrent&gt;=$B84,"-",IF(LanBel1LevelDesired&lt;$B84,"-",$C84))</f>
        <v>-</v>
      </c>
      <c r="Y84" s="1" t="str">
        <f t="shared" ref="Y84" si="5737">IF(LanBel1LevelCurrent&gt;=$B84,"-",IF(LanBel1LevelDesired&lt;$B84,"-",$D84))</f>
        <v>-</v>
      </c>
      <c r="Z84" s="21" t="str">
        <f t="shared" ref="Z84" si="5738">IF(LanBel1LevelCurrent&gt;=$B84,"-",IF(LanBel1LevelDesired&lt;$B84,"-",$E84))</f>
        <v>-</v>
      </c>
      <c r="AA84" s="15" t="str">
        <f t="shared" ref="AA84" si="5739">IF(LanBoo1LevelCurrent&gt;=$B84,"-",IF(LanBoo1LevelDesired&lt;$B84,"-",$C84))</f>
        <v>-</v>
      </c>
      <c r="AB84" s="1" t="str">
        <f t="shared" ref="AB84" si="5740">IF(LanBoo1LevelCurrent&gt;=$B84,"-",IF(LanBoo1LevelDesired&lt;$B84,"-",$D84))</f>
        <v>-</v>
      </c>
      <c r="AC84" s="21" t="str">
        <f t="shared" ref="AC84" si="5741">IF(LanBoo1LevelCurrent&gt;=$B84,"-",IF(LanBoo1LevelDesired&lt;$B84,"-",$E84))</f>
        <v>-</v>
      </c>
      <c r="AD84" s="15" t="str">
        <f t="shared" ref="AD84" si="5742">IF(MarGog1LevelCurrent&gt;=$B84,"-",IF(MarGog1LevelDesired&lt;$B84,"-",$C84))</f>
        <v>-</v>
      </c>
      <c r="AE84" s="1" t="str">
        <f t="shared" ref="AE84" si="5743">IF(MarGog1LevelCurrent&gt;=$B84,"-",IF(MarGog1LevelDesired&lt;$B84,"-",$D84))</f>
        <v>-</v>
      </c>
      <c r="AF84" s="21" t="str">
        <f t="shared" ref="AF84" si="5744">IF(MarGog1LevelCurrent&gt;=$B84,"-",IF(MarGog1LevelDesired&lt;$B84,"-",$E84))</f>
        <v>-</v>
      </c>
      <c r="AG84" s="15" t="str">
        <f t="shared" ref="AG84" si="5745">IF(MarGlo1LevelCurrent&gt;=$B84,"-",IF(MarGlo1LevelDesired&lt;$B84,"-",$C84))</f>
        <v>-</v>
      </c>
      <c r="AH84" s="1" t="str">
        <f t="shared" ref="AH84" si="5746">IF(MarGlo1LevelCurrent&gt;=$B84,"-",IF(MarGlo1LevelDesired&lt;$B84,"-",$D84))</f>
        <v>-</v>
      </c>
      <c r="AI84" s="21" t="str">
        <f t="shared" ref="AI84" si="5747">IF(MarGlo1LevelCurrent&gt;=$B84,"-",IF(MarGlo1LevelDesired&lt;$B84,"-",$E84))</f>
        <v>-</v>
      </c>
      <c r="AJ84" s="15" t="str">
        <f t="shared" ref="AJ84" si="5748">IF(MarBel1LevelCurrent&gt;=$B84,"-",IF(MarBel1LevelDesired&lt;$B84,"-",$C84))</f>
        <v>-</v>
      </c>
      <c r="AK84" s="1" t="str">
        <f t="shared" ref="AK84" si="5749">IF(MarBel1LevelCurrent&gt;=$B84,"-",IF(MarBel1LevelDesired&lt;$B84,"-",$D84))</f>
        <v>-</v>
      </c>
      <c r="AL84" s="21" t="str">
        <f t="shared" ref="AL84" si="5750">IF(MarBel1LevelCurrent&gt;=$B84,"-",IF(MarBel1LevelDesired&lt;$B84,"-",$E84))</f>
        <v>-</v>
      </c>
      <c r="AM84" s="15" t="str">
        <f t="shared" ref="AM84" si="5751">IF(MarBoo1LevelCurrent&gt;=$B84,"-",IF(MarBoo1LevelDesired&lt;$B84,"-",$C84))</f>
        <v>-</v>
      </c>
      <c r="AN84" s="1" t="str">
        <f t="shared" ref="AN84" si="5752">IF(MarBoo1LevelCurrent&gt;=$B84,"-",IF(MarBoo1LevelDesired&lt;$B84,"-",$D84))</f>
        <v>-</v>
      </c>
      <c r="AO84" s="21" t="str">
        <f t="shared" ref="AO84" si="5753">IF(MarBoo1LevelCurrent&gt;=$B84,"-",IF(MarBoo1LevelDesired&lt;$B84,"-",$E84))</f>
        <v>-</v>
      </c>
      <c r="AP84" s="15" t="str">
        <f t="shared" ref="AP84" si="5754">IF(InfGog2LevelCurrent&gt;=$B84,"-",IF(InfGog2LevelDesired&lt;$B84,"-",$C84))</f>
        <v>-</v>
      </c>
      <c r="AQ84" s="1" t="str">
        <f t="shared" ref="AQ84" si="5755">IF(InfGog2LevelCurrent&gt;=$B84,"-",IF(InfGog2LevelDesired&lt;$B84,"-",$D84))</f>
        <v>-</v>
      </c>
      <c r="AR84" s="21" t="str">
        <f t="shared" ref="AR84" si="5756">IF(InfGog2LevelCurrent&gt;=$B84,"-",IF(InfGog2LevelDesired&lt;$B84,"-",$E84))</f>
        <v>-</v>
      </c>
      <c r="AS84" s="15" t="str">
        <f t="shared" ref="AS84" si="5757">IF(InfGlo2LevelCurrent&gt;=$B84,"-",IF(InfGlo2LevelDesired&lt;$B84,"-",$C84))</f>
        <v>-</v>
      </c>
      <c r="AT84" s="1" t="str">
        <f t="shared" ref="AT84" si="5758">IF(InfGlo2LevelCurrent&gt;=$B84,"-",IF(InfGlo2LevelDesired&lt;$B84,"-",$D84))</f>
        <v>-</v>
      </c>
      <c r="AU84" s="21" t="str">
        <f t="shared" ref="AU84" si="5759">IF(InfGlo2LevelCurrent&gt;=$B84,"-",IF(InfGlo2LevelDesired&lt;$B84,"-",$E84))</f>
        <v>-</v>
      </c>
      <c r="AV84" s="15" t="str">
        <f t="shared" ref="AV84" si="5760">IF(InfBel2LevelCurrent&gt;=$B84,"-",IF(InfBel2LevelDesired&lt;$B84,"-",$C84))</f>
        <v>-</v>
      </c>
      <c r="AW84" s="1" t="str">
        <f t="shared" ref="AW84" si="5761">IF(InfBel2LevelCurrent&gt;=$B84,"-",IF(InfBel2LevelDesired&lt;$B84,"-",$D84))</f>
        <v>-</v>
      </c>
      <c r="AX84" s="21" t="str">
        <f t="shared" ref="AX84" si="5762">IF(InfBel2LevelCurrent&gt;=$B84,"-",IF(InfBel2LevelDesired&lt;$B84,"-",$E84))</f>
        <v>-</v>
      </c>
      <c r="AY84" s="15" t="str">
        <f t="shared" ref="AY84" si="5763">IF(InfBoo2LevelCurrent&gt;=$B84,"-",IF(InfBoo2LevelDesired&lt;$B84,"-",$C84))</f>
        <v>-</v>
      </c>
      <c r="AZ84" s="1" t="str">
        <f t="shared" ref="AZ84" si="5764">IF(InfBoo2LevelCurrent&gt;=$B84,"-",IF(InfBoo2LevelDesired&lt;$B84,"-",$D84))</f>
        <v>-</v>
      </c>
      <c r="BA84" s="21" t="str">
        <f t="shared" ref="BA84" si="5765">IF(InfBoo2LevelCurrent&gt;=$B84,"-",IF(InfBoo2LevelDesired&lt;$B84,"-",$E84))</f>
        <v>-</v>
      </c>
      <c r="BB84" s="15" t="str">
        <f t="shared" ref="BB84" si="5766">IF(LanGog2LevelCurrent&gt;=$B84,"-",IF(LanGog2LevelDesired&lt;$B84,"-",$C84))</f>
        <v>-</v>
      </c>
      <c r="BC84" s="1" t="str">
        <f t="shared" ref="BC84" si="5767">IF(LanGog2LevelCurrent&gt;=$B84,"-",IF(LanGog2LevelDesired&lt;$B84,"-",$D84))</f>
        <v>-</v>
      </c>
      <c r="BD84" s="21" t="str">
        <f t="shared" ref="BD84" si="5768">IF(LanGog2LevelCurrent&gt;=$B84,"-",IF(LanGog2LevelDesired&lt;$B84,"-",$E84))</f>
        <v>-</v>
      </c>
      <c r="BE84" s="15" t="str">
        <f t="shared" ref="BE84" si="5769">IF(LanGlo2LevelCurrent&gt;=$B84,"-",IF(LanGlo2LevelDesired&lt;$B84,"-",$C84))</f>
        <v>-</v>
      </c>
      <c r="BF84" s="1" t="str">
        <f t="shared" ref="BF84" si="5770">IF(LanGlo2LevelCurrent&gt;=$B84,"-",IF(LanGlo2LevelDesired&lt;$B84,"-",$D84))</f>
        <v>-</v>
      </c>
      <c r="BG84" s="21" t="str">
        <f t="shared" ref="BG84" si="5771">IF(LanGlo2LevelCurrent&gt;=$B84,"-",IF(LanGlo2LevelDesired&lt;$B84,"-",$E84))</f>
        <v>-</v>
      </c>
      <c r="BH84" s="15" t="str">
        <f t="shared" ref="BH84" si="5772">IF(LanBel2LevelCurrent&gt;=$B84,"-",IF(LanBel2LevelDesired&lt;$B84,"-",$C84))</f>
        <v>-</v>
      </c>
      <c r="BI84" s="1" t="str">
        <f t="shared" ref="BI84" si="5773">IF(LanBel2LevelCurrent&gt;=$B84,"-",IF(LanBel2LevelDesired&lt;$B84,"-",$D84))</f>
        <v>-</v>
      </c>
      <c r="BJ84" s="21" t="str">
        <f t="shared" ref="BJ84" si="5774">IF(LanBel2LevelCurrent&gt;=$B84,"-",IF(LanBel2LevelDesired&lt;$B84,"-",$E84))</f>
        <v>-</v>
      </c>
      <c r="BK84" s="15" t="str">
        <f t="shared" ref="BK84" si="5775">IF(LanBoo2LevelCurrent&gt;=$B84,"-",IF(LanBoo2LevelDesired&lt;$B84,"-",$C84))</f>
        <v>-</v>
      </c>
      <c r="BL84" s="1" t="str">
        <f t="shared" ref="BL84" si="5776">IF(LanBoo2LevelCurrent&gt;=$B84,"-",IF(LanBoo2LevelDesired&lt;$B84,"-",$D84))</f>
        <v>-</v>
      </c>
      <c r="BM84" s="21" t="str">
        <f t="shared" ref="BM84" si="5777">IF(LanBoo2LevelCurrent&gt;=$B84,"-",IF(LanBoo2LevelDesired&lt;$B84,"-",$E84))</f>
        <v>-</v>
      </c>
      <c r="BN84" s="15" t="str">
        <f t="shared" ref="BN84" si="5778">IF(MarGog2LevelCurrent&gt;=$B84,"-",IF(MarGog2LevelDesired&lt;$B84,"-",$C84))</f>
        <v>-</v>
      </c>
      <c r="BO84" s="1" t="str">
        <f t="shared" ref="BO84" si="5779">IF(MarGog2LevelCurrent&gt;=$B84,"-",IF(MarGog2LevelDesired&lt;$B84,"-",$D84))</f>
        <v>-</v>
      </c>
      <c r="BP84" s="21" t="str">
        <f t="shared" ref="BP84" si="5780">IF(MarGog2LevelCurrent&gt;=$B84,"-",IF(MarGog2LevelDesired&lt;$B84,"-",$E84))</f>
        <v>-</v>
      </c>
      <c r="BQ84" s="15" t="str">
        <f t="shared" ref="BQ84" si="5781">IF(MarGlo2LevelCurrent&gt;=$B84,"-",IF(MarGlo2LevelDesired&lt;$B84,"-",$C84))</f>
        <v>-</v>
      </c>
      <c r="BR84" s="1" t="str">
        <f t="shared" ref="BR84" si="5782">IF(MarGlo2LevelCurrent&gt;=$B84,"-",IF(MarGlo2LevelDesired&lt;$B84,"-",$D84))</f>
        <v>-</v>
      </c>
      <c r="BS84" s="21" t="str">
        <f t="shared" ref="BS84" si="5783">IF(MarGlo2LevelCurrent&gt;=$B84,"-",IF(MarGlo2LevelDesired&lt;$B84,"-",$E84))</f>
        <v>-</v>
      </c>
      <c r="BT84" s="15" t="str">
        <f t="shared" ref="BT84" si="5784">IF(MarBel2LevelCurrent&gt;=$B84,"-",IF(MarBel2LevelDesired&lt;$B84,"-",$C84))</f>
        <v>-</v>
      </c>
      <c r="BU84" s="1" t="str">
        <f t="shared" ref="BU84" si="5785">IF(MarBel2LevelCurrent&gt;=$B84,"-",IF(MarBel2LevelDesired&lt;$B84,"-",$D84))</f>
        <v>-</v>
      </c>
      <c r="BV84" s="21" t="str">
        <f t="shared" ref="BV84" si="5786">IF(MarBel2LevelCurrent&gt;=$B84,"-",IF(MarBel2LevelDesired&lt;$B84,"-",$E84))</f>
        <v>-</v>
      </c>
      <c r="BW84" s="15" t="str">
        <f t="shared" ref="BW84" si="5787">IF(MarBoo2LevelCurrent&gt;=$B84,"-",IF(MarBoo2LevelDesired&lt;$B84,"-",$C84))</f>
        <v>-</v>
      </c>
      <c r="BX84" s="1" t="str">
        <f t="shared" ref="BX84" si="5788">IF(MarBoo2LevelCurrent&gt;=$B84,"-",IF(MarBoo2LevelDesired&lt;$B84,"-",$D84))</f>
        <v>-</v>
      </c>
      <c r="BY84" s="21" t="str">
        <f t="shared" ref="BY84" si="5789">IF(MarBoo2LevelCurrent&gt;=$B84,"-",IF(MarBoo2LevelDesired&lt;$B84,"-",$E84))</f>
        <v>-</v>
      </c>
      <c r="BZ84" s="15" t="str">
        <f t="shared" si="4748"/>
        <v>-</v>
      </c>
      <c r="CA84" s="1" t="str" cm="1">
        <f t="array" ref="CA84">IF(InfGog3LevelCurrent&gt;=$B84,"-",IF(InfGog3LevelDesired&lt;$B84,"-",$D84))</f>
        <v>-</v>
      </c>
      <c r="CB84" s="21" t="str" cm="1">
        <f t="array" ref="CB84">IF(InfGog3LevelCurrent&gt;=$B84,"-",IF(InfGog3LevelDesired&lt;$B84,"-",$E84))</f>
        <v>-</v>
      </c>
      <c r="CC84" s="15" t="str">
        <f t="shared" si="4749"/>
        <v>-</v>
      </c>
      <c r="CD84" s="1" t="str">
        <f t="shared" si="4750"/>
        <v>-</v>
      </c>
      <c r="CE84" s="21" t="str">
        <f t="shared" si="4751"/>
        <v>-</v>
      </c>
      <c r="CF84" s="15" t="str">
        <f t="shared" si="4752"/>
        <v>-</v>
      </c>
      <c r="CG84" s="1" t="str">
        <f t="shared" si="4753"/>
        <v>-</v>
      </c>
      <c r="CH84" s="21" t="str">
        <f t="shared" si="4754"/>
        <v>-</v>
      </c>
      <c r="CI84" s="15" t="str">
        <f t="shared" si="4755"/>
        <v>-</v>
      </c>
      <c r="CJ84" s="1" t="str">
        <f t="shared" si="4756"/>
        <v>-</v>
      </c>
      <c r="CK84" s="21" t="str">
        <f t="shared" si="4757"/>
        <v>-</v>
      </c>
      <c r="CL84" s="15" t="str">
        <f t="shared" si="4758"/>
        <v>-</v>
      </c>
      <c r="CM84" s="1" t="str">
        <f t="shared" si="4759"/>
        <v>-</v>
      </c>
      <c r="CN84" s="21" t="str">
        <f t="shared" si="4760"/>
        <v>-</v>
      </c>
      <c r="CO84" s="15" t="str">
        <f t="shared" si="4761"/>
        <v>-</v>
      </c>
      <c r="CP84" s="1" t="str">
        <f t="shared" si="4762"/>
        <v>-</v>
      </c>
      <c r="CQ84" s="21" t="str">
        <f t="shared" si="4763"/>
        <v>-</v>
      </c>
      <c r="CR84" s="15" t="str">
        <f t="shared" si="4764"/>
        <v>-</v>
      </c>
      <c r="CS84" s="1" t="str">
        <f t="shared" si="4765"/>
        <v>-</v>
      </c>
      <c r="CT84" s="21" t="str">
        <f t="shared" si="4766"/>
        <v>-</v>
      </c>
      <c r="CU84" s="15" t="str">
        <f t="shared" si="4767"/>
        <v>-</v>
      </c>
      <c r="CV84" s="1" t="str">
        <f t="shared" si="4768"/>
        <v>-</v>
      </c>
      <c r="CW84" s="21" t="str">
        <f t="shared" si="4769"/>
        <v>-</v>
      </c>
      <c r="CX84" s="15" t="str">
        <f t="shared" si="4770"/>
        <v>-</v>
      </c>
      <c r="CY84" s="1" t="str">
        <f t="shared" si="4771"/>
        <v>-</v>
      </c>
      <c r="CZ84" s="21" t="str">
        <f t="shared" si="4772"/>
        <v>-</v>
      </c>
      <c r="DA84" s="15" t="str">
        <f t="shared" si="4773"/>
        <v>-</v>
      </c>
      <c r="DB84" s="1" t="str">
        <f t="shared" si="4774"/>
        <v>-</v>
      </c>
      <c r="DC84" s="21" t="str">
        <f t="shared" si="4775"/>
        <v>-</v>
      </c>
      <c r="DD84" s="15" t="str">
        <f t="shared" si="4776"/>
        <v>-</v>
      </c>
      <c r="DE84" s="1" t="str">
        <f t="shared" si="4777"/>
        <v>-</v>
      </c>
      <c r="DF84" s="21" t="str">
        <f t="shared" si="4778"/>
        <v>-</v>
      </c>
      <c r="DG84" s="15" t="str">
        <f t="shared" si="4779"/>
        <v>-</v>
      </c>
      <c r="DH84" s="1" t="str">
        <f t="shared" si="4780"/>
        <v>-</v>
      </c>
      <c r="DI84" s="21" t="str">
        <f t="shared" si="4781"/>
        <v>-</v>
      </c>
    </row>
    <row r="85" spans="2:113" x14ac:dyDescent="0.3">
      <c r="B85" s="1">
        <v>80</v>
      </c>
      <c r="C85" s="67">
        <v>1400</v>
      </c>
      <c r="D85" s="88" t="s">
        <v>27</v>
      </c>
      <c r="E85" s="21" t="s">
        <v>27</v>
      </c>
      <c r="F85" s="15" t="str">
        <f t="shared" ref="F85" si="5790">IF(InfGog1LevelCurrent&gt;=$B85,"-",IF(InfGog1LevelDesired&lt;$B85,"-",$C85))</f>
        <v>-</v>
      </c>
      <c r="G85" s="1" t="str">
        <f t="shared" ref="G85" si="5791">IF(InfGog1LevelCurrent&gt;=$B85,"-",IF(InfGog1LevelDesired&lt;$B85,"-",$D85))</f>
        <v>-</v>
      </c>
      <c r="H85" s="21" t="str">
        <f t="shared" ref="H85" si="5792">IF(InfGog1LevelCurrent&gt;=$B85,"-",IF(InfGog1LevelDesired&lt;$B85,"-",$E85))</f>
        <v>-</v>
      </c>
      <c r="I85" s="15" t="str">
        <f t="shared" ref="I85" si="5793">IF(InfGlo1LevelCurrent&gt;=$B85,"-",IF(InfGlo1LevelDesired&lt;$B85,"-",$C85))</f>
        <v>-</v>
      </c>
      <c r="J85" s="1" t="str">
        <f t="shared" ref="J85" si="5794">IF(InfGlo1LevelCurrent&gt;=$B85,"-",IF(InfGlo1LevelDesired&lt;$B85,"-",$D85))</f>
        <v>-</v>
      </c>
      <c r="K85" s="21" t="str">
        <f t="shared" ref="K85" si="5795">IF(InfGlo1LevelCurrent&gt;=$B85,"-",IF(InfGlo1LevelDesired&lt;$B85,"-",$E85))</f>
        <v>-</v>
      </c>
      <c r="L85" s="15" t="str">
        <f t="shared" ref="L85" si="5796">IF(InfBel1LevelCurrent&gt;=$B85,"-",IF(InfBel1LevelDesired&lt;$B85,"-",$C85))</f>
        <v>-</v>
      </c>
      <c r="M85" s="1" t="str">
        <f t="shared" ref="M85" si="5797">IF(InfBel1LevelCurrent&gt;=$B85,"-",IF(InfBel1LevelDesired&lt;$B85,"-",$D85))</f>
        <v>-</v>
      </c>
      <c r="N85" s="21" t="str">
        <f t="shared" ref="N85" si="5798">IF(InfBel1LevelCurrent&gt;=$B85,"-",IF(InfBel1LevelDesired&lt;$B85,"-",$E85))</f>
        <v>-</v>
      </c>
      <c r="O85" s="15" t="str">
        <f t="shared" ref="O85" si="5799">IF(InfBoo1LevelCurrent&gt;=$B85,"-",IF(InfBoo1LevelDesired&lt;$B85,"-",$C85))</f>
        <v>-</v>
      </c>
      <c r="P85" s="1" t="str">
        <f t="shared" ref="P85" si="5800">IF(InfBoo1LevelCurrent&gt;=$B85,"-",IF(InfBoo1LevelDesired&lt;$B85,"-",$D85))</f>
        <v>-</v>
      </c>
      <c r="Q85" s="21" t="str">
        <f t="shared" ref="Q85" si="5801">IF(InfBoo1LevelCurrent&gt;=$B85,"-",IF(InfBoo1LevelDesired&lt;$B85,"-",$E85))</f>
        <v>-</v>
      </c>
      <c r="R85" s="15" t="str">
        <f t="shared" ref="R85" si="5802">IF(LanGog1LevelCurrent&gt;=$B85,"-",IF(LanGog1LevelDesired&lt;$B85,"-",$C85))</f>
        <v>-</v>
      </c>
      <c r="S85" s="1" t="str">
        <f t="shared" ref="S85" si="5803">IF(LanGog1LevelCurrent&gt;=$B85,"-",IF(LanGog1LevelDesired&lt;$B85,"-",$D85))</f>
        <v>-</v>
      </c>
      <c r="T85" s="21" t="str">
        <f t="shared" ref="T85" si="5804">IF(LanGog1LevelCurrent&gt;=$B85,"-",IF(LanGog1LevelDesired&lt;$B85,"-",$E85))</f>
        <v>-</v>
      </c>
      <c r="U85" s="15" t="str">
        <f t="shared" ref="U85" si="5805">IF(LanGlo1LevelCurrent&gt;=$B85,"-",IF(LanGlo1LevelDesired&lt;$B85,"-",$C85))</f>
        <v>-</v>
      </c>
      <c r="V85" s="1" t="str">
        <f t="shared" ref="V85" si="5806">IF(LanGlo1LevelCurrent&gt;=$B85,"-",IF(LanGlo1LevelDesired&lt;$B85,"-",$D85))</f>
        <v>-</v>
      </c>
      <c r="W85" s="21" t="str">
        <f t="shared" ref="W85" si="5807">IF(LanGlo1LevelCurrent&gt;=$B85,"-",IF(LanGlo1LevelDesired&lt;$B85,"-",$E85))</f>
        <v>-</v>
      </c>
      <c r="X85" s="15" t="str">
        <f t="shared" ref="X85" si="5808">IF(LanBel1LevelCurrent&gt;=$B85,"-",IF(LanBel1LevelDesired&lt;$B85,"-",$C85))</f>
        <v>-</v>
      </c>
      <c r="Y85" s="1" t="str">
        <f t="shared" ref="Y85" si="5809">IF(LanBel1LevelCurrent&gt;=$B85,"-",IF(LanBel1LevelDesired&lt;$B85,"-",$D85))</f>
        <v>-</v>
      </c>
      <c r="Z85" s="21" t="str">
        <f t="shared" ref="Z85" si="5810">IF(LanBel1LevelCurrent&gt;=$B85,"-",IF(LanBel1LevelDesired&lt;$B85,"-",$E85))</f>
        <v>-</v>
      </c>
      <c r="AA85" s="15" t="str">
        <f t="shared" ref="AA85" si="5811">IF(LanBoo1LevelCurrent&gt;=$B85,"-",IF(LanBoo1LevelDesired&lt;$B85,"-",$C85))</f>
        <v>-</v>
      </c>
      <c r="AB85" s="1" t="str">
        <f t="shared" ref="AB85" si="5812">IF(LanBoo1LevelCurrent&gt;=$B85,"-",IF(LanBoo1LevelDesired&lt;$B85,"-",$D85))</f>
        <v>-</v>
      </c>
      <c r="AC85" s="21" t="str">
        <f t="shared" ref="AC85" si="5813">IF(LanBoo1LevelCurrent&gt;=$B85,"-",IF(LanBoo1LevelDesired&lt;$B85,"-",$E85))</f>
        <v>-</v>
      </c>
      <c r="AD85" s="15" t="str">
        <f t="shared" ref="AD85" si="5814">IF(MarGog1LevelCurrent&gt;=$B85,"-",IF(MarGog1LevelDesired&lt;$B85,"-",$C85))</f>
        <v>-</v>
      </c>
      <c r="AE85" s="1" t="str">
        <f t="shared" ref="AE85" si="5815">IF(MarGog1LevelCurrent&gt;=$B85,"-",IF(MarGog1LevelDesired&lt;$B85,"-",$D85))</f>
        <v>-</v>
      </c>
      <c r="AF85" s="21" t="str">
        <f t="shared" ref="AF85" si="5816">IF(MarGog1LevelCurrent&gt;=$B85,"-",IF(MarGog1LevelDesired&lt;$B85,"-",$E85))</f>
        <v>-</v>
      </c>
      <c r="AG85" s="15" t="str">
        <f t="shared" ref="AG85" si="5817">IF(MarGlo1LevelCurrent&gt;=$B85,"-",IF(MarGlo1LevelDesired&lt;$B85,"-",$C85))</f>
        <v>-</v>
      </c>
      <c r="AH85" s="1" t="str">
        <f t="shared" ref="AH85" si="5818">IF(MarGlo1LevelCurrent&gt;=$B85,"-",IF(MarGlo1LevelDesired&lt;$B85,"-",$D85))</f>
        <v>-</v>
      </c>
      <c r="AI85" s="21" t="str">
        <f t="shared" ref="AI85" si="5819">IF(MarGlo1LevelCurrent&gt;=$B85,"-",IF(MarGlo1LevelDesired&lt;$B85,"-",$E85))</f>
        <v>-</v>
      </c>
      <c r="AJ85" s="15" t="str">
        <f t="shared" ref="AJ85" si="5820">IF(MarBel1LevelCurrent&gt;=$B85,"-",IF(MarBel1LevelDesired&lt;$B85,"-",$C85))</f>
        <v>-</v>
      </c>
      <c r="AK85" s="1" t="str">
        <f t="shared" ref="AK85" si="5821">IF(MarBel1LevelCurrent&gt;=$B85,"-",IF(MarBel1LevelDesired&lt;$B85,"-",$D85))</f>
        <v>-</v>
      </c>
      <c r="AL85" s="21" t="str">
        <f t="shared" ref="AL85" si="5822">IF(MarBel1LevelCurrent&gt;=$B85,"-",IF(MarBel1LevelDesired&lt;$B85,"-",$E85))</f>
        <v>-</v>
      </c>
      <c r="AM85" s="15" t="str">
        <f t="shared" ref="AM85" si="5823">IF(MarBoo1LevelCurrent&gt;=$B85,"-",IF(MarBoo1LevelDesired&lt;$B85,"-",$C85))</f>
        <v>-</v>
      </c>
      <c r="AN85" s="1" t="str">
        <f t="shared" ref="AN85" si="5824">IF(MarBoo1LevelCurrent&gt;=$B85,"-",IF(MarBoo1LevelDesired&lt;$B85,"-",$D85))</f>
        <v>-</v>
      </c>
      <c r="AO85" s="21" t="str">
        <f t="shared" ref="AO85" si="5825">IF(MarBoo1LevelCurrent&gt;=$B85,"-",IF(MarBoo1LevelDesired&lt;$B85,"-",$E85))</f>
        <v>-</v>
      </c>
      <c r="AP85" s="15" t="str">
        <f t="shared" ref="AP85" si="5826">IF(InfGog2LevelCurrent&gt;=$B85,"-",IF(InfGog2LevelDesired&lt;$B85,"-",$C85))</f>
        <v>-</v>
      </c>
      <c r="AQ85" s="1" t="str">
        <f t="shared" ref="AQ85" si="5827">IF(InfGog2LevelCurrent&gt;=$B85,"-",IF(InfGog2LevelDesired&lt;$B85,"-",$D85))</f>
        <v>-</v>
      </c>
      <c r="AR85" s="21" t="str">
        <f t="shared" ref="AR85" si="5828">IF(InfGog2LevelCurrent&gt;=$B85,"-",IF(InfGog2LevelDesired&lt;$B85,"-",$E85))</f>
        <v>-</v>
      </c>
      <c r="AS85" s="15" t="str">
        <f t="shared" ref="AS85" si="5829">IF(InfGlo2LevelCurrent&gt;=$B85,"-",IF(InfGlo2LevelDesired&lt;$B85,"-",$C85))</f>
        <v>-</v>
      </c>
      <c r="AT85" s="1" t="str">
        <f t="shared" ref="AT85" si="5830">IF(InfGlo2LevelCurrent&gt;=$B85,"-",IF(InfGlo2LevelDesired&lt;$B85,"-",$D85))</f>
        <v>-</v>
      </c>
      <c r="AU85" s="21" t="str">
        <f t="shared" ref="AU85" si="5831">IF(InfGlo2LevelCurrent&gt;=$B85,"-",IF(InfGlo2LevelDesired&lt;$B85,"-",$E85))</f>
        <v>-</v>
      </c>
      <c r="AV85" s="15" t="str">
        <f t="shared" ref="AV85" si="5832">IF(InfBel2LevelCurrent&gt;=$B85,"-",IF(InfBel2LevelDesired&lt;$B85,"-",$C85))</f>
        <v>-</v>
      </c>
      <c r="AW85" s="1" t="str">
        <f t="shared" ref="AW85" si="5833">IF(InfBel2LevelCurrent&gt;=$B85,"-",IF(InfBel2LevelDesired&lt;$B85,"-",$D85))</f>
        <v>-</v>
      </c>
      <c r="AX85" s="21" t="str">
        <f t="shared" ref="AX85" si="5834">IF(InfBel2LevelCurrent&gt;=$B85,"-",IF(InfBel2LevelDesired&lt;$B85,"-",$E85))</f>
        <v>-</v>
      </c>
      <c r="AY85" s="15" t="str">
        <f t="shared" ref="AY85" si="5835">IF(InfBoo2LevelCurrent&gt;=$B85,"-",IF(InfBoo2LevelDesired&lt;$B85,"-",$C85))</f>
        <v>-</v>
      </c>
      <c r="AZ85" s="1" t="str">
        <f t="shared" ref="AZ85" si="5836">IF(InfBoo2LevelCurrent&gt;=$B85,"-",IF(InfBoo2LevelDesired&lt;$B85,"-",$D85))</f>
        <v>-</v>
      </c>
      <c r="BA85" s="21" t="str">
        <f t="shared" ref="BA85" si="5837">IF(InfBoo2LevelCurrent&gt;=$B85,"-",IF(InfBoo2LevelDesired&lt;$B85,"-",$E85))</f>
        <v>-</v>
      </c>
      <c r="BB85" s="15" t="str">
        <f t="shared" ref="BB85" si="5838">IF(LanGog2LevelCurrent&gt;=$B85,"-",IF(LanGog2LevelDesired&lt;$B85,"-",$C85))</f>
        <v>-</v>
      </c>
      <c r="BC85" s="1" t="str">
        <f t="shared" ref="BC85" si="5839">IF(LanGog2LevelCurrent&gt;=$B85,"-",IF(LanGog2LevelDesired&lt;$B85,"-",$D85))</f>
        <v>-</v>
      </c>
      <c r="BD85" s="21" t="str">
        <f t="shared" ref="BD85" si="5840">IF(LanGog2LevelCurrent&gt;=$B85,"-",IF(LanGog2LevelDesired&lt;$B85,"-",$E85))</f>
        <v>-</v>
      </c>
      <c r="BE85" s="15" t="str">
        <f t="shared" ref="BE85" si="5841">IF(LanGlo2LevelCurrent&gt;=$B85,"-",IF(LanGlo2LevelDesired&lt;$B85,"-",$C85))</f>
        <v>-</v>
      </c>
      <c r="BF85" s="1" t="str">
        <f t="shared" ref="BF85" si="5842">IF(LanGlo2LevelCurrent&gt;=$B85,"-",IF(LanGlo2LevelDesired&lt;$B85,"-",$D85))</f>
        <v>-</v>
      </c>
      <c r="BG85" s="21" t="str">
        <f t="shared" ref="BG85" si="5843">IF(LanGlo2LevelCurrent&gt;=$B85,"-",IF(LanGlo2LevelDesired&lt;$B85,"-",$E85))</f>
        <v>-</v>
      </c>
      <c r="BH85" s="15" t="str">
        <f t="shared" ref="BH85" si="5844">IF(LanBel2LevelCurrent&gt;=$B85,"-",IF(LanBel2LevelDesired&lt;$B85,"-",$C85))</f>
        <v>-</v>
      </c>
      <c r="BI85" s="1" t="str">
        <f t="shared" ref="BI85" si="5845">IF(LanBel2LevelCurrent&gt;=$B85,"-",IF(LanBel2LevelDesired&lt;$B85,"-",$D85))</f>
        <v>-</v>
      </c>
      <c r="BJ85" s="21" t="str">
        <f t="shared" ref="BJ85" si="5846">IF(LanBel2LevelCurrent&gt;=$B85,"-",IF(LanBel2LevelDesired&lt;$B85,"-",$E85))</f>
        <v>-</v>
      </c>
      <c r="BK85" s="15" t="str">
        <f t="shared" ref="BK85" si="5847">IF(LanBoo2LevelCurrent&gt;=$B85,"-",IF(LanBoo2LevelDesired&lt;$B85,"-",$C85))</f>
        <v>-</v>
      </c>
      <c r="BL85" s="1" t="str">
        <f t="shared" ref="BL85" si="5848">IF(LanBoo2LevelCurrent&gt;=$B85,"-",IF(LanBoo2LevelDesired&lt;$B85,"-",$D85))</f>
        <v>-</v>
      </c>
      <c r="BM85" s="21" t="str">
        <f t="shared" ref="BM85" si="5849">IF(LanBoo2LevelCurrent&gt;=$B85,"-",IF(LanBoo2LevelDesired&lt;$B85,"-",$E85))</f>
        <v>-</v>
      </c>
      <c r="BN85" s="15" t="str">
        <f t="shared" ref="BN85" si="5850">IF(MarGog2LevelCurrent&gt;=$B85,"-",IF(MarGog2LevelDesired&lt;$B85,"-",$C85))</f>
        <v>-</v>
      </c>
      <c r="BO85" s="1" t="str">
        <f t="shared" ref="BO85" si="5851">IF(MarGog2LevelCurrent&gt;=$B85,"-",IF(MarGog2LevelDesired&lt;$B85,"-",$D85))</f>
        <v>-</v>
      </c>
      <c r="BP85" s="21" t="str">
        <f t="shared" ref="BP85" si="5852">IF(MarGog2LevelCurrent&gt;=$B85,"-",IF(MarGog2LevelDesired&lt;$B85,"-",$E85))</f>
        <v>-</v>
      </c>
      <c r="BQ85" s="15" t="str">
        <f t="shared" ref="BQ85" si="5853">IF(MarGlo2LevelCurrent&gt;=$B85,"-",IF(MarGlo2LevelDesired&lt;$B85,"-",$C85))</f>
        <v>-</v>
      </c>
      <c r="BR85" s="1" t="str">
        <f t="shared" ref="BR85" si="5854">IF(MarGlo2LevelCurrent&gt;=$B85,"-",IF(MarGlo2LevelDesired&lt;$B85,"-",$D85))</f>
        <v>-</v>
      </c>
      <c r="BS85" s="21" t="str">
        <f t="shared" ref="BS85" si="5855">IF(MarGlo2LevelCurrent&gt;=$B85,"-",IF(MarGlo2LevelDesired&lt;$B85,"-",$E85))</f>
        <v>-</v>
      </c>
      <c r="BT85" s="15" t="str">
        <f t="shared" ref="BT85" si="5856">IF(MarBel2LevelCurrent&gt;=$B85,"-",IF(MarBel2LevelDesired&lt;$B85,"-",$C85))</f>
        <v>-</v>
      </c>
      <c r="BU85" s="1" t="str">
        <f t="shared" ref="BU85" si="5857">IF(MarBel2LevelCurrent&gt;=$B85,"-",IF(MarBel2LevelDesired&lt;$B85,"-",$D85))</f>
        <v>-</v>
      </c>
      <c r="BV85" s="21" t="str">
        <f t="shared" ref="BV85" si="5858">IF(MarBel2LevelCurrent&gt;=$B85,"-",IF(MarBel2LevelDesired&lt;$B85,"-",$E85))</f>
        <v>-</v>
      </c>
      <c r="BW85" s="15" t="str">
        <f t="shared" ref="BW85" si="5859">IF(MarBoo2LevelCurrent&gt;=$B85,"-",IF(MarBoo2LevelDesired&lt;$B85,"-",$C85))</f>
        <v>-</v>
      </c>
      <c r="BX85" s="1" t="str">
        <f t="shared" ref="BX85" si="5860">IF(MarBoo2LevelCurrent&gt;=$B85,"-",IF(MarBoo2LevelDesired&lt;$B85,"-",$D85))</f>
        <v>-</v>
      </c>
      <c r="BY85" s="21" t="str">
        <f t="shared" ref="BY85" si="5861">IF(MarBoo2LevelCurrent&gt;=$B85,"-",IF(MarBoo2LevelDesired&lt;$B85,"-",$E85))</f>
        <v>-</v>
      </c>
      <c r="BZ85" s="15" t="str">
        <f t="shared" si="4748"/>
        <v>-</v>
      </c>
      <c r="CA85" s="1" t="str" cm="1">
        <f t="array" ref="CA85">IF(InfGog3LevelCurrent&gt;=$B85,"-",IF(InfGog3LevelDesired&lt;$B85,"-",$D85))</f>
        <v>-</v>
      </c>
      <c r="CB85" s="21" t="str" cm="1">
        <f t="array" ref="CB85">IF(InfGog3LevelCurrent&gt;=$B85,"-",IF(InfGog3LevelDesired&lt;$B85,"-",$E85))</f>
        <v>-</v>
      </c>
      <c r="CC85" s="15" t="str">
        <f t="shared" si="4749"/>
        <v>-</v>
      </c>
      <c r="CD85" s="1" t="str">
        <f t="shared" si="4750"/>
        <v>-</v>
      </c>
      <c r="CE85" s="21" t="str">
        <f t="shared" si="4751"/>
        <v>-</v>
      </c>
      <c r="CF85" s="15" t="str">
        <f t="shared" si="4752"/>
        <v>-</v>
      </c>
      <c r="CG85" s="1" t="str">
        <f t="shared" si="4753"/>
        <v>-</v>
      </c>
      <c r="CH85" s="21" t="str">
        <f t="shared" si="4754"/>
        <v>-</v>
      </c>
      <c r="CI85" s="15" t="str">
        <f t="shared" si="4755"/>
        <v>-</v>
      </c>
      <c r="CJ85" s="1" t="str">
        <f t="shared" si="4756"/>
        <v>-</v>
      </c>
      <c r="CK85" s="21" t="str">
        <f t="shared" si="4757"/>
        <v>-</v>
      </c>
      <c r="CL85" s="15" t="str">
        <f t="shared" si="4758"/>
        <v>-</v>
      </c>
      <c r="CM85" s="1" t="str">
        <f t="shared" si="4759"/>
        <v>-</v>
      </c>
      <c r="CN85" s="21" t="str">
        <f t="shared" si="4760"/>
        <v>-</v>
      </c>
      <c r="CO85" s="15" t="str">
        <f t="shared" si="4761"/>
        <v>-</v>
      </c>
      <c r="CP85" s="1" t="str">
        <f t="shared" si="4762"/>
        <v>-</v>
      </c>
      <c r="CQ85" s="21" t="str">
        <f t="shared" si="4763"/>
        <v>-</v>
      </c>
      <c r="CR85" s="15" t="str">
        <f t="shared" si="4764"/>
        <v>-</v>
      </c>
      <c r="CS85" s="1" t="str">
        <f t="shared" si="4765"/>
        <v>-</v>
      </c>
      <c r="CT85" s="21" t="str">
        <f t="shared" si="4766"/>
        <v>-</v>
      </c>
      <c r="CU85" s="15" t="str">
        <f t="shared" si="4767"/>
        <v>-</v>
      </c>
      <c r="CV85" s="1" t="str">
        <f t="shared" si="4768"/>
        <v>-</v>
      </c>
      <c r="CW85" s="21" t="str">
        <f t="shared" si="4769"/>
        <v>-</v>
      </c>
      <c r="CX85" s="15" t="str">
        <f t="shared" si="4770"/>
        <v>-</v>
      </c>
      <c r="CY85" s="1" t="str">
        <f t="shared" si="4771"/>
        <v>-</v>
      </c>
      <c r="CZ85" s="21" t="str">
        <f t="shared" si="4772"/>
        <v>-</v>
      </c>
      <c r="DA85" s="15" t="str">
        <f t="shared" si="4773"/>
        <v>-</v>
      </c>
      <c r="DB85" s="1" t="str">
        <f t="shared" si="4774"/>
        <v>-</v>
      </c>
      <c r="DC85" s="21" t="str">
        <f t="shared" si="4775"/>
        <v>-</v>
      </c>
      <c r="DD85" s="15" t="str">
        <f t="shared" si="4776"/>
        <v>-</v>
      </c>
      <c r="DE85" s="1" t="str">
        <f t="shared" si="4777"/>
        <v>-</v>
      </c>
      <c r="DF85" s="21" t="str">
        <f t="shared" si="4778"/>
        <v>-</v>
      </c>
      <c r="DG85" s="15" t="str">
        <f t="shared" si="4779"/>
        <v>-</v>
      </c>
      <c r="DH85" s="1" t="str">
        <f t="shared" si="4780"/>
        <v>-</v>
      </c>
      <c r="DI85" s="21" t="str">
        <f t="shared" si="4781"/>
        <v>-</v>
      </c>
    </row>
    <row r="86" spans="2:113" x14ac:dyDescent="0.3">
      <c r="B86" s="1">
        <v>81</v>
      </c>
      <c r="C86" s="67">
        <v>1450</v>
      </c>
      <c r="D86" s="88" t="s">
        <v>27</v>
      </c>
      <c r="E86" s="21" t="s">
        <v>27</v>
      </c>
      <c r="F86" s="15" t="str">
        <f t="shared" ref="F86" si="5862">IF(InfGog1LevelCurrent&gt;=$B86,"-",IF(InfGog1LevelDesired&lt;$B86,"-",$C86))</f>
        <v>-</v>
      </c>
      <c r="G86" s="1" t="str">
        <f t="shared" ref="G86" si="5863">IF(InfGog1LevelCurrent&gt;=$B86,"-",IF(InfGog1LevelDesired&lt;$B86,"-",$D86))</f>
        <v>-</v>
      </c>
      <c r="H86" s="21" t="str">
        <f t="shared" ref="H86" si="5864">IF(InfGog1LevelCurrent&gt;=$B86,"-",IF(InfGog1LevelDesired&lt;$B86,"-",$E86))</f>
        <v>-</v>
      </c>
      <c r="I86" s="15" t="str">
        <f t="shared" ref="I86" si="5865">IF(InfGlo1LevelCurrent&gt;=$B86,"-",IF(InfGlo1LevelDesired&lt;$B86,"-",$C86))</f>
        <v>-</v>
      </c>
      <c r="J86" s="1" t="str">
        <f t="shared" ref="J86" si="5866">IF(InfGlo1LevelCurrent&gt;=$B86,"-",IF(InfGlo1LevelDesired&lt;$B86,"-",$D86))</f>
        <v>-</v>
      </c>
      <c r="K86" s="21" t="str">
        <f t="shared" ref="K86" si="5867">IF(InfGlo1LevelCurrent&gt;=$B86,"-",IF(InfGlo1LevelDesired&lt;$B86,"-",$E86))</f>
        <v>-</v>
      </c>
      <c r="L86" s="15" t="str">
        <f t="shared" ref="L86" si="5868">IF(InfBel1LevelCurrent&gt;=$B86,"-",IF(InfBel1LevelDesired&lt;$B86,"-",$C86))</f>
        <v>-</v>
      </c>
      <c r="M86" s="1" t="str">
        <f t="shared" ref="M86" si="5869">IF(InfBel1LevelCurrent&gt;=$B86,"-",IF(InfBel1LevelDesired&lt;$B86,"-",$D86))</f>
        <v>-</v>
      </c>
      <c r="N86" s="21" t="str">
        <f t="shared" ref="N86" si="5870">IF(InfBel1LevelCurrent&gt;=$B86,"-",IF(InfBel1LevelDesired&lt;$B86,"-",$E86))</f>
        <v>-</v>
      </c>
      <c r="O86" s="15" t="str">
        <f t="shared" ref="O86" si="5871">IF(InfBoo1LevelCurrent&gt;=$B86,"-",IF(InfBoo1LevelDesired&lt;$B86,"-",$C86))</f>
        <v>-</v>
      </c>
      <c r="P86" s="1" t="str">
        <f t="shared" ref="P86" si="5872">IF(InfBoo1LevelCurrent&gt;=$B86,"-",IF(InfBoo1LevelDesired&lt;$B86,"-",$D86))</f>
        <v>-</v>
      </c>
      <c r="Q86" s="21" t="str">
        <f t="shared" ref="Q86" si="5873">IF(InfBoo1LevelCurrent&gt;=$B86,"-",IF(InfBoo1LevelDesired&lt;$B86,"-",$E86))</f>
        <v>-</v>
      </c>
      <c r="R86" s="15" t="str">
        <f t="shared" ref="R86" si="5874">IF(LanGog1LevelCurrent&gt;=$B86,"-",IF(LanGog1LevelDesired&lt;$B86,"-",$C86))</f>
        <v>-</v>
      </c>
      <c r="S86" s="1" t="str">
        <f t="shared" ref="S86" si="5875">IF(LanGog1LevelCurrent&gt;=$B86,"-",IF(LanGog1LevelDesired&lt;$B86,"-",$D86))</f>
        <v>-</v>
      </c>
      <c r="T86" s="21" t="str">
        <f t="shared" ref="T86" si="5876">IF(LanGog1LevelCurrent&gt;=$B86,"-",IF(LanGog1LevelDesired&lt;$B86,"-",$E86))</f>
        <v>-</v>
      </c>
      <c r="U86" s="15" t="str">
        <f t="shared" ref="U86" si="5877">IF(LanGlo1LevelCurrent&gt;=$B86,"-",IF(LanGlo1LevelDesired&lt;$B86,"-",$C86))</f>
        <v>-</v>
      </c>
      <c r="V86" s="1" t="str">
        <f t="shared" ref="V86" si="5878">IF(LanGlo1LevelCurrent&gt;=$B86,"-",IF(LanGlo1LevelDesired&lt;$B86,"-",$D86))</f>
        <v>-</v>
      </c>
      <c r="W86" s="21" t="str">
        <f t="shared" ref="W86" si="5879">IF(LanGlo1LevelCurrent&gt;=$B86,"-",IF(LanGlo1LevelDesired&lt;$B86,"-",$E86))</f>
        <v>-</v>
      </c>
      <c r="X86" s="15" t="str">
        <f t="shared" ref="X86" si="5880">IF(LanBel1LevelCurrent&gt;=$B86,"-",IF(LanBel1LevelDesired&lt;$B86,"-",$C86))</f>
        <v>-</v>
      </c>
      <c r="Y86" s="1" t="str">
        <f t="shared" ref="Y86" si="5881">IF(LanBel1LevelCurrent&gt;=$B86,"-",IF(LanBel1LevelDesired&lt;$B86,"-",$D86))</f>
        <v>-</v>
      </c>
      <c r="Z86" s="21" t="str">
        <f t="shared" ref="Z86" si="5882">IF(LanBel1LevelCurrent&gt;=$B86,"-",IF(LanBel1LevelDesired&lt;$B86,"-",$E86))</f>
        <v>-</v>
      </c>
      <c r="AA86" s="15" t="str">
        <f t="shared" ref="AA86" si="5883">IF(LanBoo1LevelCurrent&gt;=$B86,"-",IF(LanBoo1LevelDesired&lt;$B86,"-",$C86))</f>
        <v>-</v>
      </c>
      <c r="AB86" s="1" t="str">
        <f t="shared" ref="AB86" si="5884">IF(LanBoo1LevelCurrent&gt;=$B86,"-",IF(LanBoo1LevelDesired&lt;$B86,"-",$D86))</f>
        <v>-</v>
      </c>
      <c r="AC86" s="21" t="str">
        <f t="shared" ref="AC86" si="5885">IF(LanBoo1LevelCurrent&gt;=$B86,"-",IF(LanBoo1LevelDesired&lt;$B86,"-",$E86))</f>
        <v>-</v>
      </c>
      <c r="AD86" s="15" t="str">
        <f t="shared" ref="AD86" si="5886">IF(MarGog1LevelCurrent&gt;=$B86,"-",IF(MarGog1LevelDesired&lt;$B86,"-",$C86))</f>
        <v>-</v>
      </c>
      <c r="AE86" s="1" t="str">
        <f t="shared" ref="AE86" si="5887">IF(MarGog1LevelCurrent&gt;=$B86,"-",IF(MarGog1LevelDesired&lt;$B86,"-",$D86))</f>
        <v>-</v>
      </c>
      <c r="AF86" s="21" t="str">
        <f t="shared" ref="AF86" si="5888">IF(MarGog1LevelCurrent&gt;=$B86,"-",IF(MarGog1LevelDesired&lt;$B86,"-",$E86))</f>
        <v>-</v>
      </c>
      <c r="AG86" s="15" t="str">
        <f t="shared" ref="AG86" si="5889">IF(MarGlo1LevelCurrent&gt;=$B86,"-",IF(MarGlo1LevelDesired&lt;$B86,"-",$C86))</f>
        <v>-</v>
      </c>
      <c r="AH86" s="1" t="str">
        <f t="shared" ref="AH86" si="5890">IF(MarGlo1LevelCurrent&gt;=$B86,"-",IF(MarGlo1LevelDesired&lt;$B86,"-",$D86))</f>
        <v>-</v>
      </c>
      <c r="AI86" s="21" t="str">
        <f t="shared" ref="AI86" si="5891">IF(MarGlo1LevelCurrent&gt;=$B86,"-",IF(MarGlo1LevelDesired&lt;$B86,"-",$E86))</f>
        <v>-</v>
      </c>
      <c r="AJ86" s="15" t="str">
        <f t="shared" ref="AJ86" si="5892">IF(MarBel1LevelCurrent&gt;=$B86,"-",IF(MarBel1LevelDesired&lt;$B86,"-",$C86))</f>
        <v>-</v>
      </c>
      <c r="AK86" s="1" t="str">
        <f t="shared" ref="AK86" si="5893">IF(MarBel1LevelCurrent&gt;=$B86,"-",IF(MarBel1LevelDesired&lt;$B86,"-",$D86))</f>
        <v>-</v>
      </c>
      <c r="AL86" s="21" t="str">
        <f t="shared" ref="AL86" si="5894">IF(MarBel1LevelCurrent&gt;=$B86,"-",IF(MarBel1LevelDesired&lt;$B86,"-",$E86))</f>
        <v>-</v>
      </c>
      <c r="AM86" s="15" t="str">
        <f t="shared" ref="AM86" si="5895">IF(MarBoo1LevelCurrent&gt;=$B86,"-",IF(MarBoo1LevelDesired&lt;$B86,"-",$C86))</f>
        <v>-</v>
      </c>
      <c r="AN86" s="1" t="str">
        <f t="shared" ref="AN86" si="5896">IF(MarBoo1LevelCurrent&gt;=$B86,"-",IF(MarBoo1LevelDesired&lt;$B86,"-",$D86))</f>
        <v>-</v>
      </c>
      <c r="AO86" s="21" t="str">
        <f t="shared" ref="AO86" si="5897">IF(MarBoo1LevelCurrent&gt;=$B86,"-",IF(MarBoo1LevelDesired&lt;$B86,"-",$E86))</f>
        <v>-</v>
      </c>
      <c r="AP86" s="15" t="str">
        <f t="shared" ref="AP86" si="5898">IF(InfGog2LevelCurrent&gt;=$B86,"-",IF(InfGog2LevelDesired&lt;$B86,"-",$C86))</f>
        <v>-</v>
      </c>
      <c r="AQ86" s="1" t="str">
        <f t="shared" ref="AQ86" si="5899">IF(InfGog2LevelCurrent&gt;=$B86,"-",IF(InfGog2LevelDesired&lt;$B86,"-",$D86))</f>
        <v>-</v>
      </c>
      <c r="AR86" s="21" t="str">
        <f t="shared" ref="AR86" si="5900">IF(InfGog2LevelCurrent&gt;=$B86,"-",IF(InfGog2LevelDesired&lt;$B86,"-",$E86))</f>
        <v>-</v>
      </c>
      <c r="AS86" s="15" t="str">
        <f t="shared" ref="AS86" si="5901">IF(InfGlo2LevelCurrent&gt;=$B86,"-",IF(InfGlo2LevelDesired&lt;$B86,"-",$C86))</f>
        <v>-</v>
      </c>
      <c r="AT86" s="1" t="str">
        <f t="shared" ref="AT86" si="5902">IF(InfGlo2LevelCurrent&gt;=$B86,"-",IF(InfGlo2LevelDesired&lt;$B86,"-",$D86))</f>
        <v>-</v>
      </c>
      <c r="AU86" s="21" t="str">
        <f t="shared" ref="AU86" si="5903">IF(InfGlo2LevelCurrent&gt;=$B86,"-",IF(InfGlo2LevelDesired&lt;$B86,"-",$E86))</f>
        <v>-</v>
      </c>
      <c r="AV86" s="15" t="str">
        <f t="shared" ref="AV86" si="5904">IF(InfBel2LevelCurrent&gt;=$B86,"-",IF(InfBel2LevelDesired&lt;$B86,"-",$C86))</f>
        <v>-</v>
      </c>
      <c r="AW86" s="1" t="str">
        <f t="shared" ref="AW86" si="5905">IF(InfBel2LevelCurrent&gt;=$B86,"-",IF(InfBel2LevelDesired&lt;$B86,"-",$D86))</f>
        <v>-</v>
      </c>
      <c r="AX86" s="21" t="str">
        <f t="shared" ref="AX86" si="5906">IF(InfBel2LevelCurrent&gt;=$B86,"-",IF(InfBel2LevelDesired&lt;$B86,"-",$E86))</f>
        <v>-</v>
      </c>
      <c r="AY86" s="15" t="str">
        <f t="shared" ref="AY86" si="5907">IF(InfBoo2LevelCurrent&gt;=$B86,"-",IF(InfBoo2LevelDesired&lt;$B86,"-",$C86))</f>
        <v>-</v>
      </c>
      <c r="AZ86" s="1" t="str">
        <f t="shared" ref="AZ86" si="5908">IF(InfBoo2LevelCurrent&gt;=$B86,"-",IF(InfBoo2LevelDesired&lt;$B86,"-",$D86))</f>
        <v>-</v>
      </c>
      <c r="BA86" s="21" t="str">
        <f t="shared" ref="BA86" si="5909">IF(InfBoo2LevelCurrent&gt;=$B86,"-",IF(InfBoo2LevelDesired&lt;$B86,"-",$E86))</f>
        <v>-</v>
      </c>
      <c r="BB86" s="15" t="str">
        <f t="shared" ref="BB86" si="5910">IF(LanGog2LevelCurrent&gt;=$B86,"-",IF(LanGog2LevelDesired&lt;$B86,"-",$C86))</f>
        <v>-</v>
      </c>
      <c r="BC86" s="1" t="str">
        <f t="shared" ref="BC86" si="5911">IF(LanGog2LevelCurrent&gt;=$B86,"-",IF(LanGog2LevelDesired&lt;$B86,"-",$D86))</f>
        <v>-</v>
      </c>
      <c r="BD86" s="21" t="str">
        <f t="shared" ref="BD86" si="5912">IF(LanGog2LevelCurrent&gt;=$B86,"-",IF(LanGog2LevelDesired&lt;$B86,"-",$E86))</f>
        <v>-</v>
      </c>
      <c r="BE86" s="15" t="str">
        <f t="shared" ref="BE86" si="5913">IF(LanGlo2LevelCurrent&gt;=$B86,"-",IF(LanGlo2LevelDesired&lt;$B86,"-",$C86))</f>
        <v>-</v>
      </c>
      <c r="BF86" s="1" t="str">
        <f t="shared" ref="BF86" si="5914">IF(LanGlo2LevelCurrent&gt;=$B86,"-",IF(LanGlo2LevelDesired&lt;$B86,"-",$D86))</f>
        <v>-</v>
      </c>
      <c r="BG86" s="21" t="str">
        <f t="shared" ref="BG86" si="5915">IF(LanGlo2LevelCurrent&gt;=$B86,"-",IF(LanGlo2LevelDesired&lt;$B86,"-",$E86))</f>
        <v>-</v>
      </c>
      <c r="BH86" s="15" t="str">
        <f t="shared" ref="BH86" si="5916">IF(LanBel2LevelCurrent&gt;=$B86,"-",IF(LanBel2LevelDesired&lt;$B86,"-",$C86))</f>
        <v>-</v>
      </c>
      <c r="BI86" s="1" t="str">
        <f t="shared" ref="BI86" si="5917">IF(LanBel2LevelCurrent&gt;=$B86,"-",IF(LanBel2LevelDesired&lt;$B86,"-",$D86))</f>
        <v>-</v>
      </c>
      <c r="BJ86" s="21" t="str">
        <f t="shared" ref="BJ86" si="5918">IF(LanBel2LevelCurrent&gt;=$B86,"-",IF(LanBel2LevelDesired&lt;$B86,"-",$E86))</f>
        <v>-</v>
      </c>
      <c r="BK86" s="15" t="str">
        <f t="shared" ref="BK86" si="5919">IF(LanBoo2LevelCurrent&gt;=$B86,"-",IF(LanBoo2LevelDesired&lt;$B86,"-",$C86))</f>
        <v>-</v>
      </c>
      <c r="BL86" s="1" t="str">
        <f t="shared" ref="BL86" si="5920">IF(LanBoo2LevelCurrent&gt;=$B86,"-",IF(LanBoo2LevelDesired&lt;$B86,"-",$D86))</f>
        <v>-</v>
      </c>
      <c r="BM86" s="21" t="str">
        <f t="shared" ref="BM86" si="5921">IF(LanBoo2LevelCurrent&gt;=$B86,"-",IF(LanBoo2LevelDesired&lt;$B86,"-",$E86))</f>
        <v>-</v>
      </c>
      <c r="BN86" s="15" t="str">
        <f t="shared" ref="BN86" si="5922">IF(MarGog2LevelCurrent&gt;=$B86,"-",IF(MarGog2LevelDesired&lt;$B86,"-",$C86))</f>
        <v>-</v>
      </c>
      <c r="BO86" s="1" t="str">
        <f t="shared" ref="BO86" si="5923">IF(MarGog2LevelCurrent&gt;=$B86,"-",IF(MarGog2LevelDesired&lt;$B86,"-",$D86))</f>
        <v>-</v>
      </c>
      <c r="BP86" s="21" t="str">
        <f t="shared" ref="BP86" si="5924">IF(MarGog2LevelCurrent&gt;=$B86,"-",IF(MarGog2LevelDesired&lt;$B86,"-",$E86))</f>
        <v>-</v>
      </c>
      <c r="BQ86" s="15" t="str">
        <f t="shared" ref="BQ86" si="5925">IF(MarGlo2LevelCurrent&gt;=$B86,"-",IF(MarGlo2LevelDesired&lt;$B86,"-",$C86))</f>
        <v>-</v>
      </c>
      <c r="BR86" s="1" t="str">
        <f t="shared" ref="BR86" si="5926">IF(MarGlo2LevelCurrent&gt;=$B86,"-",IF(MarGlo2LevelDesired&lt;$B86,"-",$D86))</f>
        <v>-</v>
      </c>
      <c r="BS86" s="21" t="str">
        <f t="shared" ref="BS86" si="5927">IF(MarGlo2LevelCurrent&gt;=$B86,"-",IF(MarGlo2LevelDesired&lt;$B86,"-",$E86))</f>
        <v>-</v>
      </c>
      <c r="BT86" s="15" t="str">
        <f t="shared" ref="BT86" si="5928">IF(MarBel2LevelCurrent&gt;=$B86,"-",IF(MarBel2LevelDesired&lt;$B86,"-",$C86))</f>
        <v>-</v>
      </c>
      <c r="BU86" s="1" t="str">
        <f t="shared" ref="BU86" si="5929">IF(MarBel2LevelCurrent&gt;=$B86,"-",IF(MarBel2LevelDesired&lt;$B86,"-",$D86))</f>
        <v>-</v>
      </c>
      <c r="BV86" s="21" t="str">
        <f t="shared" ref="BV86" si="5930">IF(MarBel2LevelCurrent&gt;=$B86,"-",IF(MarBel2LevelDesired&lt;$B86,"-",$E86))</f>
        <v>-</v>
      </c>
      <c r="BW86" s="15" t="str">
        <f t="shared" ref="BW86" si="5931">IF(MarBoo2LevelCurrent&gt;=$B86,"-",IF(MarBoo2LevelDesired&lt;$B86,"-",$C86))</f>
        <v>-</v>
      </c>
      <c r="BX86" s="1" t="str">
        <f t="shared" ref="BX86" si="5932">IF(MarBoo2LevelCurrent&gt;=$B86,"-",IF(MarBoo2LevelDesired&lt;$B86,"-",$D86))</f>
        <v>-</v>
      </c>
      <c r="BY86" s="21" t="str">
        <f t="shared" ref="BY86" si="5933">IF(MarBoo2LevelCurrent&gt;=$B86,"-",IF(MarBoo2LevelDesired&lt;$B86,"-",$E86))</f>
        <v>-</v>
      </c>
      <c r="BZ86" s="15" t="str">
        <f t="shared" si="4748"/>
        <v>-</v>
      </c>
      <c r="CA86" s="1" t="str" cm="1">
        <f t="array" ref="CA86">IF(InfGog3LevelCurrent&gt;=$B86,"-",IF(InfGog3LevelDesired&lt;$B86,"-",$D86))</f>
        <v>-</v>
      </c>
      <c r="CB86" s="21" t="str" cm="1">
        <f t="array" ref="CB86">IF(InfGog3LevelCurrent&gt;=$B86,"-",IF(InfGog3LevelDesired&lt;$B86,"-",$E86))</f>
        <v>-</v>
      </c>
      <c r="CC86" s="15" t="str">
        <f t="shared" si="4749"/>
        <v>-</v>
      </c>
      <c r="CD86" s="1" t="str">
        <f t="shared" si="4750"/>
        <v>-</v>
      </c>
      <c r="CE86" s="21" t="str">
        <f t="shared" si="4751"/>
        <v>-</v>
      </c>
      <c r="CF86" s="15" t="str">
        <f t="shared" si="4752"/>
        <v>-</v>
      </c>
      <c r="CG86" s="1" t="str">
        <f t="shared" si="4753"/>
        <v>-</v>
      </c>
      <c r="CH86" s="21" t="str">
        <f t="shared" si="4754"/>
        <v>-</v>
      </c>
      <c r="CI86" s="15" t="str">
        <f t="shared" si="4755"/>
        <v>-</v>
      </c>
      <c r="CJ86" s="1" t="str">
        <f t="shared" si="4756"/>
        <v>-</v>
      </c>
      <c r="CK86" s="21" t="str">
        <f t="shared" si="4757"/>
        <v>-</v>
      </c>
      <c r="CL86" s="15" t="str">
        <f t="shared" si="4758"/>
        <v>-</v>
      </c>
      <c r="CM86" s="1" t="str">
        <f t="shared" si="4759"/>
        <v>-</v>
      </c>
      <c r="CN86" s="21" t="str">
        <f t="shared" si="4760"/>
        <v>-</v>
      </c>
      <c r="CO86" s="15" t="str">
        <f t="shared" si="4761"/>
        <v>-</v>
      </c>
      <c r="CP86" s="1" t="str">
        <f t="shared" si="4762"/>
        <v>-</v>
      </c>
      <c r="CQ86" s="21" t="str">
        <f t="shared" si="4763"/>
        <v>-</v>
      </c>
      <c r="CR86" s="15" t="str">
        <f t="shared" si="4764"/>
        <v>-</v>
      </c>
      <c r="CS86" s="1" t="str">
        <f t="shared" si="4765"/>
        <v>-</v>
      </c>
      <c r="CT86" s="21" t="str">
        <f t="shared" si="4766"/>
        <v>-</v>
      </c>
      <c r="CU86" s="15" t="str">
        <f t="shared" si="4767"/>
        <v>-</v>
      </c>
      <c r="CV86" s="1" t="str">
        <f t="shared" si="4768"/>
        <v>-</v>
      </c>
      <c r="CW86" s="21" t="str">
        <f t="shared" si="4769"/>
        <v>-</v>
      </c>
      <c r="CX86" s="15" t="str">
        <f t="shared" si="4770"/>
        <v>-</v>
      </c>
      <c r="CY86" s="1" t="str">
        <f t="shared" si="4771"/>
        <v>-</v>
      </c>
      <c r="CZ86" s="21" t="str">
        <f t="shared" si="4772"/>
        <v>-</v>
      </c>
      <c r="DA86" s="15" t="str">
        <f t="shared" si="4773"/>
        <v>-</v>
      </c>
      <c r="DB86" s="1" t="str">
        <f t="shared" si="4774"/>
        <v>-</v>
      </c>
      <c r="DC86" s="21" t="str">
        <f t="shared" si="4775"/>
        <v>-</v>
      </c>
      <c r="DD86" s="15" t="str">
        <f t="shared" si="4776"/>
        <v>-</v>
      </c>
      <c r="DE86" s="1" t="str">
        <f t="shared" si="4777"/>
        <v>-</v>
      </c>
      <c r="DF86" s="21" t="str">
        <f t="shared" si="4778"/>
        <v>-</v>
      </c>
      <c r="DG86" s="15" t="str">
        <f t="shared" si="4779"/>
        <v>-</v>
      </c>
      <c r="DH86" s="1" t="str">
        <f t="shared" si="4780"/>
        <v>-</v>
      </c>
      <c r="DI86" s="21" t="str">
        <f t="shared" si="4781"/>
        <v>-</v>
      </c>
    </row>
    <row r="87" spans="2:113" x14ac:dyDescent="0.3">
      <c r="B87" s="1">
        <v>82</v>
      </c>
      <c r="C87" s="67">
        <v>1500</v>
      </c>
      <c r="D87" s="88" t="s">
        <v>27</v>
      </c>
      <c r="E87" s="21" t="s">
        <v>27</v>
      </c>
      <c r="F87" s="15" t="str">
        <f t="shared" ref="F87" si="5934">IF(InfGog1LevelCurrent&gt;=$B87,"-",IF(InfGog1LevelDesired&lt;$B87,"-",$C87))</f>
        <v>-</v>
      </c>
      <c r="G87" s="1" t="str">
        <f t="shared" ref="G87" si="5935">IF(InfGog1LevelCurrent&gt;=$B87,"-",IF(InfGog1LevelDesired&lt;$B87,"-",$D87))</f>
        <v>-</v>
      </c>
      <c r="H87" s="21" t="str">
        <f t="shared" ref="H87" si="5936">IF(InfGog1LevelCurrent&gt;=$B87,"-",IF(InfGog1LevelDesired&lt;$B87,"-",$E87))</f>
        <v>-</v>
      </c>
      <c r="I87" s="15" t="str">
        <f t="shared" ref="I87" si="5937">IF(InfGlo1LevelCurrent&gt;=$B87,"-",IF(InfGlo1LevelDesired&lt;$B87,"-",$C87))</f>
        <v>-</v>
      </c>
      <c r="J87" s="1" t="str">
        <f t="shared" ref="J87" si="5938">IF(InfGlo1LevelCurrent&gt;=$B87,"-",IF(InfGlo1LevelDesired&lt;$B87,"-",$D87))</f>
        <v>-</v>
      </c>
      <c r="K87" s="21" t="str">
        <f t="shared" ref="K87" si="5939">IF(InfGlo1LevelCurrent&gt;=$B87,"-",IF(InfGlo1LevelDesired&lt;$B87,"-",$E87))</f>
        <v>-</v>
      </c>
      <c r="L87" s="15" t="str">
        <f t="shared" ref="L87" si="5940">IF(InfBel1LevelCurrent&gt;=$B87,"-",IF(InfBel1LevelDesired&lt;$B87,"-",$C87))</f>
        <v>-</v>
      </c>
      <c r="M87" s="1" t="str">
        <f t="shared" ref="M87" si="5941">IF(InfBel1LevelCurrent&gt;=$B87,"-",IF(InfBel1LevelDesired&lt;$B87,"-",$D87))</f>
        <v>-</v>
      </c>
      <c r="N87" s="21" t="str">
        <f t="shared" ref="N87" si="5942">IF(InfBel1LevelCurrent&gt;=$B87,"-",IF(InfBel1LevelDesired&lt;$B87,"-",$E87))</f>
        <v>-</v>
      </c>
      <c r="O87" s="15" t="str">
        <f t="shared" ref="O87" si="5943">IF(InfBoo1LevelCurrent&gt;=$B87,"-",IF(InfBoo1LevelDesired&lt;$B87,"-",$C87))</f>
        <v>-</v>
      </c>
      <c r="P87" s="1" t="str">
        <f t="shared" ref="P87" si="5944">IF(InfBoo1LevelCurrent&gt;=$B87,"-",IF(InfBoo1LevelDesired&lt;$B87,"-",$D87))</f>
        <v>-</v>
      </c>
      <c r="Q87" s="21" t="str">
        <f t="shared" ref="Q87" si="5945">IF(InfBoo1LevelCurrent&gt;=$B87,"-",IF(InfBoo1LevelDesired&lt;$B87,"-",$E87))</f>
        <v>-</v>
      </c>
      <c r="R87" s="15" t="str">
        <f t="shared" ref="R87" si="5946">IF(LanGog1LevelCurrent&gt;=$B87,"-",IF(LanGog1LevelDesired&lt;$B87,"-",$C87))</f>
        <v>-</v>
      </c>
      <c r="S87" s="1" t="str">
        <f t="shared" ref="S87" si="5947">IF(LanGog1LevelCurrent&gt;=$B87,"-",IF(LanGog1LevelDesired&lt;$B87,"-",$D87))</f>
        <v>-</v>
      </c>
      <c r="T87" s="21" t="str">
        <f t="shared" ref="T87" si="5948">IF(LanGog1LevelCurrent&gt;=$B87,"-",IF(LanGog1LevelDesired&lt;$B87,"-",$E87))</f>
        <v>-</v>
      </c>
      <c r="U87" s="15" t="str">
        <f t="shared" ref="U87" si="5949">IF(LanGlo1LevelCurrent&gt;=$B87,"-",IF(LanGlo1LevelDesired&lt;$B87,"-",$C87))</f>
        <v>-</v>
      </c>
      <c r="V87" s="1" t="str">
        <f t="shared" ref="V87" si="5950">IF(LanGlo1LevelCurrent&gt;=$B87,"-",IF(LanGlo1LevelDesired&lt;$B87,"-",$D87))</f>
        <v>-</v>
      </c>
      <c r="W87" s="21" t="str">
        <f t="shared" ref="W87" si="5951">IF(LanGlo1LevelCurrent&gt;=$B87,"-",IF(LanGlo1LevelDesired&lt;$B87,"-",$E87))</f>
        <v>-</v>
      </c>
      <c r="X87" s="15" t="str">
        <f t="shared" ref="X87" si="5952">IF(LanBel1LevelCurrent&gt;=$B87,"-",IF(LanBel1LevelDesired&lt;$B87,"-",$C87))</f>
        <v>-</v>
      </c>
      <c r="Y87" s="1" t="str">
        <f t="shared" ref="Y87" si="5953">IF(LanBel1LevelCurrent&gt;=$B87,"-",IF(LanBel1LevelDesired&lt;$B87,"-",$D87))</f>
        <v>-</v>
      </c>
      <c r="Z87" s="21" t="str">
        <f t="shared" ref="Z87" si="5954">IF(LanBel1LevelCurrent&gt;=$B87,"-",IF(LanBel1LevelDesired&lt;$B87,"-",$E87))</f>
        <v>-</v>
      </c>
      <c r="AA87" s="15" t="str">
        <f t="shared" ref="AA87" si="5955">IF(LanBoo1LevelCurrent&gt;=$B87,"-",IF(LanBoo1LevelDesired&lt;$B87,"-",$C87))</f>
        <v>-</v>
      </c>
      <c r="AB87" s="1" t="str">
        <f t="shared" ref="AB87" si="5956">IF(LanBoo1LevelCurrent&gt;=$B87,"-",IF(LanBoo1LevelDesired&lt;$B87,"-",$D87))</f>
        <v>-</v>
      </c>
      <c r="AC87" s="21" t="str">
        <f t="shared" ref="AC87" si="5957">IF(LanBoo1LevelCurrent&gt;=$B87,"-",IF(LanBoo1LevelDesired&lt;$B87,"-",$E87))</f>
        <v>-</v>
      </c>
      <c r="AD87" s="15" t="str">
        <f t="shared" ref="AD87" si="5958">IF(MarGog1LevelCurrent&gt;=$B87,"-",IF(MarGog1LevelDesired&lt;$B87,"-",$C87))</f>
        <v>-</v>
      </c>
      <c r="AE87" s="1" t="str">
        <f t="shared" ref="AE87" si="5959">IF(MarGog1LevelCurrent&gt;=$B87,"-",IF(MarGog1LevelDesired&lt;$B87,"-",$D87))</f>
        <v>-</v>
      </c>
      <c r="AF87" s="21" t="str">
        <f t="shared" ref="AF87" si="5960">IF(MarGog1LevelCurrent&gt;=$B87,"-",IF(MarGog1LevelDesired&lt;$B87,"-",$E87))</f>
        <v>-</v>
      </c>
      <c r="AG87" s="15" t="str">
        <f t="shared" ref="AG87" si="5961">IF(MarGlo1LevelCurrent&gt;=$B87,"-",IF(MarGlo1LevelDesired&lt;$B87,"-",$C87))</f>
        <v>-</v>
      </c>
      <c r="AH87" s="1" t="str">
        <f t="shared" ref="AH87" si="5962">IF(MarGlo1LevelCurrent&gt;=$B87,"-",IF(MarGlo1LevelDesired&lt;$B87,"-",$D87))</f>
        <v>-</v>
      </c>
      <c r="AI87" s="21" t="str">
        <f t="shared" ref="AI87" si="5963">IF(MarGlo1LevelCurrent&gt;=$B87,"-",IF(MarGlo1LevelDesired&lt;$B87,"-",$E87))</f>
        <v>-</v>
      </c>
      <c r="AJ87" s="15" t="str">
        <f t="shared" ref="AJ87" si="5964">IF(MarBel1LevelCurrent&gt;=$B87,"-",IF(MarBel1LevelDesired&lt;$B87,"-",$C87))</f>
        <v>-</v>
      </c>
      <c r="AK87" s="1" t="str">
        <f t="shared" ref="AK87" si="5965">IF(MarBel1LevelCurrent&gt;=$B87,"-",IF(MarBel1LevelDesired&lt;$B87,"-",$D87))</f>
        <v>-</v>
      </c>
      <c r="AL87" s="21" t="str">
        <f t="shared" ref="AL87" si="5966">IF(MarBel1LevelCurrent&gt;=$B87,"-",IF(MarBel1LevelDesired&lt;$B87,"-",$E87))</f>
        <v>-</v>
      </c>
      <c r="AM87" s="15" t="str">
        <f t="shared" ref="AM87" si="5967">IF(MarBoo1LevelCurrent&gt;=$B87,"-",IF(MarBoo1LevelDesired&lt;$B87,"-",$C87))</f>
        <v>-</v>
      </c>
      <c r="AN87" s="1" t="str">
        <f t="shared" ref="AN87" si="5968">IF(MarBoo1LevelCurrent&gt;=$B87,"-",IF(MarBoo1LevelDesired&lt;$B87,"-",$D87))</f>
        <v>-</v>
      </c>
      <c r="AO87" s="21" t="str">
        <f t="shared" ref="AO87" si="5969">IF(MarBoo1LevelCurrent&gt;=$B87,"-",IF(MarBoo1LevelDesired&lt;$B87,"-",$E87))</f>
        <v>-</v>
      </c>
      <c r="AP87" s="15" t="str">
        <f t="shared" ref="AP87" si="5970">IF(InfGog2LevelCurrent&gt;=$B87,"-",IF(InfGog2LevelDesired&lt;$B87,"-",$C87))</f>
        <v>-</v>
      </c>
      <c r="AQ87" s="1" t="str">
        <f t="shared" ref="AQ87" si="5971">IF(InfGog2LevelCurrent&gt;=$B87,"-",IF(InfGog2LevelDesired&lt;$B87,"-",$D87))</f>
        <v>-</v>
      </c>
      <c r="AR87" s="21" t="str">
        <f t="shared" ref="AR87" si="5972">IF(InfGog2LevelCurrent&gt;=$B87,"-",IF(InfGog2LevelDesired&lt;$B87,"-",$E87))</f>
        <v>-</v>
      </c>
      <c r="AS87" s="15" t="str">
        <f t="shared" ref="AS87" si="5973">IF(InfGlo2LevelCurrent&gt;=$B87,"-",IF(InfGlo2LevelDesired&lt;$B87,"-",$C87))</f>
        <v>-</v>
      </c>
      <c r="AT87" s="1" t="str">
        <f t="shared" ref="AT87" si="5974">IF(InfGlo2LevelCurrent&gt;=$B87,"-",IF(InfGlo2LevelDesired&lt;$B87,"-",$D87))</f>
        <v>-</v>
      </c>
      <c r="AU87" s="21" t="str">
        <f t="shared" ref="AU87" si="5975">IF(InfGlo2LevelCurrent&gt;=$B87,"-",IF(InfGlo2LevelDesired&lt;$B87,"-",$E87))</f>
        <v>-</v>
      </c>
      <c r="AV87" s="15" t="str">
        <f t="shared" ref="AV87" si="5976">IF(InfBel2LevelCurrent&gt;=$B87,"-",IF(InfBel2LevelDesired&lt;$B87,"-",$C87))</f>
        <v>-</v>
      </c>
      <c r="AW87" s="1" t="str">
        <f t="shared" ref="AW87" si="5977">IF(InfBel2LevelCurrent&gt;=$B87,"-",IF(InfBel2LevelDesired&lt;$B87,"-",$D87))</f>
        <v>-</v>
      </c>
      <c r="AX87" s="21" t="str">
        <f t="shared" ref="AX87" si="5978">IF(InfBel2LevelCurrent&gt;=$B87,"-",IF(InfBel2LevelDesired&lt;$B87,"-",$E87))</f>
        <v>-</v>
      </c>
      <c r="AY87" s="15" t="str">
        <f t="shared" ref="AY87" si="5979">IF(InfBoo2LevelCurrent&gt;=$B87,"-",IF(InfBoo2LevelDesired&lt;$B87,"-",$C87))</f>
        <v>-</v>
      </c>
      <c r="AZ87" s="1" t="str">
        <f t="shared" ref="AZ87" si="5980">IF(InfBoo2LevelCurrent&gt;=$B87,"-",IF(InfBoo2LevelDesired&lt;$B87,"-",$D87))</f>
        <v>-</v>
      </c>
      <c r="BA87" s="21" t="str">
        <f t="shared" ref="BA87" si="5981">IF(InfBoo2LevelCurrent&gt;=$B87,"-",IF(InfBoo2LevelDesired&lt;$B87,"-",$E87))</f>
        <v>-</v>
      </c>
      <c r="BB87" s="15" t="str">
        <f t="shared" ref="BB87" si="5982">IF(LanGog2LevelCurrent&gt;=$B87,"-",IF(LanGog2LevelDesired&lt;$B87,"-",$C87))</f>
        <v>-</v>
      </c>
      <c r="BC87" s="1" t="str">
        <f t="shared" ref="BC87" si="5983">IF(LanGog2LevelCurrent&gt;=$B87,"-",IF(LanGog2LevelDesired&lt;$B87,"-",$D87))</f>
        <v>-</v>
      </c>
      <c r="BD87" s="21" t="str">
        <f t="shared" ref="BD87" si="5984">IF(LanGog2LevelCurrent&gt;=$B87,"-",IF(LanGog2LevelDesired&lt;$B87,"-",$E87))</f>
        <v>-</v>
      </c>
      <c r="BE87" s="15" t="str">
        <f t="shared" ref="BE87" si="5985">IF(LanGlo2LevelCurrent&gt;=$B87,"-",IF(LanGlo2LevelDesired&lt;$B87,"-",$C87))</f>
        <v>-</v>
      </c>
      <c r="BF87" s="1" t="str">
        <f t="shared" ref="BF87" si="5986">IF(LanGlo2LevelCurrent&gt;=$B87,"-",IF(LanGlo2LevelDesired&lt;$B87,"-",$D87))</f>
        <v>-</v>
      </c>
      <c r="BG87" s="21" t="str">
        <f t="shared" ref="BG87" si="5987">IF(LanGlo2LevelCurrent&gt;=$B87,"-",IF(LanGlo2LevelDesired&lt;$B87,"-",$E87))</f>
        <v>-</v>
      </c>
      <c r="BH87" s="15" t="str">
        <f t="shared" ref="BH87" si="5988">IF(LanBel2LevelCurrent&gt;=$B87,"-",IF(LanBel2LevelDesired&lt;$B87,"-",$C87))</f>
        <v>-</v>
      </c>
      <c r="BI87" s="1" t="str">
        <f t="shared" ref="BI87" si="5989">IF(LanBel2LevelCurrent&gt;=$B87,"-",IF(LanBel2LevelDesired&lt;$B87,"-",$D87))</f>
        <v>-</v>
      </c>
      <c r="BJ87" s="21" t="str">
        <f t="shared" ref="BJ87" si="5990">IF(LanBel2LevelCurrent&gt;=$B87,"-",IF(LanBel2LevelDesired&lt;$B87,"-",$E87))</f>
        <v>-</v>
      </c>
      <c r="BK87" s="15" t="str">
        <f t="shared" ref="BK87" si="5991">IF(LanBoo2LevelCurrent&gt;=$B87,"-",IF(LanBoo2LevelDesired&lt;$B87,"-",$C87))</f>
        <v>-</v>
      </c>
      <c r="BL87" s="1" t="str">
        <f t="shared" ref="BL87" si="5992">IF(LanBoo2LevelCurrent&gt;=$B87,"-",IF(LanBoo2LevelDesired&lt;$B87,"-",$D87))</f>
        <v>-</v>
      </c>
      <c r="BM87" s="21" t="str">
        <f t="shared" ref="BM87" si="5993">IF(LanBoo2LevelCurrent&gt;=$B87,"-",IF(LanBoo2LevelDesired&lt;$B87,"-",$E87))</f>
        <v>-</v>
      </c>
      <c r="BN87" s="15" t="str">
        <f t="shared" ref="BN87" si="5994">IF(MarGog2LevelCurrent&gt;=$B87,"-",IF(MarGog2LevelDesired&lt;$B87,"-",$C87))</f>
        <v>-</v>
      </c>
      <c r="BO87" s="1" t="str">
        <f t="shared" ref="BO87" si="5995">IF(MarGog2LevelCurrent&gt;=$B87,"-",IF(MarGog2LevelDesired&lt;$B87,"-",$D87))</f>
        <v>-</v>
      </c>
      <c r="BP87" s="21" t="str">
        <f t="shared" ref="BP87" si="5996">IF(MarGog2LevelCurrent&gt;=$B87,"-",IF(MarGog2LevelDesired&lt;$B87,"-",$E87))</f>
        <v>-</v>
      </c>
      <c r="BQ87" s="15" t="str">
        <f t="shared" ref="BQ87" si="5997">IF(MarGlo2LevelCurrent&gt;=$B87,"-",IF(MarGlo2LevelDesired&lt;$B87,"-",$C87))</f>
        <v>-</v>
      </c>
      <c r="BR87" s="1" t="str">
        <f t="shared" ref="BR87" si="5998">IF(MarGlo2LevelCurrent&gt;=$B87,"-",IF(MarGlo2LevelDesired&lt;$B87,"-",$D87))</f>
        <v>-</v>
      </c>
      <c r="BS87" s="21" t="str">
        <f t="shared" ref="BS87" si="5999">IF(MarGlo2LevelCurrent&gt;=$B87,"-",IF(MarGlo2LevelDesired&lt;$B87,"-",$E87))</f>
        <v>-</v>
      </c>
      <c r="BT87" s="15" t="str">
        <f t="shared" ref="BT87" si="6000">IF(MarBel2LevelCurrent&gt;=$B87,"-",IF(MarBel2LevelDesired&lt;$B87,"-",$C87))</f>
        <v>-</v>
      </c>
      <c r="BU87" s="1" t="str">
        <f t="shared" ref="BU87" si="6001">IF(MarBel2LevelCurrent&gt;=$B87,"-",IF(MarBel2LevelDesired&lt;$B87,"-",$D87))</f>
        <v>-</v>
      </c>
      <c r="BV87" s="21" t="str">
        <f t="shared" ref="BV87" si="6002">IF(MarBel2LevelCurrent&gt;=$B87,"-",IF(MarBel2LevelDesired&lt;$B87,"-",$E87))</f>
        <v>-</v>
      </c>
      <c r="BW87" s="15" t="str">
        <f t="shared" ref="BW87" si="6003">IF(MarBoo2LevelCurrent&gt;=$B87,"-",IF(MarBoo2LevelDesired&lt;$B87,"-",$C87))</f>
        <v>-</v>
      </c>
      <c r="BX87" s="1" t="str">
        <f t="shared" ref="BX87" si="6004">IF(MarBoo2LevelCurrent&gt;=$B87,"-",IF(MarBoo2LevelDesired&lt;$B87,"-",$D87))</f>
        <v>-</v>
      </c>
      <c r="BY87" s="21" t="str">
        <f t="shared" ref="BY87" si="6005">IF(MarBoo2LevelCurrent&gt;=$B87,"-",IF(MarBoo2LevelDesired&lt;$B87,"-",$E87))</f>
        <v>-</v>
      </c>
      <c r="BZ87" s="15" t="str">
        <f t="shared" si="4748"/>
        <v>-</v>
      </c>
      <c r="CA87" s="1" t="str" cm="1">
        <f t="array" ref="CA87">IF(InfGog3LevelCurrent&gt;=$B87,"-",IF(InfGog3LevelDesired&lt;$B87,"-",$D87))</f>
        <v>-</v>
      </c>
      <c r="CB87" s="21" t="str" cm="1">
        <f t="array" ref="CB87">IF(InfGog3LevelCurrent&gt;=$B87,"-",IF(InfGog3LevelDesired&lt;$B87,"-",$E87))</f>
        <v>-</v>
      </c>
      <c r="CC87" s="15" t="str">
        <f t="shared" si="4749"/>
        <v>-</v>
      </c>
      <c r="CD87" s="1" t="str">
        <f t="shared" si="4750"/>
        <v>-</v>
      </c>
      <c r="CE87" s="21" t="str">
        <f t="shared" si="4751"/>
        <v>-</v>
      </c>
      <c r="CF87" s="15" t="str">
        <f t="shared" si="4752"/>
        <v>-</v>
      </c>
      <c r="CG87" s="1" t="str">
        <f t="shared" si="4753"/>
        <v>-</v>
      </c>
      <c r="CH87" s="21" t="str">
        <f t="shared" si="4754"/>
        <v>-</v>
      </c>
      <c r="CI87" s="15" t="str">
        <f t="shared" si="4755"/>
        <v>-</v>
      </c>
      <c r="CJ87" s="1" t="str">
        <f t="shared" si="4756"/>
        <v>-</v>
      </c>
      <c r="CK87" s="21" t="str">
        <f t="shared" si="4757"/>
        <v>-</v>
      </c>
      <c r="CL87" s="15" t="str">
        <f t="shared" si="4758"/>
        <v>-</v>
      </c>
      <c r="CM87" s="1" t="str">
        <f t="shared" si="4759"/>
        <v>-</v>
      </c>
      <c r="CN87" s="21" t="str">
        <f t="shared" si="4760"/>
        <v>-</v>
      </c>
      <c r="CO87" s="15" t="str">
        <f t="shared" si="4761"/>
        <v>-</v>
      </c>
      <c r="CP87" s="1" t="str">
        <f t="shared" si="4762"/>
        <v>-</v>
      </c>
      <c r="CQ87" s="21" t="str">
        <f t="shared" si="4763"/>
        <v>-</v>
      </c>
      <c r="CR87" s="15" t="str">
        <f t="shared" si="4764"/>
        <v>-</v>
      </c>
      <c r="CS87" s="1" t="str">
        <f t="shared" si="4765"/>
        <v>-</v>
      </c>
      <c r="CT87" s="21" t="str">
        <f t="shared" si="4766"/>
        <v>-</v>
      </c>
      <c r="CU87" s="15" t="str">
        <f t="shared" si="4767"/>
        <v>-</v>
      </c>
      <c r="CV87" s="1" t="str">
        <f t="shared" si="4768"/>
        <v>-</v>
      </c>
      <c r="CW87" s="21" t="str">
        <f t="shared" si="4769"/>
        <v>-</v>
      </c>
      <c r="CX87" s="15" t="str">
        <f t="shared" si="4770"/>
        <v>-</v>
      </c>
      <c r="CY87" s="1" t="str">
        <f t="shared" si="4771"/>
        <v>-</v>
      </c>
      <c r="CZ87" s="21" t="str">
        <f t="shared" si="4772"/>
        <v>-</v>
      </c>
      <c r="DA87" s="15" t="str">
        <f t="shared" si="4773"/>
        <v>-</v>
      </c>
      <c r="DB87" s="1" t="str">
        <f t="shared" si="4774"/>
        <v>-</v>
      </c>
      <c r="DC87" s="21" t="str">
        <f t="shared" si="4775"/>
        <v>-</v>
      </c>
      <c r="DD87" s="15" t="str">
        <f t="shared" si="4776"/>
        <v>-</v>
      </c>
      <c r="DE87" s="1" t="str">
        <f t="shared" si="4777"/>
        <v>-</v>
      </c>
      <c r="DF87" s="21" t="str">
        <f t="shared" si="4778"/>
        <v>-</v>
      </c>
      <c r="DG87" s="15" t="str">
        <f t="shared" si="4779"/>
        <v>-</v>
      </c>
      <c r="DH87" s="1" t="str">
        <f t="shared" si="4780"/>
        <v>-</v>
      </c>
      <c r="DI87" s="21" t="str">
        <f t="shared" si="4781"/>
        <v>-</v>
      </c>
    </row>
    <row r="88" spans="2:113" x14ac:dyDescent="0.3">
      <c r="B88" s="1">
        <v>83</v>
      </c>
      <c r="C88" s="67">
        <v>1550</v>
      </c>
      <c r="D88" s="88" t="s">
        <v>27</v>
      </c>
      <c r="E88" s="21" t="s">
        <v>27</v>
      </c>
      <c r="F88" s="15" t="str">
        <f t="shared" ref="F88" si="6006">IF(InfGog1LevelCurrent&gt;=$B88,"-",IF(InfGog1LevelDesired&lt;$B88,"-",$C88))</f>
        <v>-</v>
      </c>
      <c r="G88" s="1" t="str">
        <f t="shared" ref="G88" si="6007">IF(InfGog1LevelCurrent&gt;=$B88,"-",IF(InfGog1LevelDesired&lt;$B88,"-",$D88))</f>
        <v>-</v>
      </c>
      <c r="H88" s="21" t="str">
        <f t="shared" ref="H88" si="6008">IF(InfGog1LevelCurrent&gt;=$B88,"-",IF(InfGog1LevelDesired&lt;$B88,"-",$E88))</f>
        <v>-</v>
      </c>
      <c r="I88" s="15" t="str">
        <f t="shared" ref="I88" si="6009">IF(InfGlo1LevelCurrent&gt;=$B88,"-",IF(InfGlo1LevelDesired&lt;$B88,"-",$C88))</f>
        <v>-</v>
      </c>
      <c r="J88" s="1" t="str">
        <f t="shared" ref="J88" si="6010">IF(InfGlo1LevelCurrent&gt;=$B88,"-",IF(InfGlo1LevelDesired&lt;$B88,"-",$D88))</f>
        <v>-</v>
      </c>
      <c r="K88" s="21" t="str">
        <f t="shared" ref="K88" si="6011">IF(InfGlo1LevelCurrent&gt;=$B88,"-",IF(InfGlo1LevelDesired&lt;$B88,"-",$E88))</f>
        <v>-</v>
      </c>
      <c r="L88" s="15" t="str">
        <f t="shared" ref="L88" si="6012">IF(InfBel1LevelCurrent&gt;=$B88,"-",IF(InfBel1LevelDesired&lt;$B88,"-",$C88))</f>
        <v>-</v>
      </c>
      <c r="M88" s="1" t="str">
        <f t="shared" ref="M88" si="6013">IF(InfBel1LevelCurrent&gt;=$B88,"-",IF(InfBel1LevelDesired&lt;$B88,"-",$D88))</f>
        <v>-</v>
      </c>
      <c r="N88" s="21" t="str">
        <f t="shared" ref="N88" si="6014">IF(InfBel1LevelCurrent&gt;=$B88,"-",IF(InfBel1LevelDesired&lt;$B88,"-",$E88))</f>
        <v>-</v>
      </c>
      <c r="O88" s="15" t="str">
        <f t="shared" ref="O88" si="6015">IF(InfBoo1LevelCurrent&gt;=$B88,"-",IF(InfBoo1LevelDesired&lt;$B88,"-",$C88))</f>
        <v>-</v>
      </c>
      <c r="P88" s="1" t="str">
        <f t="shared" ref="P88" si="6016">IF(InfBoo1LevelCurrent&gt;=$B88,"-",IF(InfBoo1LevelDesired&lt;$B88,"-",$D88))</f>
        <v>-</v>
      </c>
      <c r="Q88" s="21" t="str">
        <f t="shared" ref="Q88" si="6017">IF(InfBoo1LevelCurrent&gt;=$B88,"-",IF(InfBoo1LevelDesired&lt;$B88,"-",$E88))</f>
        <v>-</v>
      </c>
      <c r="R88" s="15" t="str">
        <f t="shared" ref="R88" si="6018">IF(LanGog1LevelCurrent&gt;=$B88,"-",IF(LanGog1LevelDesired&lt;$B88,"-",$C88))</f>
        <v>-</v>
      </c>
      <c r="S88" s="1" t="str">
        <f t="shared" ref="S88" si="6019">IF(LanGog1LevelCurrent&gt;=$B88,"-",IF(LanGog1LevelDesired&lt;$B88,"-",$D88))</f>
        <v>-</v>
      </c>
      <c r="T88" s="21" t="str">
        <f t="shared" ref="T88" si="6020">IF(LanGog1LevelCurrent&gt;=$B88,"-",IF(LanGog1LevelDesired&lt;$B88,"-",$E88))</f>
        <v>-</v>
      </c>
      <c r="U88" s="15" t="str">
        <f t="shared" ref="U88" si="6021">IF(LanGlo1LevelCurrent&gt;=$B88,"-",IF(LanGlo1LevelDesired&lt;$B88,"-",$C88))</f>
        <v>-</v>
      </c>
      <c r="V88" s="1" t="str">
        <f t="shared" ref="V88" si="6022">IF(LanGlo1LevelCurrent&gt;=$B88,"-",IF(LanGlo1LevelDesired&lt;$B88,"-",$D88))</f>
        <v>-</v>
      </c>
      <c r="W88" s="21" t="str">
        <f t="shared" ref="W88" si="6023">IF(LanGlo1LevelCurrent&gt;=$B88,"-",IF(LanGlo1LevelDesired&lt;$B88,"-",$E88))</f>
        <v>-</v>
      </c>
      <c r="X88" s="15" t="str">
        <f t="shared" ref="X88" si="6024">IF(LanBel1LevelCurrent&gt;=$B88,"-",IF(LanBel1LevelDesired&lt;$B88,"-",$C88))</f>
        <v>-</v>
      </c>
      <c r="Y88" s="1" t="str">
        <f t="shared" ref="Y88" si="6025">IF(LanBel1LevelCurrent&gt;=$B88,"-",IF(LanBel1LevelDesired&lt;$B88,"-",$D88))</f>
        <v>-</v>
      </c>
      <c r="Z88" s="21" t="str">
        <f t="shared" ref="Z88" si="6026">IF(LanBel1LevelCurrent&gt;=$B88,"-",IF(LanBel1LevelDesired&lt;$B88,"-",$E88))</f>
        <v>-</v>
      </c>
      <c r="AA88" s="15" t="str">
        <f t="shared" ref="AA88" si="6027">IF(LanBoo1LevelCurrent&gt;=$B88,"-",IF(LanBoo1LevelDesired&lt;$B88,"-",$C88))</f>
        <v>-</v>
      </c>
      <c r="AB88" s="1" t="str">
        <f t="shared" ref="AB88" si="6028">IF(LanBoo1LevelCurrent&gt;=$B88,"-",IF(LanBoo1LevelDesired&lt;$B88,"-",$D88))</f>
        <v>-</v>
      </c>
      <c r="AC88" s="21" t="str">
        <f t="shared" ref="AC88" si="6029">IF(LanBoo1LevelCurrent&gt;=$B88,"-",IF(LanBoo1LevelDesired&lt;$B88,"-",$E88))</f>
        <v>-</v>
      </c>
      <c r="AD88" s="15" t="str">
        <f t="shared" ref="AD88" si="6030">IF(MarGog1LevelCurrent&gt;=$B88,"-",IF(MarGog1LevelDesired&lt;$B88,"-",$C88))</f>
        <v>-</v>
      </c>
      <c r="AE88" s="1" t="str">
        <f t="shared" ref="AE88" si="6031">IF(MarGog1LevelCurrent&gt;=$B88,"-",IF(MarGog1LevelDesired&lt;$B88,"-",$D88))</f>
        <v>-</v>
      </c>
      <c r="AF88" s="21" t="str">
        <f t="shared" ref="AF88" si="6032">IF(MarGog1LevelCurrent&gt;=$B88,"-",IF(MarGog1LevelDesired&lt;$B88,"-",$E88))</f>
        <v>-</v>
      </c>
      <c r="AG88" s="15" t="str">
        <f t="shared" ref="AG88" si="6033">IF(MarGlo1LevelCurrent&gt;=$B88,"-",IF(MarGlo1LevelDesired&lt;$B88,"-",$C88))</f>
        <v>-</v>
      </c>
      <c r="AH88" s="1" t="str">
        <f t="shared" ref="AH88" si="6034">IF(MarGlo1LevelCurrent&gt;=$B88,"-",IF(MarGlo1LevelDesired&lt;$B88,"-",$D88))</f>
        <v>-</v>
      </c>
      <c r="AI88" s="21" t="str">
        <f t="shared" ref="AI88" si="6035">IF(MarGlo1LevelCurrent&gt;=$B88,"-",IF(MarGlo1LevelDesired&lt;$B88,"-",$E88))</f>
        <v>-</v>
      </c>
      <c r="AJ88" s="15" t="str">
        <f t="shared" ref="AJ88" si="6036">IF(MarBel1LevelCurrent&gt;=$B88,"-",IF(MarBel1LevelDesired&lt;$B88,"-",$C88))</f>
        <v>-</v>
      </c>
      <c r="AK88" s="1" t="str">
        <f t="shared" ref="AK88" si="6037">IF(MarBel1LevelCurrent&gt;=$B88,"-",IF(MarBel1LevelDesired&lt;$B88,"-",$D88))</f>
        <v>-</v>
      </c>
      <c r="AL88" s="21" t="str">
        <f t="shared" ref="AL88" si="6038">IF(MarBel1LevelCurrent&gt;=$B88,"-",IF(MarBel1LevelDesired&lt;$B88,"-",$E88))</f>
        <v>-</v>
      </c>
      <c r="AM88" s="15" t="str">
        <f t="shared" ref="AM88" si="6039">IF(MarBoo1LevelCurrent&gt;=$B88,"-",IF(MarBoo1LevelDesired&lt;$B88,"-",$C88))</f>
        <v>-</v>
      </c>
      <c r="AN88" s="1" t="str">
        <f t="shared" ref="AN88" si="6040">IF(MarBoo1LevelCurrent&gt;=$B88,"-",IF(MarBoo1LevelDesired&lt;$B88,"-",$D88))</f>
        <v>-</v>
      </c>
      <c r="AO88" s="21" t="str">
        <f t="shared" ref="AO88" si="6041">IF(MarBoo1LevelCurrent&gt;=$B88,"-",IF(MarBoo1LevelDesired&lt;$B88,"-",$E88))</f>
        <v>-</v>
      </c>
      <c r="AP88" s="15" t="str">
        <f t="shared" ref="AP88" si="6042">IF(InfGog2LevelCurrent&gt;=$B88,"-",IF(InfGog2LevelDesired&lt;$B88,"-",$C88))</f>
        <v>-</v>
      </c>
      <c r="AQ88" s="1" t="str">
        <f t="shared" ref="AQ88" si="6043">IF(InfGog2LevelCurrent&gt;=$B88,"-",IF(InfGog2LevelDesired&lt;$B88,"-",$D88))</f>
        <v>-</v>
      </c>
      <c r="AR88" s="21" t="str">
        <f t="shared" ref="AR88" si="6044">IF(InfGog2LevelCurrent&gt;=$B88,"-",IF(InfGog2LevelDesired&lt;$B88,"-",$E88))</f>
        <v>-</v>
      </c>
      <c r="AS88" s="15" t="str">
        <f t="shared" ref="AS88" si="6045">IF(InfGlo2LevelCurrent&gt;=$B88,"-",IF(InfGlo2LevelDesired&lt;$B88,"-",$C88))</f>
        <v>-</v>
      </c>
      <c r="AT88" s="1" t="str">
        <f t="shared" ref="AT88" si="6046">IF(InfGlo2LevelCurrent&gt;=$B88,"-",IF(InfGlo2LevelDesired&lt;$B88,"-",$D88))</f>
        <v>-</v>
      </c>
      <c r="AU88" s="21" t="str">
        <f t="shared" ref="AU88" si="6047">IF(InfGlo2LevelCurrent&gt;=$B88,"-",IF(InfGlo2LevelDesired&lt;$B88,"-",$E88))</f>
        <v>-</v>
      </c>
      <c r="AV88" s="15" t="str">
        <f t="shared" ref="AV88" si="6048">IF(InfBel2LevelCurrent&gt;=$B88,"-",IF(InfBel2LevelDesired&lt;$B88,"-",$C88))</f>
        <v>-</v>
      </c>
      <c r="AW88" s="1" t="str">
        <f t="shared" ref="AW88" si="6049">IF(InfBel2LevelCurrent&gt;=$B88,"-",IF(InfBel2LevelDesired&lt;$B88,"-",$D88))</f>
        <v>-</v>
      </c>
      <c r="AX88" s="21" t="str">
        <f t="shared" ref="AX88" si="6050">IF(InfBel2LevelCurrent&gt;=$B88,"-",IF(InfBel2LevelDesired&lt;$B88,"-",$E88))</f>
        <v>-</v>
      </c>
      <c r="AY88" s="15" t="str">
        <f t="shared" ref="AY88" si="6051">IF(InfBoo2LevelCurrent&gt;=$B88,"-",IF(InfBoo2LevelDesired&lt;$B88,"-",$C88))</f>
        <v>-</v>
      </c>
      <c r="AZ88" s="1" t="str">
        <f t="shared" ref="AZ88" si="6052">IF(InfBoo2LevelCurrent&gt;=$B88,"-",IF(InfBoo2LevelDesired&lt;$B88,"-",$D88))</f>
        <v>-</v>
      </c>
      <c r="BA88" s="21" t="str">
        <f t="shared" ref="BA88" si="6053">IF(InfBoo2LevelCurrent&gt;=$B88,"-",IF(InfBoo2LevelDesired&lt;$B88,"-",$E88))</f>
        <v>-</v>
      </c>
      <c r="BB88" s="15" t="str">
        <f t="shared" ref="BB88" si="6054">IF(LanGog2LevelCurrent&gt;=$B88,"-",IF(LanGog2LevelDesired&lt;$B88,"-",$C88))</f>
        <v>-</v>
      </c>
      <c r="BC88" s="1" t="str">
        <f t="shared" ref="BC88" si="6055">IF(LanGog2LevelCurrent&gt;=$B88,"-",IF(LanGog2LevelDesired&lt;$B88,"-",$D88))</f>
        <v>-</v>
      </c>
      <c r="BD88" s="21" t="str">
        <f t="shared" ref="BD88" si="6056">IF(LanGog2LevelCurrent&gt;=$B88,"-",IF(LanGog2LevelDesired&lt;$B88,"-",$E88))</f>
        <v>-</v>
      </c>
      <c r="BE88" s="15" t="str">
        <f t="shared" ref="BE88" si="6057">IF(LanGlo2LevelCurrent&gt;=$B88,"-",IF(LanGlo2LevelDesired&lt;$B88,"-",$C88))</f>
        <v>-</v>
      </c>
      <c r="BF88" s="1" t="str">
        <f t="shared" ref="BF88" si="6058">IF(LanGlo2LevelCurrent&gt;=$B88,"-",IF(LanGlo2LevelDesired&lt;$B88,"-",$D88))</f>
        <v>-</v>
      </c>
      <c r="BG88" s="21" t="str">
        <f t="shared" ref="BG88" si="6059">IF(LanGlo2LevelCurrent&gt;=$B88,"-",IF(LanGlo2LevelDesired&lt;$B88,"-",$E88))</f>
        <v>-</v>
      </c>
      <c r="BH88" s="15" t="str">
        <f t="shared" ref="BH88" si="6060">IF(LanBel2LevelCurrent&gt;=$B88,"-",IF(LanBel2LevelDesired&lt;$B88,"-",$C88))</f>
        <v>-</v>
      </c>
      <c r="BI88" s="1" t="str">
        <f t="shared" ref="BI88" si="6061">IF(LanBel2LevelCurrent&gt;=$B88,"-",IF(LanBel2LevelDesired&lt;$B88,"-",$D88))</f>
        <v>-</v>
      </c>
      <c r="BJ88" s="21" t="str">
        <f t="shared" ref="BJ88" si="6062">IF(LanBel2LevelCurrent&gt;=$B88,"-",IF(LanBel2LevelDesired&lt;$B88,"-",$E88))</f>
        <v>-</v>
      </c>
      <c r="BK88" s="15" t="str">
        <f t="shared" ref="BK88" si="6063">IF(LanBoo2LevelCurrent&gt;=$B88,"-",IF(LanBoo2LevelDesired&lt;$B88,"-",$C88))</f>
        <v>-</v>
      </c>
      <c r="BL88" s="1" t="str">
        <f t="shared" ref="BL88" si="6064">IF(LanBoo2LevelCurrent&gt;=$B88,"-",IF(LanBoo2LevelDesired&lt;$B88,"-",$D88))</f>
        <v>-</v>
      </c>
      <c r="BM88" s="21" t="str">
        <f t="shared" ref="BM88" si="6065">IF(LanBoo2LevelCurrent&gt;=$B88,"-",IF(LanBoo2LevelDesired&lt;$B88,"-",$E88))</f>
        <v>-</v>
      </c>
      <c r="BN88" s="15" t="str">
        <f t="shared" ref="BN88" si="6066">IF(MarGog2LevelCurrent&gt;=$B88,"-",IF(MarGog2LevelDesired&lt;$B88,"-",$C88))</f>
        <v>-</v>
      </c>
      <c r="BO88" s="1" t="str">
        <f t="shared" ref="BO88" si="6067">IF(MarGog2LevelCurrent&gt;=$B88,"-",IF(MarGog2LevelDesired&lt;$B88,"-",$D88))</f>
        <v>-</v>
      </c>
      <c r="BP88" s="21" t="str">
        <f t="shared" ref="BP88" si="6068">IF(MarGog2LevelCurrent&gt;=$B88,"-",IF(MarGog2LevelDesired&lt;$B88,"-",$E88))</f>
        <v>-</v>
      </c>
      <c r="BQ88" s="15" t="str">
        <f t="shared" ref="BQ88" si="6069">IF(MarGlo2LevelCurrent&gt;=$B88,"-",IF(MarGlo2LevelDesired&lt;$B88,"-",$C88))</f>
        <v>-</v>
      </c>
      <c r="BR88" s="1" t="str">
        <f t="shared" ref="BR88" si="6070">IF(MarGlo2LevelCurrent&gt;=$B88,"-",IF(MarGlo2LevelDesired&lt;$B88,"-",$D88))</f>
        <v>-</v>
      </c>
      <c r="BS88" s="21" t="str">
        <f t="shared" ref="BS88" si="6071">IF(MarGlo2LevelCurrent&gt;=$B88,"-",IF(MarGlo2LevelDesired&lt;$B88,"-",$E88))</f>
        <v>-</v>
      </c>
      <c r="BT88" s="15" t="str">
        <f t="shared" ref="BT88" si="6072">IF(MarBel2LevelCurrent&gt;=$B88,"-",IF(MarBel2LevelDesired&lt;$B88,"-",$C88))</f>
        <v>-</v>
      </c>
      <c r="BU88" s="1" t="str">
        <f t="shared" ref="BU88" si="6073">IF(MarBel2LevelCurrent&gt;=$B88,"-",IF(MarBel2LevelDesired&lt;$B88,"-",$D88))</f>
        <v>-</v>
      </c>
      <c r="BV88" s="21" t="str">
        <f t="shared" ref="BV88" si="6074">IF(MarBel2LevelCurrent&gt;=$B88,"-",IF(MarBel2LevelDesired&lt;$B88,"-",$E88))</f>
        <v>-</v>
      </c>
      <c r="BW88" s="15" t="str">
        <f t="shared" ref="BW88" si="6075">IF(MarBoo2LevelCurrent&gt;=$B88,"-",IF(MarBoo2LevelDesired&lt;$B88,"-",$C88))</f>
        <v>-</v>
      </c>
      <c r="BX88" s="1" t="str">
        <f t="shared" ref="BX88" si="6076">IF(MarBoo2LevelCurrent&gt;=$B88,"-",IF(MarBoo2LevelDesired&lt;$B88,"-",$D88))</f>
        <v>-</v>
      </c>
      <c r="BY88" s="21" t="str">
        <f t="shared" ref="BY88" si="6077">IF(MarBoo2LevelCurrent&gt;=$B88,"-",IF(MarBoo2LevelDesired&lt;$B88,"-",$E88))</f>
        <v>-</v>
      </c>
      <c r="BZ88" s="15" t="str">
        <f t="shared" si="4748"/>
        <v>-</v>
      </c>
      <c r="CA88" s="1" t="str" cm="1">
        <f t="array" ref="CA88">IF(InfGog3LevelCurrent&gt;=$B88,"-",IF(InfGog3LevelDesired&lt;$B88,"-",$D88))</f>
        <v>-</v>
      </c>
      <c r="CB88" s="21" t="str" cm="1">
        <f t="array" ref="CB88">IF(InfGog3LevelCurrent&gt;=$B88,"-",IF(InfGog3LevelDesired&lt;$B88,"-",$E88))</f>
        <v>-</v>
      </c>
      <c r="CC88" s="15" t="str">
        <f t="shared" si="4749"/>
        <v>-</v>
      </c>
      <c r="CD88" s="1" t="str">
        <f t="shared" si="4750"/>
        <v>-</v>
      </c>
      <c r="CE88" s="21" t="str">
        <f t="shared" si="4751"/>
        <v>-</v>
      </c>
      <c r="CF88" s="15" t="str">
        <f t="shared" si="4752"/>
        <v>-</v>
      </c>
      <c r="CG88" s="1" t="str">
        <f t="shared" si="4753"/>
        <v>-</v>
      </c>
      <c r="CH88" s="21" t="str">
        <f t="shared" si="4754"/>
        <v>-</v>
      </c>
      <c r="CI88" s="15" t="str">
        <f t="shared" si="4755"/>
        <v>-</v>
      </c>
      <c r="CJ88" s="1" t="str">
        <f t="shared" si="4756"/>
        <v>-</v>
      </c>
      <c r="CK88" s="21" t="str">
        <f t="shared" si="4757"/>
        <v>-</v>
      </c>
      <c r="CL88" s="15" t="str">
        <f t="shared" si="4758"/>
        <v>-</v>
      </c>
      <c r="CM88" s="1" t="str">
        <f t="shared" si="4759"/>
        <v>-</v>
      </c>
      <c r="CN88" s="21" t="str">
        <f t="shared" si="4760"/>
        <v>-</v>
      </c>
      <c r="CO88" s="15" t="str">
        <f t="shared" si="4761"/>
        <v>-</v>
      </c>
      <c r="CP88" s="1" t="str">
        <f t="shared" si="4762"/>
        <v>-</v>
      </c>
      <c r="CQ88" s="21" t="str">
        <f t="shared" si="4763"/>
        <v>-</v>
      </c>
      <c r="CR88" s="15" t="str">
        <f t="shared" si="4764"/>
        <v>-</v>
      </c>
      <c r="CS88" s="1" t="str">
        <f t="shared" si="4765"/>
        <v>-</v>
      </c>
      <c r="CT88" s="21" t="str">
        <f t="shared" si="4766"/>
        <v>-</v>
      </c>
      <c r="CU88" s="15" t="str">
        <f t="shared" si="4767"/>
        <v>-</v>
      </c>
      <c r="CV88" s="1" t="str">
        <f t="shared" si="4768"/>
        <v>-</v>
      </c>
      <c r="CW88" s="21" t="str">
        <f t="shared" si="4769"/>
        <v>-</v>
      </c>
      <c r="CX88" s="15" t="str">
        <f t="shared" si="4770"/>
        <v>-</v>
      </c>
      <c r="CY88" s="1" t="str">
        <f t="shared" si="4771"/>
        <v>-</v>
      </c>
      <c r="CZ88" s="21" t="str">
        <f t="shared" si="4772"/>
        <v>-</v>
      </c>
      <c r="DA88" s="15" t="str">
        <f t="shared" si="4773"/>
        <v>-</v>
      </c>
      <c r="DB88" s="1" t="str">
        <f t="shared" si="4774"/>
        <v>-</v>
      </c>
      <c r="DC88" s="21" t="str">
        <f t="shared" si="4775"/>
        <v>-</v>
      </c>
      <c r="DD88" s="15" t="str">
        <f t="shared" si="4776"/>
        <v>-</v>
      </c>
      <c r="DE88" s="1" t="str">
        <f t="shared" si="4777"/>
        <v>-</v>
      </c>
      <c r="DF88" s="21" t="str">
        <f t="shared" si="4778"/>
        <v>-</v>
      </c>
      <c r="DG88" s="15" t="str">
        <f t="shared" si="4779"/>
        <v>-</v>
      </c>
      <c r="DH88" s="1" t="str">
        <f t="shared" si="4780"/>
        <v>-</v>
      </c>
      <c r="DI88" s="21" t="str">
        <f t="shared" si="4781"/>
        <v>-</v>
      </c>
    </row>
    <row r="89" spans="2:113" x14ac:dyDescent="0.3">
      <c r="B89" s="1">
        <v>84</v>
      </c>
      <c r="C89" s="67">
        <v>1600</v>
      </c>
      <c r="D89" s="88" t="s">
        <v>27</v>
      </c>
      <c r="E89" s="21" t="s">
        <v>27</v>
      </c>
      <c r="F89" s="15" t="str">
        <f t="shared" ref="F89" si="6078">IF(InfGog1LevelCurrent&gt;=$B89,"-",IF(InfGog1LevelDesired&lt;$B89,"-",$C89))</f>
        <v>-</v>
      </c>
      <c r="G89" s="1" t="str">
        <f t="shared" ref="G89" si="6079">IF(InfGog1LevelCurrent&gt;=$B89,"-",IF(InfGog1LevelDesired&lt;$B89,"-",$D89))</f>
        <v>-</v>
      </c>
      <c r="H89" s="21" t="str">
        <f t="shared" ref="H89" si="6080">IF(InfGog1LevelCurrent&gt;=$B89,"-",IF(InfGog1LevelDesired&lt;$B89,"-",$E89))</f>
        <v>-</v>
      </c>
      <c r="I89" s="15" t="str">
        <f t="shared" ref="I89" si="6081">IF(InfGlo1LevelCurrent&gt;=$B89,"-",IF(InfGlo1LevelDesired&lt;$B89,"-",$C89))</f>
        <v>-</v>
      </c>
      <c r="J89" s="1" t="str">
        <f t="shared" ref="J89" si="6082">IF(InfGlo1LevelCurrent&gt;=$B89,"-",IF(InfGlo1LevelDesired&lt;$B89,"-",$D89))</f>
        <v>-</v>
      </c>
      <c r="K89" s="21" t="str">
        <f t="shared" ref="K89" si="6083">IF(InfGlo1LevelCurrent&gt;=$B89,"-",IF(InfGlo1LevelDesired&lt;$B89,"-",$E89))</f>
        <v>-</v>
      </c>
      <c r="L89" s="15" t="str">
        <f t="shared" ref="L89" si="6084">IF(InfBel1LevelCurrent&gt;=$B89,"-",IF(InfBel1LevelDesired&lt;$B89,"-",$C89))</f>
        <v>-</v>
      </c>
      <c r="M89" s="1" t="str">
        <f t="shared" ref="M89" si="6085">IF(InfBel1LevelCurrent&gt;=$B89,"-",IF(InfBel1LevelDesired&lt;$B89,"-",$D89))</f>
        <v>-</v>
      </c>
      <c r="N89" s="21" t="str">
        <f t="shared" ref="N89" si="6086">IF(InfBel1LevelCurrent&gt;=$B89,"-",IF(InfBel1LevelDesired&lt;$B89,"-",$E89))</f>
        <v>-</v>
      </c>
      <c r="O89" s="15" t="str">
        <f t="shared" ref="O89" si="6087">IF(InfBoo1LevelCurrent&gt;=$B89,"-",IF(InfBoo1LevelDesired&lt;$B89,"-",$C89))</f>
        <v>-</v>
      </c>
      <c r="P89" s="1" t="str">
        <f t="shared" ref="P89" si="6088">IF(InfBoo1LevelCurrent&gt;=$B89,"-",IF(InfBoo1LevelDesired&lt;$B89,"-",$D89))</f>
        <v>-</v>
      </c>
      <c r="Q89" s="21" t="str">
        <f t="shared" ref="Q89" si="6089">IF(InfBoo1LevelCurrent&gt;=$B89,"-",IF(InfBoo1LevelDesired&lt;$B89,"-",$E89))</f>
        <v>-</v>
      </c>
      <c r="R89" s="15" t="str">
        <f t="shared" ref="R89" si="6090">IF(LanGog1LevelCurrent&gt;=$B89,"-",IF(LanGog1LevelDesired&lt;$B89,"-",$C89))</f>
        <v>-</v>
      </c>
      <c r="S89" s="1" t="str">
        <f t="shared" ref="S89" si="6091">IF(LanGog1LevelCurrent&gt;=$B89,"-",IF(LanGog1LevelDesired&lt;$B89,"-",$D89))</f>
        <v>-</v>
      </c>
      <c r="T89" s="21" t="str">
        <f t="shared" ref="T89" si="6092">IF(LanGog1LevelCurrent&gt;=$B89,"-",IF(LanGog1LevelDesired&lt;$B89,"-",$E89))</f>
        <v>-</v>
      </c>
      <c r="U89" s="15" t="str">
        <f t="shared" ref="U89" si="6093">IF(LanGlo1LevelCurrent&gt;=$B89,"-",IF(LanGlo1LevelDesired&lt;$B89,"-",$C89))</f>
        <v>-</v>
      </c>
      <c r="V89" s="1" t="str">
        <f t="shared" ref="V89" si="6094">IF(LanGlo1LevelCurrent&gt;=$B89,"-",IF(LanGlo1LevelDesired&lt;$B89,"-",$D89))</f>
        <v>-</v>
      </c>
      <c r="W89" s="21" t="str">
        <f t="shared" ref="W89" si="6095">IF(LanGlo1LevelCurrent&gt;=$B89,"-",IF(LanGlo1LevelDesired&lt;$B89,"-",$E89))</f>
        <v>-</v>
      </c>
      <c r="X89" s="15" t="str">
        <f t="shared" ref="X89" si="6096">IF(LanBel1LevelCurrent&gt;=$B89,"-",IF(LanBel1LevelDesired&lt;$B89,"-",$C89))</f>
        <v>-</v>
      </c>
      <c r="Y89" s="1" t="str">
        <f t="shared" ref="Y89" si="6097">IF(LanBel1LevelCurrent&gt;=$B89,"-",IF(LanBel1LevelDesired&lt;$B89,"-",$D89))</f>
        <v>-</v>
      </c>
      <c r="Z89" s="21" t="str">
        <f t="shared" ref="Z89" si="6098">IF(LanBel1LevelCurrent&gt;=$B89,"-",IF(LanBel1LevelDesired&lt;$B89,"-",$E89))</f>
        <v>-</v>
      </c>
      <c r="AA89" s="15" t="str">
        <f t="shared" ref="AA89" si="6099">IF(LanBoo1LevelCurrent&gt;=$B89,"-",IF(LanBoo1LevelDesired&lt;$B89,"-",$C89))</f>
        <v>-</v>
      </c>
      <c r="AB89" s="1" t="str">
        <f t="shared" ref="AB89" si="6100">IF(LanBoo1LevelCurrent&gt;=$B89,"-",IF(LanBoo1LevelDesired&lt;$B89,"-",$D89))</f>
        <v>-</v>
      </c>
      <c r="AC89" s="21" t="str">
        <f t="shared" ref="AC89" si="6101">IF(LanBoo1LevelCurrent&gt;=$B89,"-",IF(LanBoo1LevelDesired&lt;$B89,"-",$E89))</f>
        <v>-</v>
      </c>
      <c r="AD89" s="15" t="str">
        <f t="shared" ref="AD89" si="6102">IF(MarGog1LevelCurrent&gt;=$B89,"-",IF(MarGog1LevelDesired&lt;$B89,"-",$C89))</f>
        <v>-</v>
      </c>
      <c r="AE89" s="1" t="str">
        <f t="shared" ref="AE89" si="6103">IF(MarGog1LevelCurrent&gt;=$B89,"-",IF(MarGog1LevelDesired&lt;$B89,"-",$D89))</f>
        <v>-</v>
      </c>
      <c r="AF89" s="21" t="str">
        <f t="shared" ref="AF89" si="6104">IF(MarGog1LevelCurrent&gt;=$B89,"-",IF(MarGog1LevelDesired&lt;$B89,"-",$E89))</f>
        <v>-</v>
      </c>
      <c r="AG89" s="15" t="str">
        <f t="shared" ref="AG89" si="6105">IF(MarGlo1LevelCurrent&gt;=$B89,"-",IF(MarGlo1LevelDesired&lt;$B89,"-",$C89))</f>
        <v>-</v>
      </c>
      <c r="AH89" s="1" t="str">
        <f t="shared" ref="AH89" si="6106">IF(MarGlo1LevelCurrent&gt;=$B89,"-",IF(MarGlo1LevelDesired&lt;$B89,"-",$D89))</f>
        <v>-</v>
      </c>
      <c r="AI89" s="21" t="str">
        <f t="shared" ref="AI89" si="6107">IF(MarGlo1LevelCurrent&gt;=$B89,"-",IF(MarGlo1LevelDesired&lt;$B89,"-",$E89))</f>
        <v>-</v>
      </c>
      <c r="AJ89" s="15" t="str">
        <f t="shared" ref="AJ89" si="6108">IF(MarBel1LevelCurrent&gt;=$B89,"-",IF(MarBel1LevelDesired&lt;$B89,"-",$C89))</f>
        <v>-</v>
      </c>
      <c r="AK89" s="1" t="str">
        <f t="shared" ref="AK89" si="6109">IF(MarBel1LevelCurrent&gt;=$B89,"-",IF(MarBel1LevelDesired&lt;$B89,"-",$D89))</f>
        <v>-</v>
      </c>
      <c r="AL89" s="21" t="str">
        <f t="shared" ref="AL89" si="6110">IF(MarBel1LevelCurrent&gt;=$B89,"-",IF(MarBel1LevelDesired&lt;$B89,"-",$E89))</f>
        <v>-</v>
      </c>
      <c r="AM89" s="15" t="str">
        <f t="shared" ref="AM89" si="6111">IF(MarBoo1LevelCurrent&gt;=$B89,"-",IF(MarBoo1LevelDesired&lt;$B89,"-",$C89))</f>
        <v>-</v>
      </c>
      <c r="AN89" s="1" t="str">
        <f t="shared" ref="AN89" si="6112">IF(MarBoo1LevelCurrent&gt;=$B89,"-",IF(MarBoo1LevelDesired&lt;$B89,"-",$D89))</f>
        <v>-</v>
      </c>
      <c r="AO89" s="21" t="str">
        <f t="shared" ref="AO89" si="6113">IF(MarBoo1LevelCurrent&gt;=$B89,"-",IF(MarBoo1LevelDesired&lt;$B89,"-",$E89))</f>
        <v>-</v>
      </c>
      <c r="AP89" s="15" t="str">
        <f t="shared" ref="AP89" si="6114">IF(InfGog2LevelCurrent&gt;=$B89,"-",IF(InfGog2LevelDesired&lt;$B89,"-",$C89))</f>
        <v>-</v>
      </c>
      <c r="AQ89" s="1" t="str">
        <f t="shared" ref="AQ89" si="6115">IF(InfGog2LevelCurrent&gt;=$B89,"-",IF(InfGog2LevelDesired&lt;$B89,"-",$D89))</f>
        <v>-</v>
      </c>
      <c r="AR89" s="21" t="str">
        <f t="shared" ref="AR89" si="6116">IF(InfGog2LevelCurrent&gt;=$B89,"-",IF(InfGog2LevelDesired&lt;$B89,"-",$E89))</f>
        <v>-</v>
      </c>
      <c r="AS89" s="15" t="str">
        <f t="shared" ref="AS89" si="6117">IF(InfGlo2LevelCurrent&gt;=$B89,"-",IF(InfGlo2LevelDesired&lt;$B89,"-",$C89))</f>
        <v>-</v>
      </c>
      <c r="AT89" s="1" t="str">
        <f t="shared" ref="AT89" si="6118">IF(InfGlo2LevelCurrent&gt;=$B89,"-",IF(InfGlo2LevelDesired&lt;$B89,"-",$D89))</f>
        <v>-</v>
      </c>
      <c r="AU89" s="21" t="str">
        <f t="shared" ref="AU89" si="6119">IF(InfGlo2LevelCurrent&gt;=$B89,"-",IF(InfGlo2LevelDesired&lt;$B89,"-",$E89))</f>
        <v>-</v>
      </c>
      <c r="AV89" s="15" t="str">
        <f t="shared" ref="AV89" si="6120">IF(InfBel2LevelCurrent&gt;=$B89,"-",IF(InfBel2LevelDesired&lt;$B89,"-",$C89))</f>
        <v>-</v>
      </c>
      <c r="AW89" s="1" t="str">
        <f t="shared" ref="AW89" si="6121">IF(InfBel2LevelCurrent&gt;=$B89,"-",IF(InfBel2LevelDesired&lt;$B89,"-",$D89))</f>
        <v>-</v>
      </c>
      <c r="AX89" s="21" t="str">
        <f t="shared" ref="AX89" si="6122">IF(InfBel2LevelCurrent&gt;=$B89,"-",IF(InfBel2LevelDesired&lt;$B89,"-",$E89))</f>
        <v>-</v>
      </c>
      <c r="AY89" s="15" t="str">
        <f t="shared" ref="AY89" si="6123">IF(InfBoo2LevelCurrent&gt;=$B89,"-",IF(InfBoo2LevelDesired&lt;$B89,"-",$C89))</f>
        <v>-</v>
      </c>
      <c r="AZ89" s="1" t="str">
        <f t="shared" ref="AZ89" si="6124">IF(InfBoo2LevelCurrent&gt;=$B89,"-",IF(InfBoo2LevelDesired&lt;$B89,"-",$D89))</f>
        <v>-</v>
      </c>
      <c r="BA89" s="21" t="str">
        <f t="shared" ref="BA89" si="6125">IF(InfBoo2LevelCurrent&gt;=$B89,"-",IF(InfBoo2LevelDesired&lt;$B89,"-",$E89))</f>
        <v>-</v>
      </c>
      <c r="BB89" s="15" t="str">
        <f t="shared" ref="BB89" si="6126">IF(LanGog2LevelCurrent&gt;=$B89,"-",IF(LanGog2LevelDesired&lt;$B89,"-",$C89))</f>
        <v>-</v>
      </c>
      <c r="BC89" s="1" t="str">
        <f t="shared" ref="BC89" si="6127">IF(LanGog2LevelCurrent&gt;=$B89,"-",IF(LanGog2LevelDesired&lt;$B89,"-",$D89))</f>
        <v>-</v>
      </c>
      <c r="BD89" s="21" t="str">
        <f t="shared" ref="BD89" si="6128">IF(LanGog2LevelCurrent&gt;=$B89,"-",IF(LanGog2LevelDesired&lt;$B89,"-",$E89))</f>
        <v>-</v>
      </c>
      <c r="BE89" s="15" t="str">
        <f t="shared" ref="BE89" si="6129">IF(LanGlo2LevelCurrent&gt;=$B89,"-",IF(LanGlo2LevelDesired&lt;$B89,"-",$C89))</f>
        <v>-</v>
      </c>
      <c r="BF89" s="1" t="str">
        <f t="shared" ref="BF89" si="6130">IF(LanGlo2LevelCurrent&gt;=$B89,"-",IF(LanGlo2LevelDesired&lt;$B89,"-",$D89))</f>
        <v>-</v>
      </c>
      <c r="BG89" s="21" t="str">
        <f t="shared" ref="BG89" si="6131">IF(LanGlo2LevelCurrent&gt;=$B89,"-",IF(LanGlo2LevelDesired&lt;$B89,"-",$E89))</f>
        <v>-</v>
      </c>
      <c r="BH89" s="15" t="str">
        <f t="shared" ref="BH89" si="6132">IF(LanBel2LevelCurrent&gt;=$B89,"-",IF(LanBel2LevelDesired&lt;$B89,"-",$C89))</f>
        <v>-</v>
      </c>
      <c r="BI89" s="1" t="str">
        <f t="shared" ref="BI89" si="6133">IF(LanBel2LevelCurrent&gt;=$B89,"-",IF(LanBel2LevelDesired&lt;$B89,"-",$D89))</f>
        <v>-</v>
      </c>
      <c r="BJ89" s="21" t="str">
        <f t="shared" ref="BJ89" si="6134">IF(LanBel2LevelCurrent&gt;=$B89,"-",IF(LanBel2LevelDesired&lt;$B89,"-",$E89))</f>
        <v>-</v>
      </c>
      <c r="BK89" s="15" t="str">
        <f t="shared" ref="BK89" si="6135">IF(LanBoo2LevelCurrent&gt;=$B89,"-",IF(LanBoo2LevelDesired&lt;$B89,"-",$C89))</f>
        <v>-</v>
      </c>
      <c r="BL89" s="1" t="str">
        <f t="shared" ref="BL89" si="6136">IF(LanBoo2LevelCurrent&gt;=$B89,"-",IF(LanBoo2LevelDesired&lt;$B89,"-",$D89))</f>
        <v>-</v>
      </c>
      <c r="BM89" s="21" t="str">
        <f t="shared" ref="BM89" si="6137">IF(LanBoo2LevelCurrent&gt;=$B89,"-",IF(LanBoo2LevelDesired&lt;$B89,"-",$E89))</f>
        <v>-</v>
      </c>
      <c r="BN89" s="15" t="str">
        <f t="shared" ref="BN89" si="6138">IF(MarGog2LevelCurrent&gt;=$B89,"-",IF(MarGog2LevelDesired&lt;$B89,"-",$C89))</f>
        <v>-</v>
      </c>
      <c r="BO89" s="1" t="str">
        <f t="shared" ref="BO89" si="6139">IF(MarGog2LevelCurrent&gt;=$B89,"-",IF(MarGog2LevelDesired&lt;$B89,"-",$D89))</f>
        <v>-</v>
      </c>
      <c r="BP89" s="21" t="str">
        <f t="shared" ref="BP89" si="6140">IF(MarGog2LevelCurrent&gt;=$B89,"-",IF(MarGog2LevelDesired&lt;$B89,"-",$E89))</f>
        <v>-</v>
      </c>
      <c r="BQ89" s="15" t="str">
        <f t="shared" ref="BQ89" si="6141">IF(MarGlo2LevelCurrent&gt;=$B89,"-",IF(MarGlo2LevelDesired&lt;$B89,"-",$C89))</f>
        <v>-</v>
      </c>
      <c r="BR89" s="1" t="str">
        <f t="shared" ref="BR89" si="6142">IF(MarGlo2LevelCurrent&gt;=$B89,"-",IF(MarGlo2LevelDesired&lt;$B89,"-",$D89))</f>
        <v>-</v>
      </c>
      <c r="BS89" s="21" t="str">
        <f t="shared" ref="BS89" si="6143">IF(MarGlo2LevelCurrent&gt;=$B89,"-",IF(MarGlo2LevelDesired&lt;$B89,"-",$E89))</f>
        <v>-</v>
      </c>
      <c r="BT89" s="15" t="str">
        <f t="shared" ref="BT89" si="6144">IF(MarBel2LevelCurrent&gt;=$B89,"-",IF(MarBel2LevelDesired&lt;$B89,"-",$C89))</f>
        <v>-</v>
      </c>
      <c r="BU89" s="1" t="str">
        <f t="shared" ref="BU89" si="6145">IF(MarBel2LevelCurrent&gt;=$B89,"-",IF(MarBel2LevelDesired&lt;$B89,"-",$D89))</f>
        <v>-</v>
      </c>
      <c r="BV89" s="21" t="str">
        <f t="shared" ref="BV89" si="6146">IF(MarBel2LevelCurrent&gt;=$B89,"-",IF(MarBel2LevelDesired&lt;$B89,"-",$E89))</f>
        <v>-</v>
      </c>
      <c r="BW89" s="15" t="str">
        <f t="shared" ref="BW89" si="6147">IF(MarBoo2LevelCurrent&gt;=$B89,"-",IF(MarBoo2LevelDesired&lt;$B89,"-",$C89))</f>
        <v>-</v>
      </c>
      <c r="BX89" s="1" t="str">
        <f t="shared" ref="BX89" si="6148">IF(MarBoo2LevelCurrent&gt;=$B89,"-",IF(MarBoo2LevelDesired&lt;$B89,"-",$D89))</f>
        <v>-</v>
      </c>
      <c r="BY89" s="21" t="str">
        <f t="shared" ref="BY89" si="6149">IF(MarBoo2LevelCurrent&gt;=$B89,"-",IF(MarBoo2LevelDesired&lt;$B89,"-",$E89))</f>
        <v>-</v>
      </c>
      <c r="BZ89" s="15" t="str">
        <f t="shared" si="4748"/>
        <v>-</v>
      </c>
      <c r="CA89" s="1" t="str" cm="1">
        <f t="array" ref="CA89">IF(InfGog3LevelCurrent&gt;=$B89,"-",IF(InfGog3LevelDesired&lt;$B89,"-",$D89))</f>
        <v>-</v>
      </c>
      <c r="CB89" s="21" t="str" cm="1">
        <f t="array" ref="CB89">IF(InfGog3LevelCurrent&gt;=$B89,"-",IF(InfGog3LevelDesired&lt;$B89,"-",$E89))</f>
        <v>-</v>
      </c>
      <c r="CC89" s="15" t="str">
        <f t="shared" si="4749"/>
        <v>-</v>
      </c>
      <c r="CD89" s="1" t="str">
        <f t="shared" si="4750"/>
        <v>-</v>
      </c>
      <c r="CE89" s="21" t="str">
        <f t="shared" si="4751"/>
        <v>-</v>
      </c>
      <c r="CF89" s="15" t="str">
        <f t="shared" si="4752"/>
        <v>-</v>
      </c>
      <c r="CG89" s="1" t="str">
        <f t="shared" si="4753"/>
        <v>-</v>
      </c>
      <c r="CH89" s="21" t="str">
        <f t="shared" si="4754"/>
        <v>-</v>
      </c>
      <c r="CI89" s="15" t="str">
        <f t="shared" si="4755"/>
        <v>-</v>
      </c>
      <c r="CJ89" s="1" t="str">
        <f t="shared" si="4756"/>
        <v>-</v>
      </c>
      <c r="CK89" s="21" t="str">
        <f t="shared" si="4757"/>
        <v>-</v>
      </c>
      <c r="CL89" s="15" t="str">
        <f t="shared" si="4758"/>
        <v>-</v>
      </c>
      <c r="CM89" s="1" t="str">
        <f t="shared" si="4759"/>
        <v>-</v>
      </c>
      <c r="CN89" s="21" t="str">
        <f t="shared" si="4760"/>
        <v>-</v>
      </c>
      <c r="CO89" s="15" t="str">
        <f t="shared" si="4761"/>
        <v>-</v>
      </c>
      <c r="CP89" s="1" t="str">
        <f t="shared" si="4762"/>
        <v>-</v>
      </c>
      <c r="CQ89" s="21" t="str">
        <f t="shared" si="4763"/>
        <v>-</v>
      </c>
      <c r="CR89" s="15" t="str">
        <f t="shared" si="4764"/>
        <v>-</v>
      </c>
      <c r="CS89" s="1" t="str">
        <f t="shared" si="4765"/>
        <v>-</v>
      </c>
      <c r="CT89" s="21" t="str">
        <f t="shared" si="4766"/>
        <v>-</v>
      </c>
      <c r="CU89" s="15" t="str">
        <f t="shared" si="4767"/>
        <v>-</v>
      </c>
      <c r="CV89" s="1" t="str">
        <f t="shared" si="4768"/>
        <v>-</v>
      </c>
      <c r="CW89" s="21" t="str">
        <f t="shared" si="4769"/>
        <v>-</v>
      </c>
      <c r="CX89" s="15" t="str">
        <f t="shared" si="4770"/>
        <v>-</v>
      </c>
      <c r="CY89" s="1" t="str">
        <f t="shared" si="4771"/>
        <v>-</v>
      </c>
      <c r="CZ89" s="21" t="str">
        <f t="shared" si="4772"/>
        <v>-</v>
      </c>
      <c r="DA89" s="15" t="str">
        <f t="shared" si="4773"/>
        <v>-</v>
      </c>
      <c r="DB89" s="1" t="str">
        <f t="shared" si="4774"/>
        <v>-</v>
      </c>
      <c r="DC89" s="21" t="str">
        <f t="shared" si="4775"/>
        <v>-</v>
      </c>
      <c r="DD89" s="15" t="str">
        <f t="shared" si="4776"/>
        <v>-</v>
      </c>
      <c r="DE89" s="1" t="str">
        <f t="shared" si="4777"/>
        <v>-</v>
      </c>
      <c r="DF89" s="21" t="str">
        <f t="shared" si="4778"/>
        <v>-</v>
      </c>
      <c r="DG89" s="15" t="str">
        <f t="shared" si="4779"/>
        <v>-</v>
      </c>
      <c r="DH89" s="1" t="str">
        <f t="shared" si="4780"/>
        <v>-</v>
      </c>
      <c r="DI89" s="21" t="str">
        <f t="shared" si="4781"/>
        <v>-</v>
      </c>
    </row>
    <row r="90" spans="2:113" x14ac:dyDescent="0.3">
      <c r="B90" s="1">
        <v>85</v>
      </c>
      <c r="C90" s="67">
        <v>1650</v>
      </c>
      <c r="D90" s="88" t="s">
        <v>27</v>
      </c>
      <c r="E90" s="21" t="s">
        <v>27</v>
      </c>
      <c r="F90" s="15" t="str">
        <f t="shared" ref="F90" si="6150">IF(InfGog1LevelCurrent&gt;=$B90,"-",IF(InfGog1LevelDesired&lt;$B90,"-",$C90))</f>
        <v>-</v>
      </c>
      <c r="G90" s="1" t="str">
        <f t="shared" ref="G90" si="6151">IF(InfGog1LevelCurrent&gt;=$B90,"-",IF(InfGog1LevelDesired&lt;$B90,"-",$D90))</f>
        <v>-</v>
      </c>
      <c r="H90" s="21" t="str">
        <f t="shared" ref="H90" si="6152">IF(InfGog1LevelCurrent&gt;=$B90,"-",IF(InfGog1LevelDesired&lt;$B90,"-",$E90))</f>
        <v>-</v>
      </c>
      <c r="I90" s="15" t="str">
        <f t="shared" ref="I90" si="6153">IF(InfGlo1LevelCurrent&gt;=$B90,"-",IF(InfGlo1LevelDesired&lt;$B90,"-",$C90))</f>
        <v>-</v>
      </c>
      <c r="J90" s="1" t="str">
        <f t="shared" ref="J90" si="6154">IF(InfGlo1LevelCurrent&gt;=$B90,"-",IF(InfGlo1LevelDesired&lt;$B90,"-",$D90))</f>
        <v>-</v>
      </c>
      <c r="K90" s="21" t="str">
        <f t="shared" ref="K90" si="6155">IF(InfGlo1LevelCurrent&gt;=$B90,"-",IF(InfGlo1LevelDesired&lt;$B90,"-",$E90))</f>
        <v>-</v>
      </c>
      <c r="L90" s="15" t="str">
        <f t="shared" ref="L90" si="6156">IF(InfBel1LevelCurrent&gt;=$B90,"-",IF(InfBel1LevelDesired&lt;$B90,"-",$C90))</f>
        <v>-</v>
      </c>
      <c r="M90" s="1" t="str">
        <f t="shared" ref="M90" si="6157">IF(InfBel1LevelCurrent&gt;=$B90,"-",IF(InfBel1LevelDesired&lt;$B90,"-",$D90))</f>
        <v>-</v>
      </c>
      <c r="N90" s="21" t="str">
        <f t="shared" ref="N90" si="6158">IF(InfBel1LevelCurrent&gt;=$B90,"-",IF(InfBel1LevelDesired&lt;$B90,"-",$E90))</f>
        <v>-</v>
      </c>
      <c r="O90" s="15" t="str">
        <f t="shared" ref="O90" si="6159">IF(InfBoo1LevelCurrent&gt;=$B90,"-",IF(InfBoo1LevelDesired&lt;$B90,"-",$C90))</f>
        <v>-</v>
      </c>
      <c r="P90" s="1" t="str">
        <f t="shared" ref="P90" si="6160">IF(InfBoo1LevelCurrent&gt;=$B90,"-",IF(InfBoo1LevelDesired&lt;$B90,"-",$D90))</f>
        <v>-</v>
      </c>
      <c r="Q90" s="21" t="str">
        <f t="shared" ref="Q90" si="6161">IF(InfBoo1LevelCurrent&gt;=$B90,"-",IF(InfBoo1LevelDesired&lt;$B90,"-",$E90))</f>
        <v>-</v>
      </c>
      <c r="R90" s="15" t="str">
        <f t="shared" ref="R90" si="6162">IF(LanGog1LevelCurrent&gt;=$B90,"-",IF(LanGog1LevelDesired&lt;$B90,"-",$C90))</f>
        <v>-</v>
      </c>
      <c r="S90" s="1" t="str">
        <f t="shared" ref="S90" si="6163">IF(LanGog1LevelCurrent&gt;=$B90,"-",IF(LanGog1LevelDesired&lt;$B90,"-",$D90))</f>
        <v>-</v>
      </c>
      <c r="T90" s="21" t="str">
        <f t="shared" ref="T90" si="6164">IF(LanGog1LevelCurrent&gt;=$B90,"-",IF(LanGog1LevelDesired&lt;$B90,"-",$E90))</f>
        <v>-</v>
      </c>
      <c r="U90" s="15" t="str">
        <f t="shared" ref="U90" si="6165">IF(LanGlo1LevelCurrent&gt;=$B90,"-",IF(LanGlo1LevelDesired&lt;$B90,"-",$C90))</f>
        <v>-</v>
      </c>
      <c r="V90" s="1" t="str">
        <f t="shared" ref="V90" si="6166">IF(LanGlo1LevelCurrent&gt;=$B90,"-",IF(LanGlo1LevelDesired&lt;$B90,"-",$D90))</f>
        <v>-</v>
      </c>
      <c r="W90" s="21" t="str">
        <f t="shared" ref="W90" si="6167">IF(LanGlo1LevelCurrent&gt;=$B90,"-",IF(LanGlo1LevelDesired&lt;$B90,"-",$E90))</f>
        <v>-</v>
      </c>
      <c r="X90" s="15" t="str">
        <f t="shared" ref="X90" si="6168">IF(LanBel1LevelCurrent&gt;=$B90,"-",IF(LanBel1LevelDesired&lt;$B90,"-",$C90))</f>
        <v>-</v>
      </c>
      <c r="Y90" s="1" t="str">
        <f t="shared" ref="Y90" si="6169">IF(LanBel1LevelCurrent&gt;=$B90,"-",IF(LanBel1LevelDesired&lt;$B90,"-",$D90))</f>
        <v>-</v>
      </c>
      <c r="Z90" s="21" t="str">
        <f t="shared" ref="Z90" si="6170">IF(LanBel1LevelCurrent&gt;=$B90,"-",IF(LanBel1LevelDesired&lt;$B90,"-",$E90))</f>
        <v>-</v>
      </c>
      <c r="AA90" s="15" t="str">
        <f t="shared" ref="AA90" si="6171">IF(LanBoo1LevelCurrent&gt;=$B90,"-",IF(LanBoo1LevelDesired&lt;$B90,"-",$C90))</f>
        <v>-</v>
      </c>
      <c r="AB90" s="1" t="str">
        <f t="shared" ref="AB90" si="6172">IF(LanBoo1LevelCurrent&gt;=$B90,"-",IF(LanBoo1LevelDesired&lt;$B90,"-",$D90))</f>
        <v>-</v>
      </c>
      <c r="AC90" s="21" t="str">
        <f t="shared" ref="AC90" si="6173">IF(LanBoo1LevelCurrent&gt;=$B90,"-",IF(LanBoo1LevelDesired&lt;$B90,"-",$E90))</f>
        <v>-</v>
      </c>
      <c r="AD90" s="15" t="str">
        <f t="shared" ref="AD90" si="6174">IF(MarGog1LevelCurrent&gt;=$B90,"-",IF(MarGog1LevelDesired&lt;$B90,"-",$C90))</f>
        <v>-</v>
      </c>
      <c r="AE90" s="1" t="str">
        <f t="shared" ref="AE90" si="6175">IF(MarGog1LevelCurrent&gt;=$B90,"-",IF(MarGog1LevelDesired&lt;$B90,"-",$D90))</f>
        <v>-</v>
      </c>
      <c r="AF90" s="21" t="str">
        <f t="shared" ref="AF90" si="6176">IF(MarGog1LevelCurrent&gt;=$B90,"-",IF(MarGog1LevelDesired&lt;$B90,"-",$E90))</f>
        <v>-</v>
      </c>
      <c r="AG90" s="15" t="str">
        <f t="shared" ref="AG90" si="6177">IF(MarGlo1LevelCurrent&gt;=$B90,"-",IF(MarGlo1LevelDesired&lt;$B90,"-",$C90))</f>
        <v>-</v>
      </c>
      <c r="AH90" s="1" t="str">
        <f t="shared" ref="AH90" si="6178">IF(MarGlo1LevelCurrent&gt;=$B90,"-",IF(MarGlo1LevelDesired&lt;$B90,"-",$D90))</f>
        <v>-</v>
      </c>
      <c r="AI90" s="21" t="str">
        <f t="shared" ref="AI90" si="6179">IF(MarGlo1LevelCurrent&gt;=$B90,"-",IF(MarGlo1LevelDesired&lt;$B90,"-",$E90))</f>
        <v>-</v>
      </c>
      <c r="AJ90" s="15" t="str">
        <f t="shared" ref="AJ90" si="6180">IF(MarBel1LevelCurrent&gt;=$B90,"-",IF(MarBel1LevelDesired&lt;$B90,"-",$C90))</f>
        <v>-</v>
      </c>
      <c r="AK90" s="1" t="str">
        <f t="shared" ref="AK90" si="6181">IF(MarBel1LevelCurrent&gt;=$B90,"-",IF(MarBel1LevelDesired&lt;$B90,"-",$D90))</f>
        <v>-</v>
      </c>
      <c r="AL90" s="21" t="str">
        <f t="shared" ref="AL90" si="6182">IF(MarBel1LevelCurrent&gt;=$B90,"-",IF(MarBel1LevelDesired&lt;$B90,"-",$E90))</f>
        <v>-</v>
      </c>
      <c r="AM90" s="15" t="str">
        <f t="shared" ref="AM90" si="6183">IF(MarBoo1LevelCurrent&gt;=$B90,"-",IF(MarBoo1LevelDesired&lt;$B90,"-",$C90))</f>
        <v>-</v>
      </c>
      <c r="AN90" s="1" t="str">
        <f t="shared" ref="AN90" si="6184">IF(MarBoo1LevelCurrent&gt;=$B90,"-",IF(MarBoo1LevelDesired&lt;$B90,"-",$D90))</f>
        <v>-</v>
      </c>
      <c r="AO90" s="21" t="str">
        <f t="shared" ref="AO90" si="6185">IF(MarBoo1LevelCurrent&gt;=$B90,"-",IF(MarBoo1LevelDesired&lt;$B90,"-",$E90))</f>
        <v>-</v>
      </c>
      <c r="AP90" s="15" t="str">
        <f t="shared" ref="AP90" si="6186">IF(InfGog2LevelCurrent&gt;=$B90,"-",IF(InfGog2LevelDesired&lt;$B90,"-",$C90))</f>
        <v>-</v>
      </c>
      <c r="AQ90" s="1" t="str">
        <f t="shared" ref="AQ90" si="6187">IF(InfGog2LevelCurrent&gt;=$B90,"-",IF(InfGog2LevelDesired&lt;$B90,"-",$D90))</f>
        <v>-</v>
      </c>
      <c r="AR90" s="21" t="str">
        <f t="shared" ref="AR90" si="6188">IF(InfGog2LevelCurrent&gt;=$B90,"-",IF(InfGog2LevelDesired&lt;$B90,"-",$E90))</f>
        <v>-</v>
      </c>
      <c r="AS90" s="15" t="str">
        <f t="shared" ref="AS90" si="6189">IF(InfGlo2LevelCurrent&gt;=$B90,"-",IF(InfGlo2LevelDesired&lt;$B90,"-",$C90))</f>
        <v>-</v>
      </c>
      <c r="AT90" s="1" t="str">
        <f t="shared" ref="AT90" si="6190">IF(InfGlo2LevelCurrent&gt;=$B90,"-",IF(InfGlo2LevelDesired&lt;$B90,"-",$D90))</f>
        <v>-</v>
      </c>
      <c r="AU90" s="21" t="str">
        <f t="shared" ref="AU90" si="6191">IF(InfGlo2LevelCurrent&gt;=$B90,"-",IF(InfGlo2LevelDesired&lt;$B90,"-",$E90))</f>
        <v>-</v>
      </c>
      <c r="AV90" s="15" t="str">
        <f t="shared" ref="AV90" si="6192">IF(InfBel2LevelCurrent&gt;=$B90,"-",IF(InfBel2LevelDesired&lt;$B90,"-",$C90))</f>
        <v>-</v>
      </c>
      <c r="AW90" s="1" t="str">
        <f t="shared" ref="AW90" si="6193">IF(InfBel2LevelCurrent&gt;=$B90,"-",IF(InfBel2LevelDesired&lt;$B90,"-",$D90))</f>
        <v>-</v>
      </c>
      <c r="AX90" s="21" t="str">
        <f t="shared" ref="AX90" si="6194">IF(InfBel2LevelCurrent&gt;=$B90,"-",IF(InfBel2LevelDesired&lt;$B90,"-",$E90))</f>
        <v>-</v>
      </c>
      <c r="AY90" s="15" t="str">
        <f t="shared" ref="AY90" si="6195">IF(InfBoo2LevelCurrent&gt;=$B90,"-",IF(InfBoo2LevelDesired&lt;$B90,"-",$C90))</f>
        <v>-</v>
      </c>
      <c r="AZ90" s="1" t="str">
        <f t="shared" ref="AZ90" si="6196">IF(InfBoo2LevelCurrent&gt;=$B90,"-",IF(InfBoo2LevelDesired&lt;$B90,"-",$D90))</f>
        <v>-</v>
      </c>
      <c r="BA90" s="21" t="str">
        <f t="shared" ref="BA90" si="6197">IF(InfBoo2LevelCurrent&gt;=$B90,"-",IF(InfBoo2LevelDesired&lt;$B90,"-",$E90))</f>
        <v>-</v>
      </c>
      <c r="BB90" s="15" t="str">
        <f t="shared" ref="BB90" si="6198">IF(LanGog2LevelCurrent&gt;=$B90,"-",IF(LanGog2LevelDesired&lt;$B90,"-",$C90))</f>
        <v>-</v>
      </c>
      <c r="BC90" s="1" t="str">
        <f t="shared" ref="BC90" si="6199">IF(LanGog2LevelCurrent&gt;=$B90,"-",IF(LanGog2LevelDesired&lt;$B90,"-",$D90))</f>
        <v>-</v>
      </c>
      <c r="BD90" s="21" t="str">
        <f t="shared" ref="BD90" si="6200">IF(LanGog2LevelCurrent&gt;=$B90,"-",IF(LanGog2LevelDesired&lt;$B90,"-",$E90))</f>
        <v>-</v>
      </c>
      <c r="BE90" s="15" t="str">
        <f t="shared" ref="BE90" si="6201">IF(LanGlo2LevelCurrent&gt;=$B90,"-",IF(LanGlo2LevelDesired&lt;$B90,"-",$C90))</f>
        <v>-</v>
      </c>
      <c r="BF90" s="1" t="str">
        <f t="shared" ref="BF90" si="6202">IF(LanGlo2LevelCurrent&gt;=$B90,"-",IF(LanGlo2LevelDesired&lt;$B90,"-",$D90))</f>
        <v>-</v>
      </c>
      <c r="BG90" s="21" t="str">
        <f t="shared" ref="BG90" si="6203">IF(LanGlo2LevelCurrent&gt;=$B90,"-",IF(LanGlo2LevelDesired&lt;$B90,"-",$E90))</f>
        <v>-</v>
      </c>
      <c r="BH90" s="15" t="str">
        <f t="shared" ref="BH90" si="6204">IF(LanBel2LevelCurrent&gt;=$B90,"-",IF(LanBel2LevelDesired&lt;$B90,"-",$C90))</f>
        <v>-</v>
      </c>
      <c r="BI90" s="1" t="str">
        <f t="shared" ref="BI90" si="6205">IF(LanBel2LevelCurrent&gt;=$B90,"-",IF(LanBel2LevelDesired&lt;$B90,"-",$D90))</f>
        <v>-</v>
      </c>
      <c r="BJ90" s="21" t="str">
        <f t="shared" ref="BJ90" si="6206">IF(LanBel2LevelCurrent&gt;=$B90,"-",IF(LanBel2LevelDesired&lt;$B90,"-",$E90))</f>
        <v>-</v>
      </c>
      <c r="BK90" s="15" t="str">
        <f t="shared" ref="BK90" si="6207">IF(LanBoo2LevelCurrent&gt;=$B90,"-",IF(LanBoo2LevelDesired&lt;$B90,"-",$C90))</f>
        <v>-</v>
      </c>
      <c r="BL90" s="1" t="str">
        <f t="shared" ref="BL90" si="6208">IF(LanBoo2LevelCurrent&gt;=$B90,"-",IF(LanBoo2LevelDesired&lt;$B90,"-",$D90))</f>
        <v>-</v>
      </c>
      <c r="BM90" s="21" t="str">
        <f t="shared" ref="BM90" si="6209">IF(LanBoo2LevelCurrent&gt;=$B90,"-",IF(LanBoo2LevelDesired&lt;$B90,"-",$E90))</f>
        <v>-</v>
      </c>
      <c r="BN90" s="15" t="str">
        <f t="shared" ref="BN90" si="6210">IF(MarGog2LevelCurrent&gt;=$B90,"-",IF(MarGog2LevelDesired&lt;$B90,"-",$C90))</f>
        <v>-</v>
      </c>
      <c r="BO90" s="1" t="str">
        <f t="shared" ref="BO90" si="6211">IF(MarGog2LevelCurrent&gt;=$B90,"-",IF(MarGog2LevelDesired&lt;$B90,"-",$D90))</f>
        <v>-</v>
      </c>
      <c r="BP90" s="21" t="str">
        <f t="shared" ref="BP90" si="6212">IF(MarGog2LevelCurrent&gt;=$B90,"-",IF(MarGog2LevelDesired&lt;$B90,"-",$E90))</f>
        <v>-</v>
      </c>
      <c r="BQ90" s="15" t="str">
        <f t="shared" ref="BQ90" si="6213">IF(MarGlo2LevelCurrent&gt;=$B90,"-",IF(MarGlo2LevelDesired&lt;$B90,"-",$C90))</f>
        <v>-</v>
      </c>
      <c r="BR90" s="1" t="str">
        <f t="shared" ref="BR90" si="6214">IF(MarGlo2LevelCurrent&gt;=$B90,"-",IF(MarGlo2LevelDesired&lt;$B90,"-",$D90))</f>
        <v>-</v>
      </c>
      <c r="BS90" s="21" t="str">
        <f t="shared" ref="BS90" si="6215">IF(MarGlo2LevelCurrent&gt;=$B90,"-",IF(MarGlo2LevelDesired&lt;$B90,"-",$E90))</f>
        <v>-</v>
      </c>
      <c r="BT90" s="15" t="str">
        <f t="shared" ref="BT90" si="6216">IF(MarBel2LevelCurrent&gt;=$B90,"-",IF(MarBel2LevelDesired&lt;$B90,"-",$C90))</f>
        <v>-</v>
      </c>
      <c r="BU90" s="1" t="str">
        <f t="shared" ref="BU90" si="6217">IF(MarBel2LevelCurrent&gt;=$B90,"-",IF(MarBel2LevelDesired&lt;$B90,"-",$D90))</f>
        <v>-</v>
      </c>
      <c r="BV90" s="21" t="str">
        <f t="shared" ref="BV90" si="6218">IF(MarBel2LevelCurrent&gt;=$B90,"-",IF(MarBel2LevelDesired&lt;$B90,"-",$E90))</f>
        <v>-</v>
      </c>
      <c r="BW90" s="15" t="str">
        <f t="shared" ref="BW90" si="6219">IF(MarBoo2LevelCurrent&gt;=$B90,"-",IF(MarBoo2LevelDesired&lt;$B90,"-",$C90))</f>
        <v>-</v>
      </c>
      <c r="BX90" s="1" t="str">
        <f t="shared" ref="BX90" si="6220">IF(MarBoo2LevelCurrent&gt;=$B90,"-",IF(MarBoo2LevelDesired&lt;$B90,"-",$D90))</f>
        <v>-</v>
      </c>
      <c r="BY90" s="21" t="str">
        <f t="shared" ref="BY90" si="6221">IF(MarBoo2LevelCurrent&gt;=$B90,"-",IF(MarBoo2LevelDesired&lt;$B90,"-",$E90))</f>
        <v>-</v>
      </c>
      <c r="BZ90" s="15" t="str">
        <f t="shared" si="4748"/>
        <v>-</v>
      </c>
      <c r="CA90" s="1" t="str" cm="1">
        <f t="array" ref="CA90">IF(InfGog3LevelCurrent&gt;=$B90,"-",IF(InfGog3LevelDesired&lt;$B90,"-",$D90))</f>
        <v>-</v>
      </c>
      <c r="CB90" s="21" t="str" cm="1">
        <f t="array" ref="CB90">IF(InfGog3LevelCurrent&gt;=$B90,"-",IF(InfGog3LevelDesired&lt;$B90,"-",$E90))</f>
        <v>-</v>
      </c>
      <c r="CC90" s="15" t="str">
        <f t="shared" si="4749"/>
        <v>-</v>
      </c>
      <c r="CD90" s="1" t="str">
        <f t="shared" si="4750"/>
        <v>-</v>
      </c>
      <c r="CE90" s="21" t="str">
        <f t="shared" si="4751"/>
        <v>-</v>
      </c>
      <c r="CF90" s="15" t="str">
        <f t="shared" si="4752"/>
        <v>-</v>
      </c>
      <c r="CG90" s="1" t="str">
        <f t="shared" si="4753"/>
        <v>-</v>
      </c>
      <c r="CH90" s="21" t="str">
        <f t="shared" si="4754"/>
        <v>-</v>
      </c>
      <c r="CI90" s="15" t="str">
        <f t="shared" si="4755"/>
        <v>-</v>
      </c>
      <c r="CJ90" s="1" t="str">
        <f t="shared" si="4756"/>
        <v>-</v>
      </c>
      <c r="CK90" s="21" t="str">
        <f t="shared" si="4757"/>
        <v>-</v>
      </c>
      <c r="CL90" s="15" t="str">
        <f t="shared" si="4758"/>
        <v>-</v>
      </c>
      <c r="CM90" s="1" t="str">
        <f t="shared" si="4759"/>
        <v>-</v>
      </c>
      <c r="CN90" s="21" t="str">
        <f t="shared" si="4760"/>
        <v>-</v>
      </c>
      <c r="CO90" s="15" t="str">
        <f t="shared" si="4761"/>
        <v>-</v>
      </c>
      <c r="CP90" s="1" t="str">
        <f t="shared" si="4762"/>
        <v>-</v>
      </c>
      <c r="CQ90" s="21" t="str">
        <f t="shared" si="4763"/>
        <v>-</v>
      </c>
      <c r="CR90" s="15" t="str">
        <f t="shared" si="4764"/>
        <v>-</v>
      </c>
      <c r="CS90" s="1" t="str">
        <f t="shared" si="4765"/>
        <v>-</v>
      </c>
      <c r="CT90" s="21" t="str">
        <f t="shared" si="4766"/>
        <v>-</v>
      </c>
      <c r="CU90" s="15" t="str">
        <f t="shared" si="4767"/>
        <v>-</v>
      </c>
      <c r="CV90" s="1" t="str">
        <f t="shared" si="4768"/>
        <v>-</v>
      </c>
      <c r="CW90" s="21" t="str">
        <f t="shared" si="4769"/>
        <v>-</v>
      </c>
      <c r="CX90" s="15" t="str">
        <f t="shared" si="4770"/>
        <v>-</v>
      </c>
      <c r="CY90" s="1" t="str">
        <f t="shared" si="4771"/>
        <v>-</v>
      </c>
      <c r="CZ90" s="21" t="str">
        <f t="shared" si="4772"/>
        <v>-</v>
      </c>
      <c r="DA90" s="15" t="str">
        <f t="shared" si="4773"/>
        <v>-</v>
      </c>
      <c r="DB90" s="1" t="str">
        <f t="shared" si="4774"/>
        <v>-</v>
      </c>
      <c r="DC90" s="21" t="str">
        <f t="shared" si="4775"/>
        <v>-</v>
      </c>
      <c r="DD90" s="15" t="str">
        <f t="shared" si="4776"/>
        <v>-</v>
      </c>
      <c r="DE90" s="1" t="str">
        <f t="shared" si="4777"/>
        <v>-</v>
      </c>
      <c r="DF90" s="21" t="str">
        <f t="shared" si="4778"/>
        <v>-</v>
      </c>
      <c r="DG90" s="15" t="str">
        <f t="shared" si="4779"/>
        <v>-</v>
      </c>
      <c r="DH90" s="1" t="str">
        <f t="shared" si="4780"/>
        <v>-</v>
      </c>
      <c r="DI90" s="21" t="str">
        <f t="shared" si="4781"/>
        <v>-</v>
      </c>
    </row>
    <row r="91" spans="2:113" x14ac:dyDescent="0.3">
      <c r="B91" s="1">
        <v>86</v>
      </c>
      <c r="C91" s="67">
        <v>1700</v>
      </c>
      <c r="D91" s="88" t="s">
        <v>27</v>
      </c>
      <c r="E91" s="21" t="s">
        <v>27</v>
      </c>
      <c r="F91" s="15" t="str">
        <f t="shared" ref="F91" si="6222">IF(InfGog1LevelCurrent&gt;=$B91,"-",IF(InfGog1LevelDesired&lt;$B91,"-",$C91))</f>
        <v>-</v>
      </c>
      <c r="G91" s="1" t="str">
        <f t="shared" ref="G91" si="6223">IF(InfGog1LevelCurrent&gt;=$B91,"-",IF(InfGog1LevelDesired&lt;$B91,"-",$D91))</f>
        <v>-</v>
      </c>
      <c r="H91" s="21" t="str">
        <f t="shared" ref="H91" si="6224">IF(InfGog1LevelCurrent&gt;=$B91,"-",IF(InfGog1LevelDesired&lt;$B91,"-",$E91))</f>
        <v>-</v>
      </c>
      <c r="I91" s="15" t="str">
        <f t="shared" ref="I91" si="6225">IF(InfGlo1LevelCurrent&gt;=$B91,"-",IF(InfGlo1LevelDesired&lt;$B91,"-",$C91))</f>
        <v>-</v>
      </c>
      <c r="J91" s="1" t="str">
        <f t="shared" ref="J91" si="6226">IF(InfGlo1LevelCurrent&gt;=$B91,"-",IF(InfGlo1LevelDesired&lt;$B91,"-",$D91))</f>
        <v>-</v>
      </c>
      <c r="K91" s="21" t="str">
        <f t="shared" ref="K91" si="6227">IF(InfGlo1LevelCurrent&gt;=$B91,"-",IF(InfGlo1LevelDesired&lt;$B91,"-",$E91))</f>
        <v>-</v>
      </c>
      <c r="L91" s="15" t="str">
        <f t="shared" ref="L91" si="6228">IF(InfBel1LevelCurrent&gt;=$B91,"-",IF(InfBel1LevelDesired&lt;$B91,"-",$C91))</f>
        <v>-</v>
      </c>
      <c r="M91" s="1" t="str">
        <f t="shared" ref="M91" si="6229">IF(InfBel1LevelCurrent&gt;=$B91,"-",IF(InfBel1LevelDesired&lt;$B91,"-",$D91))</f>
        <v>-</v>
      </c>
      <c r="N91" s="21" t="str">
        <f t="shared" ref="N91" si="6230">IF(InfBel1LevelCurrent&gt;=$B91,"-",IF(InfBel1LevelDesired&lt;$B91,"-",$E91))</f>
        <v>-</v>
      </c>
      <c r="O91" s="15" t="str">
        <f t="shared" ref="O91" si="6231">IF(InfBoo1LevelCurrent&gt;=$B91,"-",IF(InfBoo1LevelDesired&lt;$B91,"-",$C91))</f>
        <v>-</v>
      </c>
      <c r="P91" s="1" t="str">
        <f t="shared" ref="P91" si="6232">IF(InfBoo1LevelCurrent&gt;=$B91,"-",IF(InfBoo1LevelDesired&lt;$B91,"-",$D91))</f>
        <v>-</v>
      </c>
      <c r="Q91" s="21" t="str">
        <f t="shared" ref="Q91" si="6233">IF(InfBoo1LevelCurrent&gt;=$B91,"-",IF(InfBoo1LevelDesired&lt;$B91,"-",$E91))</f>
        <v>-</v>
      </c>
      <c r="R91" s="15" t="str">
        <f t="shared" ref="R91" si="6234">IF(LanGog1LevelCurrent&gt;=$B91,"-",IF(LanGog1LevelDesired&lt;$B91,"-",$C91))</f>
        <v>-</v>
      </c>
      <c r="S91" s="1" t="str">
        <f t="shared" ref="S91" si="6235">IF(LanGog1LevelCurrent&gt;=$B91,"-",IF(LanGog1LevelDesired&lt;$B91,"-",$D91))</f>
        <v>-</v>
      </c>
      <c r="T91" s="21" t="str">
        <f t="shared" ref="T91" si="6236">IF(LanGog1LevelCurrent&gt;=$B91,"-",IF(LanGog1LevelDesired&lt;$B91,"-",$E91))</f>
        <v>-</v>
      </c>
      <c r="U91" s="15" t="str">
        <f t="shared" ref="U91" si="6237">IF(LanGlo1LevelCurrent&gt;=$B91,"-",IF(LanGlo1LevelDesired&lt;$B91,"-",$C91))</f>
        <v>-</v>
      </c>
      <c r="V91" s="1" t="str">
        <f t="shared" ref="V91" si="6238">IF(LanGlo1LevelCurrent&gt;=$B91,"-",IF(LanGlo1LevelDesired&lt;$B91,"-",$D91))</f>
        <v>-</v>
      </c>
      <c r="W91" s="21" t="str">
        <f t="shared" ref="W91" si="6239">IF(LanGlo1LevelCurrent&gt;=$B91,"-",IF(LanGlo1LevelDesired&lt;$B91,"-",$E91))</f>
        <v>-</v>
      </c>
      <c r="X91" s="15" t="str">
        <f t="shared" ref="X91" si="6240">IF(LanBel1LevelCurrent&gt;=$B91,"-",IF(LanBel1LevelDesired&lt;$B91,"-",$C91))</f>
        <v>-</v>
      </c>
      <c r="Y91" s="1" t="str">
        <f t="shared" ref="Y91" si="6241">IF(LanBel1LevelCurrent&gt;=$B91,"-",IF(LanBel1LevelDesired&lt;$B91,"-",$D91))</f>
        <v>-</v>
      </c>
      <c r="Z91" s="21" t="str">
        <f t="shared" ref="Z91" si="6242">IF(LanBel1LevelCurrent&gt;=$B91,"-",IF(LanBel1LevelDesired&lt;$B91,"-",$E91))</f>
        <v>-</v>
      </c>
      <c r="AA91" s="15" t="str">
        <f t="shared" ref="AA91" si="6243">IF(LanBoo1LevelCurrent&gt;=$B91,"-",IF(LanBoo1LevelDesired&lt;$B91,"-",$C91))</f>
        <v>-</v>
      </c>
      <c r="AB91" s="1" t="str">
        <f t="shared" ref="AB91" si="6244">IF(LanBoo1LevelCurrent&gt;=$B91,"-",IF(LanBoo1LevelDesired&lt;$B91,"-",$D91))</f>
        <v>-</v>
      </c>
      <c r="AC91" s="21" t="str">
        <f t="shared" ref="AC91" si="6245">IF(LanBoo1LevelCurrent&gt;=$B91,"-",IF(LanBoo1LevelDesired&lt;$B91,"-",$E91))</f>
        <v>-</v>
      </c>
      <c r="AD91" s="15" t="str">
        <f t="shared" ref="AD91" si="6246">IF(MarGog1LevelCurrent&gt;=$B91,"-",IF(MarGog1LevelDesired&lt;$B91,"-",$C91))</f>
        <v>-</v>
      </c>
      <c r="AE91" s="1" t="str">
        <f t="shared" ref="AE91" si="6247">IF(MarGog1LevelCurrent&gt;=$B91,"-",IF(MarGog1LevelDesired&lt;$B91,"-",$D91))</f>
        <v>-</v>
      </c>
      <c r="AF91" s="21" t="str">
        <f t="shared" ref="AF91" si="6248">IF(MarGog1LevelCurrent&gt;=$B91,"-",IF(MarGog1LevelDesired&lt;$B91,"-",$E91))</f>
        <v>-</v>
      </c>
      <c r="AG91" s="15" t="str">
        <f t="shared" ref="AG91" si="6249">IF(MarGlo1LevelCurrent&gt;=$B91,"-",IF(MarGlo1LevelDesired&lt;$B91,"-",$C91))</f>
        <v>-</v>
      </c>
      <c r="AH91" s="1" t="str">
        <f t="shared" ref="AH91" si="6250">IF(MarGlo1LevelCurrent&gt;=$B91,"-",IF(MarGlo1LevelDesired&lt;$B91,"-",$D91))</f>
        <v>-</v>
      </c>
      <c r="AI91" s="21" t="str">
        <f t="shared" ref="AI91" si="6251">IF(MarGlo1LevelCurrent&gt;=$B91,"-",IF(MarGlo1LevelDesired&lt;$B91,"-",$E91))</f>
        <v>-</v>
      </c>
      <c r="AJ91" s="15" t="str">
        <f t="shared" ref="AJ91" si="6252">IF(MarBel1LevelCurrent&gt;=$B91,"-",IF(MarBel1LevelDesired&lt;$B91,"-",$C91))</f>
        <v>-</v>
      </c>
      <c r="AK91" s="1" t="str">
        <f t="shared" ref="AK91" si="6253">IF(MarBel1LevelCurrent&gt;=$B91,"-",IF(MarBel1LevelDesired&lt;$B91,"-",$D91))</f>
        <v>-</v>
      </c>
      <c r="AL91" s="21" t="str">
        <f t="shared" ref="AL91" si="6254">IF(MarBel1LevelCurrent&gt;=$B91,"-",IF(MarBel1LevelDesired&lt;$B91,"-",$E91))</f>
        <v>-</v>
      </c>
      <c r="AM91" s="15" t="str">
        <f t="shared" ref="AM91" si="6255">IF(MarBoo1LevelCurrent&gt;=$B91,"-",IF(MarBoo1LevelDesired&lt;$B91,"-",$C91))</f>
        <v>-</v>
      </c>
      <c r="AN91" s="1" t="str">
        <f t="shared" ref="AN91" si="6256">IF(MarBoo1LevelCurrent&gt;=$B91,"-",IF(MarBoo1LevelDesired&lt;$B91,"-",$D91))</f>
        <v>-</v>
      </c>
      <c r="AO91" s="21" t="str">
        <f t="shared" ref="AO91" si="6257">IF(MarBoo1LevelCurrent&gt;=$B91,"-",IF(MarBoo1LevelDesired&lt;$B91,"-",$E91))</f>
        <v>-</v>
      </c>
      <c r="AP91" s="15" t="str">
        <f t="shared" ref="AP91" si="6258">IF(InfGog2LevelCurrent&gt;=$B91,"-",IF(InfGog2LevelDesired&lt;$B91,"-",$C91))</f>
        <v>-</v>
      </c>
      <c r="AQ91" s="1" t="str">
        <f t="shared" ref="AQ91" si="6259">IF(InfGog2LevelCurrent&gt;=$B91,"-",IF(InfGog2LevelDesired&lt;$B91,"-",$D91))</f>
        <v>-</v>
      </c>
      <c r="AR91" s="21" t="str">
        <f t="shared" ref="AR91" si="6260">IF(InfGog2LevelCurrent&gt;=$B91,"-",IF(InfGog2LevelDesired&lt;$B91,"-",$E91))</f>
        <v>-</v>
      </c>
      <c r="AS91" s="15" t="str">
        <f t="shared" ref="AS91" si="6261">IF(InfGlo2LevelCurrent&gt;=$B91,"-",IF(InfGlo2LevelDesired&lt;$B91,"-",$C91))</f>
        <v>-</v>
      </c>
      <c r="AT91" s="1" t="str">
        <f t="shared" ref="AT91" si="6262">IF(InfGlo2LevelCurrent&gt;=$B91,"-",IF(InfGlo2LevelDesired&lt;$B91,"-",$D91))</f>
        <v>-</v>
      </c>
      <c r="AU91" s="21" t="str">
        <f t="shared" ref="AU91" si="6263">IF(InfGlo2LevelCurrent&gt;=$B91,"-",IF(InfGlo2LevelDesired&lt;$B91,"-",$E91))</f>
        <v>-</v>
      </c>
      <c r="AV91" s="15" t="str">
        <f t="shared" ref="AV91" si="6264">IF(InfBel2LevelCurrent&gt;=$B91,"-",IF(InfBel2LevelDesired&lt;$B91,"-",$C91))</f>
        <v>-</v>
      </c>
      <c r="AW91" s="1" t="str">
        <f t="shared" ref="AW91" si="6265">IF(InfBel2LevelCurrent&gt;=$B91,"-",IF(InfBel2LevelDesired&lt;$B91,"-",$D91))</f>
        <v>-</v>
      </c>
      <c r="AX91" s="21" t="str">
        <f t="shared" ref="AX91" si="6266">IF(InfBel2LevelCurrent&gt;=$B91,"-",IF(InfBel2LevelDesired&lt;$B91,"-",$E91))</f>
        <v>-</v>
      </c>
      <c r="AY91" s="15" t="str">
        <f t="shared" ref="AY91" si="6267">IF(InfBoo2LevelCurrent&gt;=$B91,"-",IF(InfBoo2LevelDesired&lt;$B91,"-",$C91))</f>
        <v>-</v>
      </c>
      <c r="AZ91" s="1" t="str">
        <f t="shared" ref="AZ91" si="6268">IF(InfBoo2LevelCurrent&gt;=$B91,"-",IF(InfBoo2LevelDesired&lt;$B91,"-",$D91))</f>
        <v>-</v>
      </c>
      <c r="BA91" s="21" t="str">
        <f t="shared" ref="BA91" si="6269">IF(InfBoo2LevelCurrent&gt;=$B91,"-",IF(InfBoo2LevelDesired&lt;$B91,"-",$E91))</f>
        <v>-</v>
      </c>
      <c r="BB91" s="15" t="str">
        <f t="shared" ref="BB91" si="6270">IF(LanGog2LevelCurrent&gt;=$B91,"-",IF(LanGog2LevelDesired&lt;$B91,"-",$C91))</f>
        <v>-</v>
      </c>
      <c r="BC91" s="1" t="str">
        <f t="shared" ref="BC91" si="6271">IF(LanGog2LevelCurrent&gt;=$B91,"-",IF(LanGog2LevelDesired&lt;$B91,"-",$D91))</f>
        <v>-</v>
      </c>
      <c r="BD91" s="21" t="str">
        <f t="shared" ref="BD91" si="6272">IF(LanGog2LevelCurrent&gt;=$B91,"-",IF(LanGog2LevelDesired&lt;$B91,"-",$E91))</f>
        <v>-</v>
      </c>
      <c r="BE91" s="15" t="str">
        <f t="shared" ref="BE91" si="6273">IF(LanGlo2LevelCurrent&gt;=$B91,"-",IF(LanGlo2LevelDesired&lt;$B91,"-",$C91))</f>
        <v>-</v>
      </c>
      <c r="BF91" s="1" t="str">
        <f t="shared" ref="BF91" si="6274">IF(LanGlo2LevelCurrent&gt;=$B91,"-",IF(LanGlo2LevelDesired&lt;$B91,"-",$D91))</f>
        <v>-</v>
      </c>
      <c r="BG91" s="21" t="str">
        <f t="shared" ref="BG91" si="6275">IF(LanGlo2LevelCurrent&gt;=$B91,"-",IF(LanGlo2LevelDesired&lt;$B91,"-",$E91))</f>
        <v>-</v>
      </c>
      <c r="BH91" s="15" t="str">
        <f t="shared" ref="BH91" si="6276">IF(LanBel2LevelCurrent&gt;=$B91,"-",IF(LanBel2LevelDesired&lt;$B91,"-",$C91))</f>
        <v>-</v>
      </c>
      <c r="BI91" s="1" t="str">
        <f t="shared" ref="BI91" si="6277">IF(LanBel2LevelCurrent&gt;=$B91,"-",IF(LanBel2LevelDesired&lt;$B91,"-",$D91))</f>
        <v>-</v>
      </c>
      <c r="BJ91" s="21" t="str">
        <f t="shared" ref="BJ91" si="6278">IF(LanBel2LevelCurrent&gt;=$B91,"-",IF(LanBel2LevelDesired&lt;$B91,"-",$E91))</f>
        <v>-</v>
      </c>
      <c r="BK91" s="15" t="str">
        <f t="shared" ref="BK91" si="6279">IF(LanBoo2LevelCurrent&gt;=$B91,"-",IF(LanBoo2LevelDesired&lt;$B91,"-",$C91))</f>
        <v>-</v>
      </c>
      <c r="BL91" s="1" t="str">
        <f t="shared" ref="BL91" si="6280">IF(LanBoo2LevelCurrent&gt;=$B91,"-",IF(LanBoo2LevelDesired&lt;$B91,"-",$D91))</f>
        <v>-</v>
      </c>
      <c r="BM91" s="21" t="str">
        <f t="shared" ref="BM91" si="6281">IF(LanBoo2LevelCurrent&gt;=$B91,"-",IF(LanBoo2LevelDesired&lt;$B91,"-",$E91))</f>
        <v>-</v>
      </c>
      <c r="BN91" s="15" t="str">
        <f t="shared" ref="BN91" si="6282">IF(MarGog2LevelCurrent&gt;=$B91,"-",IF(MarGog2LevelDesired&lt;$B91,"-",$C91))</f>
        <v>-</v>
      </c>
      <c r="BO91" s="1" t="str">
        <f t="shared" ref="BO91" si="6283">IF(MarGog2LevelCurrent&gt;=$B91,"-",IF(MarGog2LevelDesired&lt;$B91,"-",$D91))</f>
        <v>-</v>
      </c>
      <c r="BP91" s="21" t="str">
        <f t="shared" ref="BP91" si="6284">IF(MarGog2LevelCurrent&gt;=$B91,"-",IF(MarGog2LevelDesired&lt;$B91,"-",$E91))</f>
        <v>-</v>
      </c>
      <c r="BQ91" s="15" t="str">
        <f t="shared" ref="BQ91" si="6285">IF(MarGlo2LevelCurrent&gt;=$B91,"-",IF(MarGlo2LevelDesired&lt;$B91,"-",$C91))</f>
        <v>-</v>
      </c>
      <c r="BR91" s="1" t="str">
        <f t="shared" ref="BR91" si="6286">IF(MarGlo2LevelCurrent&gt;=$B91,"-",IF(MarGlo2LevelDesired&lt;$B91,"-",$D91))</f>
        <v>-</v>
      </c>
      <c r="BS91" s="21" t="str">
        <f t="shared" ref="BS91" si="6287">IF(MarGlo2LevelCurrent&gt;=$B91,"-",IF(MarGlo2LevelDesired&lt;$B91,"-",$E91))</f>
        <v>-</v>
      </c>
      <c r="BT91" s="15" t="str">
        <f t="shared" ref="BT91" si="6288">IF(MarBel2LevelCurrent&gt;=$B91,"-",IF(MarBel2LevelDesired&lt;$B91,"-",$C91))</f>
        <v>-</v>
      </c>
      <c r="BU91" s="1" t="str">
        <f t="shared" ref="BU91" si="6289">IF(MarBel2LevelCurrent&gt;=$B91,"-",IF(MarBel2LevelDesired&lt;$B91,"-",$D91))</f>
        <v>-</v>
      </c>
      <c r="BV91" s="21" t="str">
        <f t="shared" ref="BV91" si="6290">IF(MarBel2LevelCurrent&gt;=$B91,"-",IF(MarBel2LevelDesired&lt;$B91,"-",$E91))</f>
        <v>-</v>
      </c>
      <c r="BW91" s="15" t="str">
        <f t="shared" ref="BW91" si="6291">IF(MarBoo2LevelCurrent&gt;=$B91,"-",IF(MarBoo2LevelDesired&lt;$B91,"-",$C91))</f>
        <v>-</v>
      </c>
      <c r="BX91" s="1" t="str">
        <f t="shared" ref="BX91" si="6292">IF(MarBoo2LevelCurrent&gt;=$B91,"-",IF(MarBoo2LevelDesired&lt;$B91,"-",$D91))</f>
        <v>-</v>
      </c>
      <c r="BY91" s="21" t="str">
        <f t="shared" ref="BY91" si="6293">IF(MarBoo2LevelCurrent&gt;=$B91,"-",IF(MarBoo2LevelDesired&lt;$B91,"-",$E91))</f>
        <v>-</v>
      </c>
      <c r="BZ91" s="15" t="str">
        <f t="shared" si="4748"/>
        <v>-</v>
      </c>
      <c r="CA91" s="1" t="str" cm="1">
        <f t="array" ref="CA91">IF(InfGog3LevelCurrent&gt;=$B91,"-",IF(InfGog3LevelDesired&lt;$B91,"-",$D91))</f>
        <v>-</v>
      </c>
      <c r="CB91" s="21" t="str" cm="1">
        <f t="array" ref="CB91">IF(InfGog3LevelCurrent&gt;=$B91,"-",IF(InfGog3LevelDesired&lt;$B91,"-",$E91))</f>
        <v>-</v>
      </c>
      <c r="CC91" s="15">
        <f t="shared" si="4749"/>
        <v>1700</v>
      </c>
      <c r="CD91" s="1" t="str">
        <f t="shared" si="4750"/>
        <v>-</v>
      </c>
      <c r="CE91" s="21" t="str">
        <f t="shared" si="4751"/>
        <v>-</v>
      </c>
      <c r="CF91" s="15">
        <f t="shared" si="4752"/>
        <v>1700</v>
      </c>
      <c r="CG91" s="1" t="str">
        <f t="shared" si="4753"/>
        <v>-</v>
      </c>
      <c r="CH91" s="21" t="str">
        <f t="shared" si="4754"/>
        <v>-</v>
      </c>
      <c r="CI91" s="15" t="str">
        <f t="shared" si="4755"/>
        <v>-</v>
      </c>
      <c r="CJ91" s="1" t="str">
        <f t="shared" si="4756"/>
        <v>-</v>
      </c>
      <c r="CK91" s="21" t="str">
        <f t="shared" si="4757"/>
        <v>-</v>
      </c>
      <c r="CL91" s="15">
        <f t="shared" si="4758"/>
        <v>1700</v>
      </c>
      <c r="CM91" s="1" t="str">
        <f t="shared" si="4759"/>
        <v>-</v>
      </c>
      <c r="CN91" s="21" t="str">
        <f t="shared" si="4760"/>
        <v>-</v>
      </c>
      <c r="CO91" s="15" t="str">
        <f t="shared" si="4761"/>
        <v>-</v>
      </c>
      <c r="CP91" s="1" t="str">
        <f t="shared" si="4762"/>
        <v>-</v>
      </c>
      <c r="CQ91" s="21" t="str">
        <f t="shared" si="4763"/>
        <v>-</v>
      </c>
      <c r="CR91" s="15" t="str">
        <f t="shared" si="4764"/>
        <v>-</v>
      </c>
      <c r="CS91" s="1" t="str">
        <f t="shared" si="4765"/>
        <v>-</v>
      </c>
      <c r="CT91" s="21" t="str">
        <f t="shared" si="4766"/>
        <v>-</v>
      </c>
      <c r="CU91" s="15">
        <f t="shared" si="4767"/>
        <v>1700</v>
      </c>
      <c r="CV91" s="1" t="str">
        <f t="shared" si="4768"/>
        <v>-</v>
      </c>
      <c r="CW91" s="21" t="str">
        <f t="shared" si="4769"/>
        <v>-</v>
      </c>
      <c r="CX91" s="15">
        <f t="shared" si="4770"/>
        <v>1700</v>
      </c>
      <c r="CY91" s="1" t="str">
        <f t="shared" si="4771"/>
        <v>-</v>
      </c>
      <c r="CZ91" s="21" t="str">
        <f t="shared" si="4772"/>
        <v>-</v>
      </c>
      <c r="DA91" s="15" t="str">
        <f t="shared" si="4773"/>
        <v>-</v>
      </c>
      <c r="DB91" s="1" t="str">
        <f t="shared" si="4774"/>
        <v>-</v>
      </c>
      <c r="DC91" s="21" t="str">
        <f t="shared" si="4775"/>
        <v>-</v>
      </c>
      <c r="DD91" s="15" t="str">
        <f t="shared" si="4776"/>
        <v>-</v>
      </c>
      <c r="DE91" s="1" t="str">
        <f t="shared" si="4777"/>
        <v>-</v>
      </c>
      <c r="DF91" s="21" t="str">
        <f t="shared" si="4778"/>
        <v>-</v>
      </c>
      <c r="DG91" s="15">
        <f t="shared" si="4779"/>
        <v>1700</v>
      </c>
      <c r="DH91" s="1" t="str">
        <f t="shared" si="4780"/>
        <v>-</v>
      </c>
      <c r="DI91" s="21" t="str">
        <f t="shared" si="4781"/>
        <v>-</v>
      </c>
    </row>
    <row r="92" spans="2:113" x14ac:dyDescent="0.3">
      <c r="B92" s="1">
        <v>87</v>
      </c>
      <c r="C92" s="67">
        <v>1750</v>
      </c>
      <c r="D92" s="88" t="s">
        <v>27</v>
      </c>
      <c r="E92" s="21" t="s">
        <v>27</v>
      </c>
      <c r="F92" s="15" t="str">
        <f t="shared" ref="F92" si="6294">IF(InfGog1LevelCurrent&gt;=$B92,"-",IF(InfGog1LevelDesired&lt;$B92,"-",$C92))</f>
        <v>-</v>
      </c>
      <c r="G92" s="1" t="str">
        <f t="shared" ref="G92" si="6295">IF(InfGog1LevelCurrent&gt;=$B92,"-",IF(InfGog1LevelDesired&lt;$B92,"-",$D92))</f>
        <v>-</v>
      </c>
      <c r="H92" s="21" t="str">
        <f t="shared" ref="H92" si="6296">IF(InfGog1LevelCurrent&gt;=$B92,"-",IF(InfGog1LevelDesired&lt;$B92,"-",$E92))</f>
        <v>-</v>
      </c>
      <c r="I92" s="15" t="str">
        <f t="shared" ref="I92" si="6297">IF(InfGlo1LevelCurrent&gt;=$B92,"-",IF(InfGlo1LevelDesired&lt;$B92,"-",$C92))</f>
        <v>-</v>
      </c>
      <c r="J92" s="1" t="str">
        <f t="shared" ref="J92" si="6298">IF(InfGlo1LevelCurrent&gt;=$B92,"-",IF(InfGlo1LevelDesired&lt;$B92,"-",$D92))</f>
        <v>-</v>
      </c>
      <c r="K92" s="21" t="str">
        <f t="shared" ref="K92" si="6299">IF(InfGlo1LevelCurrent&gt;=$B92,"-",IF(InfGlo1LevelDesired&lt;$B92,"-",$E92))</f>
        <v>-</v>
      </c>
      <c r="L92" s="15" t="str">
        <f t="shared" ref="L92" si="6300">IF(InfBel1LevelCurrent&gt;=$B92,"-",IF(InfBel1LevelDesired&lt;$B92,"-",$C92))</f>
        <v>-</v>
      </c>
      <c r="M92" s="1" t="str">
        <f t="shared" ref="M92" si="6301">IF(InfBel1LevelCurrent&gt;=$B92,"-",IF(InfBel1LevelDesired&lt;$B92,"-",$D92))</f>
        <v>-</v>
      </c>
      <c r="N92" s="21" t="str">
        <f t="shared" ref="N92" si="6302">IF(InfBel1LevelCurrent&gt;=$B92,"-",IF(InfBel1LevelDesired&lt;$B92,"-",$E92))</f>
        <v>-</v>
      </c>
      <c r="O92" s="15" t="str">
        <f t="shared" ref="O92" si="6303">IF(InfBoo1LevelCurrent&gt;=$B92,"-",IF(InfBoo1LevelDesired&lt;$B92,"-",$C92))</f>
        <v>-</v>
      </c>
      <c r="P92" s="1" t="str">
        <f t="shared" ref="P92" si="6304">IF(InfBoo1LevelCurrent&gt;=$B92,"-",IF(InfBoo1LevelDesired&lt;$B92,"-",$D92))</f>
        <v>-</v>
      </c>
      <c r="Q92" s="21" t="str">
        <f t="shared" ref="Q92" si="6305">IF(InfBoo1LevelCurrent&gt;=$B92,"-",IF(InfBoo1LevelDesired&lt;$B92,"-",$E92))</f>
        <v>-</v>
      </c>
      <c r="R92" s="15" t="str">
        <f t="shared" ref="R92" si="6306">IF(LanGog1LevelCurrent&gt;=$B92,"-",IF(LanGog1LevelDesired&lt;$B92,"-",$C92))</f>
        <v>-</v>
      </c>
      <c r="S92" s="1" t="str">
        <f t="shared" ref="S92" si="6307">IF(LanGog1LevelCurrent&gt;=$B92,"-",IF(LanGog1LevelDesired&lt;$B92,"-",$D92))</f>
        <v>-</v>
      </c>
      <c r="T92" s="21" t="str">
        <f t="shared" ref="T92" si="6308">IF(LanGog1LevelCurrent&gt;=$B92,"-",IF(LanGog1LevelDesired&lt;$B92,"-",$E92))</f>
        <v>-</v>
      </c>
      <c r="U92" s="15" t="str">
        <f t="shared" ref="U92" si="6309">IF(LanGlo1LevelCurrent&gt;=$B92,"-",IF(LanGlo1LevelDesired&lt;$B92,"-",$C92))</f>
        <v>-</v>
      </c>
      <c r="V92" s="1" t="str">
        <f t="shared" ref="V92" si="6310">IF(LanGlo1LevelCurrent&gt;=$B92,"-",IF(LanGlo1LevelDesired&lt;$B92,"-",$D92))</f>
        <v>-</v>
      </c>
      <c r="W92" s="21" t="str">
        <f t="shared" ref="W92" si="6311">IF(LanGlo1LevelCurrent&gt;=$B92,"-",IF(LanGlo1LevelDesired&lt;$B92,"-",$E92))</f>
        <v>-</v>
      </c>
      <c r="X92" s="15" t="str">
        <f t="shared" ref="X92" si="6312">IF(LanBel1LevelCurrent&gt;=$B92,"-",IF(LanBel1LevelDesired&lt;$B92,"-",$C92))</f>
        <v>-</v>
      </c>
      <c r="Y92" s="1" t="str">
        <f t="shared" ref="Y92" si="6313">IF(LanBel1LevelCurrent&gt;=$B92,"-",IF(LanBel1LevelDesired&lt;$B92,"-",$D92))</f>
        <v>-</v>
      </c>
      <c r="Z92" s="21" t="str">
        <f t="shared" ref="Z92" si="6314">IF(LanBel1LevelCurrent&gt;=$B92,"-",IF(LanBel1LevelDesired&lt;$B92,"-",$E92))</f>
        <v>-</v>
      </c>
      <c r="AA92" s="15" t="str">
        <f t="shared" ref="AA92" si="6315">IF(LanBoo1LevelCurrent&gt;=$B92,"-",IF(LanBoo1LevelDesired&lt;$B92,"-",$C92))</f>
        <v>-</v>
      </c>
      <c r="AB92" s="1" t="str">
        <f t="shared" ref="AB92" si="6316">IF(LanBoo1LevelCurrent&gt;=$B92,"-",IF(LanBoo1LevelDesired&lt;$B92,"-",$D92))</f>
        <v>-</v>
      </c>
      <c r="AC92" s="21" t="str">
        <f t="shared" ref="AC92" si="6317">IF(LanBoo1LevelCurrent&gt;=$B92,"-",IF(LanBoo1LevelDesired&lt;$B92,"-",$E92))</f>
        <v>-</v>
      </c>
      <c r="AD92" s="15" t="str">
        <f t="shared" ref="AD92" si="6318">IF(MarGog1LevelCurrent&gt;=$B92,"-",IF(MarGog1LevelDesired&lt;$B92,"-",$C92))</f>
        <v>-</v>
      </c>
      <c r="AE92" s="1" t="str">
        <f t="shared" ref="AE92" si="6319">IF(MarGog1LevelCurrent&gt;=$B92,"-",IF(MarGog1LevelDesired&lt;$B92,"-",$D92))</f>
        <v>-</v>
      </c>
      <c r="AF92" s="21" t="str">
        <f t="shared" ref="AF92" si="6320">IF(MarGog1LevelCurrent&gt;=$B92,"-",IF(MarGog1LevelDesired&lt;$B92,"-",$E92))</f>
        <v>-</v>
      </c>
      <c r="AG92" s="15" t="str">
        <f t="shared" ref="AG92" si="6321">IF(MarGlo1LevelCurrent&gt;=$B92,"-",IF(MarGlo1LevelDesired&lt;$B92,"-",$C92))</f>
        <v>-</v>
      </c>
      <c r="AH92" s="1" t="str">
        <f t="shared" ref="AH92" si="6322">IF(MarGlo1LevelCurrent&gt;=$B92,"-",IF(MarGlo1LevelDesired&lt;$B92,"-",$D92))</f>
        <v>-</v>
      </c>
      <c r="AI92" s="21" t="str">
        <f t="shared" ref="AI92" si="6323">IF(MarGlo1LevelCurrent&gt;=$B92,"-",IF(MarGlo1LevelDesired&lt;$B92,"-",$E92))</f>
        <v>-</v>
      </c>
      <c r="AJ92" s="15" t="str">
        <f t="shared" ref="AJ92" si="6324">IF(MarBel1LevelCurrent&gt;=$B92,"-",IF(MarBel1LevelDesired&lt;$B92,"-",$C92))</f>
        <v>-</v>
      </c>
      <c r="AK92" s="1" t="str">
        <f t="shared" ref="AK92" si="6325">IF(MarBel1LevelCurrent&gt;=$B92,"-",IF(MarBel1LevelDesired&lt;$B92,"-",$D92))</f>
        <v>-</v>
      </c>
      <c r="AL92" s="21" t="str">
        <f t="shared" ref="AL92" si="6326">IF(MarBel1LevelCurrent&gt;=$B92,"-",IF(MarBel1LevelDesired&lt;$B92,"-",$E92))</f>
        <v>-</v>
      </c>
      <c r="AM92" s="15" t="str">
        <f t="shared" ref="AM92" si="6327">IF(MarBoo1LevelCurrent&gt;=$B92,"-",IF(MarBoo1LevelDesired&lt;$B92,"-",$C92))</f>
        <v>-</v>
      </c>
      <c r="AN92" s="1" t="str">
        <f t="shared" ref="AN92" si="6328">IF(MarBoo1LevelCurrent&gt;=$B92,"-",IF(MarBoo1LevelDesired&lt;$B92,"-",$D92))</f>
        <v>-</v>
      </c>
      <c r="AO92" s="21" t="str">
        <f t="shared" ref="AO92" si="6329">IF(MarBoo1LevelCurrent&gt;=$B92,"-",IF(MarBoo1LevelDesired&lt;$B92,"-",$E92))</f>
        <v>-</v>
      </c>
      <c r="AP92" s="15" t="str">
        <f t="shared" ref="AP92" si="6330">IF(InfGog2LevelCurrent&gt;=$B92,"-",IF(InfGog2LevelDesired&lt;$B92,"-",$C92))</f>
        <v>-</v>
      </c>
      <c r="AQ92" s="1" t="str">
        <f t="shared" ref="AQ92" si="6331">IF(InfGog2LevelCurrent&gt;=$B92,"-",IF(InfGog2LevelDesired&lt;$B92,"-",$D92))</f>
        <v>-</v>
      </c>
      <c r="AR92" s="21" t="str">
        <f t="shared" ref="AR92" si="6332">IF(InfGog2LevelCurrent&gt;=$B92,"-",IF(InfGog2LevelDesired&lt;$B92,"-",$E92))</f>
        <v>-</v>
      </c>
      <c r="AS92" s="15" t="str">
        <f t="shared" ref="AS92" si="6333">IF(InfGlo2LevelCurrent&gt;=$B92,"-",IF(InfGlo2LevelDesired&lt;$B92,"-",$C92))</f>
        <v>-</v>
      </c>
      <c r="AT92" s="1" t="str">
        <f t="shared" ref="AT92" si="6334">IF(InfGlo2LevelCurrent&gt;=$B92,"-",IF(InfGlo2LevelDesired&lt;$B92,"-",$D92))</f>
        <v>-</v>
      </c>
      <c r="AU92" s="21" t="str">
        <f t="shared" ref="AU92" si="6335">IF(InfGlo2LevelCurrent&gt;=$B92,"-",IF(InfGlo2LevelDesired&lt;$B92,"-",$E92))</f>
        <v>-</v>
      </c>
      <c r="AV92" s="15" t="str">
        <f t="shared" ref="AV92" si="6336">IF(InfBel2LevelCurrent&gt;=$B92,"-",IF(InfBel2LevelDesired&lt;$B92,"-",$C92))</f>
        <v>-</v>
      </c>
      <c r="AW92" s="1" t="str">
        <f t="shared" ref="AW92" si="6337">IF(InfBel2LevelCurrent&gt;=$B92,"-",IF(InfBel2LevelDesired&lt;$B92,"-",$D92))</f>
        <v>-</v>
      </c>
      <c r="AX92" s="21" t="str">
        <f t="shared" ref="AX92" si="6338">IF(InfBel2LevelCurrent&gt;=$B92,"-",IF(InfBel2LevelDesired&lt;$B92,"-",$E92))</f>
        <v>-</v>
      </c>
      <c r="AY92" s="15" t="str">
        <f t="shared" ref="AY92" si="6339">IF(InfBoo2LevelCurrent&gt;=$B92,"-",IF(InfBoo2LevelDesired&lt;$B92,"-",$C92))</f>
        <v>-</v>
      </c>
      <c r="AZ92" s="1" t="str">
        <f t="shared" ref="AZ92" si="6340">IF(InfBoo2LevelCurrent&gt;=$B92,"-",IF(InfBoo2LevelDesired&lt;$B92,"-",$D92))</f>
        <v>-</v>
      </c>
      <c r="BA92" s="21" t="str">
        <f t="shared" ref="BA92" si="6341">IF(InfBoo2LevelCurrent&gt;=$B92,"-",IF(InfBoo2LevelDesired&lt;$B92,"-",$E92))</f>
        <v>-</v>
      </c>
      <c r="BB92" s="15" t="str">
        <f t="shared" ref="BB92" si="6342">IF(LanGog2LevelCurrent&gt;=$B92,"-",IF(LanGog2LevelDesired&lt;$B92,"-",$C92))</f>
        <v>-</v>
      </c>
      <c r="BC92" s="1" t="str">
        <f t="shared" ref="BC92" si="6343">IF(LanGog2LevelCurrent&gt;=$B92,"-",IF(LanGog2LevelDesired&lt;$B92,"-",$D92))</f>
        <v>-</v>
      </c>
      <c r="BD92" s="21" t="str">
        <f t="shared" ref="BD92" si="6344">IF(LanGog2LevelCurrent&gt;=$B92,"-",IF(LanGog2LevelDesired&lt;$B92,"-",$E92))</f>
        <v>-</v>
      </c>
      <c r="BE92" s="15" t="str">
        <f t="shared" ref="BE92" si="6345">IF(LanGlo2LevelCurrent&gt;=$B92,"-",IF(LanGlo2LevelDesired&lt;$B92,"-",$C92))</f>
        <v>-</v>
      </c>
      <c r="BF92" s="1" t="str">
        <f t="shared" ref="BF92" si="6346">IF(LanGlo2LevelCurrent&gt;=$B92,"-",IF(LanGlo2LevelDesired&lt;$B92,"-",$D92))</f>
        <v>-</v>
      </c>
      <c r="BG92" s="21" t="str">
        <f t="shared" ref="BG92" si="6347">IF(LanGlo2LevelCurrent&gt;=$B92,"-",IF(LanGlo2LevelDesired&lt;$B92,"-",$E92))</f>
        <v>-</v>
      </c>
      <c r="BH92" s="15" t="str">
        <f t="shared" ref="BH92" si="6348">IF(LanBel2LevelCurrent&gt;=$B92,"-",IF(LanBel2LevelDesired&lt;$B92,"-",$C92))</f>
        <v>-</v>
      </c>
      <c r="BI92" s="1" t="str">
        <f t="shared" ref="BI92" si="6349">IF(LanBel2LevelCurrent&gt;=$B92,"-",IF(LanBel2LevelDesired&lt;$B92,"-",$D92))</f>
        <v>-</v>
      </c>
      <c r="BJ92" s="21" t="str">
        <f t="shared" ref="BJ92" si="6350">IF(LanBel2LevelCurrent&gt;=$B92,"-",IF(LanBel2LevelDesired&lt;$B92,"-",$E92))</f>
        <v>-</v>
      </c>
      <c r="BK92" s="15" t="str">
        <f t="shared" ref="BK92" si="6351">IF(LanBoo2LevelCurrent&gt;=$B92,"-",IF(LanBoo2LevelDesired&lt;$B92,"-",$C92))</f>
        <v>-</v>
      </c>
      <c r="BL92" s="1" t="str">
        <f t="shared" ref="BL92" si="6352">IF(LanBoo2LevelCurrent&gt;=$B92,"-",IF(LanBoo2LevelDesired&lt;$B92,"-",$D92))</f>
        <v>-</v>
      </c>
      <c r="BM92" s="21" t="str">
        <f t="shared" ref="BM92" si="6353">IF(LanBoo2LevelCurrent&gt;=$B92,"-",IF(LanBoo2LevelDesired&lt;$B92,"-",$E92))</f>
        <v>-</v>
      </c>
      <c r="BN92" s="15" t="str">
        <f t="shared" ref="BN92" si="6354">IF(MarGog2LevelCurrent&gt;=$B92,"-",IF(MarGog2LevelDesired&lt;$B92,"-",$C92))</f>
        <v>-</v>
      </c>
      <c r="BO92" s="1" t="str">
        <f t="shared" ref="BO92" si="6355">IF(MarGog2LevelCurrent&gt;=$B92,"-",IF(MarGog2LevelDesired&lt;$B92,"-",$D92))</f>
        <v>-</v>
      </c>
      <c r="BP92" s="21" t="str">
        <f t="shared" ref="BP92" si="6356">IF(MarGog2LevelCurrent&gt;=$B92,"-",IF(MarGog2LevelDesired&lt;$B92,"-",$E92))</f>
        <v>-</v>
      </c>
      <c r="BQ92" s="15" t="str">
        <f t="shared" ref="BQ92" si="6357">IF(MarGlo2LevelCurrent&gt;=$B92,"-",IF(MarGlo2LevelDesired&lt;$B92,"-",$C92))</f>
        <v>-</v>
      </c>
      <c r="BR92" s="1" t="str">
        <f t="shared" ref="BR92" si="6358">IF(MarGlo2LevelCurrent&gt;=$B92,"-",IF(MarGlo2LevelDesired&lt;$B92,"-",$D92))</f>
        <v>-</v>
      </c>
      <c r="BS92" s="21" t="str">
        <f t="shared" ref="BS92" si="6359">IF(MarGlo2LevelCurrent&gt;=$B92,"-",IF(MarGlo2LevelDesired&lt;$B92,"-",$E92))</f>
        <v>-</v>
      </c>
      <c r="BT92" s="15" t="str">
        <f t="shared" ref="BT92" si="6360">IF(MarBel2LevelCurrent&gt;=$B92,"-",IF(MarBel2LevelDesired&lt;$B92,"-",$C92))</f>
        <v>-</v>
      </c>
      <c r="BU92" s="1" t="str">
        <f t="shared" ref="BU92" si="6361">IF(MarBel2LevelCurrent&gt;=$B92,"-",IF(MarBel2LevelDesired&lt;$B92,"-",$D92))</f>
        <v>-</v>
      </c>
      <c r="BV92" s="21" t="str">
        <f t="shared" ref="BV92" si="6362">IF(MarBel2LevelCurrent&gt;=$B92,"-",IF(MarBel2LevelDesired&lt;$B92,"-",$E92))</f>
        <v>-</v>
      </c>
      <c r="BW92" s="15" t="str">
        <f t="shared" ref="BW92" si="6363">IF(MarBoo2LevelCurrent&gt;=$B92,"-",IF(MarBoo2LevelDesired&lt;$B92,"-",$C92))</f>
        <v>-</v>
      </c>
      <c r="BX92" s="1" t="str">
        <f t="shared" ref="BX92" si="6364">IF(MarBoo2LevelCurrent&gt;=$B92,"-",IF(MarBoo2LevelDesired&lt;$B92,"-",$D92))</f>
        <v>-</v>
      </c>
      <c r="BY92" s="21" t="str">
        <f t="shared" ref="BY92" si="6365">IF(MarBoo2LevelCurrent&gt;=$B92,"-",IF(MarBoo2LevelDesired&lt;$B92,"-",$E92))</f>
        <v>-</v>
      </c>
      <c r="BZ92" s="15" t="str">
        <f t="shared" si="4748"/>
        <v>-</v>
      </c>
      <c r="CA92" s="1" t="str" cm="1">
        <f t="array" ref="CA92">IF(InfGog3LevelCurrent&gt;=$B92,"-",IF(InfGog3LevelDesired&lt;$B92,"-",$D92))</f>
        <v>-</v>
      </c>
      <c r="CB92" s="21" t="str" cm="1">
        <f t="array" ref="CB92">IF(InfGog3LevelCurrent&gt;=$B92,"-",IF(InfGog3LevelDesired&lt;$B92,"-",$E92))</f>
        <v>-</v>
      </c>
      <c r="CC92" s="15">
        <f t="shared" si="4749"/>
        <v>1750</v>
      </c>
      <c r="CD92" s="1" t="str">
        <f t="shared" si="4750"/>
        <v>-</v>
      </c>
      <c r="CE92" s="21" t="str">
        <f t="shared" si="4751"/>
        <v>-</v>
      </c>
      <c r="CF92" s="15">
        <f t="shared" si="4752"/>
        <v>1750</v>
      </c>
      <c r="CG92" s="1" t="str">
        <f t="shared" si="4753"/>
        <v>-</v>
      </c>
      <c r="CH92" s="21" t="str">
        <f t="shared" si="4754"/>
        <v>-</v>
      </c>
      <c r="CI92" s="15" t="str">
        <f t="shared" si="4755"/>
        <v>-</v>
      </c>
      <c r="CJ92" s="1" t="str">
        <f t="shared" si="4756"/>
        <v>-</v>
      </c>
      <c r="CK92" s="21" t="str">
        <f t="shared" si="4757"/>
        <v>-</v>
      </c>
      <c r="CL92" s="15">
        <f t="shared" si="4758"/>
        <v>1750</v>
      </c>
      <c r="CM92" s="1" t="str">
        <f t="shared" si="4759"/>
        <v>-</v>
      </c>
      <c r="CN92" s="21" t="str">
        <f t="shared" si="4760"/>
        <v>-</v>
      </c>
      <c r="CO92" s="15" t="str">
        <f t="shared" si="4761"/>
        <v>-</v>
      </c>
      <c r="CP92" s="1" t="str">
        <f t="shared" si="4762"/>
        <v>-</v>
      </c>
      <c r="CQ92" s="21" t="str">
        <f t="shared" si="4763"/>
        <v>-</v>
      </c>
      <c r="CR92" s="15" t="str">
        <f t="shared" si="4764"/>
        <v>-</v>
      </c>
      <c r="CS92" s="1" t="str">
        <f t="shared" si="4765"/>
        <v>-</v>
      </c>
      <c r="CT92" s="21" t="str">
        <f t="shared" si="4766"/>
        <v>-</v>
      </c>
      <c r="CU92" s="15">
        <f t="shared" si="4767"/>
        <v>1750</v>
      </c>
      <c r="CV92" s="1" t="str">
        <f t="shared" si="4768"/>
        <v>-</v>
      </c>
      <c r="CW92" s="21" t="str">
        <f t="shared" si="4769"/>
        <v>-</v>
      </c>
      <c r="CX92" s="15">
        <f t="shared" si="4770"/>
        <v>1750</v>
      </c>
      <c r="CY92" s="1" t="str">
        <f t="shared" si="4771"/>
        <v>-</v>
      </c>
      <c r="CZ92" s="21" t="str">
        <f t="shared" si="4772"/>
        <v>-</v>
      </c>
      <c r="DA92" s="15" t="str">
        <f t="shared" si="4773"/>
        <v>-</v>
      </c>
      <c r="DB92" s="1" t="str">
        <f t="shared" si="4774"/>
        <v>-</v>
      </c>
      <c r="DC92" s="21" t="str">
        <f t="shared" si="4775"/>
        <v>-</v>
      </c>
      <c r="DD92" s="15" t="str">
        <f t="shared" si="4776"/>
        <v>-</v>
      </c>
      <c r="DE92" s="1" t="str">
        <f t="shared" si="4777"/>
        <v>-</v>
      </c>
      <c r="DF92" s="21" t="str">
        <f t="shared" si="4778"/>
        <v>-</v>
      </c>
      <c r="DG92" s="15">
        <f t="shared" si="4779"/>
        <v>1750</v>
      </c>
      <c r="DH92" s="1" t="str">
        <f t="shared" si="4780"/>
        <v>-</v>
      </c>
      <c r="DI92" s="21" t="str">
        <f t="shared" si="4781"/>
        <v>-</v>
      </c>
    </row>
    <row r="93" spans="2:113" x14ac:dyDescent="0.3">
      <c r="B93" s="1">
        <v>88</v>
      </c>
      <c r="C93" s="67">
        <v>1800</v>
      </c>
      <c r="D93" s="88" t="s">
        <v>27</v>
      </c>
      <c r="E93" s="21" t="s">
        <v>27</v>
      </c>
      <c r="F93" s="15" t="str">
        <f t="shared" ref="F93" si="6366">IF(InfGog1LevelCurrent&gt;=$B93,"-",IF(InfGog1LevelDesired&lt;$B93,"-",$C93))</f>
        <v>-</v>
      </c>
      <c r="G93" s="1" t="str">
        <f t="shared" ref="G93" si="6367">IF(InfGog1LevelCurrent&gt;=$B93,"-",IF(InfGog1LevelDesired&lt;$B93,"-",$D93))</f>
        <v>-</v>
      </c>
      <c r="H93" s="21" t="str">
        <f t="shared" ref="H93" si="6368">IF(InfGog1LevelCurrent&gt;=$B93,"-",IF(InfGog1LevelDesired&lt;$B93,"-",$E93))</f>
        <v>-</v>
      </c>
      <c r="I93" s="15" t="str">
        <f t="shared" ref="I93" si="6369">IF(InfGlo1LevelCurrent&gt;=$B93,"-",IF(InfGlo1LevelDesired&lt;$B93,"-",$C93))</f>
        <v>-</v>
      </c>
      <c r="J93" s="1" t="str">
        <f t="shared" ref="J93" si="6370">IF(InfGlo1LevelCurrent&gt;=$B93,"-",IF(InfGlo1LevelDesired&lt;$B93,"-",$D93))</f>
        <v>-</v>
      </c>
      <c r="K93" s="21" t="str">
        <f t="shared" ref="K93" si="6371">IF(InfGlo1LevelCurrent&gt;=$B93,"-",IF(InfGlo1LevelDesired&lt;$B93,"-",$E93))</f>
        <v>-</v>
      </c>
      <c r="L93" s="15" t="str">
        <f t="shared" ref="L93" si="6372">IF(InfBel1LevelCurrent&gt;=$B93,"-",IF(InfBel1LevelDesired&lt;$B93,"-",$C93))</f>
        <v>-</v>
      </c>
      <c r="M93" s="1" t="str">
        <f t="shared" ref="M93" si="6373">IF(InfBel1LevelCurrent&gt;=$B93,"-",IF(InfBel1LevelDesired&lt;$B93,"-",$D93))</f>
        <v>-</v>
      </c>
      <c r="N93" s="21" t="str">
        <f t="shared" ref="N93" si="6374">IF(InfBel1LevelCurrent&gt;=$B93,"-",IF(InfBel1LevelDesired&lt;$B93,"-",$E93))</f>
        <v>-</v>
      </c>
      <c r="O93" s="15" t="str">
        <f t="shared" ref="O93" si="6375">IF(InfBoo1LevelCurrent&gt;=$B93,"-",IF(InfBoo1LevelDesired&lt;$B93,"-",$C93))</f>
        <v>-</v>
      </c>
      <c r="P93" s="1" t="str">
        <f t="shared" ref="P93" si="6376">IF(InfBoo1LevelCurrent&gt;=$B93,"-",IF(InfBoo1LevelDesired&lt;$B93,"-",$D93))</f>
        <v>-</v>
      </c>
      <c r="Q93" s="21" t="str">
        <f t="shared" ref="Q93" si="6377">IF(InfBoo1LevelCurrent&gt;=$B93,"-",IF(InfBoo1LevelDesired&lt;$B93,"-",$E93))</f>
        <v>-</v>
      </c>
      <c r="R93" s="15" t="str">
        <f t="shared" ref="R93" si="6378">IF(LanGog1LevelCurrent&gt;=$B93,"-",IF(LanGog1LevelDesired&lt;$B93,"-",$C93))</f>
        <v>-</v>
      </c>
      <c r="S93" s="1" t="str">
        <f t="shared" ref="S93" si="6379">IF(LanGog1LevelCurrent&gt;=$B93,"-",IF(LanGog1LevelDesired&lt;$B93,"-",$D93))</f>
        <v>-</v>
      </c>
      <c r="T93" s="21" t="str">
        <f t="shared" ref="T93" si="6380">IF(LanGog1LevelCurrent&gt;=$B93,"-",IF(LanGog1LevelDesired&lt;$B93,"-",$E93))</f>
        <v>-</v>
      </c>
      <c r="U93" s="15" t="str">
        <f t="shared" ref="U93" si="6381">IF(LanGlo1LevelCurrent&gt;=$B93,"-",IF(LanGlo1LevelDesired&lt;$B93,"-",$C93))</f>
        <v>-</v>
      </c>
      <c r="V93" s="1" t="str">
        <f t="shared" ref="V93" si="6382">IF(LanGlo1LevelCurrent&gt;=$B93,"-",IF(LanGlo1LevelDesired&lt;$B93,"-",$D93))</f>
        <v>-</v>
      </c>
      <c r="W93" s="21" t="str">
        <f t="shared" ref="W93" si="6383">IF(LanGlo1LevelCurrent&gt;=$B93,"-",IF(LanGlo1LevelDesired&lt;$B93,"-",$E93))</f>
        <v>-</v>
      </c>
      <c r="X93" s="15" t="str">
        <f t="shared" ref="X93" si="6384">IF(LanBel1LevelCurrent&gt;=$B93,"-",IF(LanBel1LevelDesired&lt;$B93,"-",$C93))</f>
        <v>-</v>
      </c>
      <c r="Y93" s="1" t="str">
        <f t="shared" ref="Y93" si="6385">IF(LanBel1LevelCurrent&gt;=$B93,"-",IF(LanBel1LevelDesired&lt;$B93,"-",$D93))</f>
        <v>-</v>
      </c>
      <c r="Z93" s="21" t="str">
        <f t="shared" ref="Z93" si="6386">IF(LanBel1LevelCurrent&gt;=$B93,"-",IF(LanBel1LevelDesired&lt;$B93,"-",$E93))</f>
        <v>-</v>
      </c>
      <c r="AA93" s="15" t="str">
        <f t="shared" ref="AA93" si="6387">IF(LanBoo1LevelCurrent&gt;=$B93,"-",IF(LanBoo1LevelDesired&lt;$B93,"-",$C93))</f>
        <v>-</v>
      </c>
      <c r="AB93" s="1" t="str">
        <f t="shared" ref="AB93" si="6388">IF(LanBoo1LevelCurrent&gt;=$B93,"-",IF(LanBoo1LevelDesired&lt;$B93,"-",$D93))</f>
        <v>-</v>
      </c>
      <c r="AC93" s="21" t="str">
        <f t="shared" ref="AC93" si="6389">IF(LanBoo1LevelCurrent&gt;=$B93,"-",IF(LanBoo1LevelDesired&lt;$B93,"-",$E93))</f>
        <v>-</v>
      </c>
      <c r="AD93" s="15" t="str">
        <f t="shared" ref="AD93" si="6390">IF(MarGog1LevelCurrent&gt;=$B93,"-",IF(MarGog1LevelDesired&lt;$B93,"-",$C93))</f>
        <v>-</v>
      </c>
      <c r="AE93" s="1" t="str">
        <f t="shared" ref="AE93" si="6391">IF(MarGog1LevelCurrent&gt;=$B93,"-",IF(MarGog1LevelDesired&lt;$B93,"-",$D93))</f>
        <v>-</v>
      </c>
      <c r="AF93" s="21" t="str">
        <f t="shared" ref="AF93" si="6392">IF(MarGog1LevelCurrent&gt;=$B93,"-",IF(MarGog1LevelDesired&lt;$B93,"-",$E93))</f>
        <v>-</v>
      </c>
      <c r="AG93" s="15" t="str">
        <f t="shared" ref="AG93" si="6393">IF(MarGlo1LevelCurrent&gt;=$B93,"-",IF(MarGlo1LevelDesired&lt;$B93,"-",$C93))</f>
        <v>-</v>
      </c>
      <c r="AH93" s="1" t="str">
        <f t="shared" ref="AH93" si="6394">IF(MarGlo1LevelCurrent&gt;=$B93,"-",IF(MarGlo1LevelDesired&lt;$B93,"-",$D93))</f>
        <v>-</v>
      </c>
      <c r="AI93" s="21" t="str">
        <f t="shared" ref="AI93" si="6395">IF(MarGlo1LevelCurrent&gt;=$B93,"-",IF(MarGlo1LevelDesired&lt;$B93,"-",$E93))</f>
        <v>-</v>
      </c>
      <c r="AJ93" s="15" t="str">
        <f t="shared" ref="AJ93" si="6396">IF(MarBel1LevelCurrent&gt;=$B93,"-",IF(MarBel1LevelDesired&lt;$B93,"-",$C93))</f>
        <v>-</v>
      </c>
      <c r="AK93" s="1" t="str">
        <f t="shared" ref="AK93" si="6397">IF(MarBel1LevelCurrent&gt;=$B93,"-",IF(MarBel1LevelDesired&lt;$B93,"-",$D93))</f>
        <v>-</v>
      </c>
      <c r="AL93" s="21" t="str">
        <f t="shared" ref="AL93" si="6398">IF(MarBel1LevelCurrent&gt;=$B93,"-",IF(MarBel1LevelDesired&lt;$B93,"-",$E93))</f>
        <v>-</v>
      </c>
      <c r="AM93" s="15" t="str">
        <f t="shared" ref="AM93" si="6399">IF(MarBoo1LevelCurrent&gt;=$B93,"-",IF(MarBoo1LevelDesired&lt;$B93,"-",$C93))</f>
        <v>-</v>
      </c>
      <c r="AN93" s="1" t="str">
        <f t="shared" ref="AN93" si="6400">IF(MarBoo1LevelCurrent&gt;=$B93,"-",IF(MarBoo1LevelDesired&lt;$B93,"-",$D93))</f>
        <v>-</v>
      </c>
      <c r="AO93" s="21" t="str">
        <f t="shared" ref="AO93" si="6401">IF(MarBoo1LevelCurrent&gt;=$B93,"-",IF(MarBoo1LevelDesired&lt;$B93,"-",$E93))</f>
        <v>-</v>
      </c>
      <c r="AP93" s="15" t="str">
        <f t="shared" ref="AP93" si="6402">IF(InfGog2LevelCurrent&gt;=$B93,"-",IF(InfGog2LevelDesired&lt;$B93,"-",$C93))</f>
        <v>-</v>
      </c>
      <c r="AQ93" s="1" t="str">
        <f t="shared" ref="AQ93" si="6403">IF(InfGog2LevelCurrent&gt;=$B93,"-",IF(InfGog2LevelDesired&lt;$B93,"-",$D93))</f>
        <v>-</v>
      </c>
      <c r="AR93" s="21" t="str">
        <f t="shared" ref="AR93" si="6404">IF(InfGog2LevelCurrent&gt;=$B93,"-",IF(InfGog2LevelDesired&lt;$B93,"-",$E93))</f>
        <v>-</v>
      </c>
      <c r="AS93" s="15" t="str">
        <f t="shared" ref="AS93" si="6405">IF(InfGlo2LevelCurrent&gt;=$B93,"-",IF(InfGlo2LevelDesired&lt;$B93,"-",$C93))</f>
        <v>-</v>
      </c>
      <c r="AT93" s="1" t="str">
        <f t="shared" ref="AT93" si="6406">IF(InfGlo2LevelCurrent&gt;=$B93,"-",IF(InfGlo2LevelDesired&lt;$B93,"-",$D93))</f>
        <v>-</v>
      </c>
      <c r="AU93" s="21" t="str">
        <f t="shared" ref="AU93" si="6407">IF(InfGlo2LevelCurrent&gt;=$B93,"-",IF(InfGlo2LevelDesired&lt;$B93,"-",$E93))</f>
        <v>-</v>
      </c>
      <c r="AV93" s="15" t="str">
        <f t="shared" ref="AV93" si="6408">IF(InfBel2LevelCurrent&gt;=$B93,"-",IF(InfBel2LevelDesired&lt;$B93,"-",$C93))</f>
        <v>-</v>
      </c>
      <c r="AW93" s="1" t="str">
        <f t="shared" ref="AW93" si="6409">IF(InfBel2LevelCurrent&gt;=$B93,"-",IF(InfBel2LevelDesired&lt;$B93,"-",$D93))</f>
        <v>-</v>
      </c>
      <c r="AX93" s="21" t="str">
        <f t="shared" ref="AX93" si="6410">IF(InfBel2LevelCurrent&gt;=$B93,"-",IF(InfBel2LevelDesired&lt;$B93,"-",$E93))</f>
        <v>-</v>
      </c>
      <c r="AY93" s="15" t="str">
        <f t="shared" ref="AY93" si="6411">IF(InfBoo2LevelCurrent&gt;=$B93,"-",IF(InfBoo2LevelDesired&lt;$B93,"-",$C93))</f>
        <v>-</v>
      </c>
      <c r="AZ93" s="1" t="str">
        <f t="shared" ref="AZ93" si="6412">IF(InfBoo2LevelCurrent&gt;=$B93,"-",IF(InfBoo2LevelDesired&lt;$B93,"-",$D93))</f>
        <v>-</v>
      </c>
      <c r="BA93" s="21" t="str">
        <f t="shared" ref="BA93" si="6413">IF(InfBoo2LevelCurrent&gt;=$B93,"-",IF(InfBoo2LevelDesired&lt;$B93,"-",$E93))</f>
        <v>-</v>
      </c>
      <c r="BB93" s="15" t="str">
        <f t="shared" ref="BB93" si="6414">IF(LanGog2LevelCurrent&gt;=$B93,"-",IF(LanGog2LevelDesired&lt;$B93,"-",$C93))</f>
        <v>-</v>
      </c>
      <c r="BC93" s="1" t="str">
        <f t="shared" ref="BC93" si="6415">IF(LanGog2LevelCurrent&gt;=$B93,"-",IF(LanGog2LevelDesired&lt;$B93,"-",$D93))</f>
        <v>-</v>
      </c>
      <c r="BD93" s="21" t="str">
        <f t="shared" ref="BD93" si="6416">IF(LanGog2LevelCurrent&gt;=$B93,"-",IF(LanGog2LevelDesired&lt;$B93,"-",$E93))</f>
        <v>-</v>
      </c>
      <c r="BE93" s="15" t="str">
        <f t="shared" ref="BE93" si="6417">IF(LanGlo2LevelCurrent&gt;=$B93,"-",IF(LanGlo2LevelDesired&lt;$B93,"-",$C93))</f>
        <v>-</v>
      </c>
      <c r="BF93" s="1" t="str">
        <f t="shared" ref="BF93" si="6418">IF(LanGlo2LevelCurrent&gt;=$B93,"-",IF(LanGlo2LevelDesired&lt;$B93,"-",$D93))</f>
        <v>-</v>
      </c>
      <c r="BG93" s="21" t="str">
        <f t="shared" ref="BG93" si="6419">IF(LanGlo2LevelCurrent&gt;=$B93,"-",IF(LanGlo2LevelDesired&lt;$B93,"-",$E93))</f>
        <v>-</v>
      </c>
      <c r="BH93" s="15" t="str">
        <f t="shared" ref="BH93" si="6420">IF(LanBel2LevelCurrent&gt;=$B93,"-",IF(LanBel2LevelDesired&lt;$B93,"-",$C93))</f>
        <v>-</v>
      </c>
      <c r="BI93" s="1" t="str">
        <f t="shared" ref="BI93" si="6421">IF(LanBel2LevelCurrent&gt;=$B93,"-",IF(LanBel2LevelDesired&lt;$B93,"-",$D93))</f>
        <v>-</v>
      </c>
      <c r="BJ93" s="21" t="str">
        <f t="shared" ref="BJ93" si="6422">IF(LanBel2LevelCurrent&gt;=$B93,"-",IF(LanBel2LevelDesired&lt;$B93,"-",$E93))</f>
        <v>-</v>
      </c>
      <c r="BK93" s="15" t="str">
        <f t="shared" ref="BK93" si="6423">IF(LanBoo2LevelCurrent&gt;=$B93,"-",IF(LanBoo2LevelDesired&lt;$B93,"-",$C93))</f>
        <v>-</v>
      </c>
      <c r="BL93" s="1" t="str">
        <f t="shared" ref="BL93" si="6424">IF(LanBoo2LevelCurrent&gt;=$B93,"-",IF(LanBoo2LevelDesired&lt;$B93,"-",$D93))</f>
        <v>-</v>
      </c>
      <c r="BM93" s="21" t="str">
        <f t="shared" ref="BM93" si="6425">IF(LanBoo2LevelCurrent&gt;=$B93,"-",IF(LanBoo2LevelDesired&lt;$B93,"-",$E93))</f>
        <v>-</v>
      </c>
      <c r="BN93" s="15" t="str">
        <f t="shared" ref="BN93" si="6426">IF(MarGog2LevelCurrent&gt;=$B93,"-",IF(MarGog2LevelDesired&lt;$B93,"-",$C93))</f>
        <v>-</v>
      </c>
      <c r="BO93" s="1" t="str">
        <f t="shared" ref="BO93" si="6427">IF(MarGog2LevelCurrent&gt;=$B93,"-",IF(MarGog2LevelDesired&lt;$B93,"-",$D93))</f>
        <v>-</v>
      </c>
      <c r="BP93" s="21" t="str">
        <f t="shared" ref="BP93" si="6428">IF(MarGog2LevelCurrent&gt;=$B93,"-",IF(MarGog2LevelDesired&lt;$B93,"-",$E93))</f>
        <v>-</v>
      </c>
      <c r="BQ93" s="15" t="str">
        <f t="shared" ref="BQ93" si="6429">IF(MarGlo2LevelCurrent&gt;=$B93,"-",IF(MarGlo2LevelDesired&lt;$B93,"-",$C93))</f>
        <v>-</v>
      </c>
      <c r="BR93" s="1" t="str">
        <f t="shared" ref="BR93" si="6430">IF(MarGlo2LevelCurrent&gt;=$B93,"-",IF(MarGlo2LevelDesired&lt;$B93,"-",$D93))</f>
        <v>-</v>
      </c>
      <c r="BS93" s="21" t="str">
        <f t="shared" ref="BS93" si="6431">IF(MarGlo2LevelCurrent&gt;=$B93,"-",IF(MarGlo2LevelDesired&lt;$B93,"-",$E93))</f>
        <v>-</v>
      </c>
      <c r="BT93" s="15" t="str">
        <f t="shared" ref="BT93" si="6432">IF(MarBel2LevelCurrent&gt;=$B93,"-",IF(MarBel2LevelDesired&lt;$B93,"-",$C93))</f>
        <v>-</v>
      </c>
      <c r="BU93" s="1" t="str">
        <f t="shared" ref="BU93" si="6433">IF(MarBel2LevelCurrent&gt;=$B93,"-",IF(MarBel2LevelDesired&lt;$B93,"-",$D93))</f>
        <v>-</v>
      </c>
      <c r="BV93" s="21" t="str">
        <f t="shared" ref="BV93" si="6434">IF(MarBel2LevelCurrent&gt;=$B93,"-",IF(MarBel2LevelDesired&lt;$B93,"-",$E93))</f>
        <v>-</v>
      </c>
      <c r="BW93" s="15" t="str">
        <f t="shared" ref="BW93" si="6435">IF(MarBoo2LevelCurrent&gt;=$B93,"-",IF(MarBoo2LevelDesired&lt;$B93,"-",$C93))</f>
        <v>-</v>
      </c>
      <c r="BX93" s="1" t="str">
        <f t="shared" ref="BX93" si="6436">IF(MarBoo2LevelCurrent&gt;=$B93,"-",IF(MarBoo2LevelDesired&lt;$B93,"-",$D93))</f>
        <v>-</v>
      </c>
      <c r="BY93" s="21" t="str">
        <f t="shared" ref="BY93" si="6437">IF(MarBoo2LevelCurrent&gt;=$B93,"-",IF(MarBoo2LevelDesired&lt;$B93,"-",$E93))</f>
        <v>-</v>
      </c>
      <c r="BZ93" s="15" t="str">
        <f t="shared" si="4748"/>
        <v>-</v>
      </c>
      <c r="CA93" s="1" t="str" cm="1">
        <f t="array" ref="CA93">IF(InfGog3LevelCurrent&gt;=$B93,"-",IF(InfGog3LevelDesired&lt;$B93,"-",$D93))</f>
        <v>-</v>
      </c>
      <c r="CB93" s="21" t="str" cm="1">
        <f t="array" ref="CB93">IF(InfGog3LevelCurrent&gt;=$B93,"-",IF(InfGog3LevelDesired&lt;$B93,"-",$E93))</f>
        <v>-</v>
      </c>
      <c r="CC93" s="15">
        <f t="shared" si="4749"/>
        <v>1800</v>
      </c>
      <c r="CD93" s="1" t="str">
        <f t="shared" si="4750"/>
        <v>-</v>
      </c>
      <c r="CE93" s="21" t="str">
        <f t="shared" si="4751"/>
        <v>-</v>
      </c>
      <c r="CF93" s="15">
        <f t="shared" si="4752"/>
        <v>1800</v>
      </c>
      <c r="CG93" s="1" t="str">
        <f t="shared" si="4753"/>
        <v>-</v>
      </c>
      <c r="CH93" s="21" t="str">
        <f t="shared" si="4754"/>
        <v>-</v>
      </c>
      <c r="CI93" s="15" t="str">
        <f t="shared" si="4755"/>
        <v>-</v>
      </c>
      <c r="CJ93" s="1" t="str">
        <f t="shared" si="4756"/>
        <v>-</v>
      </c>
      <c r="CK93" s="21" t="str">
        <f t="shared" si="4757"/>
        <v>-</v>
      </c>
      <c r="CL93" s="15">
        <f t="shared" si="4758"/>
        <v>1800</v>
      </c>
      <c r="CM93" s="1" t="str">
        <f t="shared" si="4759"/>
        <v>-</v>
      </c>
      <c r="CN93" s="21" t="str">
        <f t="shared" si="4760"/>
        <v>-</v>
      </c>
      <c r="CO93" s="15" t="str">
        <f t="shared" si="4761"/>
        <v>-</v>
      </c>
      <c r="CP93" s="1" t="str">
        <f t="shared" si="4762"/>
        <v>-</v>
      </c>
      <c r="CQ93" s="21" t="str">
        <f t="shared" si="4763"/>
        <v>-</v>
      </c>
      <c r="CR93" s="15" t="str">
        <f t="shared" si="4764"/>
        <v>-</v>
      </c>
      <c r="CS93" s="1" t="str">
        <f t="shared" si="4765"/>
        <v>-</v>
      </c>
      <c r="CT93" s="21" t="str">
        <f t="shared" si="4766"/>
        <v>-</v>
      </c>
      <c r="CU93" s="15">
        <f t="shared" si="4767"/>
        <v>1800</v>
      </c>
      <c r="CV93" s="1" t="str">
        <f t="shared" si="4768"/>
        <v>-</v>
      </c>
      <c r="CW93" s="21" t="str">
        <f t="shared" si="4769"/>
        <v>-</v>
      </c>
      <c r="CX93" s="15">
        <f t="shared" si="4770"/>
        <v>1800</v>
      </c>
      <c r="CY93" s="1" t="str">
        <f t="shared" si="4771"/>
        <v>-</v>
      </c>
      <c r="CZ93" s="21" t="str">
        <f t="shared" si="4772"/>
        <v>-</v>
      </c>
      <c r="DA93" s="15" t="str">
        <f t="shared" si="4773"/>
        <v>-</v>
      </c>
      <c r="DB93" s="1" t="str">
        <f t="shared" si="4774"/>
        <v>-</v>
      </c>
      <c r="DC93" s="21" t="str">
        <f t="shared" si="4775"/>
        <v>-</v>
      </c>
      <c r="DD93" s="15" t="str">
        <f t="shared" si="4776"/>
        <v>-</v>
      </c>
      <c r="DE93" s="1" t="str">
        <f t="shared" si="4777"/>
        <v>-</v>
      </c>
      <c r="DF93" s="21" t="str">
        <f t="shared" si="4778"/>
        <v>-</v>
      </c>
      <c r="DG93" s="15">
        <f t="shared" si="4779"/>
        <v>1800</v>
      </c>
      <c r="DH93" s="1" t="str">
        <f t="shared" si="4780"/>
        <v>-</v>
      </c>
      <c r="DI93" s="21" t="str">
        <f t="shared" si="4781"/>
        <v>-</v>
      </c>
    </row>
    <row r="94" spans="2:113" x14ac:dyDescent="0.3">
      <c r="B94" s="1">
        <v>89</v>
      </c>
      <c r="C94" s="67">
        <v>1850</v>
      </c>
      <c r="D94" s="88" t="s">
        <v>27</v>
      </c>
      <c r="E94" s="21" t="s">
        <v>27</v>
      </c>
      <c r="F94" s="15" t="str">
        <f t="shared" ref="F94" si="6438">IF(InfGog1LevelCurrent&gt;=$B94,"-",IF(InfGog1LevelDesired&lt;$B94,"-",$C94))</f>
        <v>-</v>
      </c>
      <c r="G94" s="1" t="str">
        <f t="shared" ref="G94" si="6439">IF(InfGog1LevelCurrent&gt;=$B94,"-",IF(InfGog1LevelDesired&lt;$B94,"-",$D94))</f>
        <v>-</v>
      </c>
      <c r="H94" s="21" t="str">
        <f t="shared" ref="H94" si="6440">IF(InfGog1LevelCurrent&gt;=$B94,"-",IF(InfGog1LevelDesired&lt;$B94,"-",$E94))</f>
        <v>-</v>
      </c>
      <c r="I94" s="15" t="str">
        <f t="shared" ref="I94" si="6441">IF(InfGlo1LevelCurrent&gt;=$B94,"-",IF(InfGlo1LevelDesired&lt;$B94,"-",$C94))</f>
        <v>-</v>
      </c>
      <c r="J94" s="1" t="str">
        <f t="shared" ref="J94" si="6442">IF(InfGlo1LevelCurrent&gt;=$B94,"-",IF(InfGlo1LevelDesired&lt;$B94,"-",$D94))</f>
        <v>-</v>
      </c>
      <c r="K94" s="21" t="str">
        <f t="shared" ref="K94" si="6443">IF(InfGlo1LevelCurrent&gt;=$B94,"-",IF(InfGlo1LevelDesired&lt;$B94,"-",$E94))</f>
        <v>-</v>
      </c>
      <c r="L94" s="15" t="str">
        <f t="shared" ref="L94" si="6444">IF(InfBel1LevelCurrent&gt;=$B94,"-",IF(InfBel1LevelDesired&lt;$B94,"-",$C94))</f>
        <v>-</v>
      </c>
      <c r="M94" s="1" t="str">
        <f t="shared" ref="M94" si="6445">IF(InfBel1LevelCurrent&gt;=$B94,"-",IF(InfBel1LevelDesired&lt;$B94,"-",$D94))</f>
        <v>-</v>
      </c>
      <c r="N94" s="21" t="str">
        <f t="shared" ref="N94" si="6446">IF(InfBel1LevelCurrent&gt;=$B94,"-",IF(InfBel1LevelDesired&lt;$B94,"-",$E94))</f>
        <v>-</v>
      </c>
      <c r="O94" s="15" t="str">
        <f t="shared" ref="O94" si="6447">IF(InfBoo1LevelCurrent&gt;=$B94,"-",IF(InfBoo1LevelDesired&lt;$B94,"-",$C94))</f>
        <v>-</v>
      </c>
      <c r="P94" s="1" t="str">
        <f t="shared" ref="P94" si="6448">IF(InfBoo1LevelCurrent&gt;=$B94,"-",IF(InfBoo1LevelDesired&lt;$B94,"-",$D94))</f>
        <v>-</v>
      </c>
      <c r="Q94" s="21" t="str">
        <f t="shared" ref="Q94" si="6449">IF(InfBoo1LevelCurrent&gt;=$B94,"-",IF(InfBoo1LevelDesired&lt;$B94,"-",$E94))</f>
        <v>-</v>
      </c>
      <c r="R94" s="15" t="str">
        <f t="shared" ref="R94" si="6450">IF(LanGog1LevelCurrent&gt;=$B94,"-",IF(LanGog1LevelDesired&lt;$B94,"-",$C94))</f>
        <v>-</v>
      </c>
      <c r="S94" s="1" t="str">
        <f t="shared" ref="S94" si="6451">IF(LanGog1LevelCurrent&gt;=$B94,"-",IF(LanGog1LevelDesired&lt;$B94,"-",$D94))</f>
        <v>-</v>
      </c>
      <c r="T94" s="21" t="str">
        <f t="shared" ref="T94" si="6452">IF(LanGog1LevelCurrent&gt;=$B94,"-",IF(LanGog1LevelDesired&lt;$B94,"-",$E94))</f>
        <v>-</v>
      </c>
      <c r="U94" s="15" t="str">
        <f t="shared" ref="U94" si="6453">IF(LanGlo1LevelCurrent&gt;=$B94,"-",IF(LanGlo1LevelDesired&lt;$B94,"-",$C94))</f>
        <v>-</v>
      </c>
      <c r="V94" s="1" t="str">
        <f t="shared" ref="V94" si="6454">IF(LanGlo1LevelCurrent&gt;=$B94,"-",IF(LanGlo1LevelDesired&lt;$B94,"-",$D94))</f>
        <v>-</v>
      </c>
      <c r="W94" s="21" t="str">
        <f t="shared" ref="W94" si="6455">IF(LanGlo1LevelCurrent&gt;=$B94,"-",IF(LanGlo1LevelDesired&lt;$B94,"-",$E94))</f>
        <v>-</v>
      </c>
      <c r="X94" s="15" t="str">
        <f t="shared" ref="X94" si="6456">IF(LanBel1LevelCurrent&gt;=$B94,"-",IF(LanBel1LevelDesired&lt;$B94,"-",$C94))</f>
        <v>-</v>
      </c>
      <c r="Y94" s="1" t="str">
        <f t="shared" ref="Y94" si="6457">IF(LanBel1LevelCurrent&gt;=$B94,"-",IF(LanBel1LevelDesired&lt;$B94,"-",$D94))</f>
        <v>-</v>
      </c>
      <c r="Z94" s="21" t="str">
        <f t="shared" ref="Z94" si="6458">IF(LanBel1LevelCurrent&gt;=$B94,"-",IF(LanBel1LevelDesired&lt;$B94,"-",$E94))</f>
        <v>-</v>
      </c>
      <c r="AA94" s="15" t="str">
        <f t="shared" ref="AA94" si="6459">IF(LanBoo1LevelCurrent&gt;=$B94,"-",IF(LanBoo1LevelDesired&lt;$B94,"-",$C94))</f>
        <v>-</v>
      </c>
      <c r="AB94" s="1" t="str">
        <f t="shared" ref="AB94" si="6460">IF(LanBoo1LevelCurrent&gt;=$B94,"-",IF(LanBoo1LevelDesired&lt;$B94,"-",$D94))</f>
        <v>-</v>
      </c>
      <c r="AC94" s="21" t="str">
        <f t="shared" ref="AC94" si="6461">IF(LanBoo1LevelCurrent&gt;=$B94,"-",IF(LanBoo1LevelDesired&lt;$B94,"-",$E94))</f>
        <v>-</v>
      </c>
      <c r="AD94" s="15" t="str">
        <f t="shared" ref="AD94" si="6462">IF(MarGog1LevelCurrent&gt;=$B94,"-",IF(MarGog1LevelDesired&lt;$B94,"-",$C94))</f>
        <v>-</v>
      </c>
      <c r="AE94" s="1" t="str">
        <f t="shared" ref="AE94" si="6463">IF(MarGog1LevelCurrent&gt;=$B94,"-",IF(MarGog1LevelDesired&lt;$B94,"-",$D94))</f>
        <v>-</v>
      </c>
      <c r="AF94" s="21" t="str">
        <f t="shared" ref="AF94" si="6464">IF(MarGog1LevelCurrent&gt;=$B94,"-",IF(MarGog1LevelDesired&lt;$B94,"-",$E94))</f>
        <v>-</v>
      </c>
      <c r="AG94" s="15" t="str">
        <f t="shared" ref="AG94" si="6465">IF(MarGlo1LevelCurrent&gt;=$B94,"-",IF(MarGlo1LevelDesired&lt;$B94,"-",$C94))</f>
        <v>-</v>
      </c>
      <c r="AH94" s="1" t="str">
        <f t="shared" ref="AH94" si="6466">IF(MarGlo1LevelCurrent&gt;=$B94,"-",IF(MarGlo1LevelDesired&lt;$B94,"-",$D94))</f>
        <v>-</v>
      </c>
      <c r="AI94" s="21" t="str">
        <f t="shared" ref="AI94" si="6467">IF(MarGlo1LevelCurrent&gt;=$B94,"-",IF(MarGlo1LevelDesired&lt;$B94,"-",$E94))</f>
        <v>-</v>
      </c>
      <c r="AJ94" s="15" t="str">
        <f t="shared" ref="AJ94" si="6468">IF(MarBel1LevelCurrent&gt;=$B94,"-",IF(MarBel1LevelDesired&lt;$B94,"-",$C94))</f>
        <v>-</v>
      </c>
      <c r="AK94" s="1" t="str">
        <f t="shared" ref="AK94" si="6469">IF(MarBel1LevelCurrent&gt;=$B94,"-",IF(MarBel1LevelDesired&lt;$B94,"-",$D94))</f>
        <v>-</v>
      </c>
      <c r="AL94" s="21" t="str">
        <f t="shared" ref="AL94" si="6470">IF(MarBel1LevelCurrent&gt;=$B94,"-",IF(MarBel1LevelDesired&lt;$B94,"-",$E94))</f>
        <v>-</v>
      </c>
      <c r="AM94" s="15" t="str">
        <f t="shared" ref="AM94" si="6471">IF(MarBoo1LevelCurrent&gt;=$B94,"-",IF(MarBoo1LevelDesired&lt;$B94,"-",$C94))</f>
        <v>-</v>
      </c>
      <c r="AN94" s="1" t="str">
        <f t="shared" ref="AN94" si="6472">IF(MarBoo1LevelCurrent&gt;=$B94,"-",IF(MarBoo1LevelDesired&lt;$B94,"-",$D94))</f>
        <v>-</v>
      </c>
      <c r="AO94" s="21" t="str">
        <f t="shared" ref="AO94" si="6473">IF(MarBoo1LevelCurrent&gt;=$B94,"-",IF(MarBoo1LevelDesired&lt;$B94,"-",$E94))</f>
        <v>-</v>
      </c>
      <c r="AP94" s="15" t="str">
        <f t="shared" ref="AP94" si="6474">IF(InfGog2LevelCurrent&gt;=$B94,"-",IF(InfGog2LevelDesired&lt;$B94,"-",$C94))</f>
        <v>-</v>
      </c>
      <c r="AQ94" s="1" t="str">
        <f t="shared" ref="AQ94" si="6475">IF(InfGog2LevelCurrent&gt;=$B94,"-",IF(InfGog2LevelDesired&lt;$B94,"-",$D94))</f>
        <v>-</v>
      </c>
      <c r="AR94" s="21" t="str">
        <f t="shared" ref="AR94" si="6476">IF(InfGog2LevelCurrent&gt;=$B94,"-",IF(InfGog2LevelDesired&lt;$B94,"-",$E94))</f>
        <v>-</v>
      </c>
      <c r="AS94" s="15" t="str">
        <f t="shared" ref="AS94" si="6477">IF(InfGlo2LevelCurrent&gt;=$B94,"-",IF(InfGlo2LevelDesired&lt;$B94,"-",$C94))</f>
        <v>-</v>
      </c>
      <c r="AT94" s="1" t="str">
        <f t="shared" ref="AT94" si="6478">IF(InfGlo2LevelCurrent&gt;=$B94,"-",IF(InfGlo2LevelDesired&lt;$B94,"-",$D94))</f>
        <v>-</v>
      </c>
      <c r="AU94" s="21" t="str">
        <f t="shared" ref="AU94" si="6479">IF(InfGlo2LevelCurrent&gt;=$B94,"-",IF(InfGlo2LevelDesired&lt;$B94,"-",$E94))</f>
        <v>-</v>
      </c>
      <c r="AV94" s="15" t="str">
        <f t="shared" ref="AV94" si="6480">IF(InfBel2LevelCurrent&gt;=$B94,"-",IF(InfBel2LevelDesired&lt;$B94,"-",$C94))</f>
        <v>-</v>
      </c>
      <c r="AW94" s="1" t="str">
        <f t="shared" ref="AW94" si="6481">IF(InfBel2LevelCurrent&gt;=$B94,"-",IF(InfBel2LevelDesired&lt;$B94,"-",$D94))</f>
        <v>-</v>
      </c>
      <c r="AX94" s="21" t="str">
        <f t="shared" ref="AX94" si="6482">IF(InfBel2LevelCurrent&gt;=$B94,"-",IF(InfBel2LevelDesired&lt;$B94,"-",$E94))</f>
        <v>-</v>
      </c>
      <c r="AY94" s="15" t="str">
        <f t="shared" ref="AY94" si="6483">IF(InfBoo2LevelCurrent&gt;=$B94,"-",IF(InfBoo2LevelDesired&lt;$B94,"-",$C94))</f>
        <v>-</v>
      </c>
      <c r="AZ94" s="1" t="str">
        <f t="shared" ref="AZ94" si="6484">IF(InfBoo2LevelCurrent&gt;=$B94,"-",IF(InfBoo2LevelDesired&lt;$B94,"-",$D94))</f>
        <v>-</v>
      </c>
      <c r="BA94" s="21" t="str">
        <f t="shared" ref="BA94" si="6485">IF(InfBoo2LevelCurrent&gt;=$B94,"-",IF(InfBoo2LevelDesired&lt;$B94,"-",$E94))</f>
        <v>-</v>
      </c>
      <c r="BB94" s="15" t="str">
        <f t="shared" ref="BB94" si="6486">IF(LanGog2LevelCurrent&gt;=$B94,"-",IF(LanGog2LevelDesired&lt;$B94,"-",$C94))</f>
        <v>-</v>
      </c>
      <c r="BC94" s="1" t="str">
        <f t="shared" ref="BC94" si="6487">IF(LanGog2LevelCurrent&gt;=$B94,"-",IF(LanGog2LevelDesired&lt;$B94,"-",$D94))</f>
        <v>-</v>
      </c>
      <c r="BD94" s="21" t="str">
        <f t="shared" ref="BD94" si="6488">IF(LanGog2LevelCurrent&gt;=$B94,"-",IF(LanGog2LevelDesired&lt;$B94,"-",$E94))</f>
        <v>-</v>
      </c>
      <c r="BE94" s="15" t="str">
        <f t="shared" ref="BE94" si="6489">IF(LanGlo2LevelCurrent&gt;=$B94,"-",IF(LanGlo2LevelDesired&lt;$B94,"-",$C94))</f>
        <v>-</v>
      </c>
      <c r="BF94" s="1" t="str">
        <f t="shared" ref="BF94" si="6490">IF(LanGlo2LevelCurrent&gt;=$B94,"-",IF(LanGlo2LevelDesired&lt;$B94,"-",$D94))</f>
        <v>-</v>
      </c>
      <c r="BG94" s="21" t="str">
        <f t="shared" ref="BG94" si="6491">IF(LanGlo2LevelCurrent&gt;=$B94,"-",IF(LanGlo2LevelDesired&lt;$B94,"-",$E94))</f>
        <v>-</v>
      </c>
      <c r="BH94" s="15" t="str">
        <f t="shared" ref="BH94" si="6492">IF(LanBel2LevelCurrent&gt;=$B94,"-",IF(LanBel2LevelDesired&lt;$B94,"-",$C94))</f>
        <v>-</v>
      </c>
      <c r="BI94" s="1" t="str">
        <f t="shared" ref="BI94" si="6493">IF(LanBel2LevelCurrent&gt;=$B94,"-",IF(LanBel2LevelDesired&lt;$B94,"-",$D94))</f>
        <v>-</v>
      </c>
      <c r="BJ94" s="21" t="str">
        <f t="shared" ref="BJ94" si="6494">IF(LanBel2LevelCurrent&gt;=$B94,"-",IF(LanBel2LevelDesired&lt;$B94,"-",$E94))</f>
        <v>-</v>
      </c>
      <c r="BK94" s="15" t="str">
        <f t="shared" ref="BK94" si="6495">IF(LanBoo2LevelCurrent&gt;=$B94,"-",IF(LanBoo2LevelDesired&lt;$B94,"-",$C94))</f>
        <v>-</v>
      </c>
      <c r="BL94" s="1" t="str">
        <f t="shared" ref="BL94" si="6496">IF(LanBoo2LevelCurrent&gt;=$B94,"-",IF(LanBoo2LevelDesired&lt;$B94,"-",$D94))</f>
        <v>-</v>
      </c>
      <c r="BM94" s="21" t="str">
        <f t="shared" ref="BM94" si="6497">IF(LanBoo2LevelCurrent&gt;=$B94,"-",IF(LanBoo2LevelDesired&lt;$B94,"-",$E94))</f>
        <v>-</v>
      </c>
      <c r="BN94" s="15" t="str">
        <f t="shared" ref="BN94" si="6498">IF(MarGog2LevelCurrent&gt;=$B94,"-",IF(MarGog2LevelDesired&lt;$B94,"-",$C94))</f>
        <v>-</v>
      </c>
      <c r="BO94" s="1" t="str">
        <f t="shared" ref="BO94" si="6499">IF(MarGog2LevelCurrent&gt;=$B94,"-",IF(MarGog2LevelDesired&lt;$B94,"-",$D94))</f>
        <v>-</v>
      </c>
      <c r="BP94" s="21" t="str">
        <f t="shared" ref="BP94" si="6500">IF(MarGog2LevelCurrent&gt;=$B94,"-",IF(MarGog2LevelDesired&lt;$B94,"-",$E94))</f>
        <v>-</v>
      </c>
      <c r="BQ94" s="15" t="str">
        <f t="shared" ref="BQ94" si="6501">IF(MarGlo2LevelCurrent&gt;=$B94,"-",IF(MarGlo2LevelDesired&lt;$B94,"-",$C94))</f>
        <v>-</v>
      </c>
      <c r="BR94" s="1" t="str">
        <f t="shared" ref="BR94" si="6502">IF(MarGlo2LevelCurrent&gt;=$B94,"-",IF(MarGlo2LevelDesired&lt;$B94,"-",$D94))</f>
        <v>-</v>
      </c>
      <c r="BS94" s="21" t="str">
        <f t="shared" ref="BS94" si="6503">IF(MarGlo2LevelCurrent&gt;=$B94,"-",IF(MarGlo2LevelDesired&lt;$B94,"-",$E94))</f>
        <v>-</v>
      </c>
      <c r="BT94" s="15" t="str">
        <f t="shared" ref="BT94" si="6504">IF(MarBel2LevelCurrent&gt;=$B94,"-",IF(MarBel2LevelDesired&lt;$B94,"-",$C94))</f>
        <v>-</v>
      </c>
      <c r="BU94" s="1" t="str">
        <f t="shared" ref="BU94" si="6505">IF(MarBel2LevelCurrent&gt;=$B94,"-",IF(MarBel2LevelDesired&lt;$B94,"-",$D94))</f>
        <v>-</v>
      </c>
      <c r="BV94" s="21" t="str">
        <f t="shared" ref="BV94" si="6506">IF(MarBel2LevelCurrent&gt;=$B94,"-",IF(MarBel2LevelDesired&lt;$B94,"-",$E94))</f>
        <v>-</v>
      </c>
      <c r="BW94" s="15" t="str">
        <f t="shared" ref="BW94" si="6507">IF(MarBoo2LevelCurrent&gt;=$B94,"-",IF(MarBoo2LevelDesired&lt;$B94,"-",$C94))</f>
        <v>-</v>
      </c>
      <c r="BX94" s="1" t="str">
        <f t="shared" ref="BX94" si="6508">IF(MarBoo2LevelCurrent&gt;=$B94,"-",IF(MarBoo2LevelDesired&lt;$B94,"-",$D94))</f>
        <v>-</v>
      </c>
      <c r="BY94" s="21" t="str">
        <f t="shared" ref="BY94" si="6509">IF(MarBoo2LevelCurrent&gt;=$B94,"-",IF(MarBoo2LevelDesired&lt;$B94,"-",$E94))</f>
        <v>-</v>
      </c>
      <c r="BZ94" s="15" t="str">
        <f t="shared" si="4748"/>
        <v>-</v>
      </c>
      <c r="CA94" s="1" t="str" cm="1">
        <f t="array" ref="CA94">IF(InfGog3LevelCurrent&gt;=$B94,"-",IF(InfGog3LevelDesired&lt;$B94,"-",$D94))</f>
        <v>-</v>
      </c>
      <c r="CB94" s="21" t="str" cm="1">
        <f t="array" ref="CB94">IF(InfGog3LevelCurrent&gt;=$B94,"-",IF(InfGog3LevelDesired&lt;$B94,"-",$E94))</f>
        <v>-</v>
      </c>
      <c r="CC94" s="15">
        <f t="shared" si="4749"/>
        <v>1850</v>
      </c>
      <c r="CD94" s="1" t="str">
        <f t="shared" si="4750"/>
        <v>-</v>
      </c>
      <c r="CE94" s="21" t="str">
        <f t="shared" si="4751"/>
        <v>-</v>
      </c>
      <c r="CF94" s="15">
        <f t="shared" si="4752"/>
        <v>1850</v>
      </c>
      <c r="CG94" s="1" t="str">
        <f t="shared" si="4753"/>
        <v>-</v>
      </c>
      <c r="CH94" s="21" t="str">
        <f t="shared" si="4754"/>
        <v>-</v>
      </c>
      <c r="CI94" s="15" t="str">
        <f t="shared" si="4755"/>
        <v>-</v>
      </c>
      <c r="CJ94" s="1" t="str">
        <f t="shared" si="4756"/>
        <v>-</v>
      </c>
      <c r="CK94" s="21" t="str">
        <f t="shared" si="4757"/>
        <v>-</v>
      </c>
      <c r="CL94" s="15">
        <f t="shared" si="4758"/>
        <v>1850</v>
      </c>
      <c r="CM94" s="1" t="str">
        <f t="shared" si="4759"/>
        <v>-</v>
      </c>
      <c r="CN94" s="21" t="str">
        <f t="shared" si="4760"/>
        <v>-</v>
      </c>
      <c r="CO94" s="15" t="str">
        <f t="shared" si="4761"/>
        <v>-</v>
      </c>
      <c r="CP94" s="1" t="str">
        <f t="shared" si="4762"/>
        <v>-</v>
      </c>
      <c r="CQ94" s="21" t="str">
        <f t="shared" si="4763"/>
        <v>-</v>
      </c>
      <c r="CR94" s="15" t="str">
        <f t="shared" si="4764"/>
        <v>-</v>
      </c>
      <c r="CS94" s="1" t="str">
        <f t="shared" si="4765"/>
        <v>-</v>
      </c>
      <c r="CT94" s="21" t="str">
        <f t="shared" si="4766"/>
        <v>-</v>
      </c>
      <c r="CU94" s="15">
        <f t="shared" si="4767"/>
        <v>1850</v>
      </c>
      <c r="CV94" s="1" t="str">
        <f t="shared" si="4768"/>
        <v>-</v>
      </c>
      <c r="CW94" s="21" t="str">
        <f t="shared" si="4769"/>
        <v>-</v>
      </c>
      <c r="CX94" s="15">
        <f t="shared" si="4770"/>
        <v>1850</v>
      </c>
      <c r="CY94" s="1" t="str">
        <f t="shared" si="4771"/>
        <v>-</v>
      </c>
      <c r="CZ94" s="21" t="str">
        <f t="shared" si="4772"/>
        <v>-</v>
      </c>
      <c r="DA94" s="15" t="str">
        <f t="shared" si="4773"/>
        <v>-</v>
      </c>
      <c r="DB94" s="1" t="str">
        <f t="shared" si="4774"/>
        <v>-</v>
      </c>
      <c r="DC94" s="21" t="str">
        <f t="shared" si="4775"/>
        <v>-</v>
      </c>
      <c r="DD94" s="15" t="str">
        <f t="shared" si="4776"/>
        <v>-</v>
      </c>
      <c r="DE94" s="1" t="str">
        <f t="shared" si="4777"/>
        <v>-</v>
      </c>
      <c r="DF94" s="21" t="str">
        <f t="shared" si="4778"/>
        <v>-</v>
      </c>
      <c r="DG94" s="15">
        <f t="shared" si="4779"/>
        <v>1850</v>
      </c>
      <c r="DH94" s="1" t="str">
        <f t="shared" si="4780"/>
        <v>-</v>
      </c>
      <c r="DI94" s="21" t="str">
        <f t="shared" si="4781"/>
        <v>-</v>
      </c>
    </row>
    <row r="95" spans="2:113" x14ac:dyDescent="0.3">
      <c r="B95" s="1">
        <v>90</v>
      </c>
      <c r="C95" s="67">
        <v>1900</v>
      </c>
      <c r="D95" s="88" t="s">
        <v>27</v>
      </c>
      <c r="E95" s="21" t="s">
        <v>27</v>
      </c>
      <c r="F95" s="15" t="str">
        <f t="shared" ref="F95" si="6510">IF(InfGog1LevelCurrent&gt;=$B95,"-",IF(InfGog1LevelDesired&lt;$B95,"-",$C95))</f>
        <v>-</v>
      </c>
      <c r="G95" s="1" t="str">
        <f t="shared" ref="G95" si="6511">IF(InfGog1LevelCurrent&gt;=$B95,"-",IF(InfGog1LevelDesired&lt;$B95,"-",$D95))</f>
        <v>-</v>
      </c>
      <c r="H95" s="21" t="str">
        <f t="shared" ref="H95" si="6512">IF(InfGog1LevelCurrent&gt;=$B95,"-",IF(InfGog1LevelDesired&lt;$B95,"-",$E95))</f>
        <v>-</v>
      </c>
      <c r="I95" s="15" t="str">
        <f t="shared" ref="I95" si="6513">IF(InfGlo1LevelCurrent&gt;=$B95,"-",IF(InfGlo1LevelDesired&lt;$B95,"-",$C95))</f>
        <v>-</v>
      </c>
      <c r="J95" s="1" t="str">
        <f t="shared" ref="J95" si="6514">IF(InfGlo1LevelCurrent&gt;=$B95,"-",IF(InfGlo1LevelDesired&lt;$B95,"-",$D95))</f>
        <v>-</v>
      </c>
      <c r="K95" s="21" t="str">
        <f t="shared" ref="K95" si="6515">IF(InfGlo1LevelCurrent&gt;=$B95,"-",IF(InfGlo1LevelDesired&lt;$B95,"-",$E95))</f>
        <v>-</v>
      </c>
      <c r="L95" s="15" t="str">
        <f t="shared" ref="L95" si="6516">IF(InfBel1LevelCurrent&gt;=$B95,"-",IF(InfBel1LevelDesired&lt;$B95,"-",$C95))</f>
        <v>-</v>
      </c>
      <c r="M95" s="1" t="str">
        <f t="shared" ref="M95" si="6517">IF(InfBel1LevelCurrent&gt;=$B95,"-",IF(InfBel1LevelDesired&lt;$B95,"-",$D95))</f>
        <v>-</v>
      </c>
      <c r="N95" s="21" t="str">
        <f t="shared" ref="N95" si="6518">IF(InfBel1LevelCurrent&gt;=$B95,"-",IF(InfBel1LevelDesired&lt;$B95,"-",$E95))</f>
        <v>-</v>
      </c>
      <c r="O95" s="15" t="str">
        <f t="shared" ref="O95" si="6519">IF(InfBoo1LevelCurrent&gt;=$B95,"-",IF(InfBoo1LevelDesired&lt;$B95,"-",$C95))</f>
        <v>-</v>
      </c>
      <c r="P95" s="1" t="str">
        <f t="shared" ref="P95" si="6520">IF(InfBoo1LevelCurrent&gt;=$B95,"-",IF(InfBoo1LevelDesired&lt;$B95,"-",$D95))</f>
        <v>-</v>
      </c>
      <c r="Q95" s="21" t="str">
        <f t="shared" ref="Q95" si="6521">IF(InfBoo1LevelCurrent&gt;=$B95,"-",IF(InfBoo1LevelDesired&lt;$B95,"-",$E95))</f>
        <v>-</v>
      </c>
      <c r="R95" s="15" t="str">
        <f t="shared" ref="R95" si="6522">IF(LanGog1LevelCurrent&gt;=$B95,"-",IF(LanGog1LevelDesired&lt;$B95,"-",$C95))</f>
        <v>-</v>
      </c>
      <c r="S95" s="1" t="str">
        <f t="shared" ref="S95" si="6523">IF(LanGog1LevelCurrent&gt;=$B95,"-",IF(LanGog1LevelDesired&lt;$B95,"-",$D95))</f>
        <v>-</v>
      </c>
      <c r="T95" s="21" t="str">
        <f t="shared" ref="T95" si="6524">IF(LanGog1LevelCurrent&gt;=$B95,"-",IF(LanGog1LevelDesired&lt;$B95,"-",$E95))</f>
        <v>-</v>
      </c>
      <c r="U95" s="15" t="str">
        <f t="shared" ref="U95" si="6525">IF(LanGlo1LevelCurrent&gt;=$B95,"-",IF(LanGlo1LevelDesired&lt;$B95,"-",$C95))</f>
        <v>-</v>
      </c>
      <c r="V95" s="1" t="str">
        <f t="shared" ref="V95" si="6526">IF(LanGlo1LevelCurrent&gt;=$B95,"-",IF(LanGlo1LevelDesired&lt;$B95,"-",$D95))</f>
        <v>-</v>
      </c>
      <c r="W95" s="21" t="str">
        <f t="shared" ref="W95" si="6527">IF(LanGlo1LevelCurrent&gt;=$B95,"-",IF(LanGlo1LevelDesired&lt;$B95,"-",$E95))</f>
        <v>-</v>
      </c>
      <c r="X95" s="15" t="str">
        <f t="shared" ref="X95" si="6528">IF(LanBel1LevelCurrent&gt;=$B95,"-",IF(LanBel1LevelDesired&lt;$B95,"-",$C95))</f>
        <v>-</v>
      </c>
      <c r="Y95" s="1" t="str">
        <f t="shared" ref="Y95" si="6529">IF(LanBel1LevelCurrent&gt;=$B95,"-",IF(LanBel1LevelDesired&lt;$B95,"-",$D95))</f>
        <v>-</v>
      </c>
      <c r="Z95" s="21" t="str">
        <f t="shared" ref="Z95" si="6530">IF(LanBel1LevelCurrent&gt;=$B95,"-",IF(LanBel1LevelDesired&lt;$B95,"-",$E95))</f>
        <v>-</v>
      </c>
      <c r="AA95" s="15" t="str">
        <f t="shared" ref="AA95" si="6531">IF(LanBoo1LevelCurrent&gt;=$B95,"-",IF(LanBoo1LevelDesired&lt;$B95,"-",$C95))</f>
        <v>-</v>
      </c>
      <c r="AB95" s="1" t="str">
        <f t="shared" ref="AB95" si="6532">IF(LanBoo1LevelCurrent&gt;=$B95,"-",IF(LanBoo1LevelDesired&lt;$B95,"-",$D95))</f>
        <v>-</v>
      </c>
      <c r="AC95" s="21" t="str">
        <f t="shared" ref="AC95" si="6533">IF(LanBoo1LevelCurrent&gt;=$B95,"-",IF(LanBoo1LevelDesired&lt;$B95,"-",$E95))</f>
        <v>-</v>
      </c>
      <c r="AD95" s="15" t="str">
        <f t="shared" ref="AD95" si="6534">IF(MarGog1LevelCurrent&gt;=$B95,"-",IF(MarGog1LevelDesired&lt;$B95,"-",$C95))</f>
        <v>-</v>
      </c>
      <c r="AE95" s="1" t="str">
        <f t="shared" ref="AE95" si="6535">IF(MarGog1LevelCurrent&gt;=$B95,"-",IF(MarGog1LevelDesired&lt;$B95,"-",$D95))</f>
        <v>-</v>
      </c>
      <c r="AF95" s="21" t="str">
        <f t="shared" ref="AF95" si="6536">IF(MarGog1LevelCurrent&gt;=$B95,"-",IF(MarGog1LevelDesired&lt;$B95,"-",$E95))</f>
        <v>-</v>
      </c>
      <c r="AG95" s="15" t="str">
        <f t="shared" ref="AG95" si="6537">IF(MarGlo1LevelCurrent&gt;=$B95,"-",IF(MarGlo1LevelDesired&lt;$B95,"-",$C95))</f>
        <v>-</v>
      </c>
      <c r="AH95" s="1" t="str">
        <f t="shared" ref="AH95" si="6538">IF(MarGlo1LevelCurrent&gt;=$B95,"-",IF(MarGlo1LevelDesired&lt;$B95,"-",$D95))</f>
        <v>-</v>
      </c>
      <c r="AI95" s="21" t="str">
        <f t="shared" ref="AI95" si="6539">IF(MarGlo1LevelCurrent&gt;=$B95,"-",IF(MarGlo1LevelDesired&lt;$B95,"-",$E95))</f>
        <v>-</v>
      </c>
      <c r="AJ95" s="15" t="str">
        <f t="shared" ref="AJ95" si="6540">IF(MarBel1LevelCurrent&gt;=$B95,"-",IF(MarBel1LevelDesired&lt;$B95,"-",$C95))</f>
        <v>-</v>
      </c>
      <c r="AK95" s="1" t="str">
        <f t="shared" ref="AK95" si="6541">IF(MarBel1LevelCurrent&gt;=$B95,"-",IF(MarBel1LevelDesired&lt;$B95,"-",$D95))</f>
        <v>-</v>
      </c>
      <c r="AL95" s="21" t="str">
        <f t="shared" ref="AL95" si="6542">IF(MarBel1LevelCurrent&gt;=$B95,"-",IF(MarBel1LevelDesired&lt;$B95,"-",$E95))</f>
        <v>-</v>
      </c>
      <c r="AM95" s="15" t="str">
        <f t="shared" ref="AM95" si="6543">IF(MarBoo1LevelCurrent&gt;=$B95,"-",IF(MarBoo1LevelDesired&lt;$B95,"-",$C95))</f>
        <v>-</v>
      </c>
      <c r="AN95" s="1" t="str">
        <f t="shared" ref="AN95" si="6544">IF(MarBoo1LevelCurrent&gt;=$B95,"-",IF(MarBoo1LevelDesired&lt;$B95,"-",$D95))</f>
        <v>-</v>
      </c>
      <c r="AO95" s="21" t="str">
        <f t="shared" ref="AO95" si="6545">IF(MarBoo1LevelCurrent&gt;=$B95,"-",IF(MarBoo1LevelDesired&lt;$B95,"-",$E95))</f>
        <v>-</v>
      </c>
      <c r="AP95" s="15" t="str">
        <f t="shared" ref="AP95" si="6546">IF(InfGog2LevelCurrent&gt;=$B95,"-",IF(InfGog2LevelDesired&lt;$B95,"-",$C95))</f>
        <v>-</v>
      </c>
      <c r="AQ95" s="1" t="str">
        <f t="shared" ref="AQ95" si="6547">IF(InfGog2LevelCurrent&gt;=$B95,"-",IF(InfGog2LevelDesired&lt;$B95,"-",$D95))</f>
        <v>-</v>
      </c>
      <c r="AR95" s="21" t="str">
        <f t="shared" ref="AR95" si="6548">IF(InfGog2LevelCurrent&gt;=$B95,"-",IF(InfGog2LevelDesired&lt;$B95,"-",$E95))</f>
        <v>-</v>
      </c>
      <c r="AS95" s="15" t="str">
        <f t="shared" ref="AS95" si="6549">IF(InfGlo2LevelCurrent&gt;=$B95,"-",IF(InfGlo2LevelDesired&lt;$B95,"-",$C95))</f>
        <v>-</v>
      </c>
      <c r="AT95" s="1" t="str">
        <f t="shared" ref="AT95" si="6550">IF(InfGlo2LevelCurrent&gt;=$B95,"-",IF(InfGlo2LevelDesired&lt;$B95,"-",$D95))</f>
        <v>-</v>
      </c>
      <c r="AU95" s="21" t="str">
        <f t="shared" ref="AU95" si="6551">IF(InfGlo2LevelCurrent&gt;=$B95,"-",IF(InfGlo2LevelDesired&lt;$B95,"-",$E95))</f>
        <v>-</v>
      </c>
      <c r="AV95" s="15" t="str">
        <f t="shared" ref="AV95" si="6552">IF(InfBel2LevelCurrent&gt;=$B95,"-",IF(InfBel2LevelDesired&lt;$B95,"-",$C95))</f>
        <v>-</v>
      </c>
      <c r="AW95" s="1" t="str">
        <f t="shared" ref="AW95" si="6553">IF(InfBel2LevelCurrent&gt;=$B95,"-",IF(InfBel2LevelDesired&lt;$B95,"-",$D95))</f>
        <v>-</v>
      </c>
      <c r="AX95" s="21" t="str">
        <f t="shared" ref="AX95" si="6554">IF(InfBel2LevelCurrent&gt;=$B95,"-",IF(InfBel2LevelDesired&lt;$B95,"-",$E95))</f>
        <v>-</v>
      </c>
      <c r="AY95" s="15" t="str">
        <f t="shared" ref="AY95" si="6555">IF(InfBoo2LevelCurrent&gt;=$B95,"-",IF(InfBoo2LevelDesired&lt;$B95,"-",$C95))</f>
        <v>-</v>
      </c>
      <c r="AZ95" s="1" t="str">
        <f t="shared" ref="AZ95" si="6556">IF(InfBoo2LevelCurrent&gt;=$B95,"-",IF(InfBoo2LevelDesired&lt;$B95,"-",$D95))</f>
        <v>-</v>
      </c>
      <c r="BA95" s="21" t="str">
        <f t="shared" ref="BA95" si="6557">IF(InfBoo2LevelCurrent&gt;=$B95,"-",IF(InfBoo2LevelDesired&lt;$B95,"-",$E95))</f>
        <v>-</v>
      </c>
      <c r="BB95" s="15" t="str">
        <f t="shared" ref="BB95" si="6558">IF(LanGog2LevelCurrent&gt;=$B95,"-",IF(LanGog2LevelDesired&lt;$B95,"-",$C95))</f>
        <v>-</v>
      </c>
      <c r="BC95" s="1" t="str">
        <f t="shared" ref="BC95" si="6559">IF(LanGog2LevelCurrent&gt;=$B95,"-",IF(LanGog2LevelDesired&lt;$B95,"-",$D95))</f>
        <v>-</v>
      </c>
      <c r="BD95" s="21" t="str">
        <f t="shared" ref="BD95" si="6560">IF(LanGog2LevelCurrent&gt;=$B95,"-",IF(LanGog2LevelDesired&lt;$B95,"-",$E95))</f>
        <v>-</v>
      </c>
      <c r="BE95" s="15" t="str">
        <f t="shared" ref="BE95" si="6561">IF(LanGlo2LevelCurrent&gt;=$B95,"-",IF(LanGlo2LevelDesired&lt;$B95,"-",$C95))</f>
        <v>-</v>
      </c>
      <c r="BF95" s="1" t="str">
        <f t="shared" ref="BF95" si="6562">IF(LanGlo2LevelCurrent&gt;=$B95,"-",IF(LanGlo2LevelDesired&lt;$B95,"-",$D95))</f>
        <v>-</v>
      </c>
      <c r="BG95" s="21" t="str">
        <f t="shared" ref="BG95" si="6563">IF(LanGlo2LevelCurrent&gt;=$B95,"-",IF(LanGlo2LevelDesired&lt;$B95,"-",$E95))</f>
        <v>-</v>
      </c>
      <c r="BH95" s="15" t="str">
        <f t="shared" ref="BH95" si="6564">IF(LanBel2LevelCurrent&gt;=$B95,"-",IF(LanBel2LevelDesired&lt;$B95,"-",$C95))</f>
        <v>-</v>
      </c>
      <c r="BI95" s="1" t="str">
        <f t="shared" ref="BI95" si="6565">IF(LanBel2LevelCurrent&gt;=$B95,"-",IF(LanBel2LevelDesired&lt;$B95,"-",$D95))</f>
        <v>-</v>
      </c>
      <c r="BJ95" s="21" t="str">
        <f t="shared" ref="BJ95" si="6566">IF(LanBel2LevelCurrent&gt;=$B95,"-",IF(LanBel2LevelDesired&lt;$B95,"-",$E95))</f>
        <v>-</v>
      </c>
      <c r="BK95" s="15" t="str">
        <f t="shared" ref="BK95" si="6567">IF(LanBoo2LevelCurrent&gt;=$B95,"-",IF(LanBoo2LevelDesired&lt;$B95,"-",$C95))</f>
        <v>-</v>
      </c>
      <c r="BL95" s="1" t="str">
        <f t="shared" ref="BL95" si="6568">IF(LanBoo2LevelCurrent&gt;=$B95,"-",IF(LanBoo2LevelDesired&lt;$B95,"-",$D95))</f>
        <v>-</v>
      </c>
      <c r="BM95" s="21" t="str">
        <f t="shared" ref="BM95" si="6569">IF(LanBoo2LevelCurrent&gt;=$B95,"-",IF(LanBoo2LevelDesired&lt;$B95,"-",$E95))</f>
        <v>-</v>
      </c>
      <c r="BN95" s="15" t="str">
        <f t="shared" ref="BN95" si="6570">IF(MarGog2LevelCurrent&gt;=$B95,"-",IF(MarGog2LevelDesired&lt;$B95,"-",$C95))</f>
        <v>-</v>
      </c>
      <c r="BO95" s="1" t="str">
        <f t="shared" ref="BO95" si="6571">IF(MarGog2LevelCurrent&gt;=$B95,"-",IF(MarGog2LevelDesired&lt;$B95,"-",$D95))</f>
        <v>-</v>
      </c>
      <c r="BP95" s="21" t="str">
        <f t="shared" ref="BP95" si="6572">IF(MarGog2LevelCurrent&gt;=$B95,"-",IF(MarGog2LevelDesired&lt;$B95,"-",$E95))</f>
        <v>-</v>
      </c>
      <c r="BQ95" s="15" t="str">
        <f t="shared" ref="BQ95" si="6573">IF(MarGlo2LevelCurrent&gt;=$B95,"-",IF(MarGlo2LevelDesired&lt;$B95,"-",$C95))</f>
        <v>-</v>
      </c>
      <c r="BR95" s="1" t="str">
        <f t="shared" ref="BR95" si="6574">IF(MarGlo2LevelCurrent&gt;=$B95,"-",IF(MarGlo2LevelDesired&lt;$B95,"-",$D95))</f>
        <v>-</v>
      </c>
      <c r="BS95" s="21" t="str">
        <f t="shared" ref="BS95" si="6575">IF(MarGlo2LevelCurrent&gt;=$B95,"-",IF(MarGlo2LevelDesired&lt;$B95,"-",$E95))</f>
        <v>-</v>
      </c>
      <c r="BT95" s="15" t="str">
        <f t="shared" ref="BT95" si="6576">IF(MarBel2LevelCurrent&gt;=$B95,"-",IF(MarBel2LevelDesired&lt;$B95,"-",$C95))</f>
        <v>-</v>
      </c>
      <c r="BU95" s="1" t="str">
        <f t="shared" ref="BU95" si="6577">IF(MarBel2LevelCurrent&gt;=$B95,"-",IF(MarBel2LevelDesired&lt;$B95,"-",$D95))</f>
        <v>-</v>
      </c>
      <c r="BV95" s="21" t="str">
        <f t="shared" ref="BV95" si="6578">IF(MarBel2LevelCurrent&gt;=$B95,"-",IF(MarBel2LevelDesired&lt;$B95,"-",$E95))</f>
        <v>-</v>
      </c>
      <c r="BW95" s="15" t="str">
        <f t="shared" ref="BW95" si="6579">IF(MarBoo2LevelCurrent&gt;=$B95,"-",IF(MarBoo2LevelDesired&lt;$B95,"-",$C95))</f>
        <v>-</v>
      </c>
      <c r="BX95" s="1" t="str">
        <f t="shared" ref="BX95" si="6580">IF(MarBoo2LevelCurrent&gt;=$B95,"-",IF(MarBoo2LevelDesired&lt;$B95,"-",$D95))</f>
        <v>-</v>
      </c>
      <c r="BY95" s="21" t="str">
        <f t="shared" ref="BY95" si="6581">IF(MarBoo2LevelCurrent&gt;=$B95,"-",IF(MarBoo2LevelDesired&lt;$B95,"-",$E95))</f>
        <v>-</v>
      </c>
      <c r="BZ95" s="15" t="str">
        <f t="shared" si="4748"/>
        <v>-</v>
      </c>
      <c r="CA95" s="1" t="str" cm="1">
        <f t="array" ref="CA95">IF(InfGog3LevelCurrent&gt;=$B95,"-",IF(InfGog3LevelDesired&lt;$B95,"-",$D95))</f>
        <v>-</v>
      </c>
      <c r="CB95" s="21" t="str" cm="1">
        <f t="array" ref="CB95">IF(InfGog3LevelCurrent&gt;=$B95,"-",IF(InfGog3LevelDesired&lt;$B95,"-",$E95))</f>
        <v>-</v>
      </c>
      <c r="CC95" s="15">
        <f t="shared" si="4749"/>
        <v>1900</v>
      </c>
      <c r="CD95" s="1" t="str">
        <f t="shared" si="4750"/>
        <v>-</v>
      </c>
      <c r="CE95" s="21" t="str">
        <f t="shared" si="4751"/>
        <v>-</v>
      </c>
      <c r="CF95" s="15">
        <f t="shared" si="4752"/>
        <v>1900</v>
      </c>
      <c r="CG95" s="1" t="str">
        <f t="shared" si="4753"/>
        <v>-</v>
      </c>
      <c r="CH95" s="21" t="str">
        <f t="shared" si="4754"/>
        <v>-</v>
      </c>
      <c r="CI95" s="15" t="str">
        <f t="shared" si="4755"/>
        <v>-</v>
      </c>
      <c r="CJ95" s="1" t="str">
        <f t="shared" si="4756"/>
        <v>-</v>
      </c>
      <c r="CK95" s="21" t="str">
        <f t="shared" si="4757"/>
        <v>-</v>
      </c>
      <c r="CL95" s="15">
        <f t="shared" si="4758"/>
        <v>1900</v>
      </c>
      <c r="CM95" s="1" t="str">
        <f t="shared" si="4759"/>
        <v>-</v>
      </c>
      <c r="CN95" s="21" t="str">
        <f t="shared" si="4760"/>
        <v>-</v>
      </c>
      <c r="CO95" s="15" t="str">
        <f t="shared" si="4761"/>
        <v>-</v>
      </c>
      <c r="CP95" s="1" t="str">
        <f t="shared" si="4762"/>
        <v>-</v>
      </c>
      <c r="CQ95" s="21" t="str">
        <f t="shared" si="4763"/>
        <v>-</v>
      </c>
      <c r="CR95" s="15" t="str">
        <f t="shared" si="4764"/>
        <v>-</v>
      </c>
      <c r="CS95" s="1" t="str">
        <f t="shared" si="4765"/>
        <v>-</v>
      </c>
      <c r="CT95" s="21" t="str">
        <f t="shared" si="4766"/>
        <v>-</v>
      </c>
      <c r="CU95" s="15">
        <f t="shared" si="4767"/>
        <v>1900</v>
      </c>
      <c r="CV95" s="1" t="str">
        <f t="shared" si="4768"/>
        <v>-</v>
      </c>
      <c r="CW95" s="21" t="str">
        <f t="shared" si="4769"/>
        <v>-</v>
      </c>
      <c r="CX95" s="15">
        <f t="shared" si="4770"/>
        <v>1900</v>
      </c>
      <c r="CY95" s="1" t="str">
        <f t="shared" si="4771"/>
        <v>-</v>
      </c>
      <c r="CZ95" s="21" t="str">
        <f t="shared" si="4772"/>
        <v>-</v>
      </c>
      <c r="DA95" s="15" t="str">
        <f t="shared" si="4773"/>
        <v>-</v>
      </c>
      <c r="DB95" s="1" t="str">
        <f t="shared" si="4774"/>
        <v>-</v>
      </c>
      <c r="DC95" s="21" t="str">
        <f t="shared" si="4775"/>
        <v>-</v>
      </c>
      <c r="DD95" s="15" t="str">
        <f t="shared" si="4776"/>
        <v>-</v>
      </c>
      <c r="DE95" s="1" t="str">
        <f t="shared" si="4777"/>
        <v>-</v>
      </c>
      <c r="DF95" s="21" t="str">
        <f t="shared" si="4778"/>
        <v>-</v>
      </c>
      <c r="DG95" s="15">
        <f t="shared" si="4779"/>
        <v>1900</v>
      </c>
      <c r="DH95" s="1" t="str">
        <f t="shared" si="4780"/>
        <v>-</v>
      </c>
      <c r="DI95" s="21" t="str">
        <f t="shared" si="4781"/>
        <v>-</v>
      </c>
    </row>
    <row r="96" spans="2:113" x14ac:dyDescent="0.3">
      <c r="B96" s="1">
        <v>91</v>
      </c>
      <c r="C96" s="67">
        <v>1950</v>
      </c>
      <c r="D96" s="88" t="s">
        <v>27</v>
      </c>
      <c r="E96" s="21" t="s">
        <v>27</v>
      </c>
      <c r="F96" s="15" t="str">
        <f t="shared" ref="F96" si="6582">IF(InfGog1LevelCurrent&gt;=$B96,"-",IF(InfGog1LevelDesired&lt;$B96,"-",$C96))</f>
        <v>-</v>
      </c>
      <c r="G96" s="1" t="str">
        <f t="shared" ref="G96" si="6583">IF(InfGog1LevelCurrent&gt;=$B96,"-",IF(InfGog1LevelDesired&lt;$B96,"-",$D96))</f>
        <v>-</v>
      </c>
      <c r="H96" s="21" t="str">
        <f t="shared" ref="H96" si="6584">IF(InfGog1LevelCurrent&gt;=$B96,"-",IF(InfGog1LevelDesired&lt;$B96,"-",$E96))</f>
        <v>-</v>
      </c>
      <c r="I96" s="15" t="str">
        <f t="shared" ref="I96" si="6585">IF(InfGlo1LevelCurrent&gt;=$B96,"-",IF(InfGlo1LevelDesired&lt;$B96,"-",$C96))</f>
        <v>-</v>
      </c>
      <c r="J96" s="1" t="str">
        <f t="shared" ref="J96" si="6586">IF(InfGlo1LevelCurrent&gt;=$B96,"-",IF(InfGlo1LevelDesired&lt;$B96,"-",$D96))</f>
        <v>-</v>
      </c>
      <c r="K96" s="21" t="str">
        <f t="shared" ref="K96" si="6587">IF(InfGlo1LevelCurrent&gt;=$B96,"-",IF(InfGlo1LevelDesired&lt;$B96,"-",$E96))</f>
        <v>-</v>
      </c>
      <c r="L96" s="15" t="str">
        <f t="shared" ref="L96" si="6588">IF(InfBel1LevelCurrent&gt;=$B96,"-",IF(InfBel1LevelDesired&lt;$B96,"-",$C96))</f>
        <v>-</v>
      </c>
      <c r="M96" s="1" t="str">
        <f t="shared" ref="M96" si="6589">IF(InfBel1LevelCurrent&gt;=$B96,"-",IF(InfBel1LevelDesired&lt;$B96,"-",$D96))</f>
        <v>-</v>
      </c>
      <c r="N96" s="21" t="str">
        <f t="shared" ref="N96" si="6590">IF(InfBel1LevelCurrent&gt;=$B96,"-",IF(InfBel1LevelDesired&lt;$B96,"-",$E96))</f>
        <v>-</v>
      </c>
      <c r="O96" s="15" t="str">
        <f t="shared" ref="O96" si="6591">IF(InfBoo1LevelCurrent&gt;=$B96,"-",IF(InfBoo1LevelDesired&lt;$B96,"-",$C96))</f>
        <v>-</v>
      </c>
      <c r="P96" s="1" t="str">
        <f t="shared" ref="P96" si="6592">IF(InfBoo1LevelCurrent&gt;=$B96,"-",IF(InfBoo1LevelDesired&lt;$B96,"-",$D96))</f>
        <v>-</v>
      </c>
      <c r="Q96" s="21" t="str">
        <f t="shared" ref="Q96" si="6593">IF(InfBoo1LevelCurrent&gt;=$B96,"-",IF(InfBoo1LevelDesired&lt;$B96,"-",$E96))</f>
        <v>-</v>
      </c>
      <c r="R96" s="15" t="str">
        <f t="shared" ref="R96" si="6594">IF(LanGog1LevelCurrent&gt;=$B96,"-",IF(LanGog1LevelDesired&lt;$B96,"-",$C96))</f>
        <v>-</v>
      </c>
      <c r="S96" s="1" t="str">
        <f t="shared" ref="S96" si="6595">IF(LanGog1LevelCurrent&gt;=$B96,"-",IF(LanGog1LevelDesired&lt;$B96,"-",$D96))</f>
        <v>-</v>
      </c>
      <c r="T96" s="21" t="str">
        <f t="shared" ref="T96" si="6596">IF(LanGog1LevelCurrent&gt;=$B96,"-",IF(LanGog1LevelDesired&lt;$B96,"-",$E96))</f>
        <v>-</v>
      </c>
      <c r="U96" s="15" t="str">
        <f t="shared" ref="U96" si="6597">IF(LanGlo1LevelCurrent&gt;=$B96,"-",IF(LanGlo1LevelDesired&lt;$B96,"-",$C96))</f>
        <v>-</v>
      </c>
      <c r="V96" s="1" t="str">
        <f t="shared" ref="V96" si="6598">IF(LanGlo1LevelCurrent&gt;=$B96,"-",IF(LanGlo1LevelDesired&lt;$B96,"-",$D96))</f>
        <v>-</v>
      </c>
      <c r="W96" s="21" t="str">
        <f t="shared" ref="W96" si="6599">IF(LanGlo1LevelCurrent&gt;=$B96,"-",IF(LanGlo1LevelDesired&lt;$B96,"-",$E96))</f>
        <v>-</v>
      </c>
      <c r="X96" s="15" t="str">
        <f t="shared" ref="X96" si="6600">IF(LanBel1LevelCurrent&gt;=$B96,"-",IF(LanBel1LevelDesired&lt;$B96,"-",$C96))</f>
        <v>-</v>
      </c>
      <c r="Y96" s="1" t="str">
        <f t="shared" ref="Y96" si="6601">IF(LanBel1LevelCurrent&gt;=$B96,"-",IF(LanBel1LevelDesired&lt;$B96,"-",$D96))</f>
        <v>-</v>
      </c>
      <c r="Z96" s="21" t="str">
        <f t="shared" ref="Z96" si="6602">IF(LanBel1LevelCurrent&gt;=$B96,"-",IF(LanBel1LevelDesired&lt;$B96,"-",$E96))</f>
        <v>-</v>
      </c>
      <c r="AA96" s="15" t="str">
        <f t="shared" ref="AA96" si="6603">IF(LanBoo1LevelCurrent&gt;=$B96,"-",IF(LanBoo1LevelDesired&lt;$B96,"-",$C96))</f>
        <v>-</v>
      </c>
      <c r="AB96" s="1" t="str">
        <f t="shared" ref="AB96" si="6604">IF(LanBoo1LevelCurrent&gt;=$B96,"-",IF(LanBoo1LevelDesired&lt;$B96,"-",$D96))</f>
        <v>-</v>
      </c>
      <c r="AC96" s="21" t="str">
        <f t="shared" ref="AC96" si="6605">IF(LanBoo1LevelCurrent&gt;=$B96,"-",IF(LanBoo1LevelDesired&lt;$B96,"-",$E96))</f>
        <v>-</v>
      </c>
      <c r="AD96" s="15" t="str">
        <f t="shared" ref="AD96" si="6606">IF(MarGog1LevelCurrent&gt;=$B96,"-",IF(MarGog1LevelDesired&lt;$B96,"-",$C96))</f>
        <v>-</v>
      </c>
      <c r="AE96" s="1" t="str">
        <f t="shared" ref="AE96" si="6607">IF(MarGog1LevelCurrent&gt;=$B96,"-",IF(MarGog1LevelDesired&lt;$B96,"-",$D96))</f>
        <v>-</v>
      </c>
      <c r="AF96" s="21" t="str">
        <f t="shared" ref="AF96" si="6608">IF(MarGog1LevelCurrent&gt;=$B96,"-",IF(MarGog1LevelDesired&lt;$B96,"-",$E96))</f>
        <v>-</v>
      </c>
      <c r="AG96" s="15" t="str">
        <f t="shared" ref="AG96" si="6609">IF(MarGlo1LevelCurrent&gt;=$B96,"-",IF(MarGlo1LevelDesired&lt;$B96,"-",$C96))</f>
        <v>-</v>
      </c>
      <c r="AH96" s="1" t="str">
        <f t="shared" ref="AH96" si="6610">IF(MarGlo1LevelCurrent&gt;=$B96,"-",IF(MarGlo1LevelDesired&lt;$B96,"-",$D96))</f>
        <v>-</v>
      </c>
      <c r="AI96" s="21" t="str">
        <f t="shared" ref="AI96" si="6611">IF(MarGlo1LevelCurrent&gt;=$B96,"-",IF(MarGlo1LevelDesired&lt;$B96,"-",$E96))</f>
        <v>-</v>
      </c>
      <c r="AJ96" s="15" t="str">
        <f t="shared" ref="AJ96" si="6612">IF(MarBel1LevelCurrent&gt;=$B96,"-",IF(MarBel1LevelDesired&lt;$B96,"-",$C96))</f>
        <v>-</v>
      </c>
      <c r="AK96" s="1" t="str">
        <f t="shared" ref="AK96" si="6613">IF(MarBel1LevelCurrent&gt;=$B96,"-",IF(MarBel1LevelDesired&lt;$B96,"-",$D96))</f>
        <v>-</v>
      </c>
      <c r="AL96" s="21" t="str">
        <f t="shared" ref="AL96" si="6614">IF(MarBel1LevelCurrent&gt;=$B96,"-",IF(MarBel1LevelDesired&lt;$B96,"-",$E96))</f>
        <v>-</v>
      </c>
      <c r="AM96" s="15" t="str">
        <f t="shared" ref="AM96" si="6615">IF(MarBoo1LevelCurrent&gt;=$B96,"-",IF(MarBoo1LevelDesired&lt;$B96,"-",$C96))</f>
        <v>-</v>
      </c>
      <c r="AN96" s="1" t="str">
        <f t="shared" ref="AN96" si="6616">IF(MarBoo1LevelCurrent&gt;=$B96,"-",IF(MarBoo1LevelDesired&lt;$B96,"-",$D96))</f>
        <v>-</v>
      </c>
      <c r="AO96" s="21" t="str">
        <f t="shared" ref="AO96" si="6617">IF(MarBoo1LevelCurrent&gt;=$B96,"-",IF(MarBoo1LevelDesired&lt;$B96,"-",$E96))</f>
        <v>-</v>
      </c>
      <c r="AP96" s="15" t="str">
        <f t="shared" ref="AP96" si="6618">IF(InfGog2LevelCurrent&gt;=$B96,"-",IF(InfGog2LevelDesired&lt;$B96,"-",$C96))</f>
        <v>-</v>
      </c>
      <c r="AQ96" s="1" t="str">
        <f t="shared" ref="AQ96" si="6619">IF(InfGog2LevelCurrent&gt;=$B96,"-",IF(InfGog2LevelDesired&lt;$B96,"-",$D96))</f>
        <v>-</v>
      </c>
      <c r="AR96" s="21" t="str">
        <f t="shared" ref="AR96" si="6620">IF(InfGog2LevelCurrent&gt;=$B96,"-",IF(InfGog2LevelDesired&lt;$B96,"-",$E96))</f>
        <v>-</v>
      </c>
      <c r="AS96" s="15" t="str">
        <f t="shared" ref="AS96" si="6621">IF(InfGlo2LevelCurrent&gt;=$B96,"-",IF(InfGlo2LevelDesired&lt;$B96,"-",$C96))</f>
        <v>-</v>
      </c>
      <c r="AT96" s="1" t="str">
        <f t="shared" ref="AT96" si="6622">IF(InfGlo2LevelCurrent&gt;=$B96,"-",IF(InfGlo2LevelDesired&lt;$B96,"-",$D96))</f>
        <v>-</v>
      </c>
      <c r="AU96" s="21" t="str">
        <f t="shared" ref="AU96" si="6623">IF(InfGlo2LevelCurrent&gt;=$B96,"-",IF(InfGlo2LevelDesired&lt;$B96,"-",$E96))</f>
        <v>-</v>
      </c>
      <c r="AV96" s="15" t="str">
        <f t="shared" ref="AV96" si="6624">IF(InfBel2LevelCurrent&gt;=$B96,"-",IF(InfBel2LevelDesired&lt;$B96,"-",$C96))</f>
        <v>-</v>
      </c>
      <c r="AW96" s="1" t="str">
        <f t="shared" ref="AW96" si="6625">IF(InfBel2LevelCurrent&gt;=$B96,"-",IF(InfBel2LevelDesired&lt;$B96,"-",$D96))</f>
        <v>-</v>
      </c>
      <c r="AX96" s="21" t="str">
        <f t="shared" ref="AX96" si="6626">IF(InfBel2LevelCurrent&gt;=$B96,"-",IF(InfBel2LevelDesired&lt;$B96,"-",$E96))</f>
        <v>-</v>
      </c>
      <c r="AY96" s="15" t="str">
        <f t="shared" ref="AY96" si="6627">IF(InfBoo2LevelCurrent&gt;=$B96,"-",IF(InfBoo2LevelDesired&lt;$B96,"-",$C96))</f>
        <v>-</v>
      </c>
      <c r="AZ96" s="1" t="str">
        <f t="shared" ref="AZ96" si="6628">IF(InfBoo2LevelCurrent&gt;=$B96,"-",IF(InfBoo2LevelDesired&lt;$B96,"-",$D96))</f>
        <v>-</v>
      </c>
      <c r="BA96" s="21" t="str">
        <f t="shared" ref="BA96" si="6629">IF(InfBoo2LevelCurrent&gt;=$B96,"-",IF(InfBoo2LevelDesired&lt;$B96,"-",$E96))</f>
        <v>-</v>
      </c>
      <c r="BB96" s="15" t="str">
        <f t="shared" ref="BB96" si="6630">IF(LanGog2LevelCurrent&gt;=$B96,"-",IF(LanGog2LevelDesired&lt;$B96,"-",$C96))</f>
        <v>-</v>
      </c>
      <c r="BC96" s="1" t="str">
        <f t="shared" ref="BC96" si="6631">IF(LanGog2LevelCurrent&gt;=$B96,"-",IF(LanGog2LevelDesired&lt;$B96,"-",$D96))</f>
        <v>-</v>
      </c>
      <c r="BD96" s="21" t="str">
        <f t="shared" ref="BD96" si="6632">IF(LanGog2LevelCurrent&gt;=$B96,"-",IF(LanGog2LevelDesired&lt;$B96,"-",$E96))</f>
        <v>-</v>
      </c>
      <c r="BE96" s="15" t="str">
        <f t="shared" ref="BE96" si="6633">IF(LanGlo2LevelCurrent&gt;=$B96,"-",IF(LanGlo2LevelDesired&lt;$B96,"-",$C96))</f>
        <v>-</v>
      </c>
      <c r="BF96" s="1" t="str">
        <f t="shared" ref="BF96" si="6634">IF(LanGlo2LevelCurrent&gt;=$B96,"-",IF(LanGlo2LevelDesired&lt;$B96,"-",$D96))</f>
        <v>-</v>
      </c>
      <c r="BG96" s="21" t="str">
        <f t="shared" ref="BG96" si="6635">IF(LanGlo2LevelCurrent&gt;=$B96,"-",IF(LanGlo2LevelDesired&lt;$B96,"-",$E96))</f>
        <v>-</v>
      </c>
      <c r="BH96" s="15" t="str">
        <f t="shared" ref="BH96" si="6636">IF(LanBel2LevelCurrent&gt;=$B96,"-",IF(LanBel2LevelDesired&lt;$B96,"-",$C96))</f>
        <v>-</v>
      </c>
      <c r="BI96" s="1" t="str">
        <f t="shared" ref="BI96" si="6637">IF(LanBel2LevelCurrent&gt;=$B96,"-",IF(LanBel2LevelDesired&lt;$B96,"-",$D96))</f>
        <v>-</v>
      </c>
      <c r="BJ96" s="21" t="str">
        <f t="shared" ref="BJ96" si="6638">IF(LanBel2LevelCurrent&gt;=$B96,"-",IF(LanBel2LevelDesired&lt;$B96,"-",$E96))</f>
        <v>-</v>
      </c>
      <c r="BK96" s="15" t="str">
        <f t="shared" ref="BK96" si="6639">IF(LanBoo2LevelCurrent&gt;=$B96,"-",IF(LanBoo2LevelDesired&lt;$B96,"-",$C96))</f>
        <v>-</v>
      </c>
      <c r="BL96" s="1" t="str">
        <f t="shared" ref="BL96" si="6640">IF(LanBoo2LevelCurrent&gt;=$B96,"-",IF(LanBoo2LevelDesired&lt;$B96,"-",$D96))</f>
        <v>-</v>
      </c>
      <c r="BM96" s="21" t="str">
        <f t="shared" ref="BM96" si="6641">IF(LanBoo2LevelCurrent&gt;=$B96,"-",IF(LanBoo2LevelDesired&lt;$B96,"-",$E96))</f>
        <v>-</v>
      </c>
      <c r="BN96" s="15" t="str">
        <f t="shared" ref="BN96" si="6642">IF(MarGog2LevelCurrent&gt;=$B96,"-",IF(MarGog2LevelDesired&lt;$B96,"-",$C96))</f>
        <v>-</v>
      </c>
      <c r="BO96" s="1" t="str">
        <f t="shared" ref="BO96" si="6643">IF(MarGog2LevelCurrent&gt;=$B96,"-",IF(MarGog2LevelDesired&lt;$B96,"-",$D96))</f>
        <v>-</v>
      </c>
      <c r="BP96" s="21" t="str">
        <f t="shared" ref="BP96" si="6644">IF(MarGog2LevelCurrent&gt;=$B96,"-",IF(MarGog2LevelDesired&lt;$B96,"-",$E96))</f>
        <v>-</v>
      </c>
      <c r="BQ96" s="15" t="str">
        <f t="shared" ref="BQ96" si="6645">IF(MarGlo2LevelCurrent&gt;=$B96,"-",IF(MarGlo2LevelDesired&lt;$B96,"-",$C96))</f>
        <v>-</v>
      </c>
      <c r="BR96" s="1" t="str">
        <f t="shared" ref="BR96" si="6646">IF(MarGlo2LevelCurrent&gt;=$B96,"-",IF(MarGlo2LevelDesired&lt;$B96,"-",$D96))</f>
        <v>-</v>
      </c>
      <c r="BS96" s="21" t="str">
        <f t="shared" ref="BS96" si="6647">IF(MarGlo2LevelCurrent&gt;=$B96,"-",IF(MarGlo2LevelDesired&lt;$B96,"-",$E96))</f>
        <v>-</v>
      </c>
      <c r="BT96" s="15" t="str">
        <f t="shared" ref="BT96" si="6648">IF(MarBel2LevelCurrent&gt;=$B96,"-",IF(MarBel2LevelDesired&lt;$B96,"-",$C96))</f>
        <v>-</v>
      </c>
      <c r="BU96" s="1" t="str">
        <f t="shared" ref="BU96" si="6649">IF(MarBel2LevelCurrent&gt;=$B96,"-",IF(MarBel2LevelDesired&lt;$B96,"-",$D96))</f>
        <v>-</v>
      </c>
      <c r="BV96" s="21" t="str">
        <f t="shared" ref="BV96" si="6650">IF(MarBel2LevelCurrent&gt;=$B96,"-",IF(MarBel2LevelDesired&lt;$B96,"-",$E96))</f>
        <v>-</v>
      </c>
      <c r="BW96" s="15" t="str">
        <f t="shared" ref="BW96" si="6651">IF(MarBoo2LevelCurrent&gt;=$B96,"-",IF(MarBoo2LevelDesired&lt;$B96,"-",$C96))</f>
        <v>-</v>
      </c>
      <c r="BX96" s="1" t="str">
        <f t="shared" ref="BX96" si="6652">IF(MarBoo2LevelCurrent&gt;=$B96,"-",IF(MarBoo2LevelDesired&lt;$B96,"-",$D96))</f>
        <v>-</v>
      </c>
      <c r="BY96" s="21" t="str">
        <f t="shared" ref="BY96" si="6653">IF(MarBoo2LevelCurrent&gt;=$B96,"-",IF(MarBoo2LevelDesired&lt;$B96,"-",$E96))</f>
        <v>-</v>
      </c>
      <c r="BZ96" s="15" t="str">
        <f t="shared" si="4748"/>
        <v>-</v>
      </c>
      <c r="CA96" s="1" t="str" cm="1">
        <f t="array" ref="CA96">IF(InfGog3LevelCurrent&gt;=$B96,"-",IF(InfGog3LevelDesired&lt;$B96,"-",$D96))</f>
        <v>-</v>
      </c>
      <c r="CB96" s="21" t="str" cm="1">
        <f t="array" ref="CB96">IF(InfGog3LevelCurrent&gt;=$B96,"-",IF(InfGog3LevelDesired&lt;$B96,"-",$E96))</f>
        <v>-</v>
      </c>
      <c r="CC96" s="15">
        <f t="shared" si="4749"/>
        <v>1950</v>
      </c>
      <c r="CD96" s="1" t="str">
        <f t="shared" si="4750"/>
        <v>-</v>
      </c>
      <c r="CE96" s="21" t="str">
        <f t="shared" si="4751"/>
        <v>-</v>
      </c>
      <c r="CF96" s="15">
        <f t="shared" si="4752"/>
        <v>1950</v>
      </c>
      <c r="CG96" s="1" t="str">
        <f t="shared" si="4753"/>
        <v>-</v>
      </c>
      <c r="CH96" s="21" t="str">
        <f t="shared" si="4754"/>
        <v>-</v>
      </c>
      <c r="CI96" s="15" t="str">
        <f t="shared" si="4755"/>
        <v>-</v>
      </c>
      <c r="CJ96" s="1" t="str">
        <f t="shared" si="4756"/>
        <v>-</v>
      </c>
      <c r="CK96" s="21" t="str">
        <f t="shared" si="4757"/>
        <v>-</v>
      </c>
      <c r="CL96" s="15" t="str">
        <f t="shared" si="4758"/>
        <v>-</v>
      </c>
      <c r="CM96" s="1" t="str">
        <f t="shared" si="4759"/>
        <v>-</v>
      </c>
      <c r="CN96" s="21" t="str">
        <f t="shared" si="4760"/>
        <v>-</v>
      </c>
      <c r="CO96" s="15" t="str">
        <f t="shared" si="4761"/>
        <v>-</v>
      </c>
      <c r="CP96" s="1" t="str">
        <f t="shared" si="4762"/>
        <v>-</v>
      </c>
      <c r="CQ96" s="21" t="str">
        <f t="shared" si="4763"/>
        <v>-</v>
      </c>
      <c r="CR96" s="15" t="str">
        <f t="shared" si="4764"/>
        <v>-</v>
      </c>
      <c r="CS96" s="1" t="str">
        <f t="shared" si="4765"/>
        <v>-</v>
      </c>
      <c r="CT96" s="21" t="str">
        <f t="shared" si="4766"/>
        <v>-</v>
      </c>
      <c r="CU96" s="15" t="str">
        <f t="shared" si="4767"/>
        <v>-</v>
      </c>
      <c r="CV96" s="1" t="str">
        <f t="shared" si="4768"/>
        <v>-</v>
      </c>
      <c r="CW96" s="21" t="str">
        <f t="shared" si="4769"/>
        <v>-</v>
      </c>
      <c r="CX96" s="15">
        <f t="shared" si="4770"/>
        <v>1950</v>
      </c>
      <c r="CY96" s="1" t="str">
        <f t="shared" si="4771"/>
        <v>-</v>
      </c>
      <c r="CZ96" s="21" t="str">
        <f t="shared" si="4772"/>
        <v>-</v>
      </c>
      <c r="DA96" s="15" t="str">
        <f t="shared" si="4773"/>
        <v>-</v>
      </c>
      <c r="DB96" s="1" t="str">
        <f t="shared" si="4774"/>
        <v>-</v>
      </c>
      <c r="DC96" s="21" t="str">
        <f t="shared" si="4775"/>
        <v>-</v>
      </c>
      <c r="DD96" s="15" t="str">
        <f t="shared" si="4776"/>
        <v>-</v>
      </c>
      <c r="DE96" s="1" t="str">
        <f t="shared" si="4777"/>
        <v>-</v>
      </c>
      <c r="DF96" s="21" t="str">
        <f t="shared" si="4778"/>
        <v>-</v>
      </c>
      <c r="DG96" s="15">
        <f t="shared" si="4779"/>
        <v>1950</v>
      </c>
      <c r="DH96" s="1" t="str">
        <f t="shared" si="4780"/>
        <v>-</v>
      </c>
      <c r="DI96" s="21" t="str">
        <f t="shared" si="4781"/>
        <v>-</v>
      </c>
    </row>
    <row r="97" spans="2:113" x14ac:dyDescent="0.3">
      <c r="B97" s="1">
        <v>92</v>
      </c>
      <c r="C97" s="67">
        <v>2000</v>
      </c>
      <c r="D97" s="88" t="s">
        <v>27</v>
      </c>
      <c r="E97" s="21" t="s">
        <v>27</v>
      </c>
      <c r="F97" s="15" t="str">
        <f t="shared" ref="F97" si="6654">IF(InfGog1LevelCurrent&gt;=$B97,"-",IF(InfGog1LevelDesired&lt;$B97,"-",$C97))</f>
        <v>-</v>
      </c>
      <c r="G97" s="1" t="str">
        <f t="shared" ref="G97" si="6655">IF(InfGog1LevelCurrent&gt;=$B97,"-",IF(InfGog1LevelDesired&lt;$B97,"-",$D97))</f>
        <v>-</v>
      </c>
      <c r="H97" s="21" t="str">
        <f t="shared" ref="H97" si="6656">IF(InfGog1LevelCurrent&gt;=$B97,"-",IF(InfGog1LevelDesired&lt;$B97,"-",$E97))</f>
        <v>-</v>
      </c>
      <c r="I97" s="15" t="str">
        <f t="shared" ref="I97" si="6657">IF(InfGlo1LevelCurrent&gt;=$B97,"-",IF(InfGlo1LevelDesired&lt;$B97,"-",$C97))</f>
        <v>-</v>
      </c>
      <c r="J97" s="1" t="str">
        <f t="shared" ref="J97" si="6658">IF(InfGlo1LevelCurrent&gt;=$B97,"-",IF(InfGlo1LevelDesired&lt;$B97,"-",$D97))</f>
        <v>-</v>
      </c>
      <c r="K97" s="21" t="str">
        <f t="shared" ref="K97" si="6659">IF(InfGlo1LevelCurrent&gt;=$B97,"-",IF(InfGlo1LevelDesired&lt;$B97,"-",$E97))</f>
        <v>-</v>
      </c>
      <c r="L97" s="15" t="str">
        <f t="shared" ref="L97" si="6660">IF(InfBel1LevelCurrent&gt;=$B97,"-",IF(InfBel1LevelDesired&lt;$B97,"-",$C97))</f>
        <v>-</v>
      </c>
      <c r="M97" s="1" t="str">
        <f t="shared" ref="M97" si="6661">IF(InfBel1LevelCurrent&gt;=$B97,"-",IF(InfBel1LevelDesired&lt;$B97,"-",$D97))</f>
        <v>-</v>
      </c>
      <c r="N97" s="21" t="str">
        <f t="shared" ref="N97" si="6662">IF(InfBel1LevelCurrent&gt;=$B97,"-",IF(InfBel1LevelDesired&lt;$B97,"-",$E97))</f>
        <v>-</v>
      </c>
      <c r="O97" s="15" t="str">
        <f t="shared" ref="O97" si="6663">IF(InfBoo1LevelCurrent&gt;=$B97,"-",IF(InfBoo1LevelDesired&lt;$B97,"-",$C97))</f>
        <v>-</v>
      </c>
      <c r="P97" s="1" t="str">
        <f t="shared" ref="P97" si="6664">IF(InfBoo1LevelCurrent&gt;=$B97,"-",IF(InfBoo1LevelDesired&lt;$B97,"-",$D97))</f>
        <v>-</v>
      </c>
      <c r="Q97" s="21" t="str">
        <f t="shared" ref="Q97" si="6665">IF(InfBoo1LevelCurrent&gt;=$B97,"-",IF(InfBoo1LevelDesired&lt;$B97,"-",$E97))</f>
        <v>-</v>
      </c>
      <c r="R97" s="15" t="str">
        <f t="shared" ref="R97" si="6666">IF(LanGog1LevelCurrent&gt;=$B97,"-",IF(LanGog1LevelDesired&lt;$B97,"-",$C97))</f>
        <v>-</v>
      </c>
      <c r="S97" s="1" t="str">
        <f t="shared" ref="S97" si="6667">IF(LanGog1LevelCurrent&gt;=$B97,"-",IF(LanGog1LevelDesired&lt;$B97,"-",$D97))</f>
        <v>-</v>
      </c>
      <c r="T97" s="21" t="str">
        <f t="shared" ref="T97" si="6668">IF(LanGog1LevelCurrent&gt;=$B97,"-",IF(LanGog1LevelDesired&lt;$B97,"-",$E97))</f>
        <v>-</v>
      </c>
      <c r="U97" s="15" t="str">
        <f t="shared" ref="U97" si="6669">IF(LanGlo1LevelCurrent&gt;=$B97,"-",IF(LanGlo1LevelDesired&lt;$B97,"-",$C97))</f>
        <v>-</v>
      </c>
      <c r="V97" s="1" t="str">
        <f t="shared" ref="V97" si="6670">IF(LanGlo1LevelCurrent&gt;=$B97,"-",IF(LanGlo1LevelDesired&lt;$B97,"-",$D97))</f>
        <v>-</v>
      </c>
      <c r="W97" s="21" t="str">
        <f t="shared" ref="W97" si="6671">IF(LanGlo1LevelCurrent&gt;=$B97,"-",IF(LanGlo1LevelDesired&lt;$B97,"-",$E97))</f>
        <v>-</v>
      </c>
      <c r="X97" s="15" t="str">
        <f t="shared" ref="X97" si="6672">IF(LanBel1LevelCurrent&gt;=$B97,"-",IF(LanBel1LevelDesired&lt;$B97,"-",$C97))</f>
        <v>-</v>
      </c>
      <c r="Y97" s="1" t="str">
        <f t="shared" ref="Y97" si="6673">IF(LanBel1LevelCurrent&gt;=$B97,"-",IF(LanBel1LevelDesired&lt;$B97,"-",$D97))</f>
        <v>-</v>
      </c>
      <c r="Z97" s="21" t="str">
        <f t="shared" ref="Z97" si="6674">IF(LanBel1LevelCurrent&gt;=$B97,"-",IF(LanBel1LevelDesired&lt;$B97,"-",$E97))</f>
        <v>-</v>
      </c>
      <c r="AA97" s="15" t="str">
        <f t="shared" ref="AA97" si="6675">IF(LanBoo1LevelCurrent&gt;=$B97,"-",IF(LanBoo1LevelDesired&lt;$B97,"-",$C97))</f>
        <v>-</v>
      </c>
      <c r="AB97" s="1" t="str">
        <f t="shared" ref="AB97" si="6676">IF(LanBoo1LevelCurrent&gt;=$B97,"-",IF(LanBoo1LevelDesired&lt;$B97,"-",$D97))</f>
        <v>-</v>
      </c>
      <c r="AC97" s="21" t="str">
        <f t="shared" ref="AC97" si="6677">IF(LanBoo1LevelCurrent&gt;=$B97,"-",IF(LanBoo1LevelDesired&lt;$B97,"-",$E97))</f>
        <v>-</v>
      </c>
      <c r="AD97" s="15" t="str">
        <f t="shared" ref="AD97" si="6678">IF(MarGog1LevelCurrent&gt;=$B97,"-",IF(MarGog1LevelDesired&lt;$B97,"-",$C97))</f>
        <v>-</v>
      </c>
      <c r="AE97" s="1" t="str">
        <f t="shared" ref="AE97" si="6679">IF(MarGog1LevelCurrent&gt;=$B97,"-",IF(MarGog1LevelDesired&lt;$B97,"-",$D97))</f>
        <v>-</v>
      </c>
      <c r="AF97" s="21" t="str">
        <f t="shared" ref="AF97" si="6680">IF(MarGog1LevelCurrent&gt;=$B97,"-",IF(MarGog1LevelDesired&lt;$B97,"-",$E97))</f>
        <v>-</v>
      </c>
      <c r="AG97" s="15" t="str">
        <f t="shared" ref="AG97" si="6681">IF(MarGlo1LevelCurrent&gt;=$B97,"-",IF(MarGlo1LevelDesired&lt;$B97,"-",$C97))</f>
        <v>-</v>
      </c>
      <c r="AH97" s="1" t="str">
        <f t="shared" ref="AH97" si="6682">IF(MarGlo1LevelCurrent&gt;=$B97,"-",IF(MarGlo1LevelDesired&lt;$B97,"-",$D97))</f>
        <v>-</v>
      </c>
      <c r="AI97" s="21" t="str">
        <f t="shared" ref="AI97" si="6683">IF(MarGlo1LevelCurrent&gt;=$B97,"-",IF(MarGlo1LevelDesired&lt;$B97,"-",$E97))</f>
        <v>-</v>
      </c>
      <c r="AJ97" s="15" t="str">
        <f t="shared" ref="AJ97" si="6684">IF(MarBel1LevelCurrent&gt;=$B97,"-",IF(MarBel1LevelDesired&lt;$B97,"-",$C97))</f>
        <v>-</v>
      </c>
      <c r="AK97" s="1" t="str">
        <f t="shared" ref="AK97" si="6685">IF(MarBel1LevelCurrent&gt;=$B97,"-",IF(MarBel1LevelDesired&lt;$B97,"-",$D97))</f>
        <v>-</v>
      </c>
      <c r="AL97" s="21" t="str">
        <f t="shared" ref="AL97" si="6686">IF(MarBel1LevelCurrent&gt;=$B97,"-",IF(MarBel1LevelDesired&lt;$B97,"-",$E97))</f>
        <v>-</v>
      </c>
      <c r="AM97" s="15" t="str">
        <f t="shared" ref="AM97" si="6687">IF(MarBoo1LevelCurrent&gt;=$B97,"-",IF(MarBoo1LevelDesired&lt;$B97,"-",$C97))</f>
        <v>-</v>
      </c>
      <c r="AN97" s="1" t="str">
        <f t="shared" ref="AN97" si="6688">IF(MarBoo1LevelCurrent&gt;=$B97,"-",IF(MarBoo1LevelDesired&lt;$B97,"-",$D97))</f>
        <v>-</v>
      </c>
      <c r="AO97" s="21" t="str">
        <f t="shared" ref="AO97" si="6689">IF(MarBoo1LevelCurrent&gt;=$B97,"-",IF(MarBoo1LevelDesired&lt;$B97,"-",$E97))</f>
        <v>-</v>
      </c>
      <c r="AP97" s="15" t="str">
        <f t="shared" ref="AP97" si="6690">IF(InfGog2LevelCurrent&gt;=$B97,"-",IF(InfGog2LevelDesired&lt;$B97,"-",$C97))</f>
        <v>-</v>
      </c>
      <c r="AQ97" s="1" t="str">
        <f t="shared" ref="AQ97" si="6691">IF(InfGog2LevelCurrent&gt;=$B97,"-",IF(InfGog2LevelDesired&lt;$B97,"-",$D97))</f>
        <v>-</v>
      </c>
      <c r="AR97" s="21" t="str">
        <f t="shared" ref="AR97" si="6692">IF(InfGog2LevelCurrent&gt;=$B97,"-",IF(InfGog2LevelDesired&lt;$B97,"-",$E97))</f>
        <v>-</v>
      </c>
      <c r="AS97" s="15" t="str">
        <f t="shared" ref="AS97" si="6693">IF(InfGlo2LevelCurrent&gt;=$B97,"-",IF(InfGlo2LevelDesired&lt;$B97,"-",$C97))</f>
        <v>-</v>
      </c>
      <c r="AT97" s="1" t="str">
        <f t="shared" ref="AT97" si="6694">IF(InfGlo2LevelCurrent&gt;=$B97,"-",IF(InfGlo2LevelDesired&lt;$B97,"-",$D97))</f>
        <v>-</v>
      </c>
      <c r="AU97" s="21" t="str">
        <f t="shared" ref="AU97" si="6695">IF(InfGlo2LevelCurrent&gt;=$B97,"-",IF(InfGlo2LevelDesired&lt;$B97,"-",$E97))</f>
        <v>-</v>
      </c>
      <c r="AV97" s="15" t="str">
        <f t="shared" ref="AV97" si="6696">IF(InfBel2LevelCurrent&gt;=$B97,"-",IF(InfBel2LevelDesired&lt;$B97,"-",$C97))</f>
        <v>-</v>
      </c>
      <c r="AW97" s="1" t="str">
        <f t="shared" ref="AW97" si="6697">IF(InfBel2LevelCurrent&gt;=$B97,"-",IF(InfBel2LevelDesired&lt;$B97,"-",$D97))</f>
        <v>-</v>
      </c>
      <c r="AX97" s="21" t="str">
        <f t="shared" ref="AX97" si="6698">IF(InfBel2LevelCurrent&gt;=$B97,"-",IF(InfBel2LevelDesired&lt;$B97,"-",$E97))</f>
        <v>-</v>
      </c>
      <c r="AY97" s="15" t="str">
        <f t="shared" ref="AY97" si="6699">IF(InfBoo2LevelCurrent&gt;=$B97,"-",IF(InfBoo2LevelDesired&lt;$B97,"-",$C97))</f>
        <v>-</v>
      </c>
      <c r="AZ97" s="1" t="str">
        <f t="shared" ref="AZ97" si="6700">IF(InfBoo2LevelCurrent&gt;=$B97,"-",IF(InfBoo2LevelDesired&lt;$B97,"-",$D97))</f>
        <v>-</v>
      </c>
      <c r="BA97" s="21" t="str">
        <f t="shared" ref="BA97" si="6701">IF(InfBoo2LevelCurrent&gt;=$B97,"-",IF(InfBoo2LevelDesired&lt;$B97,"-",$E97))</f>
        <v>-</v>
      </c>
      <c r="BB97" s="15" t="str">
        <f t="shared" ref="BB97" si="6702">IF(LanGog2LevelCurrent&gt;=$B97,"-",IF(LanGog2LevelDesired&lt;$B97,"-",$C97))</f>
        <v>-</v>
      </c>
      <c r="BC97" s="1" t="str">
        <f t="shared" ref="BC97" si="6703">IF(LanGog2LevelCurrent&gt;=$B97,"-",IF(LanGog2LevelDesired&lt;$B97,"-",$D97))</f>
        <v>-</v>
      </c>
      <c r="BD97" s="21" t="str">
        <f t="shared" ref="BD97" si="6704">IF(LanGog2LevelCurrent&gt;=$B97,"-",IF(LanGog2LevelDesired&lt;$B97,"-",$E97))</f>
        <v>-</v>
      </c>
      <c r="BE97" s="15" t="str">
        <f t="shared" ref="BE97" si="6705">IF(LanGlo2LevelCurrent&gt;=$B97,"-",IF(LanGlo2LevelDesired&lt;$B97,"-",$C97))</f>
        <v>-</v>
      </c>
      <c r="BF97" s="1" t="str">
        <f t="shared" ref="BF97" si="6706">IF(LanGlo2LevelCurrent&gt;=$B97,"-",IF(LanGlo2LevelDesired&lt;$B97,"-",$D97))</f>
        <v>-</v>
      </c>
      <c r="BG97" s="21" t="str">
        <f t="shared" ref="BG97" si="6707">IF(LanGlo2LevelCurrent&gt;=$B97,"-",IF(LanGlo2LevelDesired&lt;$B97,"-",$E97))</f>
        <v>-</v>
      </c>
      <c r="BH97" s="15" t="str">
        <f t="shared" ref="BH97" si="6708">IF(LanBel2LevelCurrent&gt;=$B97,"-",IF(LanBel2LevelDesired&lt;$B97,"-",$C97))</f>
        <v>-</v>
      </c>
      <c r="BI97" s="1" t="str">
        <f t="shared" ref="BI97" si="6709">IF(LanBel2LevelCurrent&gt;=$B97,"-",IF(LanBel2LevelDesired&lt;$B97,"-",$D97))</f>
        <v>-</v>
      </c>
      <c r="BJ97" s="21" t="str">
        <f t="shared" ref="BJ97" si="6710">IF(LanBel2LevelCurrent&gt;=$B97,"-",IF(LanBel2LevelDesired&lt;$B97,"-",$E97))</f>
        <v>-</v>
      </c>
      <c r="BK97" s="15" t="str">
        <f t="shared" ref="BK97" si="6711">IF(LanBoo2LevelCurrent&gt;=$B97,"-",IF(LanBoo2LevelDesired&lt;$B97,"-",$C97))</f>
        <v>-</v>
      </c>
      <c r="BL97" s="1" t="str">
        <f t="shared" ref="BL97" si="6712">IF(LanBoo2LevelCurrent&gt;=$B97,"-",IF(LanBoo2LevelDesired&lt;$B97,"-",$D97))</f>
        <v>-</v>
      </c>
      <c r="BM97" s="21" t="str">
        <f t="shared" ref="BM97" si="6713">IF(LanBoo2LevelCurrent&gt;=$B97,"-",IF(LanBoo2LevelDesired&lt;$B97,"-",$E97))</f>
        <v>-</v>
      </c>
      <c r="BN97" s="15" t="str">
        <f t="shared" ref="BN97" si="6714">IF(MarGog2LevelCurrent&gt;=$B97,"-",IF(MarGog2LevelDesired&lt;$B97,"-",$C97))</f>
        <v>-</v>
      </c>
      <c r="BO97" s="1" t="str">
        <f t="shared" ref="BO97" si="6715">IF(MarGog2LevelCurrent&gt;=$B97,"-",IF(MarGog2LevelDesired&lt;$B97,"-",$D97))</f>
        <v>-</v>
      </c>
      <c r="BP97" s="21" t="str">
        <f t="shared" ref="BP97" si="6716">IF(MarGog2LevelCurrent&gt;=$B97,"-",IF(MarGog2LevelDesired&lt;$B97,"-",$E97))</f>
        <v>-</v>
      </c>
      <c r="BQ97" s="15" t="str">
        <f t="shared" ref="BQ97" si="6717">IF(MarGlo2LevelCurrent&gt;=$B97,"-",IF(MarGlo2LevelDesired&lt;$B97,"-",$C97))</f>
        <v>-</v>
      </c>
      <c r="BR97" s="1" t="str">
        <f t="shared" ref="BR97" si="6718">IF(MarGlo2LevelCurrent&gt;=$B97,"-",IF(MarGlo2LevelDesired&lt;$B97,"-",$D97))</f>
        <v>-</v>
      </c>
      <c r="BS97" s="21" t="str">
        <f t="shared" ref="BS97" si="6719">IF(MarGlo2LevelCurrent&gt;=$B97,"-",IF(MarGlo2LevelDesired&lt;$B97,"-",$E97))</f>
        <v>-</v>
      </c>
      <c r="BT97" s="15" t="str">
        <f t="shared" ref="BT97" si="6720">IF(MarBel2LevelCurrent&gt;=$B97,"-",IF(MarBel2LevelDesired&lt;$B97,"-",$C97))</f>
        <v>-</v>
      </c>
      <c r="BU97" s="1" t="str">
        <f t="shared" ref="BU97" si="6721">IF(MarBel2LevelCurrent&gt;=$B97,"-",IF(MarBel2LevelDesired&lt;$B97,"-",$D97))</f>
        <v>-</v>
      </c>
      <c r="BV97" s="21" t="str">
        <f t="shared" ref="BV97" si="6722">IF(MarBel2LevelCurrent&gt;=$B97,"-",IF(MarBel2LevelDesired&lt;$B97,"-",$E97))</f>
        <v>-</v>
      </c>
      <c r="BW97" s="15" t="str">
        <f t="shared" ref="BW97" si="6723">IF(MarBoo2LevelCurrent&gt;=$B97,"-",IF(MarBoo2LevelDesired&lt;$B97,"-",$C97))</f>
        <v>-</v>
      </c>
      <c r="BX97" s="1" t="str">
        <f t="shared" ref="BX97" si="6724">IF(MarBoo2LevelCurrent&gt;=$B97,"-",IF(MarBoo2LevelDesired&lt;$B97,"-",$D97))</f>
        <v>-</v>
      </c>
      <c r="BY97" s="21" t="str">
        <f t="shared" ref="BY97" si="6725">IF(MarBoo2LevelCurrent&gt;=$B97,"-",IF(MarBoo2LevelDesired&lt;$B97,"-",$E97))</f>
        <v>-</v>
      </c>
      <c r="BZ97" s="15" t="str">
        <f t="shared" si="4748"/>
        <v>-</v>
      </c>
      <c r="CA97" s="1" t="str" cm="1">
        <f t="array" ref="CA97">IF(InfGog3LevelCurrent&gt;=$B97,"-",IF(InfGog3LevelDesired&lt;$B97,"-",$D97))</f>
        <v>-</v>
      </c>
      <c r="CB97" s="21" t="str" cm="1">
        <f t="array" ref="CB97">IF(InfGog3LevelCurrent&gt;=$B97,"-",IF(InfGog3LevelDesired&lt;$B97,"-",$E97))</f>
        <v>-</v>
      </c>
      <c r="CC97" s="15">
        <f t="shared" si="4749"/>
        <v>2000</v>
      </c>
      <c r="CD97" s="1" t="str">
        <f t="shared" si="4750"/>
        <v>-</v>
      </c>
      <c r="CE97" s="21" t="str">
        <f t="shared" si="4751"/>
        <v>-</v>
      </c>
      <c r="CF97" s="15">
        <f t="shared" si="4752"/>
        <v>2000</v>
      </c>
      <c r="CG97" s="1" t="str">
        <f t="shared" si="4753"/>
        <v>-</v>
      </c>
      <c r="CH97" s="21" t="str">
        <f t="shared" si="4754"/>
        <v>-</v>
      </c>
      <c r="CI97" s="15" t="str">
        <f t="shared" si="4755"/>
        <v>-</v>
      </c>
      <c r="CJ97" s="1" t="str">
        <f t="shared" si="4756"/>
        <v>-</v>
      </c>
      <c r="CK97" s="21" t="str">
        <f t="shared" si="4757"/>
        <v>-</v>
      </c>
      <c r="CL97" s="15" t="str">
        <f t="shared" si="4758"/>
        <v>-</v>
      </c>
      <c r="CM97" s="1" t="str">
        <f t="shared" si="4759"/>
        <v>-</v>
      </c>
      <c r="CN97" s="21" t="str">
        <f t="shared" si="4760"/>
        <v>-</v>
      </c>
      <c r="CO97" s="15" t="str">
        <f t="shared" si="4761"/>
        <v>-</v>
      </c>
      <c r="CP97" s="1" t="str">
        <f t="shared" si="4762"/>
        <v>-</v>
      </c>
      <c r="CQ97" s="21" t="str">
        <f t="shared" si="4763"/>
        <v>-</v>
      </c>
      <c r="CR97" s="15" t="str">
        <f t="shared" si="4764"/>
        <v>-</v>
      </c>
      <c r="CS97" s="1" t="str">
        <f t="shared" si="4765"/>
        <v>-</v>
      </c>
      <c r="CT97" s="21" t="str">
        <f t="shared" si="4766"/>
        <v>-</v>
      </c>
      <c r="CU97" s="15" t="str">
        <f t="shared" si="4767"/>
        <v>-</v>
      </c>
      <c r="CV97" s="1" t="str">
        <f t="shared" si="4768"/>
        <v>-</v>
      </c>
      <c r="CW97" s="21" t="str">
        <f t="shared" si="4769"/>
        <v>-</v>
      </c>
      <c r="CX97" s="15">
        <f t="shared" si="4770"/>
        <v>2000</v>
      </c>
      <c r="CY97" s="1" t="str">
        <f t="shared" si="4771"/>
        <v>-</v>
      </c>
      <c r="CZ97" s="21" t="str">
        <f t="shared" si="4772"/>
        <v>-</v>
      </c>
      <c r="DA97" s="15" t="str">
        <f t="shared" si="4773"/>
        <v>-</v>
      </c>
      <c r="DB97" s="1" t="str">
        <f t="shared" si="4774"/>
        <v>-</v>
      </c>
      <c r="DC97" s="21" t="str">
        <f t="shared" si="4775"/>
        <v>-</v>
      </c>
      <c r="DD97" s="15" t="str">
        <f t="shared" si="4776"/>
        <v>-</v>
      </c>
      <c r="DE97" s="1" t="str">
        <f t="shared" si="4777"/>
        <v>-</v>
      </c>
      <c r="DF97" s="21" t="str">
        <f t="shared" si="4778"/>
        <v>-</v>
      </c>
      <c r="DG97" s="15">
        <f t="shared" si="4779"/>
        <v>2000</v>
      </c>
      <c r="DH97" s="1" t="str">
        <f t="shared" si="4780"/>
        <v>-</v>
      </c>
      <c r="DI97" s="21" t="str">
        <f t="shared" si="4781"/>
        <v>-</v>
      </c>
    </row>
    <row r="98" spans="2:113" x14ac:dyDescent="0.3">
      <c r="B98" s="1">
        <v>93</v>
      </c>
      <c r="C98" s="67">
        <v>2050</v>
      </c>
      <c r="D98" s="88" t="s">
        <v>27</v>
      </c>
      <c r="E98" s="21" t="s">
        <v>27</v>
      </c>
      <c r="F98" s="15" t="str">
        <f t="shared" ref="F98" si="6726">IF(InfGog1LevelCurrent&gt;=$B98,"-",IF(InfGog1LevelDesired&lt;$B98,"-",$C98))</f>
        <v>-</v>
      </c>
      <c r="G98" s="1" t="str">
        <f t="shared" ref="G98" si="6727">IF(InfGog1LevelCurrent&gt;=$B98,"-",IF(InfGog1LevelDesired&lt;$B98,"-",$D98))</f>
        <v>-</v>
      </c>
      <c r="H98" s="21" t="str">
        <f t="shared" ref="H98" si="6728">IF(InfGog1LevelCurrent&gt;=$B98,"-",IF(InfGog1LevelDesired&lt;$B98,"-",$E98))</f>
        <v>-</v>
      </c>
      <c r="I98" s="15" t="str">
        <f t="shared" ref="I98" si="6729">IF(InfGlo1LevelCurrent&gt;=$B98,"-",IF(InfGlo1LevelDesired&lt;$B98,"-",$C98))</f>
        <v>-</v>
      </c>
      <c r="J98" s="1" t="str">
        <f t="shared" ref="J98" si="6730">IF(InfGlo1LevelCurrent&gt;=$B98,"-",IF(InfGlo1LevelDesired&lt;$B98,"-",$D98))</f>
        <v>-</v>
      </c>
      <c r="K98" s="21" t="str">
        <f t="shared" ref="K98" si="6731">IF(InfGlo1LevelCurrent&gt;=$B98,"-",IF(InfGlo1LevelDesired&lt;$B98,"-",$E98))</f>
        <v>-</v>
      </c>
      <c r="L98" s="15" t="str">
        <f t="shared" ref="L98" si="6732">IF(InfBel1LevelCurrent&gt;=$B98,"-",IF(InfBel1LevelDesired&lt;$B98,"-",$C98))</f>
        <v>-</v>
      </c>
      <c r="M98" s="1" t="str">
        <f t="shared" ref="M98" si="6733">IF(InfBel1LevelCurrent&gt;=$B98,"-",IF(InfBel1LevelDesired&lt;$B98,"-",$D98))</f>
        <v>-</v>
      </c>
      <c r="N98" s="21" t="str">
        <f t="shared" ref="N98" si="6734">IF(InfBel1LevelCurrent&gt;=$B98,"-",IF(InfBel1LevelDesired&lt;$B98,"-",$E98))</f>
        <v>-</v>
      </c>
      <c r="O98" s="15" t="str">
        <f t="shared" ref="O98" si="6735">IF(InfBoo1LevelCurrent&gt;=$B98,"-",IF(InfBoo1LevelDesired&lt;$B98,"-",$C98))</f>
        <v>-</v>
      </c>
      <c r="P98" s="1" t="str">
        <f t="shared" ref="P98" si="6736">IF(InfBoo1LevelCurrent&gt;=$B98,"-",IF(InfBoo1LevelDesired&lt;$B98,"-",$D98))</f>
        <v>-</v>
      </c>
      <c r="Q98" s="21" t="str">
        <f t="shared" ref="Q98" si="6737">IF(InfBoo1LevelCurrent&gt;=$B98,"-",IF(InfBoo1LevelDesired&lt;$B98,"-",$E98))</f>
        <v>-</v>
      </c>
      <c r="R98" s="15" t="str">
        <f t="shared" ref="R98" si="6738">IF(LanGog1LevelCurrent&gt;=$B98,"-",IF(LanGog1LevelDesired&lt;$B98,"-",$C98))</f>
        <v>-</v>
      </c>
      <c r="S98" s="1" t="str">
        <f t="shared" ref="S98" si="6739">IF(LanGog1LevelCurrent&gt;=$B98,"-",IF(LanGog1LevelDesired&lt;$B98,"-",$D98))</f>
        <v>-</v>
      </c>
      <c r="T98" s="21" t="str">
        <f t="shared" ref="T98" si="6740">IF(LanGog1LevelCurrent&gt;=$B98,"-",IF(LanGog1LevelDesired&lt;$B98,"-",$E98))</f>
        <v>-</v>
      </c>
      <c r="U98" s="15" t="str">
        <f t="shared" ref="U98" si="6741">IF(LanGlo1LevelCurrent&gt;=$B98,"-",IF(LanGlo1LevelDesired&lt;$B98,"-",$C98))</f>
        <v>-</v>
      </c>
      <c r="V98" s="1" t="str">
        <f t="shared" ref="V98" si="6742">IF(LanGlo1LevelCurrent&gt;=$B98,"-",IF(LanGlo1LevelDesired&lt;$B98,"-",$D98))</f>
        <v>-</v>
      </c>
      <c r="W98" s="21" t="str">
        <f t="shared" ref="W98" si="6743">IF(LanGlo1LevelCurrent&gt;=$B98,"-",IF(LanGlo1LevelDesired&lt;$B98,"-",$E98))</f>
        <v>-</v>
      </c>
      <c r="X98" s="15" t="str">
        <f t="shared" ref="X98" si="6744">IF(LanBel1LevelCurrent&gt;=$B98,"-",IF(LanBel1LevelDesired&lt;$B98,"-",$C98))</f>
        <v>-</v>
      </c>
      <c r="Y98" s="1" t="str">
        <f t="shared" ref="Y98" si="6745">IF(LanBel1LevelCurrent&gt;=$B98,"-",IF(LanBel1LevelDesired&lt;$B98,"-",$D98))</f>
        <v>-</v>
      </c>
      <c r="Z98" s="21" t="str">
        <f t="shared" ref="Z98" si="6746">IF(LanBel1LevelCurrent&gt;=$B98,"-",IF(LanBel1LevelDesired&lt;$B98,"-",$E98))</f>
        <v>-</v>
      </c>
      <c r="AA98" s="15" t="str">
        <f t="shared" ref="AA98" si="6747">IF(LanBoo1LevelCurrent&gt;=$B98,"-",IF(LanBoo1LevelDesired&lt;$B98,"-",$C98))</f>
        <v>-</v>
      </c>
      <c r="AB98" s="1" t="str">
        <f t="shared" ref="AB98" si="6748">IF(LanBoo1LevelCurrent&gt;=$B98,"-",IF(LanBoo1LevelDesired&lt;$B98,"-",$D98))</f>
        <v>-</v>
      </c>
      <c r="AC98" s="21" t="str">
        <f t="shared" ref="AC98" si="6749">IF(LanBoo1LevelCurrent&gt;=$B98,"-",IF(LanBoo1LevelDesired&lt;$B98,"-",$E98))</f>
        <v>-</v>
      </c>
      <c r="AD98" s="15" t="str">
        <f t="shared" ref="AD98" si="6750">IF(MarGog1LevelCurrent&gt;=$B98,"-",IF(MarGog1LevelDesired&lt;$B98,"-",$C98))</f>
        <v>-</v>
      </c>
      <c r="AE98" s="1" t="str">
        <f t="shared" ref="AE98" si="6751">IF(MarGog1LevelCurrent&gt;=$B98,"-",IF(MarGog1LevelDesired&lt;$B98,"-",$D98))</f>
        <v>-</v>
      </c>
      <c r="AF98" s="21" t="str">
        <f t="shared" ref="AF98" si="6752">IF(MarGog1LevelCurrent&gt;=$B98,"-",IF(MarGog1LevelDesired&lt;$B98,"-",$E98))</f>
        <v>-</v>
      </c>
      <c r="AG98" s="15" t="str">
        <f t="shared" ref="AG98" si="6753">IF(MarGlo1LevelCurrent&gt;=$B98,"-",IF(MarGlo1LevelDesired&lt;$B98,"-",$C98))</f>
        <v>-</v>
      </c>
      <c r="AH98" s="1" t="str">
        <f t="shared" ref="AH98" si="6754">IF(MarGlo1LevelCurrent&gt;=$B98,"-",IF(MarGlo1LevelDesired&lt;$B98,"-",$D98))</f>
        <v>-</v>
      </c>
      <c r="AI98" s="21" t="str">
        <f t="shared" ref="AI98" si="6755">IF(MarGlo1LevelCurrent&gt;=$B98,"-",IF(MarGlo1LevelDesired&lt;$B98,"-",$E98))</f>
        <v>-</v>
      </c>
      <c r="AJ98" s="15" t="str">
        <f t="shared" ref="AJ98" si="6756">IF(MarBel1LevelCurrent&gt;=$B98,"-",IF(MarBel1LevelDesired&lt;$B98,"-",$C98))</f>
        <v>-</v>
      </c>
      <c r="AK98" s="1" t="str">
        <f t="shared" ref="AK98" si="6757">IF(MarBel1LevelCurrent&gt;=$B98,"-",IF(MarBel1LevelDesired&lt;$B98,"-",$D98))</f>
        <v>-</v>
      </c>
      <c r="AL98" s="21" t="str">
        <f t="shared" ref="AL98" si="6758">IF(MarBel1LevelCurrent&gt;=$B98,"-",IF(MarBel1LevelDesired&lt;$B98,"-",$E98))</f>
        <v>-</v>
      </c>
      <c r="AM98" s="15" t="str">
        <f t="shared" ref="AM98" si="6759">IF(MarBoo1LevelCurrent&gt;=$B98,"-",IF(MarBoo1LevelDesired&lt;$B98,"-",$C98))</f>
        <v>-</v>
      </c>
      <c r="AN98" s="1" t="str">
        <f t="shared" ref="AN98" si="6760">IF(MarBoo1LevelCurrent&gt;=$B98,"-",IF(MarBoo1LevelDesired&lt;$B98,"-",$D98))</f>
        <v>-</v>
      </c>
      <c r="AO98" s="21" t="str">
        <f t="shared" ref="AO98" si="6761">IF(MarBoo1LevelCurrent&gt;=$B98,"-",IF(MarBoo1LevelDesired&lt;$B98,"-",$E98))</f>
        <v>-</v>
      </c>
      <c r="AP98" s="15" t="str">
        <f t="shared" ref="AP98" si="6762">IF(InfGog2LevelCurrent&gt;=$B98,"-",IF(InfGog2LevelDesired&lt;$B98,"-",$C98))</f>
        <v>-</v>
      </c>
      <c r="AQ98" s="1" t="str">
        <f t="shared" ref="AQ98" si="6763">IF(InfGog2LevelCurrent&gt;=$B98,"-",IF(InfGog2LevelDesired&lt;$B98,"-",$D98))</f>
        <v>-</v>
      </c>
      <c r="AR98" s="21" t="str">
        <f t="shared" ref="AR98" si="6764">IF(InfGog2LevelCurrent&gt;=$B98,"-",IF(InfGog2LevelDesired&lt;$B98,"-",$E98))</f>
        <v>-</v>
      </c>
      <c r="AS98" s="15" t="str">
        <f t="shared" ref="AS98" si="6765">IF(InfGlo2LevelCurrent&gt;=$B98,"-",IF(InfGlo2LevelDesired&lt;$B98,"-",$C98))</f>
        <v>-</v>
      </c>
      <c r="AT98" s="1" t="str">
        <f t="shared" ref="AT98" si="6766">IF(InfGlo2LevelCurrent&gt;=$B98,"-",IF(InfGlo2LevelDesired&lt;$B98,"-",$D98))</f>
        <v>-</v>
      </c>
      <c r="AU98" s="21" t="str">
        <f t="shared" ref="AU98" si="6767">IF(InfGlo2LevelCurrent&gt;=$B98,"-",IF(InfGlo2LevelDesired&lt;$B98,"-",$E98))</f>
        <v>-</v>
      </c>
      <c r="AV98" s="15" t="str">
        <f t="shared" ref="AV98" si="6768">IF(InfBel2LevelCurrent&gt;=$B98,"-",IF(InfBel2LevelDesired&lt;$B98,"-",$C98))</f>
        <v>-</v>
      </c>
      <c r="AW98" s="1" t="str">
        <f t="shared" ref="AW98" si="6769">IF(InfBel2LevelCurrent&gt;=$B98,"-",IF(InfBel2LevelDesired&lt;$B98,"-",$D98))</f>
        <v>-</v>
      </c>
      <c r="AX98" s="21" t="str">
        <f t="shared" ref="AX98" si="6770">IF(InfBel2LevelCurrent&gt;=$B98,"-",IF(InfBel2LevelDesired&lt;$B98,"-",$E98))</f>
        <v>-</v>
      </c>
      <c r="AY98" s="15" t="str">
        <f t="shared" ref="AY98" si="6771">IF(InfBoo2LevelCurrent&gt;=$B98,"-",IF(InfBoo2LevelDesired&lt;$B98,"-",$C98))</f>
        <v>-</v>
      </c>
      <c r="AZ98" s="1" t="str">
        <f t="shared" ref="AZ98" si="6772">IF(InfBoo2LevelCurrent&gt;=$B98,"-",IF(InfBoo2LevelDesired&lt;$B98,"-",$D98))</f>
        <v>-</v>
      </c>
      <c r="BA98" s="21" t="str">
        <f t="shared" ref="BA98" si="6773">IF(InfBoo2LevelCurrent&gt;=$B98,"-",IF(InfBoo2LevelDesired&lt;$B98,"-",$E98))</f>
        <v>-</v>
      </c>
      <c r="BB98" s="15" t="str">
        <f t="shared" ref="BB98" si="6774">IF(LanGog2LevelCurrent&gt;=$B98,"-",IF(LanGog2LevelDesired&lt;$B98,"-",$C98))</f>
        <v>-</v>
      </c>
      <c r="BC98" s="1" t="str">
        <f t="shared" ref="BC98" si="6775">IF(LanGog2LevelCurrent&gt;=$B98,"-",IF(LanGog2LevelDesired&lt;$B98,"-",$D98))</f>
        <v>-</v>
      </c>
      <c r="BD98" s="21" t="str">
        <f t="shared" ref="BD98" si="6776">IF(LanGog2LevelCurrent&gt;=$B98,"-",IF(LanGog2LevelDesired&lt;$B98,"-",$E98))</f>
        <v>-</v>
      </c>
      <c r="BE98" s="15" t="str">
        <f t="shared" ref="BE98" si="6777">IF(LanGlo2LevelCurrent&gt;=$B98,"-",IF(LanGlo2LevelDesired&lt;$B98,"-",$C98))</f>
        <v>-</v>
      </c>
      <c r="BF98" s="1" t="str">
        <f t="shared" ref="BF98" si="6778">IF(LanGlo2LevelCurrent&gt;=$B98,"-",IF(LanGlo2LevelDesired&lt;$B98,"-",$D98))</f>
        <v>-</v>
      </c>
      <c r="BG98" s="21" t="str">
        <f t="shared" ref="BG98" si="6779">IF(LanGlo2LevelCurrent&gt;=$B98,"-",IF(LanGlo2LevelDesired&lt;$B98,"-",$E98))</f>
        <v>-</v>
      </c>
      <c r="BH98" s="15" t="str">
        <f t="shared" ref="BH98" si="6780">IF(LanBel2LevelCurrent&gt;=$B98,"-",IF(LanBel2LevelDesired&lt;$B98,"-",$C98))</f>
        <v>-</v>
      </c>
      <c r="BI98" s="1" t="str">
        <f t="shared" ref="BI98" si="6781">IF(LanBel2LevelCurrent&gt;=$B98,"-",IF(LanBel2LevelDesired&lt;$B98,"-",$D98))</f>
        <v>-</v>
      </c>
      <c r="BJ98" s="21" t="str">
        <f t="shared" ref="BJ98" si="6782">IF(LanBel2LevelCurrent&gt;=$B98,"-",IF(LanBel2LevelDesired&lt;$B98,"-",$E98))</f>
        <v>-</v>
      </c>
      <c r="BK98" s="15" t="str">
        <f t="shared" ref="BK98" si="6783">IF(LanBoo2LevelCurrent&gt;=$B98,"-",IF(LanBoo2LevelDesired&lt;$B98,"-",$C98))</f>
        <v>-</v>
      </c>
      <c r="BL98" s="1" t="str">
        <f t="shared" ref="BL98" si="6784">IF(LanBoo2LevelCurrent&gt;=$B98,"-",IF(LanBoo2LevelDesired&lt;$B98,"-",$D98))</f>
        <v>-</v>
      </c>
      <c r="BM98" s="21" t="str">
        <f t="shared" ref="BM98" si="6785">IF(LanBoo2LevelCurrent&gt;=$B98,"-",IF(LanBoo2LevelDesired&lt;$B98,"-",$E98))</f>
        <v>-</v>
      </c>
      <c r="BN98" s="15" t="str">
        <f t="shared" ref="BN98" si="6786">IF(MarGog2LevelCurrent&gt;=$B98,"-",IF(MarGog2LevelDesired&lt;$B98,"-",$C98))</f>
        <v>-</v>
      </c>
      <c r="BO98" s="1" t="str">
        <f t="shared" ref="BO98" si="6787">IF(MarGog2LevelCurrent&gt;=$B98,"-",IF(MarGog2LevelDesired&lt;$B98,"-",$D98))</f>
        <v>-</v>
      </c>
      <c r="BP98" s="21" t="str">
        <f t="shared" ref="BP98" si="6788">IF(MarGog2LevelCurrent&gt;=$B98,"-",IF(MarGog2LevelDesired&lt;$B98,"-",$E98))</f>
        <v>-</v>
      </c>
      <c r="BQ98" s="15" t="str">
        <f t="shared" ref="BQ98" si="6789">IF(MarGlo2LevelCurrent&gt;=$B98,"-",IF(MarGlo2LevelDesired&lt;$B98,"-",$C98))</f>
        <v>-</v>
      </c>
      <c r="BR98" s="1" t="str">
        <f t="shared" ref="BR98" si="6790">IF(MarGlo2LevelCurrent&gt;=$B98,"-",IF(MarGlo2LevelDesired&lt;$B98,"-",$D98))</f>
        <v>-</v>
      </c>
      <c r="BS98" s="21" t="str">
        <f t="shared" ref="BS98" si="6791">IF(MarGlo2LevelCurrent&gt;=$B98,"-",IF(MarGlo2LevelDesired&lt;$B98,"-",$E98))</f>
        <v>-</v>
      </c>
      <c r="BT98" s="15" t="str">
        <f t="shared" ref="BT98" si="6792">IF(MarBel2LevelCurrent&gt;=$B98,"-",IF(MarBel2LevelDesired&lt;$B98,"-",$C98))</f>
        <v>-</v>
      </c>
      <c r="BU98" s="1" t="str">
        <f t="shared" ref="BU98" si="6793">IF(MarBel2LevelCurrent&gt;=$B98,"-",IF(MarBel2LevelDesired&lt;$B98,"-",$D98))</f>
        <v>-</v>
      </c>
      <c r="BV98" s="21" t="str">
        <f t="shared" ref="BV98" si="6794">IF(MarBel2LevelCurrent&gt;=$B98,"-",IF(MarBel2LevelDesired&lt;$B98,"-",$E98))</f>
        <v>-</v>
      </c>
      <c r="BW98" s="15" t="str">
        <f t="shared" ref="BW98" si="6795">IF(MarBoo2LevelCurrent&gt;=$B98,"-",IF(MarBoo2LevelDesired&lt;$B98,"-",$C98))</f>
        <v>-</v>
      </c>
      <c r="BX98" s="1" t="str">
        <f t="shared" ref="BX98" si="6796">IF(MarBoo2LevelCurrent&gt;=$B98,"-",IF(MarBoo2LevelDesired&lt;$B98,"-",$D98))</f>
        <v>-</v>
      </c>
      <c r="BY98" s="21" t="str">
        <f t="shared" ref="BY98" si="6797">IF(MarBoo2LevelCurrent&gt;=$B98,"-",IF(MarBoo2LevelDesired&lt;$B98,"-",$E98))</f>
        <v>-</v>
      </c>
      <c r="BZ98" s="15" t="str">
        <f t="shared" si="4748"/>
        <v>-</v>
      </c>
      <c r="CA98" s="1" t="str" cm="1">
        <f t="array" ref="CA98">IF(InfGog3LevelCurrent&gt;=$B98,"-",IF(InfGog3LevelDesired&lt;$B98,"-",$D98))</f>
        <v>-</v>
      </c>
      <c r="CB98" s="21" t="str" cm="1">
        <f t="array" ref="CB98">IF(InfGog3LevelCurrent&gt;=$B98,"-",IF(InfGog3LevelDesired&lt;$B98,"-",$E98))</f>
        <v>-</v>
      </c>
      <c r="CC98" s="15">
        <f t="shared" si="4749"/>
        <v>2050</v>
      </c>
      <c r="CD98" s="1" t="str">
        <f t="shared" si="4750"/>
        <v>-</v>
      </c>
      <c r="CE98" s="21" t="str">
        <f t="shared" si="4751"/>
        <v>-</v>
      </c>
      <c r="CF98" s="15">
        <f t="shared" si="4752"/>
        <v>2050</v>
      </c>
      <c r="CG98" s="1" t="str">
        <f t="shared" si="4753"/>
        <v>-</v>
      </c>
      <c r="CH98" s="21" t="str">
        <f t="shared" si="4754"/>
        <v>-</v>
      </c>
      <c r="CI98" s="15" t="str">
        <f t="shared" si="4755"/>
        <v>-</v>
      </c>
      <c r="CJ98" s="1" t="str">
        <f t="shared" si="4756"/>
        <v>-</v>
      </c>
      <c r="CK98" s="21" t="str">
        <f t="shared" si="4757"/>
        <v>-</v>
      </c>
      <c r="CL98" s="15" t="str">
        <f t="shared" si="4758"/>
        <v>-</v>
      </c>
      <c r="CM98" s="1" t="str">
        <f t="shared" si="4759"/>
        <v>-</v>
      </c>
      <c r="CN98" s="21" t="str">
        <f t="shared" si="4760"/>
        <v>-</v>
      </c>
      <c r="CO98" s="15" t="str">
        <f t="shared" si="4761"/>
        <v>-</v>
      </c>
      <c r="CP98" s="1" t="str">
        <f t="shared" si="4762"/>
        <v>-</v>
      </c>
      <c r="CQ98" s="21" t="str">
        <f t="shared" si="4763"/>
        <v>-</v>
      </c>
      <c r="CR98" s="15" t="str">
        <f t="shared" si="4764"/>
        <v>-</v>
      </c>
      <c r="CS98" s="1" t="str">
        <f t="shared" si="4765"/>
        <v>-</v>
      </c>
      <c r="CT98" s="21" t="str">
        <f t="shared" si="4766"/>
        <v>-</v>
      </c>
      <c r="CU98" s="15" t="str">
        <f t="shared" si="4767"/>
        <v>-</v>
      </c>
      <c r="CV98" s="1" t="str">
        <f t="shared" si="4768"/>
        <v>-</v>
      </c>
      <c r="CW98" s="21" t="str">
        <f t="shared" si="4769"/>
        <v>-</v>
      </c>
      <c r="CX98" s="15">
        <f t="shared" si="4770"/>
        <v>2050</v>
      </c>
      <c r="CY98" s="1" t="str">
        <f t="shared" si="4771"/>
        <v>-</v>
      </c>
      <c r="CZ98" s="21" t="str">
        <f t="shared" si="4772"/>
        <v>-</v>
      </c>
      <c r="DA98" s="15" t="str">
        <f t="shared" si="4773"/>
        <v>-</v>
      </c>
      <c r="DB98" s="1" t="str">
        <f t="shared" si="4774"/>
        <v>-</v>
      </c>
      <c r="DC98" s="21" t="str">
        <f t="shared" si="4775"/>
        <v>-</v>
      </c>
      <c r="DD98" s="15" t="str">
        <f t="shared" si="4776"/>
        <v>-</v>
      </c>
      <c r="DE98" s="1" t="str">
        <f t="shared" si="4777"/>
        <v>-</v>
      </c>
      <c r="DF98" s="21" t="str">
        <f t="shared" si="4778"/>
        <v>-</v>
      </c>
      <c r="DG98" s="15">
        <f t="shared" si="4779"/>
        <v>2050</v>
      </c>
      <c r="DH98" s="1" t="str">
        <f t="shared" si="4780"/>
        <v>-</v>
      </c>
      <c r="DI98" s="21" t="str">
        <f t="shared" si="4781"/>
        <v>-</v>
      </c>
    </row>
    <row r="99" spans="2:113" x14ac:dyDescent="0.3">
      <c r="B99" s="1">
        <v>94</v>
      </c>
      <c r="C99" s="67">
        <v>2100</v>
      </c>
      <c r="D99" s="88" t="s">
        <v>27</v>
      </c>
      <c r="E99" s="21" t="s">
        <v>27</v>
      </c>
      <c r="F99" s="15" t="str">
        <f t="shared" ref="F99" si="6798">IF(InfGog1LevelCurrent&gt;=$B99,"-",IF(InfGog1LevelDesired&lt;$B99,"-",$C99))</f>
        <v>-</v>
      </c>
      <c r="G99" s="1" t="str">
        <f t="shared" ref="G99" si="6799">IF(InfGog1LevelCurrent&gt;=$B99,"-",IF(InfGog1LevelDesired&lt;$B99,"-",$D99))</f>
        <v>-</v>
      </c>
      <c r="H99" s="21" t="str">
        <f t="shared" ref="H99" si="6800">IF(InfGog1LevelCurrent&gt;=$B99,"-",IF(InfGog1LevelDesired&lt;$B99,"-",$E99))</f>
        <v>-</v>
      </c>
      <c r="I99" s="15" t="str">
        <f t="shared" ref="I99" si="6801">IF(InfGlo1LevelCurrent&gt;=$B99,"-",IF(InfGlo1LevelDesired&lt;$B99,"-",$C99))</f>
        <v>-</v>
      </c>
      <c r="J99" s="1" t="str">
        <f t="shared" ref="J99" si="6802">IF(InfGlo1LevelCurrent&gt;=$B99,"-",IF(InfGlo1LevelDesired&lt;$B99,"-",$D99))</f>
        <v>-</v>
      </c>
      <c r="K99" s="21" t="str">
        <f t="shared" ref="K99" si="6803">IF(InfGlo1LevelCurrent&gt;=$B99,"-",IF(InfGlo1LevelDesired&lt;$B99,"-",$E99))</f>
        <v>-</v>
      </c>
      <c r="L99" s="15" t="str">
        <f t="shared" ref="L99" si="6804">IF(InfBel1LevelCurrent&gt;=$B99,"-",IF(InfBel1LevelDesired&lt;$B99,"-",$C99))</f>
        <v>-</v>
      </c>
      <c r="M99" s="1" t="str">
        <f t="shared" ref="M99" si="6805">IF(InfBel1LevelCurrent&gt;=$B99,"-",IF(InfBel1LevelDesired&lt;$B99,"-",$D99))</f>
        <v>-</v>
      </c>
      <c r="N99" s="21" t="str">
        <f t="shared" ref="N99" si="6806">IF(InfBel1LevelCurrent&gt;=$B99,"-",IF(InfBel1LevelDesired&lt;$B99,"-",$E99))</f>
        <v>-</v>
      </c>
      <c r="O99" s="15" t="str">
        <f t="shared" ref="O99" si="6807">IF(InfBoo1LevelCurrent&gt;=$B99,"-",IF(InfBoo1LevelDesired&lt;$B99,"-",$C99))</f>
        <v>-</v>
      </c>
      <c r="P99" s="1" t="str">
        <f t="shared" ref="P99" si="6808">IF(InfBoo1LevelCurrent&gt;=$B99,"-",IF(InfBoo1LevelDesired&lt;$B99,"-",$D99))</f>
        <v>-</v>
      </c>
      <c r="Q99" s="21" t="str">
        <f t="shared" ref="Q99" si="6809">IF(InfBoo1LevelCurrent&gt;=$B99,"-",IF(InfBoo1LevelDesired&lt;$B99,"-",$E99))</f>
        <v>-</v>
      </c>
      <c r="R99" s="15" t="str">
        <f t="shared" ref="R99" si="6810">IF(LanGog1LevelCurrent&gt;=$B99,"-",IF(LanGog1LevelDesired&lt;$B99,"-",$C99))</f>
        <v>-</v>
      </c>
      <c r="S99" s="1" t="str">
        <f t="shared" ref="S99" si="6811">IF(LanGog1LevelCurrent&gt;=$B99,"-",IF(LanGog1LevelDesired&lt;$B99,"-",$D99))</f>
        <v>-</v>
      </c>
      <c r="T99" s="21" t="str">
        <f t="shared" ref="T99" si="6812">IF(LanGog1LevelCurrent&gt;=$B99,"-",IF(LanGog1LevelDesired&lt;$B99,"-",$E99))</f>
        <v>-</v>
      </c>
      <c r="U99" s="15" t="str">
        <f t="shared" ref="U99" si="6813">IF(LanGlo1LevelCurrent&gt;=$B99,"-",IF(LanGlo1LevelDesired&lt;$B99,"-",$C99))</f>
        <v>-</v>
      </c>
      <c r="V99" s="1" t="str">
        <f t="shared" ref="V99" si="6814">IF(LanGlo1LevelCurrent&gt;=$B99,"-",IF(LanGlo1LevelDesired&lt;$B99,"-",$D99))</f>
        <v>-</v>
      </c>
      <c r="W99" s="21" t="str">
        <f t="shared" ref="W99" si="6815">IF(LanGlo1LevelCurrent&gt;=$B99,"-",IF(LanGlo1LevelDesired&lt;$B99,"-",$E99))</f>
        <v>-</v>
      </c>
      <c r="X99" s="15" t="str">
        <f t="shared" ref="X99" si="6816">IF(LanBel1LevelCurrent&gt;=$B99,"-",IF(LanBel1LevelDesired&lt;$B99,"-",$C99))</f>
        <v>-</v>
      </c>
      <c r="Y99" s="1" t="str">
        <f t="shared" ref="Y99" si="6817">IF(LanBel1LevelCurrent&gt;=$B99,"-",IF(LanBel1LevelDesired&lt;$B99,"-",$D99))</f>
        <v>-</v>
      </c>
      <c r="Z99" s="21" t="str">
        <f t="shared" ref="Z99" si="6818">IF(LanBel1LevelCurrent&gt;=$B99,"-",IF(LanBel1LevelDesired&lt;$B99,"-",$E99))</f>
        <v>-</v>
      </c>
      <c r="AA99" s="15" t="str">
        <f t="shared" ref="AA99" si="6819">IF(LanBoo1LevelCurrent&gt;=$B99,"-",IF(LanBoo1LevelDesired&lt;$B99,"-",$C99))</f>
        <v>-</v>
      </c>
      <c r="AB99" s="1" t="str">
        <f t="shared" ref="AB99" si="6820">IF(LanBoo1LevelCurrent&gt;=$B99,"-",IF(LanBoo1LevelDesired&lt;$B99,"-",$D99))</f>
        <v>-</v>
      </c>
      <c r="AC99" s="21" t="str">
        <f t="shared" ref="AC99" si="6821">IF(LanBoo1LevelCurrent&gt;=$B99,"-",IF(LanBoo1LevelDesired&lt;$B99,"-",$E99))</f>
        <v>-</v>
      </c>
      <c r="AD99" s="15" t="str">
        <f t="shared" ref="AD99" si="6822">IF(MarGog1LevelCurrent&gt;=$B99,"-",IF(MarGog1LevelDesired&lt;$B99,"-",$C99))</f>
        <v>-</v>
      </c>
      <c r="AE99" s="1" t="str">
        <f t="shared" ref="AE99" si="6823">IF(MarGog1LevelCurrent&gt;=$B99,"-",IF(MarGog1LevelDesired&lt;$B99,"-",$D99))</f>
        <v>-</v>
      </c>
      <c r="AF99" s="21" t="str">
        <f t="shared" ref="AF99" si="6824">IF(MarGog1LevelCurrent&gt;=$B99,"-",IF(MarGog1LevelDesired&lt;$B99,"-",$E99))</f>
        <v>-</v>
      </c>
      <c r="AG99" s="15" t="str">
        <f t="shared" ref="AG99" si="6825">IF(MarGlo1LevelCurrent&gt;=$B99,"-",IF(MarGlo1LevelDesired&lt;$B99,"-",$C99))</f>
        <v>-</v>
      </c>
      <c r="AH99" s="1" t="str">
        <f t="shared" ref="AH99" si="6826">IF(MarGlo1LevelCurrent&gt;=$B99,"-",IF(MarGlo1LevelDesired&lt;$B99,"-",$D99))</f>
        <v>-</v>
      </c>
      <c r="AI99" s="21" t="str">
        <f t="shared" ref="AI99" si="6827">IF(MarGlo1LevelCurrent&gt;=$B99,"-",IF(MarGlo1LevelDesired&lt;$B99,"-",$E99))</f>
        <v>-</v>
      </c>
      <c r="AJ99" s="15" t="str">
        <f t="shared" ref="AJ99" si="6828">IF(MarBel1LevelCurrent&gt;=$B99,"-",IF(MarBel1LevelDesired&lt;$B99,"-",$C99))</f>
        <v>-</v>
      </c>
      <c r="AK99" s="1" t="str">
        <f t="shared" ref="AK99" si="6829">IF(MarBel1LevelCurrent&gt;=$B99,"-",IF(MarBel1LevelDesired&lt;$B99,"-",$D99))</f>
        <v>-</v>
      </c>
      <c r="AL99" s="21" t="str">
        <f t="shared" ref="AL99" si="6830">IF(MarBel1LevelCurrent&gt;=$B99,"-",IF(MarBel1LevelDesired&lt;$B99,"-",$E99))</f>
        <v>-</v>
      </c>
      <c r="AM99" s="15" t="str">
        <f t="shared" ref="AM99" si="6831">IF(MarBoo1LevelCurrent&gt;=$B99,"-",IF(MarBoo1LevelDesired&lt;$B99,"-",$C99))</f>
        <v>-</v>
      </c>
      <c r="AN99" s="1" t="str">
        <f t="shared" ref="AN99" si="6832">IF(MarBoo1LevelCurrent&gt;=$B99,"-",IF(MarBoo1LevelDesired&lt;$B99,"-",$D99))</f>
        <v>-</v>
      </c>
      <c r="AO99" s="21" t="str">
        <f t="shared" ref="AO99" si="6833">IF(MarBoo1LevelCurrent&gt;=$B99,"-",IF(MarBoo1LevelDesired&lt;$B99,"-",$E99))</f>
        <v>-</v>
      </c>
      <c r="AP99" s="15" t="str">
        <f t="shared" ref="AP99" si="6834">IF(InfGog2LevelCurrent&gt;=$B99,"-",IF(InfGog2LevelDesired&lt;$B99,"-",$C99))</f>
        <v>-</v>
      </c>
      <c r="AQ99" s="1" t="str">
        <f t="shared" ref="AQ99" si="6835">IF(InfGog2LevelCurrent&gt;=$B99,"-",IF(InfGog2LevelDesired&lt;$B99,"-",$D99))</f>
        <v>-</v>
      </c>
      <c r="AR99" s="21" t="str">
        <f t="shared" ref="AR99" si="6836">IF(InfGog2LevelCurrent&gt;=$B99,"-",IF(InfGog2LevelDesired&lt;$B99,"-",$E99))</f>
        <v>-</v>
      </c>
      <c r="AS99" s="15" t="str">
        <f t="shared" ref="AS99" si="6837">IF(InfGlo2LevelCurrent&gt;=$B99,"-",IF(InfGlo2LevelDesired&lt;$B99,"-",$C99))</f>
        <v>-</v>
      </c>
      <c r="AT99" s="1" t="str">
        <f t="shared" ref="AT99" si="6838">IF(InfGlo2LevelCurrent&gt;=$B99,"-",IF(InfGlo2LevelDesired&lt;$B99,"-",$D99))</f>
        <v>-</v>
      </c>
      <c r="AU99" s="21" t="str">
        <f t="shared" ref="AU99" si="6839">IF(InfGlo2LevelCurrent&gt;=$B99,"-",IF(InfGlo2LevelDesired&lt;$B99,"-",$E99))</f>
        <v>-</v>
      </c>
      <c r="AV99" s="15" t="str">
        <f t="shared" ref="AV99" si="6840">IF(InfBel2LevelCurrent&gt;=$B99,"-",IF(InfBel2LevelDesired&lt;$B99,"-",$C99))</f>
        <v>-</v>
      </c>
      <c r="AW99" s="1" t="str">
        <f t="shared" ref="AW99" si="6841">IF(InfBel2LevelCurrent&gt;=$B99,"-",IF(InfBel2LevelDesired&lt;$B99,"-",$D99))</f>
        <v>-</v>
      </c>
      <c r="AX99" s="21" t="str">
        <f t="shared" ref="AX99" si="6842">IF(InfBel2LevelCurrent&gt;=$B99,"-",IF(InfBel2LevelDesired&lt;$B99,"-",$E99))</f>
        <v>-</v>
      </c>
      <c r="AY99" s="15" t="str">
        <f t="shared" ref="AY99" si="6843">IF(InfBoo2LevelCurrent&gt;=$B99,"-",IF(InfBoo2LevelDesired&lt;$B99,"-",$C99))</f>
        <v>-</v>
      </c>
      <c r="AZ99" s="1" t="str">
        <f t="shared" ref="AZ99" si="6844">IF(InfBoo2LevelCurrent&gt;=$B99,"-",IF(InfBoo2LevelDesired&lt;$B99,"-",$D99))</f>
        <v>-</v>
      </c>
      <c r="BA99" s="21" t="str">
        <f t="shared" ref="BA99" si="6845">IF(InfBoo2LevelCurrent&gt;=$B99,"-",IF(InfBoo2LevelDesired&lt;$B99,"-",$E99))</f>
        <v>-</v>
      </c>
      <c r="BB99" s="15" t="str">
        <f t="shared" ref="BB99" si="6846">IF(LanGog2LevelCurrent&gt;=$B99,"-",IF(LanGog2LevelDesired&lt;$B99,"-",$C99))</f>
        <v>-</v>
      </c>
      <c r="BC99" s="1" t="str">
        <f t="shared" ref="BC99" si="6847">IF(LanGog2LevelCurrent&gt;=$B99,"-",IF(LanGog2LevelDesired&lt;$B99,"-",$D99))</f>
        <v>-</v>
      </c>
      <c r="BD99" s="21" t="str">
        <f t="shared" ref="BD99" si="6848">IF(LanGog2LevelCurrent&gt;=$B99,"-",IF(LanGog2LevelDesired&lt;$B99,"-",$E99))</f>
        <v>-</v>
      </c>
      <c r="BE99" s="15" t="str">
        <f t="shared" ref="BE99" si="6849">IF(LanGlo2LevelCurrent&gt;=$B99,"-",IF(LanGlo2LevelDesired&lt;$B99,"-",$C99))</f>
        <v>-</v>
      </c>
      <c r="BF99" s="1" t="str">
        <f t="shared" ref="BF99" si="6850">IF(LanGlo2LevelCurrent&gt;=$B99,"-",IF(LanGlo2LevelDesired&lt;$B99,"-",$D99))</f>
        <v>-</v>
      </c>
      <c r="BG99" s="21" t="str">
        <f t="shared" ref="BG99" si="6851">IF(LanGlo2LevelCurrent&gt;=$B99,"-",IF(LanGlo2LevelDesired&lt;$B99,"-",$E99))</f>
        <v>-</v>
      </c>
      <c r="BH99" s="15" t="str">
        <f t="shared" ref="BH99" si="6852">IF(LanBel2LevelCurrent&gt;=$B99,"-",IF(LanBel2LevelDesired&lt;$B99,"-",$C99))</f>
        <v>-</v>
      </c>
      <c r="BI99" s="1" t="str">
        <f t="shared" ref="BI99" si="6853">IF(LanBel2LevelCurrent&gt;=$B99,"-",IF(LanBel2LevelDesired&lt;$B99,"-",$D99))</f>
        <v>-</v>
      </c>
      <c r="BJ99" s="21" t="str">
        <f t="shared" ref="BJ99" si="6854">IF(LanBel2LevelCurrent&gt;=$B99,"-",IF(LanBel2LevelDesired&lt;$B99,"-",$E99))</f>
        <v>-</v>
      </c>
      <c r="BK99" s="15" t="str">
        <f t="shared" ref="BK99" si="6855">IF(LanBoo2LevelCurrent&gt;=$B99,"-",IF(LanBoo2LevelDesired&lt;$B99,"-",$C99))</f>
        <v>-</v>
      </c>
      <c r="BL99" s="1" t="str">
        <f t="shared" ref="BL99" si="6856">IF(LanBoo2LevelCurrent&gt;=$B99,"-",IF(LanBoo2LevelDesired&lt;$B99,"-",$D99))</f>
        <v>-</v>
      </c>
      <c r="BM99" s="21" t="str">
        <f t="shared" ref="BM99" si="6857">IF(LanBoo2LevelCurrent&gt;=$B99,"-",IF(LanBoo2LevelDesired&lt;$B99,"-",$E99))</f>
        <v>-</v>
      </c>
      <c r="BN99" s="15" t="str">
        <f t="shared" ref="BN99" si="6858">IF(MarGog2LevelCurrent&gt;=$B99,"-",IF(MarGog2LevelDesired&lt;$B99,"-",$C99))</f>
        <v>-</v>
      </c>
      <c r="BO99" s="1" t="str">
        <f t="shared" ref="BO99" si="6859">IF(MarGog2LevelCurrent&gt;=$B99,"-",IF(MarGog2LevelDesired&lt;$B99,"-",$D99))</f>
        <v>-</v>
      </c>
      <c r="BP99" s="21" t="str">
        <f t="shared" ref="BP99" si="6860">IF(MarGog2LevelCurrent&gt;=$B99,"-",IF(MarGog2LevelDesired&lt;$B99,"-",$E99))</f>
        <v>-</v>
      </c>
      <c r="BQ99" s="15" t="str">
        <f t="shared" ref="BQ99" si="6861">IF(MarGlo2LevelCurrent&gt;=$B99,"-",IF(MarGlo2LevelDesired&lt;$B99,"-",$C99))</f>
        <v>-</v>
      </c>
      <c r="BR99" s="1" t="str">
        <f t="shared" ref="BR99" si="6862">IF(MarGlo2LevelCurrent&gt;=$B99,"-",IF(MarGlo2LevelDesired&lt;$B99,"-",$D99))</f>
        <v>-</v>
      </c>
      <c r="BS99" s="21" t="str">
        <f t="shared" ref="BS99" si="6863">IF(MarGlo2LevelCurrent&gt;=$B99,"-",IF(MarGlo2LevelDesired&lt;$B99,"-",$E99))</f>
        <v>-</v>
      </c>
      <c r="BT99" s="15" t="str">
        <f t="shared" ref="BT99" si="6864">IF(MarBel2LevelCurrent&gt;=$B99,"-",IF(MarBel2LevelDesired&lt;$B99,"-",$C99))</f>
        <v>-</v>
      </c>
      <c r="BU99" s="1" t="str">
        <f t="shared" ref="BU99" si="6865">IF(MarBel2LevelCurrent&gt;=$B99,"-",IF(MarBel2LevelDesired&lt;$B99,"-",$D99))</f>
        <v>-</v>
      </c>
      <c r="BV99" s="21" t="str">
        <f t="shared" ref="BV99" si="6866">IF(MarBel2LevelCurrent&gt;=$B99,"-",IF(MarBel2LevelDesired&lt;$B99,"-",$E99))</f>
        <v>-</v>
      </c>
      <c r="BW99" s="15" t="str">
        <f t="shared" ref="BW99" si="6867">IF(MarBoo2LevelCurrent&gt;=$B99,"-",IF(MarBoo2LevelDesired&lt;$B99,"-",$C99))</f>
        <v>-</v>
      </c>
      <c r="BX99" s="1" t="str">
        <f t="shared" ref="BX99" si="6868">IF(MarBoo2LevelCurrent&gt;=$B99,"-",IF(MarBoo2LevelDesired&lt;$B99,"-",$D99))</f>
        <v>-</v>
      </c>
      <c r="BY99" s="21" t="str">
        <f t="shared" ref="BY99" si="6869">IF(MarBoo2LevelCurrent&gt;=$B99,"-",IF(MarBoo2LevelDesired&lt;$B99,"-",$E99))</f>
        <v>-</v>
      </c>
      <c r="BZ99" s="15" t="str">
        <f t="shared" si="4748"/>
        <v>-</v>
      </c>
      <c r="CA99" s="1" t="str" cm="1">
        <f t="array" ref="CA99">IF(InfGog3LevelCurrent&gt;=$B99,"-",IF(InfGog3LevelDesired&lt;$B99,"-",$D99))</f>
        <v>-</v>
      </c>
      <c r="CB99" s="21" t="str" cm="1">
        <f t="array" ref="CB99">IF(InfGog3LevelCurrent&gt;=$B99,"-",IF(InfGog3LevelDesired&lt;$B99,"-",$E99))</f>
        <v>-</v>
      </c>
      <c r="CC99" s="15">
        <f t="shared" si="4749"/>
        <v>2100</v>
      </c>
      <c r="CD99" s="1" t="str">
        <f t="shared" si="4750"/>
        <v>-</v>
      </c>
      <c r="CE99" s="21" t="str">
        <f t="shared" si="4751"/>
        <v>-</v>
      </c>
      <c r="CF99" s="15">
        <f t="shared" si="4752"/>
        <v>2100</v>
      </c>
      <c r="CG99" s="1" t="str">
        <f t="shared" si="4753"/>
        <v>-</v>
      </c>
      <c r="CH99" s="21" t="str">
        <f t="shared" si="4754"/>
        <v>-</v>
      </c>
      <c r="CI99" s="15" t="str">
        <f t="shared" si="4755"/>
        <v>-</v>
      </c>
      <c r="CJ99" s="1" t="str">
        <f t="shared" si="4756"/>
        <v>-</v>
      </c>
      <c r="CK99" s="21" t="str">
        <f t="shared" si="4757"/>
        <v>-</v>
      </c>
      <c r="CL99" s="15" t="str">
        <f t="shared" si="4758"/>
        <v>-</v>
      </c>
      <c r="CM99" s="1" t="str">
        <f t="shared" si="4759"/>
        <v>-</v>
      </c>
      <c r="CN99" s="21" t="str">
        <f t="shared" si="4760"/>
        <v>-</v>
      </c>
      <c r="CO99" s="15" t="str">
        <f t="shared" si="4761"/>
        <v>-</v>
      </c>
      <c r="CP99" s="1" t="str">
        <f t="shared" si="4762"/>
        <v>-</v>
      </c>
      <c r="CQ99" s="21" t="str">
        <f t="shared" si="4763"/>
        <v>-</v>
      </c>
      <c r="CR99" s="15" t="str">
        <f t="shared" si="4764"/>
        <v>-</v>
      </c>
      <c r="CS99" s="1" t="str">
        <f t="shared" si="4765"/>
        <v>-</v>
      </c>
      <c r="CT99" s="21" t="str">
        <f t="shared" si="4766"/>
        <v>-</v>
      </c>
      <c r="CU99" s="15" t="str">
        <f t="shared" si="4767"/>
        <v>-</v>
      </c>
      <c r="CV99" s="1" t="str">
        <f t="shared" si="4768"/>
        <v>-</v>
      </c>
      <c r="CW99" s="21" t="str">
        <f t="shared" si="4769"/>
        <v>-</v>
      </c>
      <c r="CX99" s="15">
        <f t="shared" si="4770"/>
        <v>2100</v>
      </c>
      <c r="CY99" s="1" t="str">
        <f t="shared" si="4771"/>
        <v>-</v>
      </c>
      <c r="CZ99" s="21" t="str">
        <f t="shared" si="4772"/>
        <v>-</v>
      </c>
      <c r="DA99" s="15" t="str">
        <f t="shared" si="4773"/>
        <v>-</v>
      </c>
      <c r="DB99" s="1" t="str">
        <f t="shared" si="4774"/>
        <v>-</v>
      </c>
      <c r="DC99" s="21" t="str">
        <f t="shared" si="4775"/>
        <v>-</v>
      </c>
      <c r="DD99" s="15" t="str">
        <f t="shared" si="4776"/>
        <v>-</v>
      </c>
      <c r="DE99" s="1" t="str">
        <f t="shared" si="4777"/>
        <v>-</v>
      </c>
      <c r="DF99" s="21" t="str">
        <f t="shared" si="4778"/>
        <v>-</v>
      </c>
      <c r="DG99" s="15">
        <f t="shared" si="4779"/>
        <v>2100</v>
      </c>
      <c r="DH99" s="1" t="str">
        <f t="shared" si="4780"/>
        <v>-</v>
      </c>
      <c r="DI99" s="21" t="str">
        <f t="shared" si="4781"/>
        <v>-</v>
      </c>
    </row>
    <row r="100" spans="2:113" x14ac:dyDescent="0.3">
      <c r="B100" s="1">
        <v>95</v>
      </c>
      <c r="C100" s="67">
        <v>2150</v>
      </c>
      <c r="D100" s="88" t="s">
        <v>27</v>
      </c>
      <c r="E100" s="21" t="s">
        <v>27</v>
      </c>
      <c r="F100" s="15" t="str">
        <f t="shared" ref="F100" si="6870">IF(InfGog1LevelCurrent&gt;=$B100,"-",IF(InfGog1LevelDesired&lt;$B100,"-",$C100))</f>
        <v>-</v>
      </c>
      <c r="G100" s="1" t="str">
        <f t="shared" ref="G100" si="6871">IF(InfGog1LevelCurrent&gt;=$B100,"-",IF(InfGog1LevelDesired&lt;$B100,"-",$D100))</f>
        <v>-</v>
      </c>
      <c r="H100" s="21" t="str">
        <f t="shared" ref="H100" si="6872">IF(InfGog1LevelCurrent&gt;=$B100,"-",IF(InfGog1LevelDesired&lt;$B100,"-",$E100))</f>
        <v>-</v>
      </c>
      <c r="I100" s="15" t="str">
        <f t="shared" ref="I100" si="6873">IF(InfGlo1LevelCurrent&gt;=$B100,"-",IF(InfGlo1LevelDesired&lt;$B100,"-",$C100))</f>
        <v>-</v>
      </c>
      <c r="J100" s="1" t="str">
        <f t="shared" ref="J100" si="6874">IF(InfGlo1LevelCurrent&gt;=$B100,"-",IF(InfGlo1LevelDesired&lt;$B100,"-",$D100))</f>
        <v>-</v>
      </c>
      <c r="K100" s="21" t="str">
        <f t="shared" ref="K100" si="6875">IF(InfGlo1LevelCurrent&gt;=$B100,"-",IF(InfGlo1LevelDesired&lt;$B100,"-",$E100))</f>
        <v>-</v>
      </c>
      <c r="L100" s="15" t="str">
        <f t="shared" ref="L100" si="6876">IF(InfBel1LevelCurrent&gt;=$B100,"-",IF(InfBel1LevelDesired&lt;$B100,"-",$C100))</f>
        <v>-</v>
      </c>
      <c r="M100" s="1" t="str">
        <f t="shared" ref="M100" si="6877">IF(InfBel1LevelCurrent&gt;=$B100,"-",IF(InfBel1LevelDesired&lt;$B100,"-",$D100))</f>
        <v>-</v>
      </c>
      <c r="N100" s="21" t="str">
        <f t="shared" ref="N100" si="6878">IF(InfBel1LevelCurrent&gt;=$B100,"-",IF(InfBel1LevelDesired&lt;$B100,"-",$E100))</f>
        <v>-</v>
      </c>
      <c r="O100" s="15" t="str">
        <f t="shared" ref="O100" si="6879">IF(InfBoo1LevelCurrent&gt;=$B100,"-",IF(InfBoo1LevelDesired&lt;$B100,"-",$C100))</f>
        <v>-</v>
      </c>
      <c r="P100" s="1" t="str">
        <f t="shared" ref="P100" si="6880">IF(InfBoo1LevelCurrent&gt;=$B100,"-",IF(InfBoo1LevelDesired&lt;$B100,"-",$D100))</f>
        <v>-</v>
      </c>
      <c r="Q100" s="21" t="str">
        <f t="shared" ref="Q100" si="6881">IF(InfBoo1LevelCurrent&gt;=$B100,"-",IF(InfBoo1LevelDesired&lt;$B100,"-",$E100))</f>
        <v>-</v>
      </c>
      <c r="R100" s="15" t="str">
        <f t="shared" ref="R100" si="6882">IF(LanGog1LevelCurrent&gt;=$B100,"-",IF(LanGog1LevelDesired&lt;$B100,"-",$C100))</f>
        <v>-</v>
      </c>
      <c r="S100" s="1" t="str">
        <f t="shared" ref="S100" si="6883">IF(LanGog1LevelCurrent&gt;=$B100,"-",IF(LanGog1LevelDesired&lt;$B100,"-",$D100))</f>
        <v>-</v>
      </c>
      <c r="T100" s="21" t="str">
        <f t="shared" ref="T100" si="6884">IF(LanGog1LevelCurrent&gt;=$B100,"-",IF(LanGog1LevelDesired&lt;$B100,"-",$E100))</f>
        <v>-</v>
      </c>
      <c r="U100" s="15" t="str">
        <f t="shared" ref="U100" si="6885">IF(LanGlo1LevelCurrent&gt;=$B100,"-",IF(LanGlo1LevelDesired&lt;$B100,"-",$C100))</f>
        <v>-</v>
      </c>
      <c r="V100" s="1" t="str">
        <f t="shared" ref="V100" si="6886">IF(LanGlo1LevelCurrent&gt;=$B100,"-",IF(LanGlo1LevelDesired&lt;$B100,"-",$D100))</f>
        <v>-</v>
      </c>
      <c r="W100" s="21" t="str">
        <f t="shared" ref="W100" si="6887">IF(LanGlo1LevelCurrent&gt;=$B100,"-",IF(LanGlo1LevelDesired&lt;$B100,"-",$E100))</f>
        <v>-</v>
      </c>
      <c r="X100" s="15" t="str">
        <f t="shared" ref="X100" si="6888">IF(LanBel1LevelCurrent&gt;=$B100,"-",IF(LanBel1LevelDesired&lt;$B100,"-",$C100))</f>
        <v>-</v>
      </c>
      <c r="Y100" s="1" t="str">
        <f t="shared" ref="Y100" si="6889">IF(LanBel1LevelCurrent&gt;=$B100,"-",IF(LanBel1LevelDesired&lt;$B100,"-",$D100))</f>
        <v>-</v>
      </c>
      <c r="Z100" s="21" t="str">
        <f t="shared" ref="Z100" si="6890">IF(LanBel1LevelCurrent&gt;=$B100,"-",IF(LanBel1LevelDesired&lt;$B100,"-",$E100))</f>
        <v>-</v>
      </c>
      <c r="AA100" s="15" t="str">
        <f t="shared" ref="AA100" si="6891">IF(LanBoo1LevelCurrent&gt;=$B100,"-",IF(LanBoo1LevelDesired&lt;$B100,"-",$C100))</f>
        <v>-</v>
      </c>
      <c r="AB100" s="1" t="str">
        <f t="shared" ref="AB100" si="6892">IF(LanBoo1LevelCurrent&gt;=$B100,"-",IF(LanBoo1LevelDesired&lt;$B100,"-",$D100))</f>
        <v>-</v>
      </c>
      <c r="AC100" s="21" t="str">
        <f t="shared" ref="AC100" si="6893">IF(LanBoo1LevelCurrent&gt;=$B100,"-",IF(LanBoo1LevelDesired&lt;$B100,"-",$E100))</f>
        <v>-</v>
      </c>
      <c r="AD100" s="15" t="str">
        <f t="shared" ref="AD100" si="6894">IF(MarGog1LevelCurrent&gt;=$B100,"-",IF(MarGog1LevelDesired&lt;$B100,"-",$C100))</f>
        <v>-</v>
      </c>
      <c r="AE100" s="1" t="str">
        <f t="shared" ref="AE100" si="6895">IF(MarGog1LevelCurrent&gt;=$B100,"-",IF(MarGog1LevelDesired&lt;$B100,"-",$D100))</f>
        <v>-</v>
      </c>
      <c r="AF100" s="21" t="str">
        <f t="shared" ref="AF100" si="6896">IF(MarGog1LevelCurrent&gt;=$B100,"-",IF(MarGog1LevelDesired&lt;$B100,"-",$E100))</f>
        <v>-</v>
      </c>
      <c r="AG100" s="15" t="str">
        <f t="shared" ref="AG100" si="6897">IF(MarGlo1LevelCurrent&gt;=$B100,"-",IF(MarGlo1LevelDesired&lt;$B100,"-",$C100))</f>
        <v>-</v>
      </c>
      <c r="AH100" s="1" t="str">
        <f t="shared" ref="AH100" si="6898">IF(MarGlo1LevelCurrent&gt;=$B100,"-",IF(MarGlo1LevelDesired&lt;$B100,"-",$D100))</f>
        <v>-</v>
      </c>
      <c r="AI100" s="21" t="str">
        <f t="shared" ref="AI100" si="6899">IF(MarGlo1LevelCurrent&gt;=$B100,"-",IF(MarGlo1LevelDesired&lt;$B100,"-",$E100))</f>
        <v>-</v>
      </c>
      <c r="AJ100" s="15" t="str">
        <f t="shared" ref="AJ100" si="6900">IF(MarBel1LevelCurrent&gt;=$B100,"-",IF(MarBel1LevelDesired&lt;$B100,"-",$C100))</f>
        <v>-</v>
      </c>
      <c r="AK100" s="1" t="str">
        <f t="shared" ref="AK100" si="6901">IF(MarBel1LevelCurrent&gt;=$B100,"-",IF(MarBel1LevelDesired&lt;$B100,"-",$D100))</f>
        <v>-</v>
      </c>
      <c r="AL100" s="21" t="str">
        <f t="shared" ref="AL100" si="6902">IF(MarBel1LevelCurrent&gt;=$B100,"-",IF(MarBel1LevelDesired&lt;$B100,"-",$E100))</f>
        <v>-</v>
      </c>
      <c r="AM100" s="15" t="str">
        <f t="shared" ref="AM100" si="6903">IF(MarBoo1LevelCurrent&gt;=$B100,"-",IF(MarBoo1LevelDesired&lt;$B100,"-",$C100))</f>
        <v>-</v>
      </c>
      <c r="AN100" s="1" t="str">
        <f t="shared" ref="AN100" si="6904">IF(MarBoo1LevelCurrent&gt;=$B100,"-",IF(MarBoo1LevelDesired&lt;$B100,"-",$D100))</f>
        <v>-</v>
      </c>
      <c r="AO100" s="21" t="str">
        <f t="shared" ref="AO100" si="6905">IF(MarBoo1LevelCurrent&gt;=$B100,"-",IF(MarBoo1LevelDesired&lt;$B100,"-",$E100))</f>
        <v>-</v>
      </c>
      <c r="AP100" s="15" t="str">
        <f t="shared" ref="AP100" si="6906">IF(InfGog2LevelCurrent&gt;=$B100,"-",IF(InfGog2LevelDesired&lt;$B100,"-",$C100))</f>
        <v>-</v>
      </c>
      <c r="AQ100" s="1" t="str">
        <f t="shared" ref="AQ100" si="6907">IF(InfGog2LevelCurrent&gt;=$B100,"-",IF(InfGog2LevelDesired&lt;$B100,"-",$D100))</f>
        <v>-</v>
      </c>
      <c r="AR100" s="21" t="str">
        <f t="shared" ref="AR100" si="6908">IF(InfGog2LevelCurrent&gt;=$B100,"-",IF(InfGog2LevelDesired&lt;$B100,"-",$E100))</f>
        <v>-</v>
      </c>
      <c r="AS100" s="15" t="str">
        <f t="shared" ref="AS100" si="6909">IF(InfGlo2LevelCurrent&gt;=$B100,"-",IF(InfGlo2LevelDesired&lt;$B100,"-",$C100))</f>
        <v>-</v>
      </c>
      <c r="AT100" s="1" t="str">
        <f t="shared" ref="AT100" si="6910">IF(InfGlo2LevelCurrent&gt;=$B100,"-",IF(InfGlo2LevelDesired&lt;$B100,"-",$D100))</f>
        <v>-</v>
      </c>
      <c r="AU100" s="21" t="str">
        <f t="shared" ref="AU100" si="6911">IF(InfGlo2LevelCurrent&gt;=$B100,"-",IF(InfGlo2LevelDesired&lt;$B100,"-",$E100))</f>
        <v>-</v>
      </c>
      <c r="AV100" s="15" t="str">
        <f t="shared" ref="AV100" si="6912">IF(InfBel2LevelCurrent&gt;=$B100,"-",IF(InfBel2LevelDesired&lt;$B100,"-",$C100))</f>
        <v>-</v>
      </c>
      <c r="AW100" s="1" t="str">
        <f t="shared" ref="AW100" si="6913">IF(InfBel2LevelCurrent&gt;=$B100,"-",IF(InfBel2LevelDesired&lt;$B100,"-",$D100))</f>
        <v>-</v>
      </c>
      <c r="AX100" s="21" t="str">
        <f t="shared" ref="AX100" si="6914">IF(InfBel2LevelCurrent&gt;=$B100,"-",IF(InfBel2LevelDesired&lt;$B100,"-",$E100))</f>
        <v>-</v>
      </c>
      <c r="AY100" s="15" t="str">
        <f t="shared" ref="AY100" si="6915">IF(InfBoo2LevelCurrent&gt;=$B100,"-",IF(InfBoo2LevelDesired&lt;$B100,"-",$C100))</f>
        <v>-</v>
      </c>
      <c r="AZ100" s="1" t="str">
        <f t="shared" ref="AZ100" si="6916">IF(InfBoo2LevelCurrent&gt;=$B100,"-",IF(InfBoo2LevelDesired&lt;$B100,"-",$D100))</f>
        <v>-</v>
      </c>
      <c r="BA100" s="21" t="str">
        <f t="shared" ref="BA100" si="6917">IF(InfBoo2LevelCurrent&gt;=$B100,"-",IF(InfBoo2LevelDesired&lt;$B100,"-",$E100))</f>
        <v>-</v>
      </c>
      <c r="BB100" s="15" t="str">
        <f t="shared" ref="BB100" si="6918">IF(LanGog2LevelCurrent&gt;=$B100,"-",IF(LanGog2LevelDesired&lt;$B100,"-",$C100))</f>
        <v>-</v>
      </c>
      <c r="BC100" s="1" t="str">
        <f t="shared" ref="BC100" si="6919">IF(LanGog2LevelCurrent&gt;=$B100,"-",IF(LanGog2LevelDesired&lt;$B100,"-",$D100))</f>
        <v>-</v>
      </c>
      <c r="BD100" s="21" t="str">
        <f t="shared" ref="BD100" si="6920">IF(LanGog2LevelCurrent&gt;=$B100,"-",IF(LanGog2LevelDesired&lt;$B100,"-",$E100))</f>
        <v>-</v>
      </c>
      <c r="BE100" s="15" t="str">
        <f t="shared" ref="BE100" si="6921">IF(LanGlo2LevelCurrent&gt;=$B100,"-",IF(LanGlo2LevelDesired&lt;$B100,"-",$C100))</f>
        <v>-</v>
      </c>
      <c r="BF100" s="1" t="str">
        <f t="shared" ref="BF100" si="6922">IF(LanGlo2LevelCurrent&gt;=$B100,"-",IF(LanGlo2LevelDesired&lt;$B100,"-",$D100))</f>
        <v>-</v>
      </c>
      <c r="BG100" s="21" t="str">
        <f t="shared" ref="BG100" si="6923">IF(LanGlo2LevelCurrent&gt;=$B100,"-",IF(LanGlo2LevelDesired&lt;$B100,"-",$E100))</f>
        <v>-</v>
      </c>
      <c r="BH100" s="15" t="str">
        <f t="shared" ref="BH100" si="6924">IF(LanBel2LevelCurrent&gt;=$B100,"-",IF(LanBel2LevelDesired&lt;$B100,"-",$C100))</f>
        <v>-</v>
      </c>
      <c r="BI100" s="1" t="str">
        <f t="shared" ref="BI100" si="6925">IF(LanBel2LevelCurrent&gt;=$B100,"-",IF(LanBel2LevelDesired&lt;$B100,"-",$D100))</f>
        <v>-</v>
      </c>
      <c r="BJ100" s="21" t="str">
        <f t="shared" ref="BJ100" si="6926">IF(LanBel2LevelCurrent&gt;=$B100,"-",IF(LanBel2LevelDesired&lt;$B100,"-",$E100))</f>
        <v>-</v>
      </c>
      <c r="BK100" s="15" t="str">
        <f t="shared" ref="BK100" si="6927">IF(LanBoo2LevelCurrent&gt;=$B100,"-",IF(LanBoo2LevelDesired&lt;$B100,"-",$C100))</f>
        <v>-</v>
      </c>
      <c r="BL100" s="1" t="str">
        <f t="shared" ref="BL100" si="6928">IF(LanBoo2LevelCurrent&gt;=$B100,"-",IF(LanBoo2LevelDesired&lt;$B100,"-",$D100))</f>
        <v>-</v>
      </c>
      <c r="BM100" s="21" t="str">
        <f t="shared" ref="BM100" si="6929">IF(LanBoo2LevelCurrent&gt;=$B100,"-",IF(LanBoo2LevelDesired&lt;$B100,"-",$E100))</f>
        <v>-</v>
      </c>
      <c r="BN100" s="15" t="str">
        <f t="shared" ref="BN100" si="6930">IF(MarGog2LevelCurrent&gt;=$B100,"-",IF(MarGog2LevelDesired&lt;$B100,"-",$C100))</f>
        <v>-</v>
      </c>
      <c r="BO100" s="1" t="str">
        <f t="shared" ref="BO100" si="6931">IF(MarGog2LevelCurrent&gt;=$B100,"-",IF(MarGog2LevelDesired&lt;$B100,"-",$D100))</f>
        <v>-</v>
      </c>
      <c r="BP100" s="21" t="str">
        <f t="shared" ref="BP100" si="6932">IF(MarGog2LevelCurrent&gt;=$B100,"-",IF(MarGog2LevelDesired&lt;$B100,"-",$E100))</f>
        <v>-</v>
      </c>
      <c r="BQ100" s="15" t="str">
        <f t="shared" ref="BQ100" si="6933">IF(MarGlo2LevelCurrent&gt;=$B100,"-",IF(MarGlo2LevelDesired&lt;$B100,"-",$C100))</f>
        <v>-</v>
      </c>
      <c r="BR100" s="1" t="str">
        <f t="shared" ref="BR100" si="6934">IF(MarGlo2LevelCurrent&gt;=$B100,"-",IF(MarGlo2LevelDesired&lt;$B100,"-",$D100))</f>
        <v>-</v>
      </c>
      <c r="BS100" s="21" t="str">
        <f t="shared" ref="BS100" si="6935">IF(MarGlo2LevelCurrent&gt;=$B100,"-",IF(MarGlo2LevelDesired&lt;$B100,"-",$E100))</f>
        <v>-</v>
      </c>
      <c r="BT100" s="15" t="str">
        <f t="shared" ref="BT100" si="6936">IF(MarBel2LevelCurrent&gt;=$B100,"-",IF(MarBel2LevelDesired&lt;$B100,"-",$C100))</f>
        <v>-</v>
      </c>
      <c r="BU100" s="1" t="str">
        <f t="shared" ref="BU100" si="6937">IF(MarBel2LevelCurrent&gt;=$B100,"-",IF(MarBel2LevelDesired&lt;$B100,"-",$D100))</f>
        <v>-</v>
      </c>
      <c r="BV100" s="21" t="str">
        <f t="shared" ref="BV100" si="6938">IF(MarBel2LevelCurrent&gt;=$B100,"-",IF(MarBel2LevelDesired&lt;$B100,"-",$E100))</f>
        <v>-</v>
      </c>
      <c r="BW100" s="15" t="str">
        <f t="shared" ref="BW100" si="6939">IF(MarBoo2LevelCurrent&gt;=$B100,"-",IF(MarBoo2LevelDesired&lt;$B100,"-",$C100))</f>
        <v>-</v>
      </c>
      <c r="BX100" s="1" t="str">
        <f t="shared" ref="BX100" si="6940">IF(MarBoo2LevelCurrent&gt;=$B100,"-",IF(MarBoo2LevelDesired&lt;$B100,"-",$D100))</f>
        <v>-</v>
      </c>
      <c r="BY100" s="21" t="str">
        <f t="shared" ref="BY100" si="6941">IF(MarBoo2LevelCurrent&gt;=$B100,"-",IF(MarBoo2LevelDesired&lt;$B100,"-",$E100))</f>
        <v>-</v>
      </c>
      <c r="BZ100" s="15" t="str">
        <f t="shared" si="4748"/>
        <v>-</v>
      </c>
      <c r="CA100" s="1" t="str" cm="1">
        <f t="array" ref="CA100">IF(InfGog3LevelCurrent&gt;=$B100,"-",IF(InfGog3LevelDesired&lt;$B100,"-",$D100))</f>
        <v>-</v>
      </c>
      <c r="CB100" s="21" t="str" cm="1">
        <f t="array" ref="CB100">IF(InfGog3LevelCurrent&gt;=$B100,"-",IF(InfGog3LevelDesired&lt;$B100,"-",$E100))</f>
        <v>-</v>
      </c>
      <c r="CC100" s="15">
        <f t="shared" si="4749"/>
        <v>2150</v>
      </c>
      <c r="CD100" s="1" t="str">
        <f t="shared" si="4750"/>
        <v>-</v>
      </c>
      <c r="CE100" s="21" t="str">
        <f t="shared" si="4751"/>
        <v>-</v>
      </c>
      <c r="CF100" s="15">
        <f t="shared" si="4752"/>
        <v>2150</v>
      </c>
      <c r="CG100" s="1" t="str">
        <f t="shared" si="4753"/>
        <v>-</v>
      </c>
      <c r="CH100" s="21" t="str">
        <f t="shared" si="4754"/>
        <v>-</v>
      </c>
      <c r="CI100" s="15" t="str">
        <f t="shared" si="4755"/>
        <v>-</v>
      </c>
      <c r="CJ100" s="1" t="str">
        <f t="shared" si="4756"/>
        <v>-</v>
      </c>
      <c r="CK100" s="21" t="str">
        <f t="shared" si="4757"/>
        <v>-</v>
      </c>
      <c r="CL100" s="15" t="str">
        <f t="shared" si="4758"/>
        <v>-</v>
      </c>
      <c r="CM100" s="1" t="str">
        <f t="shared" si="4759"/>
        <v>-</v>
      </c>
      <c r="CN100" s="21" t="str">
        <f t="shared" si="4760"/>
        <v>-</v>
      </c>
      <c r="CO100" s="15" t="str">
        <f t="shared" si="4761"/>
        <v>-</v>
      </c>
      <c r="CP100" s="1" t="str">
        <f t="shared" si="4762"/>
        <v>-</v>
      </c>
      <c r="CQ100" s="21" t="str">
        <f t="shared" si="4763"/>
        <v>-</v>
      </c>
      <c r="CR100" s="15" t="str">
        <f t="shared" si="4764"/>
        <v>-</v>
      </c>
      <c r="CS100" s="1" t="str">
        <f t="shared" si="4765"/>
        <v>-</v>
      </c>
      <c r="CT100" s="21" t="str">
        <f t="shared" si="4766"/>
        <v>-</v>
      </c>
      <c r="CU100" s="15" t="str">
        <f t="shared" si="4767"/>
        <v>-</v>
      </c>
      <c r="CV100" s="1" t="str">
        <f t="shared" si="4768"/>
        <v>-</v>
      </c>
      <c r="CW100" s="21" t="str">
        <f t="shared" si="4769"/>
        <v>-</v>
      </c>
      <c r="CX100" s="15">
        <f t="shared" si="4770"/>
        <v>2150</v>
      </c>
      <c r="CY100" s="1" t="str">
        <f t="shared" si="4771"/>
        <v>-</v>
      </c>
      <c r="CZ100" s="21" t="str">
        <f t="shared" si="4772"/>
        <v>-</v>
      </c>
      <c r="DA100" s="15" t="str">
        <f t="shared" si="4773"/>
        <v>-</v>
      </c>
      <c r="DB100" s="1" t="str">
        <f t="shared" si="4774"/>
        <v>-</v>
      </c>
      <c r="DC100" s="21" t="str">
        <f t="shared" si="4775"/>
        <v>-</v>
      </c>
      <c r="DD100" s="15" t="str">
        <f t="shared" si="4776"/>
        <v>-</v>
      </c>
      <c r="DE100" s="1" t="str">
        <f t="shared" si="4777"/>
        <v>-</v>
      </c>
      <c r="DF100" s="21" t="str">
        <f t="shared" si="4778"/>
        <v>-</v>
      </c>
      <c r="DG100" s="15">
        <f t="shared" si="4779"/>
        <v>2150</v>
      </c>
      <c r="DH100" s="1" t="str">
        <f t="shared" si="4780"/>
        <v>-</v>
      </c>
      <c r="DI100" s="21" t="str">
        <f t="shared" si="4781"/>
        <v>-</v>
      </c>
    </row>
    <row r="101" spans="2:113" x14ac:dyDescent="0.3">
      <c r="B101" s="1">
        <v>96</v>
      </c>
      <c r="C101" s="67">
        <v>2200</v>
      </c>
      <c r="D101" s="88" t="s">
        <v>27</v>
      </c>
      <c r="E101" s="21" t="s">
        <v>27</v>
      </c>
      <c r="F101" s="15" t="str">
        <f t="shared" ref="F101" si="6942">IF(InfGog1LevelCurrent&gt;=$B101,"-",IF(InfGog1LevelDesired&lt;$B101,"-",$C101))</f>
        <v>-</v>
      </c>
      <c r="G101" s="1" t="str">
        <f t="shared" ref="G101" si="6943">IF(InfGog1LevelCurrent&gt;=$B101,"-",IF(InfGog1LevelDesired&lt;$B101,"-",$D101))</f>
        <v>-</v>
      </c>
      <c r="H101" s="21" t="str">
        <f t="shared" ref="H101" si="6944">IF(InfGog1LevelCurrent&gt;=$B101,"-",IF(InfGog1LevelDesired&lt;$B101,"-",$E101))</f>
        <v>-</v>
      </c>
      <c r="I101" s="15" t="str">
        <f t="shared" ref="I101" si="6945">IF(InfGlo1LevelCurrent&gt;=$B101,"-",IF(InfGlo1LevelDesired&lt;$B101,"-",$C101))</f>
        <v>-</v>
      </c>
      <c r="J101" s="1" t="str">
        <f t="shared" ref="J101" si="6946">IF(InfGlo1LevelCurrent&gt;=$B101,"-",IF(InfGlo1LevelDesired&lt;$B101,"-",$D101))</f>
        <v>-</v>
      </c>
      <c r="K101" s="21" t="str">
        <f t="shared" ref="K101" si="6947">IF(InfGlo1LevelCurrent&gt;=$B101,"-",IF(InfGlo1LevelDesired&lt;$B101,"-",$E101))</f>
        <v>-</v>
      </c>
      <c r="L101" s="15" t="str">
        <f t="shared" ref="L101" si="6948">IF(InfBel1LevelCurrent&gt;=$B101,"-",IF(InfBel1LevelDesired&lt;$B101,"-",$C101))</f>
        <v>-</v>
      </c>
      <c r="M101" s="1" t="str">
        <f t="shared" ref="M101" si="6949">IF(InfBel1LevelCurrent&gt;=$B101,"-",IF(InfBel1LevelDesired&lt;$B101,"-",$D101))</f>
        <v>-</v>
      </c>
      <c r="N101" s="21" t="str">
        <f t="shared" ref="N101" si="6950">IF(InfBel1LevelCurrent&gt;=$B101,"-",IF(InfBel1LevelDesired&lt;$B101,"-",$E101))</f>
        <v>-</v>
      </c>
      <c r="O101" s="15" t="str">
        <f t="shared" ref="O101" si="6951">IF(InfBoo1LevelCurrent&gt;=$B101,"-",IF(InfBoo1LevelDesired&lt;$B101,"-",$C101))</f>
        <v>-</v>
      </c>
      <c r="P101" s="1" t="str">
        <f t="shared" ref="P101" si="6952">IF(InfBoo1LevelCurrent&gt;=$B101,"-",IF(InfBoo1LevelDesired&lt;$B101,"-",$D101))</f>
        <v>-</v>
      </c>
      <c r="Q101" s="21" t="str">
        <f t="shared" ref="Q101" si="6953">IF(InfBoo1LevelCurrent&gt;=$B101,"-",IF(InfBoo1LevelDesired&lt;$B101,"-",$E101))</f>
        <v>-</v>
      </c>
      <c r="R101" s="15" t="str">
        <f t="shared" ref="R101" si="6954">IF(LanGog1LevelCurrent&gt;=$B101,"-",IF(LanGog1LevelDesired&lt;$B101,"-",$C101))</f>
        <v>-</v>
      </c>
      <c r="S101" s="1" t="str">
        <f t="shared" ref="S101" si="6955">IF(LanGog1LevelCurrent&gt;=$B101,"-",IF(LanGog1LevelDesired&lt;$B101,"-",$D101))</f>
        <v>-</v>
      </c>
      <c r="T101" s="21" t="str">
        <f t="shared" ref="T101" si="6956">IF(LanGog1LevelCurrent&gt;=$B101,"-",IF(LanGog1LevelDesired&lt;$B101,"-",$E101))</f>
        <v>-</v>
      </c>
      <c r="U101" s="15" t="str">
        <f t="shared" ref="U101" si="6957">IF(LanGlo1LevelCurrent&gt;=$B101,"-",IF(LanGlo1LevelDesired&lt;$B101,"-",$C101))</f>
        <v>-</v>
      </c>
      <c r="V101" s="1" t="str">
        <f t="shared" ref="V101" si="6958">IF(LanGlo1LevelCurrent&gt;=$B101,"-",IF(LanGlo1LevelDesired&lt;$B101,"-",$D101))</f>
        <v>-</v>
      </c>
      <c r="W101" s="21" t="str">
        <f t="shared" ref="W101" si="6959">IF(LanGlo1LevelCurrent&gt;=$B101,"-",IF(LanGlo1LevelDesired&lt;$B101,"-",$E101))</f>
        <v>-</v>
      </c>
      <c r="X101" s="15" t="str">
        <f t="shared" ref="X101" si="6960">IF(LanBel1LevelCurrent&gt;=$B101,"-",IF(LanBel1LevelDesired&lt;$B101,"-",$C101))</f>
        <v>-</v>
      </c>
      <c r="Y101" s="1" t="str">
        <f t="shared" ref="Y101" si="6961">IF(LanBel1LevelCurrent&gt;=$B101,"-",IF(LanBel1LevelDesired&lt;$B101,"-",$D101))</f>
        <v>-</v>
      </c>
      <c r="Z101" s="21" t="str">
        <f t="shared" ref="Z101" si="6962">IF(LanBel1LevelCurrent&gt;=$B101,"-",IF(LanBel1LevelDesired&lt;$B101,"-",$E101))</f>
        <v>-</v>
      </c>
      <c r="AA101" s="15" t="str">
        <f t="shared" ref="AA101" si="6963">IF(LanBoo1LevelCurrent&gt;=$B101,"-",IF(LanBoo1LevelDesired&lt;$B101,"-",$C101))</f>
        <v>-</v>
      </c>
      <c r="AB101" s="1" t="str">
        <f t="shared" ref="AB101" si="6964">IF(LanBoo1LevelCurrent&gt;=$B101,"-",IF(LanBoo1LevelDesired&lt;$B101,"-",$D101))</f>
        <v>-</v>
      </c>
      <c r="AC101" s="21" t="str">
        <f t="shared" ref="AC101" si="6965">IF(LanBoo1LevelCurrent&gt;=$B101,"-",IF(LanBoo1LevelDesired&lt;$B101,"-",$E101))</f>
        <v>-</v>
      </c>
      <c r="AD101" s="15" t="str">
        <f t="shared" ref="AD101" si="6966">IF(MarGog1LevelCurrent&gt;=$B101,"-",IF(MarGog1LevelDesired&lt;$B101,"-",$C101))</f>
        <v>-</v>
      </c>
      <c r="AE101" s="1" t="str">
        <f t="shared" ref="AE101" si="6967">IF(MarGog1LevelCurrent&gt;=$B101,"-",IF(MarGog1LevelDesired&lt;$B101,"-",$D101))</f>
        <v>-</v>
      </c>
      <c r="AF101" s="21" t="str">
        <f t="shared" ref="AF101" si="6968">IF(MarGog1LevelCurrent&gt;=$B101,"-",IF(MarGog1LevelDesired&lt;$B101,"-",$E101))</f>
        <v>-</v>
      </c>
      <c r="AG101" s="15" t="str">
        <f t="shared" ref="AG101" si="6969">IF(MarGlo1LevelCurrent&gt;=$B101,"-",IF(MarGlo1LevelDesired&lt;$B101,"-",$C101))</f>
        <v>-</v>
      </c>
      <c r="AH101" s="1" t="str">
        <f t="shared" ref="AH101" si="6970">IF(MarGlo1LevelCurrent&gt;=$B101,"-",IF(MarGlo1LevelDesired&lt;$B101,"-",$D101))</f>
        <v>-</v>
      </c>
      <c r="AI101" s="21" t="str">
        <f t="shared" ref="AI101" si="6971">IF(MarGlo1LevelCurrent&gt;=$B101,"-",IF(MarGlo1LevelDesired&lt;$B101,"-",$E101))</f>
        <v>-</v>
      </c>
      <c r="AJ101" s="15" t="str">
        <f t="shared" ref="AJ101" si="6972">IF(MarBel1LevelCurrent&gt;=$B101,"-",IF(MarBel1LevelDesired&lt;$B101,"-",$C101))</f>
        <v>-</v>
      </c>
      <c r="AK101" s="1" t="str">
        <f t="shared" ref="AK101" si="6973">IF(MarBel1LevelCurrent&gt;=$B101,"-",IF(MarBel1LevelDesired&lt;$B101,"-",$D101))</f>
        <v>-</v>
      </c>
      <c r="AL101" s="21" t="str">
        <f t="shared" ref="AL101" si="6974">IF(MarBel1LevelCurrent&gt;=$B101,"-",IF(MarBel1LevelDesired&lt;$B101,"-",$E101))</f>
        <v>-</v>
      </c>
      <c r="AM101" s="15" t="str">
        <f t="shared" ref="AM101" si="6975">IF(MarBoo1LevelCurrent&gt;=$B101,"-",IF(MarBoo1LevelDesired&lt;$B101,"-",$C101))</f>
        <v>-</v>
      </c>
      <c r="AN101" s="1" t="str">
        <f t="shared" ref="AN101" si="6976">IF(MarBoo1LevelCurrent&gt;=$B101,"-",IF(MarBoo1LevelDesired&lt;$B101,"-",$D101))</f>
        <v>-</v>
      </c>
      <c r="AO101" s="21" t="str">
        <f t="shared" ref="AO101" si="6977">IF(MarBoo1LevelCurrent&gt;=$B101,"-",IF(MarBoo1LevelDesired&lt;$B101,"-",$E101))</f>
        <v>-</v>
      </c>
      <c r="AP101" s="15" t="str">
        <f t="shared" ref="AP101" si="6978">IF(InfGog2LevelCurrent&gt;=$B101,"-",IF(InfGog2LevelDesired&lt;$B101,"-",$C101))</f>
        <v>-</v>
      </c>
      <c r="AQ101" s="1" t="str">
        <f t="shared" ref="AQ101" si="6979">IF(InfGog2LevelCurrent&gt;=$B101,"-",IF(InfGog2LevelDesired&lt;$B101,"-",$D101))</f>
        <v>-</v>
      </c>
      <c r="AR101" s="21" t="str">
        <f t="shared" ref="AR101" si="6980">IF(InfGog2LevelCurrent&gt;=$B101,"-",IF(InfGog2LevelDesired&lt;$B101,"-",$E101))</f>
        <v>-</v>
      </c>
      <c r="AS101" s="15" t="str">
        <f t="shared" ref="AS101" si="6981">IF(InfGlo2LevelCurrent&gt;=$B101,"-",IF(InfGlo2LevelDesired&lt;$B101,"-",$C101))</f>
        <v>-</v>
      </c>
      <c r="AT101" s="1" t="str">
        <f t="shared" ref="AT101" si="6982">IF(InfGlo2LevelCurrent&gt;=$B101,"-",IF(InfGlo2LevelDesired&lt;$B101,"-",$D101))</f>
        <v>-</v>
      </c>
      <c r="AU101" s="21" t="str">
        <f t="shared" ref="AU101" si="6983">IF(InfGlo2LevelCurrent&gt;=$B101,"-",IF(InfGlo2LevelDesired&lt;$B101,"-",$E101))</f>
        <v>-</v>
      </c>
      <c r="AV101" s="15" t="str">
        <f t="shared" ref="AV101" si="6984">IF(InfBel2LevelCurrent&gt;=$B101,"-",IF(InfBel2LevelDesired&lt;$B101,"-",$C101))</f>
        <v>-</v>
      </c>
      <c r="AW101" s="1" t="str">
        <f t="shared" ref="AW101" si="6985">IF(InfBel2LevelCurrent&gt;=$B101,"-",IF(InfBel2LevelDesired&lt;$B101,"-",$D101))</f>
        <v>-</v>
      </c>
      <c r="AX101" s="21" t="str">
        <f t="shared" ref="AX101" si="6986">IF(InfBel2LevelCurrent&gt;=$B101,"-",IF(InfBel2LevelDesired&lt;$B101,"-",$E101))</f>
        <v>-</v>
      </c>
      <c r="AY101" s="15" t="str">
        <f t="shared" ref="AY101" si="6987">IF(InfBoo2LevelCurrent&gt;=$B101,"-",IF(InfBoo2LevelDesired&lt;$B101,"-",$C101))</f>
        <v>-</v>
      </c>
      <c r="AZ101" s="1" t="str">
        <f t="shared" ref="AZ101" si="6988">IF(InfBoo2LevelCurrent&gt;=$B101,"-",IF(InfBoo2LevelDesired&lt;$B101,"-",$D101))</f>
        <v>-</v>
      </c>
      <c r="BA101" s="21" t="str">
        <f t="shared" ref="BA101" si="6989">IF(InfBoo2LevelCurrent&gt;=$B101,"-",IF(InfBoo2LevelDesired&lt;$B101,"-",$E101))</f>
        <v>-</v>
      </c>
      <c r="BB101" s="15" t="str">
        <f t="shared" ref="BB101" si="6990">IF(LanGog2LevelCurrent&gt;=$B101,"-",IF(LanGog2LevelDesired&lt;$B101,"-",$C101))</f>
        <v>-</v>
      </c>
      <c r="BC101" s="1" t="str">
        <f t="shared" ref="BC101" si="6991">IF(LanGog2LevelCurrent&gt;=$B101,"-",IF(LanGog2LevelDesired&lt;$B101,"-",$D101))</f>
        <v>-</v>
      </c>
      <c r="BD101" s="21" t="str">
        <f t="shared" ref="BD101" si="6992">IF(LanGog2LevelCurrent&gt;=$B101,"-",IF(LanGog2LevelDesired&lt;$B101,"-",$E101))</f>
        <v>-</v>
      </c>
      <c r="BE101" s="15" t="str">
        <f t="shared" ref="BE101" si="6993">IF(LanGlo2LevelCurrent&gt;=$B101,"-",IF(LanGlo2LevelDesired&lt;$B101,"-",$C101))</f>
        <v>-</v>
      </c>
      <c r="BF101" s="1" t="str">
        <f t="shared" ref="BF101" si="6994">IF(LanGlo2LevelCurrent&gt;=$B101,"-",IF(LanGlo2LevelDesired&lt;$B101,"-",$D101))</f>
        <v>-</v>
      </c>
      <c r="BG101" s="21" t="str">
        <f t="shared" ref="BG101" si="6995">IF(LanGlo2LevelCurrent&gt;=$B101,"-",IF(LanGlo2LevelDesired&lt;$B101,"-",$E101))</f>
        <v>-</v>
      </c>
      <c r="BH101" s="15" t="str">
        <f t="shared" ref="BH101" si="6996">IF(LanBel2LevelCurrent&gt;=$B101,"-",IF(LanBel2LevelDesired&lt;$B101,"-",$C101))</f>
        <v>-</v>
      </c>
      <c r="BI101" s="1" t="str">
        <f t="shared" ref="BI101" si="6997">IF(LanBel2LevelCurrent&gt;=$B101,"-",IF(LanBel2LevelDesired&lt;$B101,"-",$D101))</f>
        <v>-</v>
      </c>
      <c r="BJ101" s="21" t="str">
        <f t="shared" ref="BJ101" si="6998">IF(LanBel2LevelCurrent&gt;=$B101,"-",IF(LanBel2LevelDesired&lt;$B101,"-",$E101))</f>
        <v>-</v>
      </c>
      <c r="BK101" s="15" t="str">
        <f t="shared" ref="BK101" si="6999">IF(LanBoo2LevelCurrent&gt;=$B101,"-",IF(LanBoo2LevelDesired&lt;$B101,"-",$C101))</f>
        <v>-</v>
      </c>
      <c r="BL101" s="1" t="str">
        <f t="shared" ref="BL101" si="7000">IF(LanBoo2LevelCurrent&gt;=$B101,"-",IF(LanBoo2LevelDesired&lt;$B101,"-",$D101))</f>
        <v>-</v>
      </c>
      <c r="BM101" s="21" t="str">
        <f t="shared" ref="BM101" si="7001">IF(LanBoo2LevelCurrent&gt;=$B101,"-",IF(LanBoo2LevelDesired&lt;$B101,"-",$E101))</f>
        <v>-</v>
      </c>
      <c r="BN101" s="15" t="str">
        <f t="shared" ref="BN101" si="7002">IF(MarGog2LevelCurrent&gt;=$B101,"-",IF(MarGog2LevelDesired&lt;$B101,"-",$C101))</f>
        <v>-</v>
      </c>
      <c r="BO101" s="1" t="str">
        <f t="shared" ref="BO101" si="7003">IF(MarGog2LevelCurrent&gt;=$B101,"-",IF(MarGog2LevelDesired&lt;$B101,"-",$D101))</f>
        <v>-</v>
      </c>
      <c r="BP101" s="21" t="str">
        <f t="shared" ref="BP101" si="7004">IF(MarGog2LevelCurrent&gt;=$B101,"-",IF(MarGog2LevelDesired&lt;$B101,"-",$E101))</f>
        <v>-</v>
      </c>
      <c r="BQ101" s="15" t="str">
        <f t="shared" ref="BQ101" si="7005">IF(MarGlo2LevelCurrent&gt;=$B101,"-",IF(MarGlo2LevelDesired&lt;$B101,"-",$C101))</f>
        <v>-</v>
      </c>
      <c r="BR101" s="1" t="str">
        <f t="shared" ref="BR101" si="7006">IF(MarGlo2LevelCurrent&gt;=$B101,"-",IF(MarGlo2LevelDesired&lt;$B101,"-",$D101))</f>
        <v>-</v>
      </c>
      <c r="BS101" s="21" t="str">
        <f t="shared" ref="BS101" si="7007">IF(MarGlo2LevelCurrent&gt;=$B101,"-",IF(MarGlo2LevelDesired&lt;$B101,"-",$E101))</f>
        <v>-</v>
      </c>
      <c r="BT101" s="15" t="str">
        <f t="shared" ref="BT101" si="7008">IF(MarBel2LevelCurrent&gt;=$B101,"-",IF(MarBel2LevelDesired&lt;$B101,"-",$C101))</f>
        <v>-</v>
      </c>
      <c r="BU101" s="1" t="str">
        <f t="shared" ref="BU101" si="7009">IF(MarBel2LevelCurrent&gt;=$B101,"-",IF(MarBel2LevelDesired&lt;$B101,"-",$D101))</f>
        <v>-</v>
      </c>
      <c r="BV101" s="21" t="str">
        <f t="shared" ref="BV101" si="7010">IF(MarBel2LevelCurrent&gt;=$B101,"-",IF(MarBel2LevelDesired&lt;$B101,"-",$E101))</f>
        <v>-</v>
      </c>
      <c r="BW101" s="15" t="str">
        <f t="shared" ref="BW101" si="7011">IF(MarBoo2LevelCurrent&gt;=$B101,"-",IF(MarBoo2LevelDesired&lt;$B101,"-",$C101))</f>
        <v>-</v>
      </c>
      <c r="BX101" s="1" t="str">
        <f t="shared" ref="BX101" si="7012">IF(MarBoo2LevelCurrent&gt;=$B101,"-",IF(MarBoo2LevelDesired&lt;$B101,"-",$D101))</f>
        <v>-</v>
      </c>
      <c r="BY101" s="21" t="str">
        <f t="shared" ref="BY101" si="7013">IF(MarBoo2LevelCurrent&gt;=$B101,"-",IF(MarBoo2LevelDesired&lt;$B101,"-",$E101))</f>
        <v>-</v>
      </c>
      <c r="BZ101" s="15" t="str">
        <f t="shared" si="4748"/>
        <v>-</v>
      </c>
      <c r="CA101" s="1" t="str" cm="1">
        <f t="array" ref="CA101">IF(InfGog3LevelCurrent&gt;=$B101,"-",IF(InfGog3LevelDesired&lt;$B101,"-",$D101))</f>
        <v>-</v>
      </c>
      <c r="CB101" s="21" t="str" cm="1">
        <f t="array" ref="CB101">IF(InfGog3LevelCurrent&gt;=$B101,"-",IF(InfGog3LevelDesired&lt;$B101,"-",$E101))</f>
        <v>-</v>
      </c>
      <c r="CC101" s="15">
        <f t="shared" si="4749"/>
        <v>2200</v>
      </c>
      <c r="CD101" s="1" t="str">
        <f t="shared" si="4750"/>
        <v>-</v>
      </c>
      <c r="CE101" s="21" t="str">
        <f t="shared" si="4751"/>
        <v>-</v>
      </c>
      <c r="CF101" s="15">
        <f t="shared" si="4752"/>
        <v>2200</v>
      </c>
      <c r="CG101" s="1" t="str">
        <f t="shared" si="4753"/>
        <v>-</v>
      </c>
      <c r="CH101" s="21" t="str">
        <f t="shared" si="4754"/>
        <v>-</v>
      </c>
      <c r="CI101" s="15" t="str">
        <f t="shared" si="4755"/>
        <v>-</v>
      </c>
      <c r="CJ101" s="1" t="str">
        <f t="shared" si="4756"/>
        <v>-</v>
      </c>
      <c r="CK101" s="21" t="str">
        <f t="shared" si="4757"/>
        <v>-</v>
      </c>
      <c r="CL101" s="15" t="str">
        <f t="shared" si="4758"/>
        <v>-</v>
      </c>
      <c r="CM101" s="1" t="str">
        <f t="shared" si="4759"/>
        <v>-</v>
      </c>
      <c r="CN101" s="21" t="str">
        <f t="shared" si="4760"/>
        <v>-</v>
      </c>
      <c r="CO101" s="15" t="str">
        <f t="shared" si="4761"/>
        <v>-</v>
      </c>
      <c r="CP101" s="1" t="str">
        <f t="shared" si="4762"/>
        <v>-</v>
      </c>
      <c r="CQ101" s="21" t="str">
        <f t="shared" si="4763"/>
        <v>-</v>
      </c>
      <c r="CR101" s="15" t="str">
        <f t="shared" si="4764"/>
        <v>-</v>
      </c>
      <c r="CS101" s="1" t="str">
        <f t="shared" si="4765"/>
        <v>-</v>
      </c>
      <c r="CT101" s="21" t="str">
        <f t="shared" si="4766"/>
        <v>-</v>
      </c>
      <c r="CU101" s="15" t="str">
        <f t="shared" si="4767"/>
        <v>-</v>
      </c>
      <c r="CV101" s="1" t="str">
        <f t="shared" si="4768"/>
        <v>-</v>
      </c>
      <c r="CW101" s="21" t="str">
        <f t="shared" si="4769"/>
        <v>-</v>
      </c>
      <c r="CX101" s="15">
        <f t="shared" si="4770"/>
        <v>2200</v>
      </c>
      <c r="CY101" s="1" t="str">
        <f t="shared" si="4771"/>
        <v>-</v>
      </c>
      <c r="CZ101" s="21" t="str">
        <f t="shared" si="4772"/>
        <v>-</v>
      </c>
      <c r="DA101" s="15" t="str">
        <f t="shared" si="4773"/>
        <v>-</v>
      </c>
      <c r="DB101" s="1" t="str">
        <f t="shared" si="4774"/>
        <v>-</v>
      </c>
      <c r="DC101" s="21" t="str">
        <f t="shared" si="4775"/>
        <v>-</v>
      </c>
      <c r="DD101" s="15" t="str">
        <f t="shared" si="4776"/>
        <v>-</v>
      </c>
      <c r="DE101" s="1" t="str">
        <f t="shared" si="4777"/>
        <v>-</v>
      </c>
      <c r="DF101" s="21" t="str">
        <f t="shared" si="4778"/>
        <v>-</v>
      </c>
      <c r="DG101" s="15">
        <f t="shared" si="4779"/>
        <v>2200</v>
      </c>
      <c r="DH101" s="1" t="str">
        <f t="shared" si="4780"/>
        <v>-</v>
      </c>
      <c r="DI101" s="21" t="str">
        <f t="shared" si="4781"/>
        <v>-</v>
      </c>
    </row>
    <row r="102" spans="2:113" x14ac:dyDescent="0.3">
      <c r="B102" s="1">
        <v>97</v>
      </c>
      <c r="C102" s="67">
        <v>2250</v>
      </c>
      <c r="D102" s="88" t="s">
        <v>27</v>
      </c>
      <c r="E102" s="21" t="s">
        <v>27</v>
      </c>
      <c r="F102" s="15" t="str">
        <f t="shared" ref="F102" si="7014">IF(InfGog1LevelCurrent&gt;=$B102,"-",IF(InfGog1LevelDesired&lt;$B102,"-",$C102))</f>
        <v>-</v>
      </c>
      <c r="G102" s="1" t="str">
        <f t="shared" ref="G102" si="7015">IF(InfGog1LevelCurrent&gt;=$B102,"-",IF(InfGog1LevelDesired&lt;$B102,"-",$D102))</f>
        <v>-</v>
      </c>
      <c r="H102" s="21" t="str">
        <f t="shared" ref="H102" si="7016">IF(InfGog1LevelCurrent&gt;=$B102,"-",IF(InfGog1LevelDesired&lt;$B102,"-",$E102))</f>
        <v>-</v>
      </c>
      <c r="I102" s="15" t="str">
        <f t="shared" ref="I102" si="7017">IF(InfGlo1LevelCurrent&gt;=$B102,"-",IF(InfGlo1LevelDesired&lt;$B102,"-",$C102))</f>
        <v>-</v>
      </c>
      <c r="J102" s="1" t="str">
        <f t="shared" ref="J102" si="7018">IF(InfGlo1LevelCurrent&gt;=$B102,"-",IF(InfGlo1LevelDesired&lt;$B102,"-",$D102))</f>
        <v>-</v>
      </c>
      <c r="K102" s="21" t="str">
        <f t="shared" ref="K102" si="7019">IF(InfGlo1LevelCurrent&gt;=$B102,"-",IF(InfGlo1LevelDesired&lt;$B102,"-",$E102))</f>
        <v>-</v>
      </c>
      <c r="L102" s="15" t="str">
        <f t="shared" ref="L102" si="7020">IF(InfBel1LevelCurrent&gt;=$B102,"-",IF(InfBel1LevelDesired&lt;$B102,"-",$C102))</f>
        <v>-</v>
      </c>
      <c r="M102" s="1" t="str">
        <f t="shared" ref="M102" si="7021">IF(InfBel1LevelCurrent&gt;=$B102,"-",IF(InfBel1LevelDesired&lt;$B102,"-",$D102))</f>
        <v>-</v>
      </c>
      <c r="N102" s="21" t="str">
        <f t="shared" ref="N102" si="7022">IF(InfBel1LevelCurrent&gt;=$B102,"-",IF(InfBel1LevelDesired&lt;$B102,"-",$E102))</f>
        <v>-</v>
      </c>
      <c r="O102" s="15" t="str">
        <f t="shared" ref="O102" si="7023">IF(InfBoo1LevelCurrent&gt;=$B102,"-",IF(InfBoo1LevelDesired&lt;$B102,"-",$C102))</f>
        <v>-</v>
      </c>
      <c r="P102" s="1" t="str">
        <f t="shared" ref="P102" si="7024">IF(InfBoo1LevelCurrent&gt;=$B102,"-",IF(InfBoo1LevelDesired&lt;$B102,"-",$D102))</f>
        <v>-</v>
      </c>
      <c r="Q102" s="21" t="str">
        <f t="shared" ref="Q102" si="7025">IF(InfBoo1LevelCurrent&gt;=$B102,"-",IF(InfBoo1LevelDesired&lt;$B102,"-",$E102))</f>
        <v>-</v>
      </c>
      <c r="R102" s="15" t="str">
        <f t="shared" ref="R102" si="7026">IF(LanGog1LevelCurrent&gt;=$B102,"-",IF(LanGog1LevelDesired&lt;$B102,"-",$C102))</f>
        <v>-</v>
      </c>
      <c r="S102" s="1" t="str">
        <f t="shared" ref="S102" si="7027">IF(LanGog1LevelCurrent&gt;=$B102,"-",IF(LanGog1LevelDesired&lt;$B102,"-",$D102))</f>
        <v>-</v>
      </c>
      <c r="T102" s="21" t="str">
        <f t="shared" ref="T102" si="7028">IF(LanGog1LevelCurrent&gt;=$B102,"-",IF(LanGog1LevelDesired&lt;$B102,"-",$E102))</f>
        <v>-</v>
      </c>
      <c r="U102" s="15" t="str">
        <f t="shared" ref="U102" si="7029">IF(LanGlo1LevelCurrent&gt;=$B102,"-",IF(LanGlo1LevelDesired&lt;$B102,"-",$C102))</f>
        <v>-</v>
      </c>
      <c r="V102" s="1" t="str">
        <f t="shared" ref="V102" si="7030">IF(LanGlo1LevelCurrent&gt;=$B102,"-",IF(LanGlo1LevelDesired&lt;$B102,"-",$D102))</f>
        <v>-</v>
      </c>
      <c r="W102" s="21" t="str">
        <f t="shared" ref="W102" si="7031">IF(LanGlo1LevelCurrent&gt;=$B102,"-",IF(LanGlo1LevelDesired&lt;$B102,"-",$E102))</f>
        <v>-</v>
      </c>
      <c r="X102" s="15" t="str">
        <f t="shared" ref="X102" si="7032">IF(LanBel1LevelCurrent&gt;=$B102,"-",IF(LanBel1LevelDesired&lt;$B102,"-",$C102))</f>
        <v>-</v>
      </c>
      <c r="Y102" s="1" t="str">
        <f t="shared" ref="Y102" si="7033">IF(LanBel1LevelCurrent&gt;=$B102,"-",IF(LanBel1LevelDesired&lt;$B102,"-",$D102))</f>
        <v>-</v>
      </c>
      <c r="Z102" s="21" t="str">
        <f t="shared" ref="Z102" si="7034">IF(LanBel1LevelCurrent&gt;=$B102,"-",IF(LanBel1LevelDesired&lt;$B102,"-",$E102))</f>
        <v>-</v>
      </c>
      <c r="AA102" s="15" t="str">
        <f t="shared" ref="AA102" si="7035">IF(LanBoo1LevelCurrent&gt;=$B102,"-",IF(LanBoo1LevelDesired&lt;$B102,"-",$C102))</f>
        <v>-</v>
      </c>
      <c r="AB102" s="1" t="str">
        <f t="shared" ref="AB102" si="7036">IF(LanBoo1LevelCurrent&gt;=$B102,"-",IF(LanBoo1LevelDesired&lt;$B102,"-",$D102))</f>
        <v>-</v>
      </c>
      <c r="AC102" s="21" t="str">
        <f t="shared" ref="AC102" si="7037">IF(LanBoo1LevelCurrent&gt;=$B102,"-",IF(LanBoo1LevelDesired&lt;$B102,"-",$E102))</f>
        <v>-</v>
      </c>
      <c r="AD102" s="15" t="str">
        <f t="shared" ref="AD102" si="7038">IF(MarGog1LevelCurrent&gt;=$B102,"-",IF(MarGog1LevelDesired&lt;$B102,"-",$C102))</f>
        <v>-</v>
      </c>
      <c r="AE102" s="1" t="str">
        <f t="shared" ref="AE102" si="7039">IF(MarGog1LevelCurrent&gt;=$B102,"-",IF(MarGog1LevelDesired&lt;$B102,"-",$D102))</f>
        <v>-</v>
      </c>
      <c r="AF102" s="21" t="str">
        <f t="shared" ref="AF102" si="7040">IF(MarGog1LevelCurrent&gt;=$B102,"-",IF(MarGog1LevelDesired&lt;$B102,"-",$E102))</f>
        <v>-</v>
      </c>
      <c r="AG102" s="15" t="str">
        <f t="shared" ref="AG102" si="7041">IF(MarGlo1LevelCurrent&gt;=$B102,"-",IF(MarGlo1LevelDesired&lt;$B102,"-",$C102))</f>
        <v>-</v>
      </c>
      <c r="AH102" s="1" t="str">
        <f t="shared" ref="AH102" si="7042">IF(MarGlo1LevelCurrent&gt;=$B102,"-",IF(MarGlo1LevelDesired&lt;$B102,"-",$D102))</f>
        <v>-</v>
      </c>
      <c r="AI102" s="21" t="str">
        <f t="shared" ref="AI102" si="7043">IF(MarGlo1LevelCurrent&gt;=$B102,"-",IF(MarGlo1LevelDesired&lt;$B102,"-",$E102))</f>
        <v>-</v>
      </c>
      <c r="AJ102" s="15" t="str">
        <f t="shared" ref="AJ102" si="7044">IF(MarBel1LevelCurrent&gt;=$B102,"-",IF(MarBel1LevelDesired&lt;$B102,"-",$C102))</f>
        <v>-</v>
      </c>
      <c r="AK102" s="1" t="str">
        <f t="shared" ref="AK102" si="7045">IF(MarBel1LevelCurrent&gt;=$B102,"-",IF(MarBel1LevelDesired&lt;$B102,"-",$D102))</f>
        <v>-</v>
      </c>
      <c r="AL102" s="21" t="str">
        <f t="shared" ref="AL102" si="7046">IF(MarBel1LevelCurrent&gt;=$B102,"-",IF(MarBel1LevelDesired&lt;$B102,"-",$E102))</f>
        <v>-</v>
      </c>
      <c r="AM102" s="15" t="str">
        <f t="shared" ref="AM102" si="7047">IF(MarBoo1LevelCurrent&gt;=$B102,"-",IF(MarBoo1LevelDesired&lt;$B102,"-",$C102))</f>
        <v>-</v>
      </c>
      <c r="AN102" s="1" t="str">
        <f t="shared" ref="AN102" si="7048">IF(MarBoo1LevelCurrent&gt;=$B102,"-",IF(MarBoo1LevelDesired&lt;$B102,"-",$D102))</f>
        <v>-</v>
      </c>
      <c r="AO102" s="21" t="str">
        <f t="shared" ref="AO102" si="7049">IF(MarBoo1LevelCurrent&gt;=$B102,"-",IF(MarBoo1LevelDesired&lt;$B102,"-",$E102))</f>
        <v>-</v>
      </c>
      <c r="AP102" s="15" t="str">
        <f t="shared" ref="AP102" si="7050">IF(InfGog2LevelCurrent&gt;=$B102,"-",IF(InfGog2LevelDesired&lt;$B102,"-",$C102))</f>
        <v>-</v>
      </c>
      <c r="AQ102" s="1" t="str">
        <f t="shared" ref="AQ102" si="7051">IF(InfGog2LevelCurrent&gt;=$B102,"-",IF(InfGog2LevelDesired&lt;$B102,"-",$D102))</f>
        <v>-</v>
      </c>
      <c r="AR102" s="21" t="str">
        <f t="shared" ref="AR102" si="7052">IF(InfGog2LevelCurrent&gt;=$B102,"-",IF(InfGog2LevelDesired&lt;$B102,"-",$E102))</f>
        <v>-</v>
      </c>
      <c r="AS102" s="15" t="str">
        <f t="shared" ref="AS102" si="7053">IF(InfGlo2LevelCurrent&gt;=$B102,"-",IF(InfGlo2LevelDesired&lt;$B102,"-",$C102))</f>
        <v>-</v>
      </c>
      <c r="AT102" s="1" t="str">
        <f t="shared" ref="AT102" si="7054">IF(InfGlo2LevelCurrent&gt;=$B102,"-",IF(InfGlo2LevelDesired&lt;$B102,"-",$D102))</f>
        <v>-</v>
      </c>
      <c r="AU102" s="21" t="str">
        <f t="shared" ref="AU102" si="7055">IF(InfGlo2LevelCurrent&gt;=$B102,"-",IF(InfGlo2LevelDesired&lt;$B102,"-",$E102))</f>
        <v>-</v>
      </c>
      <c r="AV102" s="15" t="str">
        <f t="shared" ref="AV102" si="7056">IF(InfBel2LevelCurrent&gt;=$B102,"-",IF(InfBel2LevelDesired&lt;$B102,"-",$C102))</f>
        <v>-</v>
      </c>
      <c r="AW102" s="1" t="str">
        <f t="shared" ref="AW102" si="7057">IF(InfBel2LevelCurrent&gt;=$B102,"-",IF(InfBel2LevelDesired&lt;$B102,"-",$D102))</f>
        <v>-</v>
      </c>
      <c r="AX102" s="21" t="str">
        <f t="shared" ref="AX102" si="7058">IF(InfBel2LevelCurrent&gt;=$B102,"-",IF(InfBel2LevelDesired&lt;$B102,"-",$E102))</f>
        <v>-</v>
      </c>
      <c r="AY102" s="15" t="str">
        <f t="shared" ref="AY102" si="7059">IF(InfBoo2LevelCurrent&gt;=$B102,"-",IF(InfBoo2LevelDesired&lt;$B102,"-",$C102))</f>
        <v>-</v>
      </c>
      <c r="AZ102" s="1" t="str">
        <f t="shared" ref="AZ102" si="7060">IF(InfBoo2LevelCurrent&gt;=$B102,"-",IF(InfBoo2LevelDesired&lt;$B102,"-",$D102))</f>
        <v>-</v>
      </c>
      <c r="BA102" s="21" t="str">
        <f t="shared" ref="BA102" si="7061">IF(InfBoo2LevelCurrent&gt;=$B102,"-",IF(InfBoo2LevelDesired&lt;$B102,"-",$E102))</f>
        <v>-</v>
      </c>
      <c r="BB102" s="15" t="str">
        <f t="shared" ref="BB102" si="7062">IF(LanGog2LevelCurrent&gt;=$B102,"-",IF(LanGog2LevelDesired&lt;$B102,"-",$C102))</f>
        <v>-</v>
      </c>
      <c r="BC102" s="1" t="str">
        <f t="shared" ref="BC102" si="7063">IF(LanGog2LevelCurrent&gt;=$B102,"-",IF(LanGog2LevelDesired&lt;$B102,"-",$D102))</f>
        <v>-</v>
      </c>
      <c r="BD102" s="21" t="str">
        <f t="shared" ref="BD102" si="7064">IF(LanGog2LevelCurrent&gt;=$B102,"-",IF(LanGog2LevelDesired&lt;$B102,"-",$E102))</f>
        <v>-</v>
      </c>
      <c r="BE102" s="15" t="str">
        <f t="shared" ref="BE102" si="7065">IF(LanGlo2LevelCurrent&gt;=$B102,"-",IF(LanGlo2LevelDesired&lt;$B102,"-",$C102))</f>
        <v>-</v>
      </c>
      <c r="BF102" s="1" t="str">
        <f t="shared" ref="BF102" si="7066">IF(LanGlo2LevelCurrent&gt;=$B102,"-",IF(LanGlo2LevelDesired&lt;$B102,"-",$D102))</f>
        <v>-</v>
      </c>
      <c r="BG102" s="21" t="str">
        <f t="shared" ref="BG102" si="7067">IF(LanGlo2LevelCurrent&gt;=$B102,"-",IF(LanGlo2LevelDesired&lt;$B102,"-",$E102))</f>
        <v>-</v>
      </c>
      <c r="BH102" s="15" t="str">
        <f t="shared" ref="BH102" si="7068">IF(LanBel2LevelCurrent&gt;=$B102,"-",IF(LanBel2LevelDesired&lt;$B102,"-",$C102))</f>
        <v>-</v>
      </c>
      <c r="BI102" s="1" t="str">
        <f t="shared" ref="BI102" si="7069">IF(LanBel2LevelCurrent&gt;=$B102,"-",IF(LanBel2LevelDesired&lt;$B102,"-",$D102))</f>
        <v>-</v>
      </c>
      <c r="BJ102" s="21" t="str">
        <f t="shared" ref="BJ102" si="7070">IF(LanBel2LevelCurrent&gt;=$B102,"-",IF(LanBel2LevelDesired&lt;$B102,"-",$E102))</f>
        <v>-</v>
      </c>
      <c r="BK102" s="15" t="str">
        <f t="shared" ref="BK102" si="7071">IF(LanBoo2LevelCurrent&gt;=$B102,"-",IF(LanBoo2LevelDesired&lt;$B102,"-",$C102))</f>
        <v>-</v>
      </c>
      <c r="BL102" s="1" t="str">
        <f t="shared" ref="BL102" si="7072">IF(LanBoo2LevelCurrent&gt;=$B102,"-",IF(LanBoo2LevelDesired&lt;$B102,"-",$D102))</f>
        <v>-</v>
      </c>
      <c r="BM102" s="21" t="str">
        <f t="shared" ref="BM102" si="7073">IF(LanBoo2LevelCurrent&gt;=$B102,"-",IF(LanBoo2LevelDesired&lt;$B102,"-",$E102))</f>
        <v>-</v>
      </c>
      <c r="BN102" s="15" t="str">
        <f t="shared" ref="BN102" si="7074">IF(MarGog2LevelCurrent&gt;=$B102,"-",IF(MarGog2LevelDesired&lt;$B102,"-",$C102))</f>
        <v>-</v>
      </c>
      <c r="BO102" s="1" t="str">
        <f t="shared" ref="BO102" si="7075">IF(MarGog2LevelCurrent&gt;=$B102,"-",IF(MarGog2LevelDesired&lt;$B102,"-",$D102))</f>
        <v>-</v>
      </c>
      <c r="BP102" s="21" t="str">
        <f t="shared" ref="BP102" si="7076">IF(MarGog2LevelCurrent&gt;=$B102,"-",IF(MarGog2LevelDesired&lt;$B102,"-",$E102))</f>
        <v>-</v>
      </c>
      <c r="BQ102" s="15" t="str">
        <f t="shared" ref="BQ102" si="7077">IF(MarGlo2LevelCurrent&gt;=$B102,"-",IF(MarGlo2LevelDesired&lt;$B102,"-",$C102))</f>
        <v>-</v>
      </c>
      <c r="BR102" s="1" t="str">
        <f t="shared" ref="BR102" si="7078">IF(MarGlo2LevelCurrent&gt;=$B102,"-",IF(MarGlo2LevelDesired&lt;$B102,"-",$D102))</f>
        <v>-</v>
      </c>
      <c r="BS102" s="21" t="str">
        <f t="shared" ref="BS102" si="7079">IF(MarGlo2LevelCurrent&gt;=$B102,"-",IF(MarGlo2LevelDesired&lt;$B102,"-",$E102))</f>
        <v>-</v>
      </c>
      <c r="BT102" s="15" t="str">
        <f t="shared" ref="BT102" si="7080">IF(MarBel2LevelCurrent&gt;=$B102,"-",IF(MarBel2LevelDesired&lt;$B102,"-",$C102))</f>
        <v>-</v>
      </c>
      <c r="BU102" s="1" t="str">
        <f t="shared" ref="BU102" si="7081">IF(MarBel2LevelCurrent&gt;=$B102,"-",IF(MarBel2LevelDesired&lt;$B102,"-",$D102))</f>
        <v>-</v>
      </c>
      <c r="BV102" s="21" t="str">
        <f t="shared" ref="BV102" si="7082">IF(MarBel2LevelCurrent&gt;=$B102,"-",IF(MarBel2LevelDesired&lt;$B102,"-",$E102))</f>
        <v>-</v>
      </c>
      <c r="BW102" s="15" t="str">
        <f t="shared" ref="BW102" si="7083">IF(MarBoo2LevelCurrent&gt;=$B102,"-",IF(MarBoo2LevelDesired&lt;$B102,"-",$C102))</f>
        <v>-</v>
      </c>
      <c r="BX102" s="1" t="str">
        <f t="shared" ref="BX102" si="7084">IF(MarBoo2LevelCurrent&gt;=$B102,"-",IF(MarBoo2LevelDesired&lt;$B102,"-",$D102))</f>
        <v>-</v>
      </c>
      <c r="BY102" s="21" t="str">
        <f t="shared" ref="BY102" si="7085">IF(MarBoo2LevelCurrent&gt;=$B102,"-",IF(MarBoo2LevelDesired&lt;$B102,"-",$E102))</f>
        <v>-</v>
      </c>
      <c r="BZ102" s="15" t="str">
        <f t="shared" ref="BZ102:BZ133" si="7086">IF(InfGog3LevelCurrent&gt;=$B102,"-",IF(InfGog3LevelDesired&lt;$B102,"-",$C102))</f>
        <v>-</v>
      </c>
      <c r="CA102" s="1" t="str" cm="1">
        <f t="array" ref="CA102">IF(InfGog3LevelCurrent&gt;=$B102,"-",IF(InfGog3LevelDesired&lt;$B102,"-",$D102))</f>
        <v>-</v>
      </c>
      <c r="CB102" s="21" t="str" cm="1">
        <f t="array" ref="CB102">IF(InfGog3LevelCurrent&gt;=$B102,"-",IF(InfGog3LevelDesired&lt;$B102,"-",$E102))</f>
        <v>-</v>
      </c>
      <c r="CC102" s="15">
        <f t="shared" ref="CC102:CC133" si="7087">IF(InfGlo3LevelCurrent&gt;=$B102,"-",IF(InfGlo3LevelDesired&lt;$B102,"-",$C102))</f>
        <v>2250</v>
      </c>
      <c r="CD102" s="1" t="str">
        <f t="shared" ref="CD102:CD133" si="7088">IF(InfGlo3LevelCurrent&gt;=$B102,"-",IF(InfGlo3LevelDesired&lt;$B102,"-",$D102))</f>
        <v>-</v>
      </c>
      <c r="CE102" s="21" t="str">
        <f t="shared" ref="CE102:CE133" si="7089">IF(InfGlo3LevelCurrent&gt;=$B102,"-",IF(InfGlo3LevelDesired&lt;$B102,"-",$E102))</f>
        <v>-</v>
      </c>
      <c r="CF102" s="15">
        <f t="shared" ref="CF102:CF133" si="7090">IF(InfBel3LevelCurrent&gt;=$B102,"-",IF(InfBel3LevelDesired&lt;$B102,"-",$C102))</f>
        <v>2250</v>
      </c>
      <c r="CG102" s="1" t="str">
        <f t="shared" ref="CG102:CG133" si="7091">IF(InfBel3LevelCurrent&gt;=$B102,"-",IF(InfBel3LevelDesired&lt;$B102,"-",$D102))</f>
        <v>-</v>
      </c>
      <c r="CH102" s="21" t="str">
        <f t="shared" ref="CH102:CH133" si="7092">IF(InfBel3LevelCurrent&gt;=$B102,"-",IF(InfBel3LevelDesired&lt;$B102,"-",$E102))</f>
        <v>-</v>
      </c>
      <c r="CI102" s="15" t="str">
        <f t="shared" ref="CI102:CI133" si="7093">IF(InfBoo3LevelCurrent&gt;=$B102,"-",IF(InfBoo3LevelDesired&lt;$B102,"-",$C102))</f>
        <v>-</v>
      </c>
      <c r="CJ102" s="1" t="str">
        <f t="shared" ref="CJ102:CJ133" si="7094">IF(InfBoo3LevelCurrent&gt;=$B102,"-",IF(InfBoo3LevelDesired&lt;$B102,"-",$D102))</f>
        <v>-</v>
      </c>
      <c r="CK102" s="21" t="str">
        <f t="shared" ref="CK102:CK133" si="7095">IF(InfBoo3LevelCurrent&gt;=$B102,"-",IF(InfBoo3LevelDesired&lt;$B102,"-",$E102))</f>
        <v>-</v>
      </c>
      <c r="CL102" s="15" t="str">
        <f t="shared" ref="CL102:CL133" si="7096">IF(LanGog3LevelCurrent&gt;=$B102,"-",IF(LanGog3LevelDesired&lt;$B102,"-",$C102))</f>
        <v>-</v>
      </c>
      <c r="CM102" s="1" t="str">
        <f t="shared" ref="CM102:CM133" si="7097">IF(LanGog3LevelCurrent&gt;=$B102,"-",IF(LanGog3LevelDesired&lt;$B102,"-",$D102))</f>
        <v>-</v>
      </c>
      <c r="CN102" s="21" t="str">
        <f t="shared" ref="CN102:CN133" si="7098">IF(LanGog3LevelCurrent&gt;=$B102,"-",IF(LanGog3LevelDesired&lt;$B102,"-",$E102))</f>
        <v>-</v>
      </c>
      <c r="CO102" s="15" t="str">
        <f t="shared" ref="CO102:CO133" si="7099">IF(LanGlo3LevelCurrent&gt;=$B102,"-",IF(LanGlo3LevelDesired&lt;$B102,"-",$C102))</f>
        <v>-</v>
      </c>
      <c r="CP102" s="1" t="str">
        <f t="shared" ref="CP102:CP133" si="7100">IF(LanGlo3LevelCurrent&gt;=$B102,"-",IF(LanGlo3LevelDesired&lt;$B102,"-",$D102))</f>
        <v>-</v>
      </c>
      <c r="CQ102" s="21" t="str">
        <f t="shared" ref="CQ102:CQ133" si="7101">IF(LanGlo3LevelCurrent&gt;=$B102,"-",IF(LanGlo3LevelDesired&lt;$B102,"-",$E102))</f>
        <v>-</v>
      </c>
      <c r="CR102" s="15" t="str">
        <f t="shared" ref="CR102:CR133" si="7102">IF(LanBel3LevelCurrent&gt;=$B102,"-",IF(LanBel3LevelDesired&lt;$B102,"-",$C102))</f>
        <v>-</v>
      </c>
      <c r="CS102" s="1" t="str">
        <f t="shared" ref="CS102:CS133" si="7103">IF(LanBel3LevelCurrent&gt;=$B102,"-",IF(LanBel3LevelDesired&lt;$B102,"-",$D102))</f>
        <v>-</v>
      </c>
      <c r="CT102" s="21" t="str">
        <f t="shared" ref="CT102:CT133" si="7104">IF(LanBel3LevelCurrent&gt;=$B102,"-",IF(LanBel3LevelDesired&lt;$B102,"-",$E102))</f>
        <v>-</v>
      </c>
      <c r="CU102" s="15" t="str">
        <f t="shared" ref="CU102:CU133" si="7105">IF(LanBoo3LevelCurrent&gt;=$B102,"-",IF(LanBoo3LevelDesired&lt;$B102,"-",$C102))</f>
        <v>-</v>
      </c>
      <c r="CV102" s="1" t="str">
        <f t="shared" ref="CV102:CV133" si="7106">IF(LanBoo3LevelCurrent&gt;=$B102,"-",IF(LanBoo3LevelDesired&lt;$B102,"-",$D102))</f>
        <v>-</v>
      </c>
      <c r="CW102" s="21" t="str">
        <f t="shared" ref="CW102:CW133" si="7107">IF(LanBoo3LevelCurrent&gt;=$B102,"-",IF(LanBoo3LevelDesired&lt;$B102,"-",$E102))</f>
        <v>-</v>
      </c>
      <c r="CX102" s="15">
        <f t="shared" ref="CX102:CX133" si="7108">IF(MarGog3LevelCurrent&gt;=$B102,"-",IF(MarGog3LevelDesired&lt;$B102,"-",$C102))</f>
        <v>2250</v>
      </c>
      <c r="CY102" s="1" t="str">
        <f t="shared" ref="CY102:CY133" si="7109">IF(MarGog3LevelCurrent&gt;=$B102,"-",IF(MarGog3LevelDesired&lt;$B102,"-",$D102))</f>
        <v>-</v>
      </c>
      <c r="CZ102" s="21" t="str">
        <f t="shared" ref="CZ102:CZ133" si="7110">IF(MarGog3LevelCurrent&gt;=$B102,"-",IF(MarGog3LevelDesired&lt;$B102,"-",$E102))</f>
        <v>-</v>
      </c>
      <c r="DA102" s="15" t="str">
        <f t="shared" ref="DA102:DA133" si="7111">IF(MarGlo3LevelCurrent&gt;=$B102,"-",IF(MarGlo3LevelDesired&lt;$B102,"-",$C102))</f>
        <v>-</v>
      </c>
      <c r="DB102" s="1" t="str">
        <f t="shared" ref="DB102:DB133" si="7112">IF(MarGlo3LevelCurrent&gt;=$B102,"-",IF(MarGlo3LevelDesired&lt;$B102,"-",$D102))</f>
        <v>-</v>
      </c>
      <c r="DC102" s="21" t="str">
        <f t="shared" ref="DC102:DC133" si="7113">IF(MarGlo3LevelCurrent&gt;=$B102,"-",IF(MarGlo3LevelDesired&lt;$B102,"-",$E102))</f>
        <v>-</v>
      </c>
      <c r="DD102" s="15" t="str">
        <f t="shared" ref="DD102:DD133" si="7114">IF(MarBel3LevelCurrent&gt;=$B102,"-",IF(MarBel3LevelDesired&lt;$B102,"-",$C102))</f>
        <v>-</v>
      </c>
      <c r="DE102" s="1" t="str">
        <f t="shared" ref="DE102:DE133" si="7115">IF(MarBel3LevelCurrent&gt;=$B102,"-",IF(MarBel3LevelDesired&lt;$B102,"-",$D102))</f>
        <v>-</v>
      </c>
      <c r="DF102" s="21" t="str">
        <f t="shared" ref="DF102:DF133" si="7116">IF(MarBel3LevelCurrent&gt;=$B102,"-",IF(MarBel3LevelDesired&lt;$B102,"-",$E102))</f>
        <v>-</v>
      </c>
      <c r="DG102" s="15">
        <f t="shared" ref="DG102:DG133" si="7117">IF(MarBoo3LevelCurrent&gt;=$B102,"-",IF(MarBoo3LevelDesired&lt;$B102,"-",$C102))</f>
        <v>2250</v>
      </c>
      <c r="DH102" s="1" t="str">
        <f t="shared" ref="DH102:DH133" si="7118">IF(MarBoo3LevelCurrent&gt;=$B102,"-",IF(MarBoo3LevelDesired&lt;$B102,"-",$D102))</f>
        <v>-</v>
      </c>
      <c r="DI102" s="21" t="str">
        <f t="shared" ref="DI102:DI133" si="7119">IF(MarBoo3LevelCurrent&gt;=$B102,"-",IF(MarBoo3LevelDesired&lt;$B102,"-",$E102))</f>
        <v>-</v>
      </c>
    </row>
    <row r="103" spans="2:113" x14ac:dyDescent="0.3">
      <c r="B103" s="1">
        <v>98</v>
      </c>
      <c r="C103" s="67">
        <v>2300</v>
      </c>
      <c r="D103" s="88" t="s">
        <v>27</v>
      </c>
      <c r="E103" s="21" t="s">
        <v>27</v>
      </c>
      <c r="F103" s="15" t="str">
        <f t="shared" ref="F103" si="7120">IF(InfGog1LevelCurrent&gt;=$B103,"-",IF(InfGog1LevelDesired&lt;$B103,"-",$C103))</f>
        <v>-</v>
      </c>
      <c r="G103" s="1" t="str">
        <f t="shared" ref="G103" si="7121">IF(InfGog1LevelCurrent&gt;=$B103,"-",IF(InfGog1LevelDesired&lt;$B103,"-",$D103))</f>
        <v>-</v>
      </c>
      <c r="H103" s="21" t="str">
        <f t="shared" ref="H103" si="7122">IF(InfGog1LevelCurrent&gt;=$B103,"-",IF(InfGog1LevelDesired&lt;$B103,"-",$E103))</f>
        <v>-</v>
      </c>
      <c r="I103" s="15" t="str">
        <f t="shared" ref="I103" si="7123">IF(InfGlo1LevelCurrent&gt;=$B103,"-",IF(InfGlo1LevelDesired&lt;$B103,"-",$C103))</f>
        <v>-</v>
      </c>
      <c r="J103" s="1" t="str">
        <f t="shared" ref="J103" si="7124">IF(InfGlo1LevelCurrent&gt;=$B103,"-",IF(InfGlo1LevelDesired&lt;$B103,"-",$D103))</f>
        <v>-</v>
      </c>
      <c r="K103" s="21" t="str">
        <f t="shared" ref="K103" si="7125">IF(InfGlo1LevelCurrent&gt;=$B103,"-",IF(InfGlo1LevelDesired&lt;$B103,"-",$E103))</f>
        <v>-</v>
      </c>
      <c r="L103" s="15" t="str">
        <f t="shared" ref="L103" si="7126">IF(InfBel1LevelCurrent&gt;=$B103,"-",IF(InfBel1LevelDesired&lt;$B103,"-",$C103))</f>
        <v>-</v>
      </c>
      <c r="M103" s="1" t="str">
        <f t="shared" ref="M103" si="7127">IF(InfBel1LevelCurrent&gt;=$B103,"-",IF(InfBel1LevelDesired&lt;$B103,"-",$D103))</f>
        <v>-</v>
      </c>
      <c r="N103" s="21" t="str">
        <f t="shared" ref="N103" si="7128">IF(InfBel1LevelCurrent&gt;=$B103,"-",IF(InfBel1LevelDesired&lt;$B103,"-",$E103))</f>
        <v>-</v>
      </c>
      <c r="O103" s="15" t="str">
        <f t="shared" ref="O103" si="7129">IF(InfBoo1LevelCurrent&gt;=$B103,"-",IF(InfBoo1LevelDesired&lt;$B103,"-",$C103))</f>
        <v>-</v>
      </c>
      <c r="P103" s="1" t="str">
        <f t="shared" ref="P103" si="7130">IF(InfBoo1LevelCurrent&gt;=$B103,"-",IF(InfBoo1LevelDesired&lt;$B103,"-",$D103))</f>
        <v>-</v>
      </c>
      <c r="Q103" s="21" t="str">
        <f t="shared" ref="Q103" si="7131">IF(InfBoo1LevelCurrent&gt;=$B103,"-",IF(InfBoo1LevelDesired&lt;$B103,"-",$E103))</f>
        <v>-</v>
      </c>
      <c r="R103" s="15" t="str">
        <f t="shared" ref="R103" si="7132">IF(LanGog1LevelCurrent&gt;=$B103,"-",IF(LanGog1LevelDesired&lt;$B103,"-",$C103))</f>
        <v>-</v>
      </c>
      <c r="S103" s="1" t="str">
        <f t="shared" ref="S103" si="7133">IF(LanGog1LevelCurrent&gt;=$B103,"-",IF(LanGog1LevelDesired&lt;$B103,"-",$D103))</f>
        <v>-</v>
      </c>
      <c r="T103" s="21" t="str">
        <f t="shared" ref="T103" si="7134">IF(LanGog1LevelCurrent&gt;=$B103,"-",IF(LanGog1LevelDesired&lt;$B103,"-",$E103))</f>
        <v>-</v>
      </c>
      <c r="U103" s="15" t="str">
        <f t="shared" ref="U103" si="7135">IF(LanGlo1LevelCurrent&gt;=$B103,"-",IF(LanGlo1LevelDesired&lt;$B103,"-",$C103))</f>
        <v>-</v>
      </c>
      <c r="V103" s="1" t="str">
        <f t="shared" ref="V103" si="7136">IF(LanGlo1LevelCurrent&gt;=$B103,"-",IF(LanGlo1LevelDesired&lt;$B103,"-",$D103))</f>
        <v>-</v>
      </c>
      <c r="W103" s="21" t="str">
        <f t="shared" ref="W103" si="7137">IF(LanGlo1LevelCurrent&gt;=$B103,"-",IF(LanGlo1LevelDesired&lt;$B103,"-",$E103))</f>
        <v>-</v>
      </c>
      <c r="X103" s="15" t="str">
        <f t="shared" ref="X103" si="7138">IF(LanBel1LevelCurrent&gt;=$B103,"-",IF(LanBel1LevelDesired&lt;$B103,"-",$C103))</f>
        <v>-</v>
      </c>
      <c r="Y103" s="1" t="str">
        <f t="shared" ref="Y103" si="7139">IF(LanBel1LevelCurrent&gt;=$B103,"-",IF(LanBel1LevelDesired&lt;$B103,"-",$D103))</f>
        <v>-</v>
      </c>
      <c r="Z103" s="21" t="str">
        <f t="shared" ref="Z103" si="7140">IF(LanBel1LevelCurrent&gt;=$B103,"-",IF(LanBel1LevelDesired&lt;$B103,"-",$E103))</f>
        <v>-</v>
      </c>
      <c r="AA103" s="15" t="str">
        <f t="shared" ref="AA103" si="7141">IF(LanBoo1LevelCurrent&gt;=$B103,"-",IF(LanBoo1LevelDesired&lt;$B103,"-",$C103))</f>
        <v>-</v>
      </c>
      <c r="AB103" s="1" t="str">
        <f t="shared" ref="AB103" si="7142">IF(LanBoo1LevelCurrent&gt;=$B103,"-",IF(LanBoo1LevelDesired&lt;$B103,"-",$D103))</f>
        <v>-</v>
      </c>
      <c r="AC103" s="21" t="str">
        <f t="shared" ref="AC103" si="7143">IF(LanBoo1LevelCurrent&gt;=$B103,"-",IF(LanBoo1LevelDesired&lt;$B103,"-",$E103))</f>
        <v>-</v>
      </c>
      <c r="AD103" s="15" t="str">
        <f t="shared" ref="AD103" si="7144">IF(MarGog1LevelCurrent&gt;=$B103,"-",IF(MarGog1LevelDesired&lt;$B103,"-",$C103))</f>
        <v>-</v>
      </c>
      <c r="AE103" s="1" t="str">
        <f t="shared" ref="AE103" si="7145">IF(MarGog1LevelCurrent&gt;=$B103,"-",IF(MarGog1LevelDesired&lt;$B103,"-",$D103))</f>
        <v>-</v>
      </c>
      <c r="AF103" s="21" t="str">
        <f t="shared" ref="AF103" si="7146">IF(MarGog1LevelCurrent&gt;=$B103,"-",IF(MarGog1LevelDesired&lt;$B103,"-",$E103))</f>
        <v>-</v>
      </c>
      <c r="AG103" s="15" t="str">
        <f t="shared" ref="AG103" si="7147">IF(MarGlo1LevelCurrent&gt;=$B103,"-",IF(MarGlo1LevelDesired&lt;$B103,"-",$C103))</f>
        <v>-</v>
      </c>
      <c r="AH103" s="1" t="str">
        <f t="shared" ref="AH103" si="7148">IF(MarGlo1LevelCurrent&gt;=$B103,"-",IF(MarGlo1LevelDesired&lt;$B103,"-",$D103))</f>
        <v>-</v>
      </c>
      <c r="AI103" s="21" t="str">
        <f t="shared" ref="AI103" si="7149">IF(MarGlo1LevelCurrent&gt;=$B103,"-",IF(MarGlo1LevelDesired&lt;$B103,"-",$E103))</f>
        <v>-</v>
      </c>
      <c r="AJ103" s="15" t="str">
        <f t="shared" ref="AJ103" si="7150">IF(MarBel1LevelCurrent&gt;=$B103,"-",IF(MarBel1LevelDesired&lt;$B103,"-",$C103))</f>
        <v>-</v>
      </c>
      <c r="AK103" s="1" t="str">
        <f t="shared" ref="AK103" si="7151">IF(MarBel1LevelCurrent&gt;=$B103,"-",IF(MarBel1LevelDesired&lt;$B103,"-",$D103))</f>
        <v>-</v>
      </c>
      <c r="AL103" s="21" t="str">
        <f t="shared" ref="AL103" si="7152">IF(MarBel1LevelCurrent&gt;=$B103,"-",IF(MarBel1LevelDesired&lt;$B103,"-",$E103))</f>
        <v>-</v>
      </c>
      <c r="AM103" s="15" t="str">
        <f t="shared" ref="AM103" si="7153">IF(MarBoo1LevelCurrent&gt;=$B103,"-",IF(MarBoo1LevelDesired&lt;$B103,"-",$C103))</f>
        <v>-</v>
      </c>
      <c r="AN103" s="1" t="str">
        <f t="shared" ref="AN103" si="7154">IF(MarBoo1LevelCurrent&gt;=$B103,"-",IF(MarBoo1LevelDesired&lt;$B103,"-",$D103))</f>
        <v>-</v>
      </c>
      <c r="AO103" s="21" t="str">
        <f t="shared" ref="AO103" si="7155">IF(MarBoo1LevelCurrent&gt;=$B103,"-",IF(MarBoo1LevelDesired&lt;$B103,"-",$E103))</f>
        <v>-</v>
      </c>
      <c r="AP103" s="15" t="str">
        <f t="shared" ref="AP103" si="7156">IF(InfGog2LevelCurrent&gt;=$B103,"-",IF(InfGog2LevelDesired&lt;$B103,"-",$C103))</f>
        <v>-</v>
      </c>
      <c r="AQ103" s="1" t="str">
        <f t="shared" ref="AQ103" si="7157">IF(InfGog2LevelCurrent&gt;=$B103,"-",IF(InfGog2LevelDesired&lt;$B103,"-",$D103))</f>
        <v>-</v>
      </c>
      <c r="AR103" s="21" t="str">
        <f t="shared" ref="AR103" si="7158">IF(InfGog2LevelCurrent&gt;=$B103,"-",IF(InfGog2LevelDesired&lt;$B103,"-",$E103))</f>
        <v>-</v>
      </c>
      <c r="AS103" s="15" t="str">
        <f t="shared" ref="AS103" si="7159">IF(InfGlo2LevelCurrent&gt;=$B103,"-",IF(InfGlo2LevelDesired&lt;$B103,"-",$C103))</f>
        <v>-</v>
      </c>
      <c r="AT103" s="1" t="str">
        <f t="shared" ref="AT103" si="7160">IF(InfGlo2LevelCurrent&gt;=$B103,"-",IF(InfGlo2LevelDesired&lt;$B103,"-",$D103))</f>
        <v>-</v>
      </c>
      <c r="AU103" s="21" t="str">
        <f t="shared" ref="AU103" si="7161">IF(InfGlo2LevelCurrent&gt;=$B103,"-",IF(InfGlo2LevelDesired&lt;$B103,"-",$E103))</f>
        <v>-</v>
      </c>
      <c r="AV103" s="15" t="str">
        <f t="shared" ref="AV103" si="7162">IF(InfBel2LevelCurrent&gt;=$B103,"-",IF(InfBel2LevelDesired&lt;$B103,"-",$C103))</f>
        <v>-</v>
      </c>
      <c r="AW103" s="1" t="str">
        <f t="shared" ref="AW103" si="7163">IF(InfBel2LevelCurrent&gt;=$B103,"-",IF(InfBel2LevelDesired&lt;$B103,"-",$D103))</f>
        <v>-</v>
      </c>
      <c r="AX103" s="21" t="str">
        <f t="shared" ref="AX103" si="7164">IF(InfBel2LevelCurrent&gt;=$B103,"-",IF(InfBel2LevelDesired&lt;$B103,"-",$E103))</f>
        <v>-</v>
      </c>
      <c r="AY103" s="15" t="str">
        <f t="shared" ref="AY103" si="7165">IF(InfBoo2LevelCurrent&gt;=$B103,"-",IF(InfBoo2LevelDesired&lt;$B103,"-",$C103))</f>
        <v>-</v>
      </c>
      <c r="AZ103" s="1" t="str">
        <f t="shared" ref="AZ103" si="7166">IF(InfBoo2LevelCurrent&gt;=$B103,"-",IF(InfBoo2LevelDesired&lt;$B103,"-",$D103))</f>
        <v>-</v>
      </c>
      <c r="BA103" s="21" t="str">
        <f t="shared" ref="BA103" si="7167">IF(InfBoo2LevelCurrent&gt;=$B103,"-",IF(InfBoo2LevelDesired&lt;$B103,"-",$E103))</f>
        <v>-</v>
      </c>
      <c r="BB103" s="15" t="str">
        <f t="shared" ref="BB103" si="7168">IF(LanGog2LevelCurrent&gt;=$B103,"-",IF(LanGog2LevelDesired&lt;$B103,"-",$C103))</f>
        <v>-</v>
      </c>
      <c r="BC103" s="1" t="str">
        <f t="shared" ref="BC103" si="7169">IF(LanGog2LevelCurrent&gt;=$B103,"-",IF(LanGog2LevelDesired&lt;$B103,"-",$D103))</f>
        <v>-</v>
      </c>
      <c r="BD103" s="21" t="str">
        <f t="shared" ref="BD103" si="7170">IF(LanGog2LevelCurrent&gt;=$B103,"-",IF(LanGog2LevelDesired&lt;$B103,"-",$E103))</f>
        <v>-</v>
      </c>
      <c r="BE103" s="15" t="str">
        <f t="shared" ref="BE103" si="7171">IF(LanGlo2LevelCurrent&gt;=$B103,"-",IF(LanGlo2LevelDesired&lt;$B103,"-",$C103))</f>
        <v>-</v>
      </c>
      <c r="BF103" s="1" t="str">
        <f t="shared" ref="BF103" si="7172">IF(LanGlo2LevelCurrent&gt;=$B103,"-",IF(LanGlo2LevelDesired&lt;$B103,"-",$D103))</f>
        <v>-</v>
      </c>
      <c r="BG103" s="21" t="str">
        <f t="shared" ref="BG103" si="7173">IF(LanGlo2LevelCurrent&gt;=$B103,"-",IF(LanGlo2LevelDesired&lt;$B103,"-",$E103))</f>
        <v>-</v>
      </c>
      <c r="BH103" s="15" t="str">
        <f t="shared" ref="BH103" si="7174">IF(LanBel2LevelCurrent&gt;=$B103,"-",IF(LanBel2LevelDesired&lt;$B103,"-",$C103))</f>
        <v>-</v>
      </c>
      <c r="BI103" s="1" t="str">
        <f t="shared" ref="BI103" si="7175">IF(LanBel2LevelCurrent&gt;=$B103,"-",IF(LanBel2LevelDesired&lt;$B103,"-",$D103))</f>
        <v>-</v>
      </c>
      <c r="BJ103" s="21" t="str">
        <f t="shared" ref="BJ103" si="7176">IF(LanBel2LevelCurrent&gt;=$B103,"-",IF(LanBel2LevelDesired&lt;$B103,"-",$E103))</f>
        <v>-</v>
      </c>
      <c r="BK103" s="15" t="str">
        <f t="shared" ref="BK103" si="7177">IF(LanBoo2LevelCurrent&gt;=$B103,"-",IF(LanBoo2LevelDesired&lt;$B103,"-",$C103))</f>
        <v>-</v>
      </c>
      <c r="BL103" s="1" t="str">
        <f t="shared" ref="BL103" si="7178">IF(LanBoo2LevelCurrent&gt;=$B103,"-",IF(LanBoo2LevelDesired&lt;$B103,"-",$D103))</f>
        <v>-</v>
      </c>
      <c r="BM103" s="21" t="str">
        <f t="shared" ref="BM103" si="7179">IF(LanBoo2LevelCurrent&gt;=$B103,"-",IF(LanBoo2LevelDesired&lt;$B103,"-",$E103))</f>
        <v>-</v>
      </c>
      <c r="BN103" s="15" t="str">
        <f t="shared" ref="BN103" si="7180">IF(MarGog2LevelCurrent&gt;=$B103,"-",IF(MarGog2LevelDesired&lt;$B103,"-",$C103))</f>
        <v>-</v>
      </c>
      <c r="BO103" s="1" t="str">
        <f t="shared" ref="BO103" si="7181">IF(MarGog2LevelCurrent&gt;=$B103,"-",IF(MarGog2LevelDesired&lt;$B103,"-",$D103))</f>
        <v>-</v>
      </c>
      <c r="BP103" s="21" t="str">
        <f t="shared" ref="BP103" si="7182">IF(MarGog2LevelCurrent&gt;=$B103,"-",IF(MarGog2LevelDesired&lt;$B103,"-",$E103))</f>
        <v>-</v>
      </c>
      <c r="BQ103" s="15" t="str">
        <f t="shared" ref="BQ103" si="7183">IF(MarGlo2LevelCurrent&gt;=$B103,"-",IF(MarGlo2LevelDesired&lt;$B103,"-",$C103))</f>
        <v>-</v>
      </c>
      <c r="BR103" s="1" t="str">
        <f t="shared" ref="BR103" si="7184">IF(MarGlo2LevelCurrent&gt;=$B103,"-",IF(MarGlo2LevelDesired&lt;$B103,"-",$D103))</f>
        <v>-</v>
      </c>
      <c r="BS103" s="21" t="str">
        <f t="shared" ref="BS103" si="7185">IF(MarGlo2LevelCurrent&gt;=$B103,"-",IF(MarGlo2LevelDesired&lt;$B103,"-",$E103))</f>
        <v>-</v>
      </c>
      <c r="BT103" s="15" t="str">
        <f t="shared" ref="BT103" si="7186">IF(MarBel2LevelCurrent&gt;=$B103,"-",IF(MarBel2LevelDesired&lt;$B103,"-",$C103))</f>
        <v>-</v>
      </c>
      <c r="BU103" s="1" t="str">
        <f t="shared" ref="BU103" si="7187">IF(MarBel2LevelCurrent&gt;=$B103,"-",IF(MarBel2LevelDesired&lt;$B103,"-",$D103))</f>
        <v>-</v>
      </c>
      <c r="BV103" s="21" t="str">
        <f t="shared" ref="BV103" si="7188">IF(MarBel2LevelCurrent&gt;=$B103,"-",IF(MarBel2LevelDesired&lt;$B103,"-",$E103))</f>
        <v>-</v>
      </c>
      <c r="BW103" s="15" t="str">
        <f t="shared" ref="BW103" si="7189">IF(MarBoo2LevelCurrent&gt;=$B103,"-",IF(MarBoo2LevelDesired&lt;$B103,"-",$C103))</f>
        <v>-</v>
      </c>
      <c r="BX103" s="1" t="str">
        <f t="shared" ref="BX103" si="7190">IF(MarBoo2LevelCurrent&gt;=$B103,"-",IF(MarBoo2LevelDesired&lt;$B103,"-",$D103))</f>
        <v>-</v>
      </c>
      <c r="BY103" s="21" t="str">
        <f t="shared" ref="BY103" si="7191">IF(MarBoo2LevelCurrent&gt;=$B103,"-",IF(MarBoo2LevelDesired&lt;$B103,"-",$E103))</f>
        <v>-</v>
      </c>
      <c r="BZ103" s="15" t="str">
        <f t="shared" si="7086"/>
        <v>-</v>
      </c>
      <c r="CA103" s="1" t="str" cm="1">
        <f t="array" ref="CA103">IF(InfGog3LevelCurrent&gt;=$B103,"-",IF(InfGog3LevelDesired&lt;$B103,"-",$D103))</f>
        <v>-</v>
      </c>
      <c r="CB103" s="21" t="str" cm="1">
        <f t="array" ref="CB103">IF(InfGog3LevelCurrent&gt;=$B103,"-",IF(InfGog3LevelDesired&lt;$B103,"-",$E103))</f>
        <v>-</v>
      </c>
      <c r="CC103" s="15">
        <f t="shared" si="7087"/>
        <v>2300</v>
      </c>
      <c r="CD103" s="1" t="str">
        <f t="shared" si="7088"/>
        <v>-</v>
      </c>
      <c r="CE103" s="21" t="str">
        <f t="shared" si="7089"/>
        <v>-</v>
      </c>
      <c r="CF103" s="15">
        <f t="shared" si="7090"/>
        <v>2300</v>
      </c>
      <c r="CG103" s="1" t="str">
        <f t="shared" si="7091"/>
        <v>-</v>
      </c>
      <c r="CH103" s="21" t="str">
        <f t="shared" si="7092"/>
        <v>-</v>
      </c>
      <c r="CI103" s="15" t="str">
        <f t="shared" si="7093"/>
        <v>-</v>
      </c>
      <c r="CJ103" s="1" t="str">
        <f t="shared" si="7094"/>
        <v>-</v>
      </c>
      <c r="CK103" s="21" t="str">
        <f t="shared" si="7095"/>
        <v>-</v>
      </c>
      <c r="CL103" s="15" t="str">
        <f t="shared" si="7096"/>
        <v>-</v>
      </c>
      <c r="CM103" s="1" t="str">
        <f t="shared" si="7097"/>
        <v>-</v>
      </c>
      <c r="CN103" s="21" t="str">
        <f t="shared" si="7098"/>
        <v>-</v>
      </c>
      <c r="CO103" s="15" t="str">
        <f t="shared" si="7099"/>
        <v>-</v>
      </c>
      <c r="CP103" s="1" t="str">
        <f t="shared" si="7100"/>
        <v>-</v>
      </c>
      <c r="CQ103" s="21" t="str">
        <f t="shared" si="7101"/>
        <v>-</v>
      </c>
      <c r="CR103" s="15" t="str">
        <f t="shared" si="7102"/>
        <v>-</v>
      </c>
      <c r="CS103" s="1" t="str">
        <f t="shared" si="7103"/>
        <v>-</v>
      </c>
      <c r="CT103" s="21" t="str">
        <f t="shared" si="7104"/>
        <v>-</v>
      </c>
      <c r="CU103" s="15" t="str">
        <f t="shared" si="7105"/>
        <v>-</v>
      </c>
      <c r="CV103" s="1" t="str">
        <f t="shared" si="7106"/>
        <v>-</v>
      </c>
      <c r="CW103" s="21" t="str">
        <f t="shared" si="7107"/>
        <v>-</v>
      </c>
      <c r="CX103" s="15">
        <f t="shared" si="7108"/>
        <v>2300</v>
      </c>
      <c r="CY103" s="1" t="str">
        <f t="shared" si="7109"/>
        <v>-</v>
      </c>
      <c r="CZ103" s="21" t="str">
        <f t="shared" si="7110"/>
        <v>-</v>
      </c>
      <c r="DA103" s="15" t="str">
        <f t="shared" si="7111"/>
        <v>-</v>
      </c>
      <c r="DB103" s="1" t="str">
        <f t="shared" si="7112"/>
        <v>-</v>
      </c>
      <c r="DC103" s="21" t="str">
        <f t="shared" si="7113"/>
        <v>-</v>
      </c>
      <c r="DD103" s="15" t="str">
        <f t="shared" si="7114"/>
        <v>-</v>
      </c>
      <c r="DE103" s="1" t="str">
        <f t="shared" si="7115"/>
        <v>-</v>
      </c>
      <c r="DF103" s="21" t="str">
        <f t="shared" si="7116"/>
        <v>-</v>
      </c>
      <c r="DG103" s="15">
        <f t="shared" si="7117"/>
        <v>2300</v>
      </c>
      <c r="DH103" s="1" t="str">
        <f t="shared" si="7118"/>
        <v>-</v>
      </c>
      <c r="DI103" s="21" t="str">
        <f t="shared" si="7119"/>
        <v>-</v>
      </c>
    </row>
    <row r="104" spans="2:113" x14ac:dyDescent="0.3">
      <c r="B104" s="1">
        <v>99</v>
      </c>
      <c r="C104" s="67">
        <v>2350</v>
      </c>
      <c r="D104" s="88" t="s">
        <v>27</v>
      </c>
      <c r="E104" s="21" t="s">
        <v>27</v>
      </c>
      <c r="F104" s="15" t="str">
        <f t="shared" ref="F104" si="7192">IF(InfGog1LevelCurrent&gt;=$B104,"-",IF(InfGog1LevelDesired&lt;$B104,"-",$C104))</f>
        <v>-</v>
      </c>
      <c r="G104" s="1" t="str">
        <f t="shared" ref="G104" si="7193">IF(InfGog1LevelCurrent&gt;=$B104,"-",IF(InfGog1LevelDesired&lt;$B104,"-",$D104))</f>
        <v>-</v>
      </c>
      <c r="H104" s="21" t="str">
        <f t="shared" ref="H104" si="7194">IF(InfGog1LevelCurrent&gt;=$B104,"-",IF(InfGog1LevelDesired&lt;$B104,"-",$E104))</f>
        <v>-</v>
      </c>
      <c r="I104" s="15" t="str">
        <f t="shared" ref="I104" si="7195">IF(InfGlo1LevelCurrent&gt;=$B104,"-",IF(InfGlo1LevelDesired&lt;$B104,"-",$C104))</f>
        <v>-</v>
      </c>
      <c r="J104" s="1" t="str">
        <f t="shared" ref="J104" si="7196">IF(InfGlo1LevelCurrent&gt;=$B104,"-",IF(InfGlo1LevelDesired&lt;$B104,"-",$D104))</f>
        <v>-</v>
      </c>
      <c r="K104" s="21" t="str">
        <f t="shared" ref="K104" si="7197">IF(InfGlo1LevelCurrent&gt;=$B104,"-",IF(InfGlo1LevelDesired&lt;$B104,"-",$E104))</f>
        <v>-</v>
      </c>
      <c r="L104" s="15" t="str">
        <f t="shared" ref="L104" si="7198">IF(InfBel1LevelCurrent&gt;=$B104,"-",IF(InfBel1LevelDesired&lt;$B104,"-",$C104))</f>
        <v>-</v>
      </c>
      <c r="M104" s="1" t="str">
        <f t="shared" ref="M104" si="7199">IF(InfBel1LevelCurrent&gt;=$B104,"-",IF(InfBel1LevelDesired&lt;$B104,"-",$D104))</f>
        <v>-</v>
      </c>
      <c r="N104" s="21" t="str">
        <f t="shared" ref="N104" si="7200">IF(InfBel1LevelCurrent&gt;=$B104,"-",IF(InfBel1LevelDesired&lt;$B104,"-",$E104))</f>
        <v>-</v>
      </c>
      <c r="O104" s="15" t="str">
        <f t="shared" ref="O104" si="7201">IF(InfBoo1LevelCurrent&gt;=$B104,"-",IF(InfBoo1LevelDesired&lt;$B104,"-",$C104))</f>
        <v>-</v>
      </c>
      <c r="P104" s="1" t="str">
        <f t="shared" ref="P104" si="7202">IF(InfBoo1LevelCurrent&gt;=$B104,"-",IF(InfBoo1LevelDesired&lt;$B104,"-",$D104))</f>
        <v>-</v>
      </c>
      <c r="Q104" s="21" t="str">
        <f t="shared" ref="Q104" si="7203">IF(InfBoo1LevelCurrent&gt;=$B104,"-",IF(InfBoo1LevelDesired&lt;$B104,"-",$E104))</f>
        <v>-</v>
      </c>
      <c r="R104" s="15" t="str">
        <f t="shared" ref="R104" si="7204">IF(LanGog1LevelCurrent&gt;=$B104,"-",IF(LanGog1LevelDesired&lt;$B104,"-",$C104))</f>
        <v>-</v>
      </c>
      <c r="S104" s="1" t="str">
        <f t="shared" ref="S104" si="7205">IF(LanGog1LevelCurrent&gt;=$B104,"-",IF(LanGog1LevelDesired&lt;$B104,"-",$D104))</f>
        <v>-</v>
      </c>
      <c r="T104" s="21" t="str">
        <f t="shared" ref="T104" si="7206">IF(LanGog1LevelCurrent&gt;=$B104,"-",IF(LanGog1LevelDesired&lt;$B104,"-",$E104))</f>
        <v>-</v>
      </c>
      <c r="U104" s="15" t="str">
        <f t="shared" ref="U104" si="7207">IF(LanGlo1LevelCurrent&gt;=$B104,"-",IF(LanGlo1LevelDesired&lt;$B104,"-",$C104))</f>
        <v>-</v>
      </c>
      <c r="V104" s="1" t="str">
        <f t="shared" ref="V104" si="7208">IF(LanGlo1LevelCurrent&gt;=$B104,"-",IF(LanGlo1LevelDesired&lt;$B104,"-",$D104))</f>
        <v>-</v>
      </c>
      <c r="W104" s="21" t="str">
        <f t="shared" ref="W104" si="7209">IF(LanGlo1LevelCurrent&gt;=$B104,"-",IF(LanGlo1LevelDesired&lt;$B104,"-",$E104))</f>
        <v>-</v>
      </c>
      <c r="X104" s="15" t="str">
        <f t="shared" ref="X104" si="7210">IF(LanBel1LevelCurrent&gt;=$B104,"-",IF(LanBel1LevelDesired&lt;$B104,"-",$C104))</f>
        <v>-</v>
      </c>
      <c r="Y104" s="1" t="str">
        <f t="shared" ref="Y104" si="7211">IF(LanBel1LevelCurrent&gt;=$B104,"-",IF(LanBel1LevelDesired&lt;$B104,"-",$D104))</f>
        <v>-</v>
      </c>
      <c r="Z104" s="21" t="str">
        <f t="shared" ref="Z104" si="7212">IF(LanBel1LevelCurrent&gt;=$B104,"-",IF(LanBel1LevelDesired&lt;$B104,"-",$E104))</f>
        <v>-</v>
      </c>
      <c r="AA104" s="15" t="str">
        <f t="shared" ref="AA104" si="7213">IF(LanBoo1LevelCurrent&gt;=$B104,"-",IF(LanBoo1LevelDesired&lt;$B104,"-",$C104))</f>
        <v>-</v>
      </c>
      <c r="AB104" s="1" t="str">
        <f t="shared" ref="AB104" si="7214">IF(LanBoo1LevelCurrent&gt;=$B104,"-",IF(LanBoo1LevelDesired&lt;$B104,"-",$D104))</f>
        <v>-</v>
      </c>
      <c r="AC104" s="21" t="str">
        <f t="shared" ref="AC104" si="7215">IF(LanBoo1LevelCurrent&gt;=$B104,"-",IF(LanBoo1LevelDesired&lt;$B104,"-",$E104))</f>
        <v>-</v>
      </c>
      <c r="AD104" s="15" t="str">
        <f t="shared" ref="AD104" si="7216">IF(MarGog1LevelCurrent&gt;=$B104,"-",IF(MarGog1LevelDesired&lt;$B104,"-",$C104))</f>
        <v>-</v>
      </c>
      <c r="AE104" s="1" t="str">
        <f t="shared" ref="AE104" si="7217">IF(MarGog1LevelCurrent&gt;=$B104,"-",IF(MarGog1LevelDesired&lt;$B104,"-",$D104))</f>
        <v>-</v>
      </c>
      <c r="AF104" s="21" t="str">
        <f t="shared" ref="AF104" si="7218">IF(MarGog1LevelCurrent&gt;=$B104,"-",IF(MarGog1LevelDesired&lt;$B104,"-",$E104))</f>
        <v>-</v>
      </c>
      <c r="AG104" s="15" t="str">
        <f t="shared" ref="AG104" si="7219">IF(MarGlo1LevelCurrent&gt;=$B104,"-",IF(MarGlo1LevelDesired&lt;$B104,"-",$C104))</f>
        <v>-</v>
      </c>
      <c r="AH104" s="1" t="str">
        <f t="shared" ref="AH104" si="7220">IF(MarGlo1LevelCurrent&gt;=$B104,"-",IF(MarGlo1LevelDesired&lt;$B104,"-",$D104))</f>
        <v>-</v>
      </c>
      <c r="AI104" s="21" t="str">
        <f t="shared" ref="AI104" si="7221">IF(MarGlo1LevelCurrent&gt;=$B104,"-",IF(MarGlo1LevelDesired&lt;$B104,"-",$E104))</f>
        <v>-</v>
      </c>
      <c r="AJ104" s="15" t="str">
        <f t="shared" ref="AJ104" si="7222">IF(MarBel1LevelCurrent&gt;=$B104,"-",IF(MarBel1LevelDesired&lt;$B104,"-",$C104))</f>
        <v>-</v>
      </c>
      <c r="AK104" s="1" t="str">
        <f t="shared" ref="AK104" si="7223">IF(MarBel1LevelCurrent&gt;=$B104,"-",IF(MarBel1LevelDesired&lt;$B104,"-",$D104))</f>
        <v>-</v>
      </c>
      <c r="AL104" s="21" t="str">
        <f t="shared" ref="AL104" si="7224">IF(MarBel1LevelCurrent&gt;=$B104,"-",IF(MarBel1LevelDesired&lt;$B104,"-",$E104))</f>
        <v>-</v>
      </c>
      <c r="AM104" s="15" t="str">
        <f t="shared" ref="AM104" si="7225">IF(MarBoo1LevelCurrent&gt;=$B104,"-",IF(MarBoo1LevelDesired&lt;$B104,"-",$C104))</f>
        <v>-</v>
      </c>
      <c r="AN104" s="1" t="str">
        <f t="shared" ref="AN104" si="7226">IF(MarBoo1LevelCurrent&gt;=$B104,"-",IF(MarBoo1LevelDesired&lt;$B104,"-",$D104))</f>
        <v>-</v>
      </c>
      <c r="AO104" s="21" t="str">
        <f t="shared" ref="AO104" si="7227">IF(MarBoo1LevelCurrent&gt;=$B104,"-",IF(MarBoo1LevelDesired&lt;$B104,"-",$E104))</f>
        <v>-</v>
      </c>
      <c r="AP104" s="15" t="str">
        <f t="shared" ref="AP104" si="7228">IF(InfGog2LevelCurrent&gt;=$B104,"-",IF(InfGog2LevelDesired&lt;$B104,"-",$C104))</f>
        <v>-</v>
      </c>
      <c r="AQ104" s="1" t="str">
        <f t="shared" ref="AQ104" si="7229">IF(InfGog2LevelCurrent&gt;=$B104,"-",IF(InfGog2LevelDesired&lt;$B104,"-",$D104))</f>
        <v>-</v>
      </c>
      <c r="AR104" s="21" t="str">
        <f t="shared" ref="AR104" si="7230">IF(InfGog2LevelCurrent&gt;=$B104,"-",IF(InfGog2LevelDesired&lt;$B104,"-",$E104))</f>
        <v>-</v>
      </c>
      <c r="AS104" s="15" t="str">
        <f t="shared" ref="AS104" si="7231">IF(InfGlo2LevelCurrent&gt;=$B104,"-",IF(InfGlo2LevelDesired&lt;$B104,"-",$C104))</f>
        <v>-</v>
      </c>
      <c r="AT104" s="1" t="str">
        <f t="shared" ref="AT104" si="7232">IF(InfGlo2LevelCurrent&gt;=$B104,"-",IF(InfGlo2LevelDesired&lt;$B104,"-",$D104))</f>
        <v>-</v>
      </c>
      <c r="AU104" s="21" t="str">
        <f t="shared" ref="AU104" si="7233">IF(InfGlo2LevelCurrent&gt;=$B104,"-",IF(InfGlo2LevelDesired&lt;$B104,"-",$E104))</f>
        <v>-</v>
      </c>
      <c r="AV104" s="15" t="str">
        <f t="shared" ref="AV104" si="7234">IF(InfBel2LevelCurrent&gt;=$B104,"-",IF(InfBel2LevelDesired&lt;$B104,"-",$C104))</f>
        <v>-</v>
      </c>
      <c r="AW104" s="1" t="str">
        <f t="shared" ref="AW104" si="7235">IF(InfBel2LevelCurrent&gt;=$B104,"-",IF(InfBel2LevelDesired&lt;$B104,"-",$D104))</f>
        <v>-</v>
      </c>
      <c r="AX104" s="21" t="str">
        <f t="shared" ref="AX104" si="7236">IF(InfBel2LevelCurrent&gt;=$B104,"-",IF(InfBel2LevelDesired&lt;$B104,"-",$E104))</f>
        <v>-</v>
      </c>
      <c r="AY104" s="15" t="str">
        <f t="shared" ref="AY104" si="7237">IF(InfBoo2LevelCurrent&gt;=$B104,"-",IF(InfBoo2LevelDesired&lt;$B104,"-",$C104))</f>
        <v>-</v>
      </c>
      <c r="AZ104" s="1" t="str">
        <f t="shared" ref="AZ104" si="7238">IF(InfBoo2LevelCurrent&gt;=$B104,"-",IF(InfBoo2LevelDesired&lt;$B104,"-",$D104))</f>
        <v>-</v>
      </c>
      <c r="BA104" s="21" t="str">
        <f t="shared" ref="BA104" si="7239">IF(InfBoo2LevelCurrent&gt;=$B104,"-",IF(InfBoo2LevelDesired&lt;$B104,"-",$E104))</f>
        <v>-</v>
      </c>
      <c r="BB104" s="15" t="str">
        <f t="shared" ref="BB104" si="7240">IF(LanGog2LevelCurrent&gt;=$B104,"-",IF(LanGog2LevelDesired&lt;$B104,"-",$C104))</f>
        <v>-</v>
      </c>
      <c r="BC104" s="1" t="str">
        <f t="shared" ref="BC104" si="7241">IF(LanGog2LevelCurrent&gt;=$B104,"-",IF(LanGog2LevelDesired&lt;$B104,"-",$D104))</f>
        <v>-</v>
      </c>
      <c r="BD104" s="21" t="str">
        <f t="shared" ref="BD104" si="7242">IF(LanGog2LevelCurrent&gt;=$B104,"-",IF(LanGog2LevelDesired&lt;$B104,"-",$E104))</f>
        <v>-</v>
      </c>
      <c r="BE104" s="15" t="str">
        <f t="shared" ref="BE104" si="7243">IF(LanGlo2LevelCurrent&gt;=$B104,"-",IF(LanGlo2LevelDesired&lt;$B104,"-",$C104))</f>
        <v>-</v>
      </c>
      <c r="BF104" s="1" t="str">
        <f t="shared" ref="BF104" si="7244">IF(LanGlo2LevelCurrent&gt;=$B104,"-",IF(LanGlo2LevelDesired&lt;$B104,"-",$D104))</f>
        <v>-</v>
      </c>
      <c r="BG104" s="21" t="str">
        <f t="shared" ref="BG104" si="7245">IF(LanGlo2LevelCurrent&gt;=$B104,"-",IF(LanGlo2LevelDesired&lt;$B104,"-",$E104))</f>
        <v>-</v>
      </c>
      <c r="BH104" s="15" t="str">
        <f t="shared" ref="BH104" si="7246">IF(LanBel2LevelCurrent&gt;=$B104,"-",IF(LanBel2LevelDesired&lt;$B104,"-",$C104))</f>
        <v>-</v>
      </c>
      <c r="BI104" s="1" t="str">
        <f t="shared" ref="BI104" si="7247">IF(LanBel2LevelCurrent&gt;=$B104,"-",IF(LanBel2LevelDesired&lt;$B104,"-",$D104))</f>
        <v>-</v>
      </c>
      <c r="BJ104" s="21" t="str">
        <f t="shared" ref="BJ104" si="7248">IF(LanBel2LevelCurrent&gt;=$B104,"-",IF(LanBel2LevelDesired&lt;$B104,"-",$E104))</f>
        <v>-</v>
      </c>
      <c r="BK104" s="15" t="str">
        <f t="shared" ref="BK104" si="7249">IF(LanBoo2LevelCurrent&gt;=$B104,"-",IF(LanBoo2LevelDesired&lt;$B104,"-",$C104))</f>
        <v>-</v>
      </c>
      <c r="BL104" s="1" t="str">
        <f t="shared" ref="BL104" si="7250">IF(LanBoo2LevelCurrent&gt;=$B104,"-",IF(LanBoo2LevelDesired&lt;$B104,"-",$D104))</f>
        <v>-</v>
      </c>
      <c r="BM104" s="21" t="str">
        <f t="shared" ref="BM104" si="7251">IF(LanBoo2LevelCurrent&gt;=$B104,"-",IF(LanBoo2LevelDesired&lt;$B104,"-",$E104))</f>
        <v>-</v>
      </c>
      <c r="BN104" s="15" t="str">
        <f t="shared" ref="BN104" si="7252">IF(MarGog2LevelCurrent&gt;=$B104,"-",IF(MarGog2LevelDesired&lt;$B104,"-",$C104))</f>
        <v>-</v>
      </c>
      <c r="BO104" s="1" t="str">
        <f t="shared" ref="BO104" si="7253">IF(MarGog2LevelCurrent&gt;=$B104,"-",IF(MarGog2LevelDesired&lt;$B104,"-",$D104))</f>
        <v>-</v>
      </c>
      <c r="BP104" s="21" t="str">
        <f t="shared" ref="BP104" si="7254">IF(MarGog2LevelCurrent&gt;=$B104,"-",IF(MarGog2LevelDesired&lt;$B104,"-",$E104))</f>
        <v>-</v>
      </c>
      <c r="BQ104" s="15" t="str">
        <f t="shared" ref="BQ104" si="7255">IF(MarGlo2LevelCurrent&gt;=$B104,"-",IF(MarGlo2LevelDesired&lt;$B104,"-",$C104))</f>
        <v>-</v>
      </c>
      <c r="BR104" s="1" t="str">
        <f t="shared" ref="BR104" si="7256">IF(MarGlo2LevelCurrent&gt;=$B104,"-",IF(MarGlo2LevelDesired&lt;$B104,"-",$D104))</f>
        <v>-</v>
      </c>
      <c r="BS104" s="21" t="str">
        <f t="shared" ref="BS104" si="7257">IF(MarGlo2LevelCurrent&gt;=$B104,"-",IF(MarGlo2LevelDesired&lt;$B104,"-",$E104))</f>
        <v>-</v>
      </c>
      <c r="BT104" s="15" t="str">
        <f t="shared" ref="BT104" si="7258">IF(MarBel2LevelCurrent&gt;=$B104,"-",IF(MarBel2LevelDesired&lt;$B104,"-",$C104))</f>
        <v>-</v>
      </c>
      <c r="BU104" s="1" t="str">
        <f t="shared" ref="BU104" si="7259">IF(MarBel2LevelCurrent&gt;=$B104,"-",IF(MarBel2LevelDesired&lt;$B104,"-",$D104))</f>
        <v>-</v>
      </c>
      <c r="BV104" s="21" t="str">
        <f t="shared" ref="BV104" si="7260">IF(MarBel2LevelCurrent&gt;=$B104,"-",IF(MarBel2LevelDesired&lt;$B104,"-",$E104))</f>
        <v>-</v>
      </c>
      <c r="BW104" s="15" t="str">
        <f t="shared" ref="BW104" si="7261">IF(MarBoo2LevelCurrent&gt;=$B104,"-",IF(MarBoo2LevelDesired&lt;$B104,"-",$C104))</f>
        <v>-</v>
      </c>
      <c r="BX104" s="1" t="str">
        <f t="shared" ref="BX104" si="7262">IF(MarBoo2LevelCurrent&gt;=$B104,"-",IF(MarBoo2LevelDesired&lt;$B104,"-",$D104))</f>
        <v>-</v>
      </c>
      <c r="BY104" s="21" t="str">
        <f t="shared" ref="BY104" si="7263">IF(MarBoo2LevelCurrent&gt;=$B104,"-",IF(MarBoo2LevelDesired&lt;$B104,"-",$E104))</f>
        <v>-</v>
      </c>
      <c r="BZ104" s="15" t="str">
        <f t="shared" si="7086"/>
        <v>-</v>
      </c>
      <c r="CA104" s="1" t="str" cm="1">
        <f t="array" ref="CA104">IF(InfGog3LevelCurrent&gt;=$B104,"-",IF(InfGog3LevelDesired&lt;$B104,"-",$D104))</f>
        <v>-</v>
      </c>
      <c r="CB104" s="21" t="str" cm="1">
        <f t="array" ref="CB104">IF(InfGog3LevelCurrent&gt;=$B104,"-",IF(InfGog3LevelDesired&lt;$B104,"-",$E104))</f>
        <v>-</v>
      </c>
      <c r="CC104" s="15">
        <f t="shared" si="7087"/>
        <v>2350</v>
      </c>
      <c r="CD104" s="1" t="str">
        <f t="shared" si="7088"/>
        <v>-</v>
      </c>
      <c r="CE104" s="21" t="str">
        <f t="shared" si="7089"/>
        <v>-</v>
      </c>
      <c r="CF104" s="15">
        <f t="shared" si="7090"/>
        <v>2350</v>
      </c>
      <c r="CG104" s="1" t="str">
        <f t="shared" si="7091"/>
        <v>-</v>
      </c>
      <c r="CH104" s="21" t="str">
        <f t="shared" si="7092"/>
        <v>-</v>
      </c>
      <c r="CI104" s="15" t="str">
        <f t="shared" si="7093"/>
        <v>-</v>
      </c>
      <c r="CJ104" s="1" t="str">
        <f t="shared" si="7094"/>
        <v>-</v>
      </c>
      <c r="CK104" s="21" t="str">
        <f t="shared" si="7095"/>
        <v>-</v>
      </c>
      <c r="CL104" s="15" t="str">
        <f t="shared" si="7096"/>
        <v>-</v>
      </c>
      <c r="CM104" s="1" t="str">
        <f t="shared" si="7097"/>
        <v>-</v>
      </c>
      <c r="CN104" s="21" t="str">
        <f t="shared" si="7098"/>
        <v>-</v>
      </c>
      <c r="CO104" s="15" t="str">
        <f t="shared" si="7099"/>
        <v>-</v>
      </c>
      <c r="CP104" s="1" t="str">
        <f t="shared" si="7100"/>
        <v>-</v>
      </c>
      <c r="CQ104" s="21" t="str">
        <f t="shared" si="7101"/>
        <v>-</v>
      </c>
      <c r="CR104" s="15" t="str">
        <f t="shared" si="7102"/>
        <v>-</v>
      </c>
      <c r="CS104" s="1" t="str">
        <f t="shared" si="7103"/>
        <v>-</v>
      </c>
      <c r="CT104" s="21" t="str">
        <f t="shared" si="7104"/>
        <v>-</v>
      </c>
      <c r="CU104" s="15" t="str">
        <f t="shared" si="7105"/>
        <v>-</v>
      </c>
      <c r="CV104" s="1" t="str">
        <f t="shared" si="7106"/>
        <v>-</v>
      </c>
      <c r="CW104" s="21" t="str">
        <f t="shared" si="7107"/>
        <v>-</v>
      </c>
      <c r="CX104" s="15">
        <f t="shared" si="7108"/>
        <v>2350</v>
      </c>
      <c r="CY104" s="1" t="str">
        <f t="shared" si="7109"/>
        <v>-</v>
      </c>
      <c r="CZ104" s="21" t="str">
        <f t="shared" si="7110"/>
        <v>-</v>
      </c>
      <c r="DA104" s="15" t="str">
        <f t="shared" si="7111"/>
        <v>-</v>
      </c>
      <c r="DB104" s="1" t="str">
        <f t="shared" si="7112"/>
        <v>-</v>
      </c>
      <c r="DC104" s="21" t="str">
        <f t="shared" si="7113"/>
        <v>-</v>
      </c>
      <c r="DD104" s="15" t="str">
        <f t="shared" si="7114"/>
        <v>-</v>
      </c>
      <c r="DE104" s="1" t="str">
        <f t="shared" si="7115"/>
        <v>-</v>
      </c>
      <c r="DF104" s="21" t="str">
        <f t="shared" si="7116"/>
        <v>-</v>
      </c>
      <c r="DG104" s="15">
        <f t="shared" si="7117"/>
        <v>2350</v>
      </c>
      <c r="DH104" s="1" t="str">
        <f t="shared" si="7118"/>
        <v>-</v>
      </c>
      <c r="DI104" s="21" t="str">
        <f t="shared" si="7119"/>
        <v>-</v>
      </c>
    </row>
    <row r="105" spans="2:113" x14ac:dyDescent="0.3">
      <c r="B105" s="1">
        <v>100</v>
      </c>
      <c r="C105" s="67">
        <v>2400</v>
      </c>
      <c r="D105" s="88" t="s">
        <v>27</v>
      </c>
      <c r="E105" s="21" t="s">
        <v>27</v>
      </c>
      <c r="F105" s="15" t="str">
        <f t="shared" ref="F105" si="7264">IF(InfGog1LevelCurrent&gt;=$B105,"-",IF(InfGog1LevelDesired&lt;$B105,"-",$C105))</f>
        <v>-</v>
      </c>
      <c r="G105" s="1" t="str">
        <f t="shared" ref="G105" si="7265">IF(InfGog1LevelCurrent&gt;=$B105,"-",IF(InfGog1LevelDesired&lt;$B105,"-",$D105))</f>
        <v>-</v>
      </c>
      <c r="H105" s="21" t="str">
        <f t="shared" ref="H105" si="7266">IF(InfGog1LevelCurrent&gt;=$B105,"-",IF(InfGog1LevelDesired&lt;$B105,"-",$E105))</f>
        <v>-</v>
      </c>
      <c r="I105" s="15" t="str">
        <f t="shared" ref="I105" si="7267">IF(InfGlo1LevelCurrent&gt;=$B105,"-",IF(InfGlo1LevelDesired&lt;$B105,"-",$C105))</f>
        <v>-</v>
      </c>
      <c r="J105" s="1" t="str">
        <f t="shared" ref="J105" si="7268">IF(InfGlo1LevelCurrent&gt;=$B105,"-",IF(InfGlo1LevelDesired&lt;$B105,"-",$D105))</f>
        <v>-</v>
      </c>
      <c r="K105" s="21" t="str">
        <f t="shared" ref="K105" si="7269">IF(InfGlo1LevelCurrent&gt;=$B105,"-",IF(InfGlo1LevelDesired&lt;$B105,"-",$E105))</f>
        <v>-</v>
      </c>
      <c r="L105" s="15" t="str">
        <f t="shared" ref="L105" si="7270">IF(InfBel1LevelCurrent&gt;=$B105,"-",IF(InfBel1LevelDesired&lt;$B105,"-",$C105))</f>
        <v>-</v>
      </c>
      <c r="M105" s="1" t="str">
        <f t="shared" ref="M105" si="7271">IF(InfBel1LevelCurrent&gt;=$B105,"-",IF(InfBel1LevelDesired&lt;$B105,"-",$D105))</f>
        <v>-</v>
      </c>
      <c r="N105" s="21" t="str">
        <f t="shared" ref="N105" si="7272">IF(InfBel1LevelCurrent&gt;=$B105,"-",IF(InfBel1LevelDesired&lt;$B105,"-",$E105))</f>
        <v>-</v>
      </c>
      <c r="O105" s="15" t="str">
        <f t="shared" ref="O105" si="7273">IF(InfBoo1LevelCurrent&gt;=$B105,"-",IF(InfBoo1LevelDesired&lt;$B105,"-",$C105))</f>
        <v>-</v>
      </c>
      <c r="P105" s="1" t="str">
        <f t="shared" ref="P105" si="7274">IF(InfBoo1LevelCurrent&gt;=$B105,"-",IF(InfBoo1LevelDesired&lt;$B105,"-",$D105))</f>
        <v>-</v>
      </c>
      <c r="Q105" s="21" t="str">
        <f t="shared" ref="Q105" si="7275">IF(InfBoo1LevelCurrent&gt;=$B105,"-",IF(InfBoo1LevelDesired&lt;$B105,"-",$E105))</f>
        <v>-</v>
      </c>
      <c r="R105" s="15" t="str">
        <f t="shared" ref="R105" si="7276">IF(LanGog1LevelCurrent&gt;=$B105,"-",IF(LanGog1LevelDesired&lt;$B105,"-",$C105))</f>
        <v>-</v>
      </c>
      <c r="S105" s="1" t="str">
        <f t="shared" ref="S105" si="7277">IF(LanGog1LevelCurrent&gt;=$B105,"-",IF(LanGog1LevelDesired&lt;$B105,"-",$D105))</f>
        <v>-</v>
      </c>
      <c r="T105" s="21" t="str">
        <f t="shared" ref="T105" si="7278">IF(LanGog1LevelCurrent&gt;=$B105,"-",IF(LanGog1LevelDesired&lt;$B105,"-",$E105))</f>
        <v>-</v>
      </c>
      <c r="U105" s="15" t="str">
        <f t="shared" ref="U105" si="7279">IF(LanGlo1LevelCurrent&gt;=$B105,"-",IF(LanGlo1LevelDesired&lt;$B105,"-",$C105))</f>
        <v>-</v>
      </c>
      <c r="V105" s="1" t="str">
        <f t="shared" ref="V105" si="7280">IF(LanGlo1LevelCurrent&gt;=$B105,"-",IF(LanGlo1LevelDesired&lt;$B105,"-",$D105))</f>
        <v>-</v>
      </c>
      <c r="W105" s="21" t="str">
        <f t="shared" ref="W105" si="7281">IF(LanGlo1LevelCurrent&gt;=$B105,"-",IF(LanGlo1LevelDesired&lt;$B105,"-",$E105))</f>
        <v>-</v>
      </c>
      <c r="X105" s="15" t="str">
        <f t="shared" ref="X105" si="7282">IF(LanBel1LevelCurrent&gt;=$B105,"-",IF(LanBel1LevelDesired&lt;$B105,"-",$C105))</f>
        <v>-</v>
      </c>
      <c r="Y105" s="1" t="str">
        <f t="shared" ref="Y105" si="7283">IF(LanBel1LevelCurrent&gt;=$B105,"-",IF(LanBel1LevelDesired&lt;$B105,"-",$D105))</f>
        <v>-</v>
      </c>
      <c r="Z105" s="21" t="str">
        <f t="shared" ref="Z105" si="7284">IF(LanBel1LevelCurrent&gt;=$B105,"-",IF(LanBel1LevelDesired&lt;$B105,"-",$E105))</f>
        <v>-</v>
      </c>
      <c r="AA105" s="15" t="str">
        <f t="shared" ref="AA105" si="7285">IF(LanBoo1LevelCurrent&gt;=$B105,"-",IF(LanBoo1LevelDesired&lt;$B105,"-",$C105))</f>
        <v>-</v>
      </c>
      <c r="AB105" s="1" t="str">
        <f t="shared" ref="AB105" si="7286">IF(LanBoo1LevelCurrent&gt;=$B105,"-",IF(LanBoo1LevelDesired&lt;$B105,"-",$D105))</f>
        <v>-</v>
      </c>
      <c r="AC105" s="21" t="str">
        <f t="shared" ref="AC105" si="7287">IF(LanBoo1LevelCurrent&gt;=$B105,"-",IF(LanBoo1LevelDesired&lt;$B105,"-",$E105))</f>
        <v>-</v>
      </c>
      <c r="AD105" s="15" t="str">
        <f t="shared" ref="AD105" si="7288">IF(MarGog1LevelCurrent&gt;=$B105,"-",IF(MarGog1LevelDesired&lt;$B105,"-",$C105))</f>
        <v>-</v>
      </c>
      <c r="AE105" s="1" t="str">
        <f t="shared" ref="AE105" si="7289">IF(MarGog1LevelCurrent&gt;=$B105,"-",IF(MarGog1LevelDesired&lt;$B105,"-",$D105))</f>
        <v>-</v>
      </c>
      <c r="AF105" s="21" t="str">
        <f t="shared" ref="AF105" si="7290">IF(MarGog1LevelCurrent&gt;=$B105,"-",IF(MarGog1LevelDesired&lt;$B105,"-",$E105))</f>
        <v>-</v>
      </c>
      <c r="AG105" s="15" t="str">
        <f t="shared" ref="AG105" si="7291">IF(MarGlo1LevelCurrent&gt;=$B105,"-",IF(MarGlo1LevelDesired&lt;$B105,"-",$C105))</f>
        <v>-</v>
      </c>
      <c r="AH105" s="1" t="str">
        <f t="shared" ref="AH105" si="7292">IF(MarGlo1LevelCurrent&gt;=$B105,"-",IF(MarGlo1LevelDesired&lt;$B105,"-",$D105))</f>
        <v>-</v>
      </c>
      <c r="AI105" s="21" t="str">
        <f t="shared" ref="AI105" si="7293">IF(MarGlo1LevelCurrent&gt;=$B105,"-",IF(MarGlo1LevelDesired&lt;$B105,"-",$E105))</f>
        <v>-</v>
      </c>
      <c r="AJ105" s="15" t="str">
        <f t="shared" ref="AJ105" si="7294">IF(MarBel1LevelCurrent&gt;=$B105,"-",IF(MarBel1LevelDesired&lt;$B105,"-",$C105))</f>
        <v>-</v>
      </c>
      <c r="AK105" s="1" t="str">
        <f t="shared" ref="AK105" si="7295">IF(MarBel1LevelCurrent&gt;=$B105,"-",IF(MarBel1LevelDesired&lt;$B105,"-",$D105))</f>
        <v>-</v>
      </c>
      <c r="AL105" s="21" t="str">
        <f t="shared" ref="AL105" si="7296">IF(MarBel1LevelCurrent&gt;=$B105,"-",IF(MarBel1LevelDesired&lt;$B105,"-",$E105))</f>
        <v>-</v>
      </c>
      <c r="AM105" s="15" t="str">
        <f t="shared" ref="AM105" si="7297">IF(MarBoo1LevelCurrent&gt;=$B105,"-",IF(MarBoo1LevelDesired&lt;$B105,"-",$C105))</f>
        <v>-</v>
      </c>
      <c r="AN105" s="1" t="str">
        <f t="shared" ref="AN105" si="7298">IF(MarBoo1LevelCurrent&gt;=$B105,"-",IF(MarBoo1LevelDesired&lt;$B105,"-",$D105))</f>
        <v>-</v>
      </c>
      <c r="AO105" s="21" t="str">
        <f t="shared" ref="AO105" si="7299">IF(MarBoo1LevelCurrent&gt;=$B105,"-",IF(MarBoo1LevelDesired&lt;$B105,"-",$E105))</f>
        <v>-</v>
      </c>
      <c r="AP105" s="15" t="str">
        <f t="shared" ref="AP105" si="7300">IF(InfGog2LevelCurrent&gt;=$B105,"-",IF(InfGog2LevelDesired&lt;$B105,"-",$C105))</f>
        <v>-</v>
      </c>
      <c r="AQ105" s="1" t="str">
        <f t="shared" ref="AQ105" si="7301">IF(InfGog2LevelCurrent&gt;=$B105,"-",IF(InfGog2LevelDesired&lt;$B105,"-",$D105))</f>
        <v>-</v>
      </c>
      <c r="AR105" s="21" t="str">
        <f t="shared" ref="AR105" si="7302">IF(InfGog2LevelCurrent&gt;=$B105,"-",IF(InfGog2LevelDesired&lt;$B105,"-",$E105))</f>
        <v>-</v>
      </c>
      <c r="AS105" s="15" t="str">
        <f t="shared" ref="AS105" si="7303">IF(InfGlo2LevelCurrent&gt;=$B105,"-",IF(InfGlo2LevelDesired&lt;$B105,"-",$C105))</f>
        <v>-</v>
      </c>
      <c r="AT105" s="1" t="str">
        <f t="shared" ref="AT105" si="7304">IF(InfGlo2LevelCurrent&gt;=$B105,"-",IF(InfGlo2LevelDesired&lt;$B105,"-",$D105))</f>
        <v>-</v>
      </c>
      <c r="AU105" s="21" t="str">
        <f t="shared" ref="AU105" si="7305">IF(InfGlo2LevelCurrent&gt;=$B105,"-",IF(InfGlo2LevelDesired&lt;$B105,"-",$E105))</f>
        <v>-</v>
      </c>
      <c r="AV105" s="15" t="str">
        <f t="shared" ref="AV105" si="7306">IF(InfBel2LevelCurrent&gt;=$B105,"-",IF(InfBel2LevelDesired&lt;$B105,"-",$C105))</f>
        <v>-</v>
      </c>
      <c r="AW105" s="1" t="str">
        <f t="shared" ref="AW105" si="7307">IF(InfBel2LevelCurrent&gt;=$B105,"-",IF(InfBel2LevelDesired&lt;$B105,"-",$D105))</f>
        <v>-</v>
      </c>
      <c r="AX105" s="21" t="str">
        <f t="shared" ref="AX105" si="7308">IF(InfBel2LevelCurrent&gt;=$B105,"-",IF(InfBel2LevelDesired&lt;$B105,"-",$E105))</f>
        <v>-</v>
      </c>
      <c r="AY105" s="15" t="str">
        <f t="shared" ref="AY105" si="7309">IF(InfBoo2LevelCurrent&gt;=$B105,"-",IF(InfBoo2LevelDesired&lt;$B105,"-",$C105))</f>
        <v>-</v>
      </c>
      <c r="AZ105" s="1" t="str">
        <f t="shared" ref="AZ105" si="7310">IF(InfBoo2LevelCurrent&gt;=$B105,"-",IF(InfBoo2LevelDesired&lt;$B105,"-",$D105))</f>
        <v>-</v>
      </c>
      <c r="BA105" s="21" t="str">
        <f t="shared" ref="BA105" si="7311">IF(InfBoo2LevelCurrent&gt;=$B105,"-",IF(InfBoo2LevelDesired&lt;$B105,"-",$E105))</f>
        <v>-</v>
      </c>
      <c r="BB105" s="15" t="str">
        <f t="shared" ref="BB105" si="7312">IF(LanGog2LevelCurrent&gt;=$B105,"-",IF(LanGog2LevelDesired&lt;$B105,"-",$C105))</f>
        <v>-</v>
      </c>
      <c r="BC105" s="1" t="str">
        <f t="shared" ref="BC105" si="7313">IF(LanGog2LevelCurrent&gt;=$B105,"-",IF(LanGog2LevelDesired&lt;$B105,"-",$D105))</f>
        <v>-</v>
      </c>
      <c r="BD105" s="21" t="str">
        <f t="shared" ref="BD105" si="7314">IF(LanGog2LevelCurrent&gt;=$B105,"-",IF(LanGog2LevelDesired&lt;$B105,"-",$E105))</f>
        <v>-</v>
      </c>
      <c r="BE105" s="15" t="str">
        <f t="shared" ref="BE105" si="7315">IF(LanGlo2LevelCurrent&gt;=$B105,"-",IF(LanGlo2LevelDesired&lt;$B105,"-",$C105))</f>
        <v>-</v>
      </c>
      <c r="BF105" s="1" t="str">
        <f t="shared" ref="BF105" si="7316">IF(LanGlo2LevelCurrent&gt;=$B105,"-",IF(LanGlo2LevelDesired&lt;$B105,"-",$D105))</f>
        <v>-</v>
      </c>
      <c r="BG105" s="21" t="str">
        <f t="shared" ref="BG105" si="7317">IF(LanGlo2LevelCurrent&gt;=$B105,"-",IF(LanGlo2LevelDesired&lt;$B105,"-",$E105))</f>
        <v>-</v>
      </c>
      <c r="BH105" s="15" t="str">
        <f t="shared" ref="BH105" si="7318">IF(LanBel2LevelCurrent&gt;=$B105,"-",IF(LanBel2LevelDesired&lt;$B105,"-",$C105))</f>
        <v>-</v>
      </c>
      <c r="BI105" s="1" t="str">
        <f t="shared" ref="BI105" si="7319">IF(LanBel2LevelCurrent&gt;=$B105,"-",IF(LanBel2LevelDesired&lt;$B105,"-",$D105))</f>
        <v>-</v>
      </c>
      <c r="BJ105" s="21" t="str">
        <f t="shared" ref="BJ105" si="7320">IF(LanBel2LevelCurrent&gt;=$B105,"-",IF(LanBel2LevelDesired&lt;$B105,"-",$E105))</f>
        <v>-</v>
      </c>
      <c r="BK105" s="15" t="str">
        <f t="shared" ref="BK105" si="7321">IF(LanBoo2LevelCurrent&gt;=$B105,"-",IF(LanBoo2LevelDesired&lt;$B105,"-",$C105))</f>
        <v>-</v>
      </c>
      <c r="BL105" s="1" t="str">
        <f t="shared" ref="BL105" si="7322">IF(LanBoo2LevelCurrent&gt;=$B105,"-",IF(LanBoo2LevelDesired&lt;$B105,"-",$D105))</f>
        <v>-</v>
      </c>
      <c r="BM105" s="21" t="str">
        <f t="shared" ref="BM105" si="7323">IF(LanBoo2LevelCurrent&gt;=$B105,"-",IF(LanBoo2LevelDesired&lt;$B105,"-",$E105))</f>
        <v>-</v>
      </c>
      <c r="BN105" s="15" t="str">
        <f t="shared" ref="BN105" si="7324">IF(MarGog2LevelCurrent&gt;=$B105,"-",IF(MarGog2LevelDesired&lt;$B105,"-",$C105))</f>
        <v>-</v>
      </c>
      <c r="BO105" s="1" t="str">
        <f t="shared" ref="BO105" si="7325">IF(MarGog2LevelCurrent&gt;=$B105,"-",IF(MarGog2LevelDesired&lt;$B105,"-",$D105))</f>
        <v>-</v>
      </c>
      <c r="BP105" s="21" t="str">
        <f t="shared" ref="BP105" si="7326">IF(MarGog2LevelCurrent&gt;=$B105,"-",IF(MarGog2LevelDesired&lt;$B105,"-",$E105))</f>
        <v>-</v>
      </c>
      <c r="BQ105" s="15" t="str">
        <f t="shared" ref="BQ105" si="7327">IF(MarGlo2LevelCurrent&gt;=$B105,"-",IF(MarGlo2LevelDesired&lt;$B105,"-",$C105))</f>
        <v>-</v>
      </c>
      <c r="BR105" s="1" t="str">
        <f t="shared" ref="BR105" si="7328">IF(MarGlo2LevelCurrent&gt;=$B105,"-",IF(MarGlo2LevelDesired&lt;$B105,"-",$D105))</f>
        <v>-</v>
      </c>
      <c r="BS105" s="21" t="str">
        <f t="shared" ref="BS105" si="7329">IF(MarGlo2LevelCurrent&gt;=$B105,"-",IF(MarGlo2LevelDesired&lt;$B105,"-",$E105))</f>
        <v>-</v>
      </c>
      <c r="BT105" s="15" t="str">
        <f t="shared" ref="BT105" si="7330">IF(MarBel2LevelCurrent&gt;=$B105,"-",IF(MarBel2LevelDesired&lt;$B105,"-",$C105))</f>
        <v>-</v>
      </c>
      <c r="BU105" s="1" t="str">
        <f t="shared" ref="BU105" si="7331">IF(MarBel2LevelCurrent&gt;=$B105,"-",IF(MarBel2LevelDesired&lt;$B105,"-",$D105))</f>
        <v>-</v>
      </c>
      <c r="BV105" s="21" t="str">
        <f t="shared" ref="BV105" si="7332">IF(MarBel2LevelCurrent&gt;=$B105,"-",IF(MarBel2LevelDesired&lt;$B105,"-",$E105))</f>
        <v>-</v>
      </c>
      <c r="BW105" s="15" t="str">
        <f t="shared" ref="BW105" si="7333">IF(MarBoo2LevelCurrent&gt;=$B105,"-",IF(MarBoo2LevelDesired&lt;$B105,"-",$C105))</f>
        <v>-</v>
      </c>
      <c r="BX105" s="1" t="str">
        <f t="shared" ref="BX105" si="7334">IF(MarBoo2LevelCurrent&gt;=$B105,"-",IF(MarBoo2LevelDesired&lt;$B105,"-",$D105))</f>
        <v>-</v>
      </c>
      <c r="BY105" s="21" t="str">
        <f t="shared" ref="BY105" si="7335">IF(MarBoo2LevelCurrent&gt;=$B105,"-",IF(MarBoo2LevelDesired&lt;$B105,"-",$E105))</f>
        <v>-</v>
      </c>
      <c r="BZ105" s="15" t="str">
        <f t="shared" si="7086"/>
        <v>-</v>
      </c>
      <c r="CA105" s="1" t="str" cm="1">
        <f t="array" ref="CA105">IF(InfGog3LevelCurrent&gt;=$B105,"-",IF(InfGog3LevelDesired&lt;$B105,"-",$D105))</f>
        <v>-</v>
      </c>
      <c r="CB105" s="21" t="str" cm="1">
        <f t="array" ref="CB105">IF(InfGog3LevelCurrent&gt;=$B105,"-",IF(InfGog3LevelDesired&lt;$B105,"-",$E105))</f>
        <v>-</v>
      </c>
      <c r="CC105" s="15" t="str">
        <f t="shared" si="7087"/>
        <v>-</v>
      </c>
      <c r="CD105" s="1" t="str">
        <f t="shared" si="7088"/>
        <v>-</v>
      </c>
      <c r="CE105" s="21" t="str">
        <f t="shared" si="7089"/>
        <v>-</v>
      </c>
      <c r="CF105" s="15" t="str">
        <f t="shared" si="7090"/>
        <v>-</v>
      </c>
      <c r="CG105" s="1" t="str">
        <f t="shared" si="7091"/>
        <v>-</v>
      </c>
      <c r="CH105" s="21" t="str">
        <f t="shared" si="7092"/>
        <v>-</v>
      </c>
      <c r="CI105" s="15" t="str">
        <f t="shared" si="7093"/>
        <v>-</v>
      </c>
      <c r="CJ105" s="1" t="str">
        <f t="shared" si="7094"/>
        <v>-</v>
      </c>
      <c r="CK105" s="21" t="str">
        <f t="shared" si="7095"/>
        <v>-</v>
      </c>
      <c r="CL105" s="15" t="str">
        <f t="shared" si="7096"/>
        <v>-</v>
      </c>
      <c r="CM105" s="1" t="str">
        <f t="shared" si="7097"/>
        <v>-</v>
      </c>
      <c r="CN105" s="21" t="str">
        <f t="shared" si="7098"/>
        <v>-</v>
      </c>
      <c r="CO105" s="15" t="str">
        <f t="shared" si="7099"/>
        <v>-</v>
      </c>
      <c r="CP105" s="1" t="str">
        <f t="shared" si="7100"/>
        <v>-</v>
      </c>
      <c r="CQ105" s="21" t="str">
        <f t="shared" si="7101"/>
        <v>-</v>
      </c>
      <c r="CR105" s="15" t="str">
        <f t="shared" si="7102"/>
        <v>-</v>
      </c>
      <c r="CS105" s="1" t="str">
        <f t="shared" si="7103"/>
        <v>-</v>
      </c>
      <c r="CT105" s="21" t="str">
        <f t="shared" si="7104"/>
        <v>-</v>
      </c>
      <c r="CU105" s="15" t="str">
        <f t="shared" si="7105"/>
        <v>-</v>
      </c>
      <c r="CV105" s="1" t="str">
        <f t="shared" si="7106"/>
        <v>-</v>
      </c>
      <c r="CW105" s="21" t="str">
        <f t="shared" si="7107"/>
        <v>-</v>
      </c>
      <c r="CX105" s="15" t="str">
        <f t="shared" si="7108"/>
        <v>-</v>
      </c>
      <c r="CY105" s="1" t="str">
        <f t="shared" si="7109"/>
        <v>-</v>
      </c>
      <c r="CZ105" s="21" t="str">
        <f t="shared" si="7110"/>
        <v>-</v>
      </c>
      <c r="DA105" s="15" t="str">
        <f t="shared" si="7111"/>
        <v>-</v>
      </c>
      <c r="DB105" s="1" t="str">
        <f t="shared" si="7112"/>
        <v>-</v>
      </c>
      <c r="DC105" s="21" t="str">
        <f t="shared" si="7113"/>
        <v>-</v>
      </c>
      <c r="DD105" s="15" t="str">
        <f t="shared" si="7114"/>
        <v>-</v>
      </c>
      <c r="DE105" s="1" t="str">
        <f t="shared" si="7115"/>
        <v>-</v>
      </c>
      <c r="DF105" s="21" t="str">
        <f t="shared" si="7116"/>
        <v>-</v>
      </c>
      <c r="DG105" s="15" t="str">
        <f t="shared" si="7117"/>
        <v>-</v>
      </c>
      <c r="DH105" s="1" t="str">
        <f t="shared" si="7118"/>
        <v>-</v>
      </c>
      <c r="DI105" s="21" t="str">
        <f t="shared" si="7119"/>
        <v>-</v>
      </c>
    </row>
    <row r="106" spans="2:113" x14ac:dyDescent="0.3">
      <c r="B106" s="1">
        <v>101</v>
      </c>
      <c r="C106" s="67">
        <v>0</v>
      </c>
      <c r="D106" s="88">
        <v>2</v>
      </c>
      <c r="E106" s="21" t="s">
        <v>27</v>
      </c>
      <c r="F106" s="15" t="str">
        <f t="shared" ref="F106" si="7336">IF(InfGog1LevelCurrent&gt;=$B106,"-",IF(InfGog1LevelDesired&lt;$B106,"-",$C106))</f>
        <v>-</v>
      </c>
      <c r="G106" s="1" t="str">
        <f t="shared" ref="G106" si="7337">IF(InfGog1LevelCurrent&gt;=$B106,"-",IF(InfGog1LevelDesired&lt;$B106,"-",$D106))</f>
        <v>-</v>
      </c>
      <c r="H106" s="21" t="str">
        <f t="shared" ref="H106" si="7338">IF(InfGog1LevelCurrent&gt;=$B106,"-",IF(InfGog1LevelDesired&lt;$B106,"-",$E106))</f>
        <v>-</v>
      </c>
      <c r="I106" s="15" t="str">
        <f t="shared" ref="I106" si="7339">IF(InfGlo1LevelCurrent&gt;=$B106,"-",IF(InfGlo1LevelDesired&lt;$B106,"-",$C106))</f>
        <v>-</v>
      </c>
      <c r="J106" s="1" t="str">
        <f t="shared" ref="J106" si="7340">IF(InfGlo1LevelCurrent&gt;=$B106,"-",IF(InfGlo1LevelDesired&lt;$B106,"-",$D106))</f>
        <v>-</v>
      </c>
      <c r="K106" s="21" t="str">
        <f t="shared" ref="K106" si="7341">IF(InfGlo1LevelCurrent&gt;=$B106,"-",IF(InfGlo1LevelDesired&lt;$B106,"-",$E106))</f>
        <v>-</v>
      </c>
      <c r="L106" s="15" t="str">
        <f t="shared" ref="L106" si="7342">IF(InfBel1LevelCurrent&gt;=$B106,"-",IF(InfBel1LevelDesired&lt;$B106,"-",$C106))</f>
        <v>-</v>
      </c>
      <c r="M106" s="1" t="str">
        <f t="shared" ref="M106" si="7343">IF(InfBel1LevelCurrent&gt;=$B106,"-",IF(InfBel1LevelDesired&lt;$B106,"-",$D106))</f>
        <v>-</v>
      </c>
      <c r="N106" s="21" t="str">
        <f t="shared" ref="N106" si="7344">IF(InfBel1LevelCurrent&gt;=$B106,"-",IF(InfBel1LevelDesired&lt;$B106,"-",$E106))</f>
        <v>-</v>
      </c>
      <c r="O106" s="15" t="str">
        <f t="shared" ref="O106" si="7345">IF(InfBoo1LevelCurrent&gt;=$B106,"-",IF(InfBoo1LevelDesired&lt;$B106,"-",$C106))</f>
        <v>-</v>
      </c>
      <c r="P106" s="1" t="str">
        <f t="shared" ref="P106" si="7346">IF(InfBoo1LevelCurrent&gt;=$B106,"-",IF(InfBoo1LevelDesired&lt;$B106,"-",$D106))</f>
        <v>-</v>
      </c>
      <c r="Q106" s="21" t="str">
        <f t="shared" ref="Q106" si="7347">IF(InfBoo1LevelCurrent&gt;=$B106,"-",IF(InfBoo1LevelDesired&lt;$B106,"-",$E106))</f>
        <v>-</v>
      </c>
      <c r="R106" s="15" t="str">
        <f t="shared" ref="R106" si="7348">IF(LanGog1LevelCurrent&gt;=$B106,"-",IF(LanGog1LevelDesired&lt;$B106,"-",$C106))</f>
        <v>-</v>
      </c>
      <c r="S106" s="1" t="str">
        <f t="shared" ref="S106" si="7349">IF(LanGog1LevelCurrent&gt;=$B106,"-",IF(LanGog1LevelDesired&lt;$B106,"-",$D106))</f>
        <v>-</v>
      </c>
      <c r="T106" s="21" t="str">
        <f t="shared" ref="T106" si="7350">IF(LanGog1LevelCurrent&gt;=$B106,"-",IF(LanGog1LevelDesired&lt;$B106,"-",$E106))</f>
        <v>-</v>
      </c>
      <c r="U106" s="15" t="str">
        <f t="shared" ref="U106" si="7351">IF(LanGlo1LevelCurrent&gt;=$B106,"-",IF(LanGlo1LevelDesired&lt;$B106,"-",$C106))</f>
        <v>-</v>
      </c>
      <c r="V106" s="1" t="str">
        <f t="shared" ref="V106" si="7352">IF(LanGlo1LevelCurrent&gt;=$B106,"-",IF(LanGlo1LevelDesired&lt;$B106,"-",$D106))</f>
        <v>-</v>
      </c>
      <c r="W106" s="21" t="str">
        <f t="shared" ref="W106" si="7353">IF(LanGlo1LevelCurrent&gt;=$B106,"-",IF(LanGlo1LevelDesired&lt;$B106,"-",$E106))</f>
        <v>-</v>
      </c>
      <c r="X106" s="15" t="str">
        <f t="shared" ref="X106" si="7354">IF(LanBel1LevelCurrent&gt;=$B106,"-",IF(LanBel1LevelDesired&lt;$B106,"-",$C106))</f>
        <v>-</v>
      </c>
      <c r="Y106" s="1" t="str">
        <f t="shared" ref="Y106" si="7355">IF(LanBel1LevelCurrent&gt;=$B106,"-",IF(LanBel1LevelDesired&lt;$B106,"-",$D106))</f>
        <v>-</v>
      </c>
      <c r="Z106" s="21" t="str">
        <f t="shared" ref="Z106" si="7356">IF(LanBel1LevelCurrent&gt;=$B106,"-",IF(LanBel1LevelDesired&lt;$B106,"-",$E106))</f>
        <v>-</v>
      </c>
      <c r="AA106" s="15" t="str">
        <f t="shared" ref="AA106" si="7357">IF(LanBoo1LevelCurrent&gt;=$B106,"-",IF(LanBoo1LevelDesired&lt;$B106,"-",$C106))</f>
        <v>-</v>
      </c>
      <c r="AB106" s="1" t="str">
        <f t="shared" ref="AB106" si="7358">IF(LanBoo1LevelCurrent&gt;=$B106,"-",IF(LanBoo1LevelDesired&lt;$B106,"-",$D106))</f>
        <v>-</v>
      </c>
      <c r="AC106" s="21" t="str">
        <f t="shared" ref="AC106" si="7359">IF(LanBoo1LevelCurrent&gt;=$B106,"-",IF(LanBoo1LevelDesired&lt;$B106,"-",$E106))</f>
        <v>-</v>
      </c>
      <c r="AD106" s="15" t="str">
        <f t="shared" ref="AD106" si="7360">IF(MarGog1LevelCurrent&gt;=$B106,"-",IF(MarGog1LevelDesired&lt;$B106,"-",$C106))</f>
        <v>-</v>
      </c>
      <c r="AE106" s="1" t="str">
        <f t="shared" ref="AE106" si="7361">IF(MarGog1LevelCurrent&gt;=$B106,"-",IF(MarGog1LevelDesired&lt;$B106,"-",$D106))</f>
        <v>-</v>
      </c>
      <c r="AF106" s="21" t="str">
        <f t="shared" ref="AF106" si="7362">IF(MarGog1LevelCurrent&gt;=$B106,"-",IF(MarGog1LevelDesired&lt;$B106,"-",$E106))</f>
        <v>-</v>
      </c>
      <c r="AG106" s="15" t="str">
        <f t="shared" ref="AG106" si="7363">IF(MarGlo1LevelCurrent&gt;=$B106,"-",IF(MarGlo1LevelDesired&lt;$B106,"-",$C106))</f>
        <v>-</v>
      </c>
      <c r="AH106" s="1" t="str">
        <f t="shared" ref="AH106" si="7364">IF(MarGlo1LevelCurrent&gt;=$B106,"-",IF(MarGlo1LevelDesired&lt;$B106,"-",$D106))</f>
        <v>-</v>
      </c>
      <c r="AI106" s="21" t="str">
        <f t="shared" ref="AI106" si="7365">IF(MarGlo1LevelCurrent&gt;=$B106,"-",IF(MarGlo1LevelDesired&lt;$B106,"-",$E106))</f>
        <v>-</v>
      </c>
      <c r="AJ106" s="15" t="str">
        <f t="shared" ref="AJ106" si="7366">IF(MarBel1LevelCurrent&gt;=$B106,"-",IF(MarBel1LevelDesired&lt;$B106,"-",$C106))</f>
        <v>-</v>
      </c>
      <c r="AK106" s="1" t="str">
        <f t="shared" ref="AK106" si="7367">IF(MarBel1LevelCurrent&gt;=$B106,"-",IF(MarBel1LevelDesired&lt;$B106,"-",$D106))</f>
        <v>-</v>
      </c>
      <c r="AL106" s="21" t="str">
        <f t="shared" ref="AL106" si="7368">IF(MarBel1LevelCurrent&gt;=$B106,"-",IF(MarBel1LevelDesired&lt;$B106,"-",$E106))</f>
        <v>-</v>
      </c>
      <c r="AM106" s="15" t="str">
        <f t="shared" ref="AM106" si="7369">IF(MarBoo1LevelCurrent&gt;=$B106,"-",IF(MarBoo1LevelDesired&lt;$B106,"-",$C106))</f>
        <v>-</v>
      </c>
      <c r="AN106" s="1" t="str">
        <f t="shared" ref="AN106" si="7370">IF(MarBoo1LevelCurrent&gt;=$B106,"-",IF(MarBoo1LevelDesired&lt;$B106,"-",$D106))</f>
        <v>-</v>
      </c>
      <c r="AO106" s="21" t="str">
        <f t="shared" ref="AO106" si="7371">IF(MarBoo1LevelCurrent&gt;=$B106,"-",IF(MarBoo1LevelDesired&lt;$B106,"-",$E106))</f>
        <v>-</v>
      </c>
      <c r="AP106" s="15" t="str">
        <f t="shared" ref="AP106" si="7372">IF(InfGog2LevelCurrent&gt;=$B106,"-",IF(InfGog2LevelDesired&lt;$B106,"-",$C106))</f>
        <v>-</v>
      </c>
      <c r="AQ106" s="1" t="str">
        <f t="shared" ref="AQ106" si="7373">IF(InfGog2LevelCurrent&gt;=$B106,"-",IF(InfGog2LevelDesired&lt;$B106,"-",$D106))</f>
        <v>-</v>
      </c>
      <c r="AR106" s="21" t="str">
        <f t="shared" ref="AR106" si="7374">IF(InfGog2LevelCurrent&gt;=$B106,"-",IF(InfGog2LevelDesired&lt;$B106,"-",$E106))</f>
        <v>-</v>
      </c>
      <c r="AS106" s="15" t="str">
        <f t="shared" ref="AS106" si="7375">IF(InfGlo2LevelCurrent&gt;=$B106,"-",IF(InfGlo2LevelDesired&lt;$B106,"-",$C106))</f>
        <v>-</v>
      </c>
      <c r="AT106" s="1" t="str">
        <f t="shared" ref="AT106" si="7376">IF(InfGlo2LevelCurrent&gt;=$B106,"-",IF(InfGlo2LevelDesired&lt;$B106,"-",$D106))</f>
        <v>-</v>
      </c>
      <c r="AU106" s="21" t="str">
        <f t="shared" ref="AU106" si="7377">IF(InfGlo2LevelCurrent&gt;=$B106,"-",IF(InfGlo2LevelDesired&lt;$B106,"-",$E106))</f>
        <v>-</v>
      </c>
      <c r="AV106" s="15" t="str">
        <f t="shared" ref="AV106" si="7378">IF(InfBel2LevelCurrent&gt;=$B106,"-",IF(InfBel2LevelDesired&lt;$B106,"-",$C106))</f>
        <v>-</v>
      </c>
      <c r="AW106" s="1" t="str">
        <f t="shared" ref="AW106" si="7379">IF(InfBel2LevelCurrent&gt;=$B106,"-",IF(InfBel2LevelDesired&lt;$B106,"-",$D106))</f>
        <v>-</v>
      </c>
      <c r="AX106" s="21" t="str">
        <f t="shared" ref="AX106" si="7380">IF(InfBel2LevelCurrent&gt;=$B106,"-",IF(InfBel2LevelDesired&lt;$B106,"-",$E106))</f>
        <v>-</v>
      </c>
      <c r="AY106" s="15" t="str">
        <f t="shared" ref="AY106" si="7381">IF(InfBoo2LevelCurrent&gt;=$B106,"-",IF(InfBoo2LevelDesired&lt;$B106,"-",$C106))</f>
        <v>-</v>
      </c>
      <c r="AZ106" s="1" t="str">
        <f t="shared" ref="AZ106" si="7382">IF(InfBoo2LevelCurrent&gt;=$B106,"-",IF(InfBoo2LevelDesired&lt;$B106,"-",$D106))</f>
        <v>-</v>
      </c>
      <c r="BA106" s="21" t="str">
        <f t="shared" ref="BA106" si="7383">IF(InfBoo2LevelCurrent&gt;=$B106,"-",IF(InfBoo2LevelDesired&lt;$B106,"-",$E106))</f>
        <v>-</v>
      </c>
      <c r="BB106" s="15" t="str">
        <f t="shared" ref="BB106" si="7384">IF(LanGog2LevelCurrent&gt;=$B106,"-",IF(LanGog2LevelDesired&lt;$B106,"-",$C106))</f>
        <v>-</v>
      </c>
      <c r="BC106" s="1" t="str">
        <f t="shared" ref="BC106" si="7385">IF(LanGog2LevelCurrent&gt;=$B106,"-",IF(LanGog2LevelDesired&lt;$B106,"-",$D106))</f>
        <v>-</v>
      </c>
      <c r="BD106" s="21" t="str">
        <f t="shared" ref="BD106" si="7386">IF(LanGog2LevelCurrent&gt;=$B106,"-",IF(LanGog2LevelDesired&lt;$B106,"-",$E106))</f>
        <v>-</v>
      </c>
      <c r="BE106" s="15" t="str">
        <f t="shared" ref="BE106" si="7387">IF(LanGlo2LevelCurrent&gt;=$B106,"-",IF(LanGlo2LevelDesired&lt;$B106,"-",$C106))</f>
        <v>-</v>
      </c>
      <c r="BF106" s="1" t="str">
        <f t="shared" ref="BF106" si="7388">IF(LanGlo2LevelCurrent&gt;=$B106,"-",IF(LanGlo2LevelDesired&lt;$B106,"-",$D106))</f>
        <v>-</v>
      </c>
      <c r="BG106" s="21" t="str">
        <f t="shared" ref="BG106" si="7389">IF(LanGlo2LevelCurrent&gt;=$B106,"-",IF(LanGlo2LevelDesired&lt;$B106,"-",$E106))</f>
        <v>-</v>
      </c>
      <c r="BH106" s="15" t="str">
        <f t="shared" ref="BH106" si="7390">IF(LanBel2LevelCurrent&gt;=$B106,"-",IF(LanBel2LevelDesired&lt;$B106,"-",$C106))</f>
        <v>-</v>
      </c>
      <c r="BI106" s="1" t="str">
        <f t="shared" ref="BI106" si="7391">IF(LanBel2LevelCurrent&gt;=$B106,"-",IF(LanBel2LevelDesired&lt;$B106,"-",$D106))</f>
        <v>-</v>
      </c>
      <c r="BJ106" s="21" t="str">
        <f t="shared" ref="BJ106" si="7392">IF(LanBel2LevelCurrent&gt;=$B106,"-",IF(LanBel2LevelDesired&lt;$B106,"-",$E106))</f>
        <v>-</v>
      </c>
      <c r="BK106" s="15" t="str">
        <f t="shared" ref="BK106" si="7393">IF(LanBoo2LevelCurrent&gt;=$B106,"-",IF(LanBoo2LevelDesired&lt;$B106,"-",$C106))</f>
        <v>-</v>
      </c>
      <c r="BL106" s="1" t="str">
        <f t="shared" ref="BL106" si="7394">IF(LanBoo2LevelCurrent&gt;=$B106,"-",IF(LanBoo2LevelDesired&lt;$B106,"-",$D106))</f>
        <v>-</v>
      </c>
      <c r="BM106" s="21" t="str">
        <f t="shared" ref="BM106" si="7395">IF(LanBoo2LevelCurrent&gt;=$B106,"-",IF(LanBoo2LevelDesired&lt;$B106,"-",$E106))</f>
        <v>-</v>
      </c>
      <c r="BN106" s="15" t="str">
        <f t="shared" ref="BN106" si="7396">IF(MarGog2LevelCurrent&gt;=$B106,"-",IF(MarGog2LevelDesired&lt;$B106,"-",$C106))</f>
        <v>-</v>
      </c>
      <c r="BO106" s="1" t="str">
        <f t="shared" ref="BO106" si="7397">IF(MarGog2LevelCurrent&gt;=$B106,"-",IF(MarGog2LevelDesired&lt;$B106,"-",$D106))</f>
        <v>-</v>
      </c>
      <c r="BP106" s="21" t="str">
        <f t="shared" ref="BP106" si="7398">IF(MarGog2LevelCurrent&gt;=$B106,"-",IF(MarGog2LevelDesired&lt;$B106,"-",$E106))</f>
        <v>-</v>
      </c>
      <c r="BQ106" s="15" t="str">
        <f t="shared" ref="BQ106" si="7399">IF(MarGlo2LevelCurrent&gt;=$B106,"-",IF(MarGlo2LevelDesired&lt;$B106,"-",$C106))</f>
        <v>-</v>
      </c>
      <c r="BR106" s="1" t="str">
        <f t="shared" ref="BR106" si="7400">IF(MarGlo2LevelCurrent&gt;=$B106,"-",IF(MarGlo2LevelDesired&lt;$B106,"-",$D106))</f>
        <v>-</v>
      </c>
      <c r="BS106" s="21" t="str">
        <f t="shared" ref="BS106" si="7401">IF(MarGlo2LevelCurrent&gt;=$B106,"-",IF(MarGlo2LevelDesired&lt;$B106,"-",$E106))</f>
        <v>-</v>
      </c>
      <c r="BT106" s="15" t="str">
        <f t="shared" ref="BT106" si="7402">IF(MarBel2LevelCurrent&gt;=$B106,"-",IF(MarBel2LevelDesired&lt;$B106,"-",$C106))</f>
        <v>-</v>
      </c>
      <c r="BU106" s="1" t="str">
        <f t="shared" ref="BU106" si="7403">IF(MarBel2LevelCurrent&gt;=$B106,"-",IF(MarBel2LevelDesired&lt;$B106,"-",$D106))</f>
        <v>-</v>
      </c>
      <c r="BV106" s="21" t="str">
        <f t="shared" ref="BV106" si="7404">IF(MarBel2LevelCurrent&gt;=$B106,"-",IF(MarBel2LevelDesired&lt;$B106,"-",$E106))</f>
        <v>-</v>
      </c>
      <c r="BW106" s="15" t="str">
        <f t="shared" ref="BW106" si="7405">IF(MarBoo2LevelCurrent&gt;=$B106,"-",IF(MarBoo2LevelDesired&lt;$B106,"-",$C106))</f>
        <v>-</v>
      </c>
      <c r="BX106" s="1" t="str">
        <f t="shared" ref="BX106" si="7406">IF(MarBoo2LevelCurrent&gt;=$B106,"-",IF(MarBoo2LevelDesired&lt;$B106,"-",$D106))</f>
        <v>-</v>
      </c>
      <c r="BY106" s="21" t="str">
        <f t="shared" ref="BY106" si="7407">IF(MarBoo2LevelCurrent&gt;=$B106,"-",IF(MarBoo2LevelDesired&lt;$B106,"-",$E106))</f>
        <v>-</v>
      </c>
      <c r="BZ106" s="15" t="str">
        <f t="shared" si="7086"/>
        <v>-</v>
      </c>
      <c r="CA106" s="1" t="str" cm="1">
        <f t="array" ref="CA106">IF(InfGog3LevelCurrent&gt;=$B106,"-",IF(InfGog3LevelDesired&lt;$B106,"-",$D106))</f>
        <v>-</v>
      </c>
      <c r="CB106" s="21" t="str" cm="1">
        <f t="array" ref="CB106">IF(InfGog3LevelCurrent&gt;=$B106,"-",IF(InfGog3LevelDesired&lt;$B106,"-",$E106))</f>
        <v>-</v>
      </c>
      <c r="CC106" s="15" t="str">
        <f t="shared" si="7087"/>
        <v>-</v>
      </c>
      <c r="CD106" s="1" t="str">
        <f t="shared" si="7088"/>
        <v>-</v>
      </c>
      <c r="CE106" s="21" t="str">
        <f t="shared" si="7089"/>
        <v>-</v>
      </c>
      <c r="CF106" s="15" t="str">
        <f t="shared" si="7090"/>
        <v>-</v>
      </c>
      <c r="CG106" s="1" t="str">
        <f t="shared" si="7091"/>
        <v>-</v>
      </c>
      <c r="CH106" s="21" t="str">
        <f t="shared" si="7092"/>
        <v>-</v>
      </c>
      <c r="CI106" s="15" t="str">
        <f t="shared" si="7093"/>
        <v>-</v>
      </c>
      <c r="CJ106" s="1" t="str">
        <f t="shared" si="7094"/>
        <v>-</v>
      </c>
      <c r="CK106" s="21" t="str">
        <f t="shared" si="7095"/>
        <v>-</v>
      </c>
      <c r="CL106" s="15" t="str">
        <f t="shared" si="7096"/>
        <v>-</v>
      </c>
      <c r="CM106" s="1" t="str">
        <f t="shared" si="7097"/>
        <v>-</v>
      </c>
      <c r="CN106" s="21" t="str">
        <f t="shared" si="7098"/>
        <v>-</v>
      </c>
      <c r="CO106" s="15" t="str">
        <f t="shared" si="7099"/>
        <v>-</v>
      </c>
      <c r="CP106" s="1" t="str">
        <f t="shared" si="7100"/>
        <v>-</v>
      </c>
      <c r="CQ106" s="21" t="str">
        <f t="shared" si="7101"/>
        <v>-</v>
      </c>
      <c r="CR106" s="15" t="str">
        <f t="shared" si="7102"/>
        <v>-</v>
      </c>
      <c r="CS106" s="1" t="str">
        <f t="shared" si="7103"/>
        <v>-</v>
      </c>
      <c r="CT106" s="21" t="str">
        <f t="shared" si="7104"/>
        <v>-</v>
      </c>
      <c r="CU106" s="15" t="str">
        <f t="shared" si="7105"/>
        <v>-</v>
      </c>
      <c r="CV106" s="1" t="str">
        <f t="shared" si="7106"/>
        <v>-</v>
      </c>
      <c r="CW106" s="21" t="str">
        <f t="shared" si="7107"/>
        <v>-</v>
      </c>
      <c r="CX106" s="15" t="str">
        <f t="shared" si="7108"/>
        <v>-</v>
      </c>
      <c r="CY106" s="1" t="str">
        <f t="shared" si="7109"/>
        <v>-</v>
      </c>
      <c r="CZ106" s="21" t="str">
        <f t="shared" si="7110"/>
        <v>-</v>
      </c>
      <c r="DA106" s="15" t="str">
        <f t="shared" si="7111"/>
        <v>-</v>
      </c>
      <c r="DB106" s="1" t="str">
        <f t="shared" si="7112"/>
        <v>-</v>
      </c>
      <c r="DC106" s="21" t="str">
        <f t="shared" si="7113"/>
        <v>-</v>
      </c>
      <c r="DD106" s="15" t="str">
        <f t="shared" si="7114"/>
        <v>-</v>
      </c>
      <c r="DE106" s="1" t="str">
        <f t="shared" si="7115"/>
        <v>-</v>
      </c>
      <c r="DF106" s="21" t="str">
        <f t="shared" si="7116"/>
        <v>-</v>
      </c>
      <c r="DG106" s="15" t="str">
        <f t="shared" si="7117"/>
        <v>-</v>
      </c>
      <c r="DH106" s="1" t="str">
        <f t="shared" si="7118"/>
        <v>-</v>
      </c>
      <c r="DI106" s="21" t="str">
        <f t="shared" si="7119"/>
        <v>-</v>
      </c>
    </row>
    <row r="107" spans="2:113" x14ac:dyDescent="0.3">
      <c r="B107" s="1">
        <v>102</v>
      </c>
      <c r="C107" s="67">
        <v>2500</v>
      </c>
      <c r="D107" s="88" t="s">
        <v>27</v>
      </c>
      <c r="E107" s="21" t="s">
        <v>27</v>
      </c>
      <c r="F107" s="15" t="str">
        <f t="shared" ref="F107" si="7408">IF(InfGog1LevelCurrent&gt;=$B107,"-",IF(InfGog1LevelDesired&lt;$B107,"-",$C107))</f>
        <v>-</v>
      </c>
      <c r="G107" s="1" t="str">
        <f t="shared" ref="G107" si="7409">IF(InfGog1LevelCurrent&gt;=$B107,"-",IF(InfGog1LevelDesired&lt;$B107,"-",$D107))</f>
        <v>-</v>
      </c>
      <c r="H107" s="21" t="str">
        <f t="shared" ref="H107" si="7410">IF(InfGog1LevelCurrent&gt;=$B107,"-",IF(InfGog1LevelDesired&lt;$B107,"-",$E107))</f>
        <v>-</v>
      </c>
      <c r="I107" s="15" t="str">
        <f t="shared" ref="I107" si="7411">IF(InfGlo1LevelCurrent&gt;=$B107,"-",IF(InfGlo1LevelDesired&lt;$B107,"-",$C107))</f>
        <v>-</v>
      </c>
      <c r="J107" s="1" t="str">
        <f t="shared" ref="J107" si="7412">IF(InfGlo1LevelCurrent&gt;=$B107,"-",IF(InfGlo1LevelDesired&lt;$B107,"-",$D107))</f>
        <v>-</v>
      </c>
      <c r="K107" s="21" t="str">
        <f t="shared" ref="K107" si="7413">IF(InfGlo1LevelCurrent&gt;=$B107,"-",IF(InfGlo1LevelDesired&lt;$B107,"-",$E107))</f>
        <v>-</v>
      </c>
      <c r="L107" s="15" t="str">
        <f t="shared" ref="L107" si="7414">IF(InfBel1LevelCurrent&gt;=$B107,"-",IF(InfBel1LevelDesired&lt;$B107,"-",$C107))</f>
        <v>-</v>
      </c>
      <c r="M107" s="1" t="str">
        <f t="shared" ref="M107" si="7415">IF(InfBel1LevelCurrent&gt;=$B107,"-",IF(InfBel1LevelDesired&lt;$B107,"-",$D107))</f>
        <v>-</v>
      </c>
      <c r="N107" s="21" t="str">
        <f t="shared" ref="N107" si="7416">IF(InfBel1LevelCurrent&gt;=$B107,"-",IF(InfBel1LevelDesired&lt;$B107,"-",$E107))</f>
        <v>-</v>
      </c>
      <c r="O107" s="15" t="str">
        <f t="shared" ref="O107" si="7417">IF(InfBoo1LevelCurrent&gt;=$B107,"-",IF(InfBoo1LevelDesired&lt;$B107,"-",$C107))</f>
        <v>-</v>
      </c>
      <c r="P107" s="1" t="str">
        <f t="shared" ref="P107" si="7418">IF(InfBoo1LevelCurrent&gt;=$B107,"-",IF(InfBoo1LevelDesired&lt;$B107,"-",$D107))</f>
        <v>-</v>
      </c>
      <c r="Q107" s="21" t="str">
        <f t="shared" ref="Q107" si="7419">IF(InfBoo1LevelCurrent&gt;=$B107,"-",IF(InfBoo1LevelDesired&lt;$B107,"-",$E107))</f>
        <v>-</v>
      </c>
      <c r="R107" s="15" t="str">
        <f t="shared" ref="R107" si="7420">IF(LanGog1LevelCurrent&gt;=$B107,"-",IF(LanGog1LevelDesired&lt;$B107,"-",$C107))</f>
        <v>-</v>
      </c>
      <c r="S107" s="1" t="str">
        <f t="shared" ref="S107" si="7421">IF(LanGog1LevelCurrent&gt;=$B107,"-",IF(LanGog1LevelDesired&lt;$B107,"-",$D107))</f>
        <v>-</v>
      </c>
      <c r="T107" s="21" t="str">
        <f t="shared" ref="T107" si="7422">IF(LanGog1LevelCurrent&gt;=$B107,"-",IF(LanGog1LevelDesired&lt;$B107,"-",$E107))</f>
        <v>-</v>
      </c>
      <c r="U107" s="15" t="str">
        <f t="shared" ref="U107" si="7423">IF(LanGlo1LevelCurrent&gt;=$B107,"-",IF(LanGlo1LevelDesired&lt;$B107,"-",$C107))</f>
        <v>-</v>
      </c>
      <c r="V107" s="1" t="str">
        <f t="shared" ref="V107" si="7424">IF(LanGlo1LevelCurrent&gt;=$B107,"-",IF(LanGlo1LevelDesired&lt;$B107,"-",$D107))</f>
        <v>-</v>
      </c>
      <c r="W107" s="21" t="str">
        <f t="shared" ref="W107" si="7425">IF(LanGlo1LevelCurrent&gt;=$B107,"-",IF(LanGlo1LevelDesired&lt;$B107,"-",$E107))</f>
        <v>-</v>
      </c>
      <c r="X107" s="15" t="str">
        <f t="shared" ref="X107" si="7426">IF(LanBel1LevelCurrent&gt;=$B107,"-",IF(LanBel1LevelDesired&lt;$B107,"-",$C107))</f>
        <v>-</v>
      </c>
      <c r="Y107" s="1" t="str">
        <f t="shared" ref="Y107" si="7427">IF(LanBel1LevelCurrent&gt;=$B107,"-",IF(LanBel1LevelDesired&lt;$B107,"-",$D107))</f>
        <v>-</v>
      </c>
      <c r="Z107" s="21" t="str">
        <f t="shared" ref="Z107" si="7428">IF(LanBel1LevelCurrent&gt;=$B107,"-",IF(LanBel1LevelDesired&lt;$B107,"-",$E107))</f>
        <v>-</v>
      </c>
      <c r="AA107" s="15" t="str">
        <f t="shared" ref="AA107" si="7429">IF(LanBoo1LevelCurrent&gt;=$B107,"-",IF(LanBoo1LevelDesired&lt;$B107,"-",$C107))</f>
        <v>-</v>
      </c>
      <c r="AB107" s="1" t="str">
        <f t="shared" ref="AB107" si="7430">IF(LanBoo1LevelCurrent&gt;=$B107,"-",IF(LanBoo1LevelDesired&lt;$B107,"-",$D107))</f>
        <v>-</v>
      </c>
      <c r="AC107" s="21" t="str">
        <f t="shared" ref="AC107" si="7431">IF(LanBoo1LevelCurrent&gt;=$B107,"-",IF(LanBoo1LevelDesired&lt;$B107,"-",$E107))</f>
        <v>-</v>
      </c>
      <c r="AD107" s="15" t="str">
        <f t="shared" ref="AD107" si="7432">IF(MarGog1LevelCurrent&gt;=$B107,"-",IF(MarGog1LevelDesired&lt;$B107,"-",$C107))</f>
        <v>-</v>
      </c>
      <c r="AE107" s="1" t="str">
        <f t="shared" ref="AE107" si="7433">IF(MarGog1LevelCurrent&gt;=$B107,"-",IF(MarGog1LevelDesired&lt;$B107,"-",$D107))</f>
        <v>-</v>
      </c>
      <c r="AF107" s="21" t="str">
        <f t="shared" ref="AF107" si="7434">IF(MarGog1LevelCurrent&gt;=$B107,"-",IF(MarGog1LevelDesired&lt;$B107,"-",$E107))</f>
        <v>-</v>
      </c>
      <c r="AG107" s="15" t="str">
        <f t="shared" ref="AG107" si="7435">IF(MarGlo1LevelCurrent&gt;=$B107,"-",IF(MarGlo1LevelDesired&lt;$B107,"-",$C107))</f>
        <v>-</v>
      </c>
      <c r="AH107" s="1" t="str">
        <f t="shared" ref="AH107" si="7436">IF(MarGlo1LevelCurrent&gt;=$B107,"-",IF(MarGlo1LevelDesired&lt;$B107,"-",$D107))</f>
        <v>-</v>
      </c>
      <c r="AI107" s="21" t="str">
        <f t="shared" ref="AI107" si="7437">IF(MarGlo1LevelCurrent&gt;=$B107,"-",IF(MarGlo1LevelDesired&lt;$B107,"-",$E107))</f>
        <v>-</v>
      </c>
      <c r="AJ107" s="15" t="str">
        <f t="shared" ref="AJ107" si="7438">IF(MarBel1LevelCurrent&gt;=$B107,"-",IF(MarBel1LevelDesired&lt;$B107,"-",$C107))</f>
        <v>-</v>
      </c>
      <c r="AK107" s="1" t="str">
        <f t="shared" ref="AK107" si="7439">IF(MarBel1LevelCurrent&gt;=$B107,"-",IF(MarBel1LevelDesired&lt;$B107,"-",$D107))</f>
        <v>-</v>
      </c>
      <c r="AL107" s="21" t="str">
        <f t="shared" ref="AL107" si="7440">IF(MarBel1LevelCurrent&gt;=$B107,"-",IF(MarBel1LevelDesired&lt;$B107,"-",$E107))</f>
        <v>-</v>
      </c>
      <c r="AM107" s="15" t="str">
        <f t="shared" ref="AM107" si="7441">IF(MarBoo1LevelCurrent&gt;=$B107,"-",IF(MarBoo1LevelDesired&lt;$B107,"-",$C107))</f>
        <v>-</v>
      </c>
      <c r="AN107" s="1" t="str">
        <f t="shared" ref="AN107" si="7442">IF(MarBoo1LevelCurrent&gt;=$B107,"-",IF(MarBoo1LevelDesired&lt;$B107,"-",$D107))</f>
        <v>-</v>
      </c>
      <c r="AO107" s="21" t="str">
        <f t="shared" ref="AO107" si="7443">IF(MarBoo1LevelCurrent&gt;=$B107,"-",IF(MarBoo1LevelDesired&lt;$B107,"-",$E107))</f>
        <v>-</v>
      </c>
      <c r="AP107" s="15" t="str">
        <f t="shared" ref="AP107" si="7444">IF(InfGog2LevelCurrent&gt;=$B107,"-",IF(InfGog2LevelDesired&lt;$B107,"-",$C107))</f>
        <v>-</v>
      </c>
      <c r="AQ107" s="1" t="str">
        <f t="shared" ref="AQ107" si="7445">IF(InfGog2LevelCurrent&gt;=$B107,"-",IF(InfGog2LevelDesired&lt;$B107,"-",$D107))</f>
        <v>-</v>
      </c>
      <c r="AR107" s="21" t="str">
        <f t="shared" ref="AR107" si="7446">IF(InfGog2LevelCurrent&gt;=$B107,"-",IF(InfGog2LevelDesired&lt;$B107,"-",$E107))</f>
        <v>-</v>
      </c>
      <c r="AS107" s="15" t="str">
        <f t="shared" ref="AS107" si="7447">IF(InfGlo2LevelCurrent&gt;=$B107,"-",IF(InfGlo2LevelDesired&lt;$B107,"-",$C107))</f>
        <v>-</v>
      </c>
      <c r="AT107" s="1" t="str">
        <f t="shared" ref="AT107" si="7448">IF(InfGlo2LevelCurrent&gt;=$B107,"-",IF(InfGlo2LevelDesired&lt;$B107,"-",$D107))</f>
        <v>-</v>
      </c>
      <c r="AU107" s="21" t="str">
        <f t="shared" ref="AU107" si="7449">IF(InfGlo2LevelCurrent&gt;=$B107,"-",IF(InfGlo2LevelDesired&lt;$B107,"-",$E107))</f>
        <v>-</v>
      </c>
      <c r="AV107" s="15" t="str">
        <f t="shared" ref="AV107" si="7450">IF(InfBel2LevelCurrent&gt;=$B107,"-",IF(InfBel2LevelDesired&lt;$B107,"-",$C107))</f>
        <v>-</v>
      </c>
      <c r="AW107" s="1" t="str">
        <f t="shared" ref="AW107" si="7451">IF(InfBel2LevelCurrent&gt;=$B107,"-",IF(InfBel2LevelDesired&lt;$B107,"-",$D107))</f>
        <v>-</v>
      </c>
      <c r="AX107" s="21" t="str">
        <f t="shared" ref="AX107" si="7452">IF(InfBel2LevelCurrent&gt;=$B107,"-",IF(InfBel2LevelDesired&lt;$B107,"-",$E107))</f>
        <v>-</v>
      </c>
      <c r="AY107" s="15" t="str">
        <f t="shared" ref="AY107" si="7453">IF(InfBoo2LevelCurrent&gt;=$B107,"-",IF(InfBoo2LevelDesired&lt;$B107,"-",$C107))</f>
        <v>-</v>
      </c>
      <c r="AZ107" s="1" t="str">
        <f t="shared" ref="AZ107" si="7454">IF(InfBoo2LevelCurrent&gt;=$B107,"-",IF(InfBoo2LevelDesired&lt;$B107,"-",$D107))</f>
        <v>-</v>
      </c>
      <c r="BA107" s="21" t="str">
        <f t="shared" ref="BA107" si="7455">IF(InfBoo2LevelCurrent&gt;=$B107,"-",IF(InfBoo2LevelDesired&lt;$B107,"-",$E107))</f>
        <v>-</v>
      </c>
      <c r="BB107" s="15" t="str">
        <f t="shared" ref="BB107" si="7456">IF(LanGog2LevelCurrent&gt;=$B107,"-",IF(LanGog2LevelDesired&lt;$B107,"-",$C107))</f>
        <v>-</v>
      </c>
      <c r="BC107" s="1" t="str">
        <f t="shared" ref="BC107" si="7457">IF(LanGog2LevelCurrent&gt;=$B107,"-",IF(LanGog2LevelDesired&lt;$B107,"-",$D107))</f>
        <v>-</v>
      </c>
      <c r="BD107" s="21" t="str">
        <f t="shared" ref="BD107" si="7458">IF(LanGog2LevelCurrent&gt;=$B107,"-",IF(LanGog2LevelDesired&lt;$B107,"-",$E107))</f>
        <v>-</v>
      </c>
      <c r="BE107" s="15" t="str">
        <f t="shared" ref="BE107" si="7459">IF(LanGlo2LevelCurrent&gt;=$B107,"-",IF(LanGlo2LevelDesired&lt;$B107,"-",$C107))</f>
        <v>-</v>
      </c>
      <c r="BF107" s="1" t="str">
        <f t="shared" ref="BF107" si="7460">IF(LanGlo2LevelCurrent&gt;=$B107,"-",IF(LanGlo2LevelDesired&lt;$B107,"-",$D107))</f>
        <v>-</v>
      </c>
      <c r="BG107" s="21" t="str">
        <f t="shared" ref="BG107" si="7461">IF(LanGlo2LevelCurrent&gt;=$B107,"-",IF(LanGlo2LevelDesired&lt;$B107,"-",$E107))</f>
        <v>-</v>
      </c>
      <c r="BH107" s="15" t="str">
        <f t="shared" ref="BH107" si="7462">IF(LanBel2LevelCurrent&gt;=$B107,"-",IF(LanBel2LevelDesired&lt;$B107,"-",$C107))</f>
        <v>-</v>
      </c>
      <c r="BI107" s="1" t="str">
        <f t="shared" ref="BI107" si="7463">IF(LanBel2LevelCurrent&gt;=$B107,"-",IF(LanBel2LevelDesired&lt;$B107,"-",$D107))</f>
        <v>-</v>
      </c>
      <c r="BJ107" s="21" t="str">
        <f t="shared" ref="BJ107" si="7464">IF(LanBel2LevelCurrent&gt;=$B107,"-",IF(LanBel2LevelDesired&lt;$B107,"-",$E107))</f>
        <v>-</v>
      </c>
      <c r="BK107" s="15" t="str">
        <f t="shared" ref="BK107" si="7465">IF(LanBoo2LevelCurrent&gt;=$B107,"-",IF(LanBoo2LevelDesired&lt;$B107,"-",$C107))</f>
        <v>-</v>
      </c>
      <c r="BL107" s="1" t="str">
        <f t="shared" ref="BL107" si="7466">IF(LanBoo2LevelCurrent&gt;=$B107,"-",IF(LanBoo2LevelDesired&lt;$B107,"-",$D107))</f>
        <v>-</v>
      </c>
      <c r="BM107" s="21" t="str">
        <f t="shared" ref="BM107" si="7467">IF(LanBoo2LevelCurrent&gt;=$B107,"-",IF(LanBoo2LevelDesired&lt;$B107,"-",$E107))</f>
        <v>-</v>
      </c>
      <c r="BN107" s="15" t="str">
        <f t="shared" ref="BN107" si="7468">IF(MarGog2LevelCurrent&gt;=$B107,"-",IF(MarGog2LevelDesired&lt;$B107,"-",$C107))</f>
        <v>-</v>
      </c>
      <c r="BO107" s="1" t="str">
        <f t="shared" ref="BO107" si="7469">IF(MarGog2LevelCurrent&gt;=$B107,"-",IF(MarGog2LevelDesired&lt;$B107,"-",$D107))</f>
        <v>-</v>
      </c>
      <c r="BP107" s="21" t="str">
        <f t="shared" ref="BP107" si="7470">IF(MarGog2LevelCurrent&gt;=$B107,"-",IF(MarGog2LevelDesired&lt;$B107,"-",$E107))</f>
        <v>-</v>
      </c>
      <c r="BQ107" s="15" t="str">
        <f t="shared" ref="BQ107" si="7471">IF(MarGlo2LevelCurrent&gt;=$B107,"-",IF(MarGlo2LevelDesired&lt;$B107,"-",$C107))</f>
        <v>-</v>
      </c>
      <c r="BR107" s="1" t="str">
        <f t="shared" ref="BR107" si="7472">IF(MarGlo2LevelCurrent&gt;=$B107,"-",IF(MarGlo2LevelDesired&lt;$B107,"-",$D107))</f>
        <v>-</v>
      </c>
      <c r="BS107" s="21" t="str">
        <f t="shared" ref="BS107" si="7473">IF(MarGlo2LevelCurrent&gt;=$B107,"-",IF(MarGlo2LevelDesired&lt;$B107,"-",$E107))</f>
        <v>-</v>
      </c>
      <c r="BT107" s="15" t="str">
        <f t="shared" ref="BT107" si="7474">IF(MarBel2LevelCurrent&gt;=$B107,"-",IF(MarBel2LevelDesired&lt;$B107,"-",$C107))</f>
        <v>-</v>
      </c>
      <c r="BU107" s="1" t="str">
        <f t="shared" ref="BU107" si="7475">IF(MarBel2LevelCurrent&gt;=$B107,"-",IF(MarBel2LevelDesired&lt;$B107,"-",$D107))</f>
        <v>-</v>
      </c>
      <c r="BV107" s="21" t="str">
        <f t="shared" ref="BV107" si="7476">IF(MarBel2LevelCurrent&gt;=$B107,"-",IF(MarBel2LevelDesired&lt;$B107,"-",$E107))</f>
        <v>-</v>
      </c>
      <c r="BW107" s="15" t="str">
        <f t="shared" ref="BW107" si="7477">IF(MarBoo2LevelCurrent&gt;=$B107,"-",IF(MarBoo2LevelDesired&lt;$B107,"-",$C107))</f>
        <v>-</v>
      </c>
      <c r="BX107" s="1" t="str">
        <f t="shared" ref="BX107" si="7478">IF(MarBoo2LevelCurrent&gt;=$B107,"-",IF(MarBoo2LevelDesired&lt;$B107,"-",$D107))</f>
        <v>-</v>
      </c>
      <c r="BY107" s="21" t="str">
        <f t="shared" ref="BY107" si="7479">IF(MarBoo2LevelCurrent&gt;=$B107,"-",IF(MarBoo2LevelDesired&lt;$B107,"-",$E107))</f>
        <v>-</v>
      </c>
      <c r="BZ107" s="15" t="str">
        <f t="shared" si="7086"/>
        <v>-</v>
      </c>
      <c r="CA107" s="1" t="str" cm="1">
        <f t="array" ref="CA107">IF(InfGog3LevelCurrent&gt;=$B107,"-",IF(InfGog3LevelDesired&lt;$B107,"-",$D107))</f>
        <v>-</v>
      </c>
      <c r="CB107" s="21" t="str" cm="1">
        <f t="array" ref="CB107">IF(InfGog3LevelCurrent&gt;=$B107,"-",IF(InfGog3LevelDesired&lt;$B107,"-",$E107))</f>
        <v>-</v>
      </c>
      <c r="CC107" s="15" t="str">
        <f t="shared" si="7087"/>
        <v>-</v>
      </c>
      <c r="CD107" s="1" t="str">
        <f t="shared" si="7088"/>
        <v>-</v>
      </c>
      <c r="CE107" s="21" t="str">
        <f t="shared" si="7089"/>
        <v>-</v>
      </c>
      <c r="CF107" s="15" t="str">
        <f t="shared" si="7090"/>
        <v>-</v>
      </c>
      <c r="CG107" s="1" t="str">
        <f t="shared" si="7091"/>
        <v>-</v>
      </c>
      <c r="CH107" s="21" t="str">
        <f t="shared" si="7092"/>
        <v>-</v>
      </c>
      <c r="CI107" s="15" t="str">
        <f t="shared" si="7093"/>
        <v>-</v>
      </c>
      <c r="CJ107" s="1" t="str">
        <f t="shared" si="7094"/>
        <v>-</v>
      </c>
      <c r="CK107" s="21" t="str">
        <f t="shared" si="7095"/>
        <v>-</v>
      </c>
      <c r="CL107" s="15" t="str">
        <f t="shared" si="7096"/>
        <v>-</v>
      </c>
      <c r="CM107" s="1" t="str">
        <f t="shared" si="7097"/>
        <v>-</v>
      </c>
      <c r="CN107" s="21" t="str">
        <f t="shared" si="7098"/>
        <v>-</v>
      </c>
      <c r="CO107" s="15" t="str">
        <f t="shared" si="7099"/>
        <v>-</v>
      </c>
      <c r="CP107" s="1" t="str">
        <f t="shared" si="7100"/>
        <v>-</v>
      </c>
      <c r="CQ107" s="21" t="str">
        <f t="shared" si="7101"/>
        <v>-</v>
      </c>
      <c r="CR107" s="15" t="str">
        <f t="shared" si="7102"/>
        <v>-</v>
      </c>
      <c r="CS107" s="1" t="str">
        <f t="shared" si="7103"/>
        <v>-</v>
      </c>
      <c r="CT107" s="21" t="str">
        <f t="shared" si="7104"/>
        <v>-</v>
      </c>
      <c r="CU107" s="15" t="str">
        <f t="shared" si="7105"/>
        <v>-</v>
      </c>
      <c r="CV107" s="1" t="str">
        <f t="shared" si="7106"/>
        <v>-</v>
      </c>
      <c r="CW107" s="21" t="str">
        <f t="shared" si="7107"/>
        <v>-</v>
      </c>
      <c r="CX107" s="15" t="str">
        <f t="shared" si="7108"/>
        <v>-</v>
      </c>
      <c r="CY107" s="1" t="str">
        <f t="shared" si="7109"/>
        <v>-</v>
      </c>
      <c r="CZ107" s="21" t="str">
        <f t="shared" si="7110"/>
        <v>-</v>
      </c>
      <c r="DA107" s="15" t="str">
        <f t="shared" si="7111"/>
        <v>-</v>
      </c>
      <c r="DB107" s="1" t="str">
        <f t="shared" si="7112"/>
        <v>-</v>
      </c>
      <c r="DC107" s="21" t="str">
        <f t="shared" si="7113"/>
        <v>-</v>
      </c>
      <c r="DD107" s="15" t="str">
        <f t="shared" si="7114"/>
        <v>-</v>
      </c>
      <c r="DE107" s="1" t="str">
        <f t="shared" si="7115"/>
        <v>-</v>
      </c>
      <c r="DF107" s="21" t="str">
        <f t="shared" si="7116"/>
        <v>-</v>
      </c>
      <c r="DG107" s="15" t="str">
        <f t="shared" si="7117"/>
        <v>-</v>
      </c>
      <c r="DH107" s="1" t="str">
        <f t="shared" si="7118"/>
        <v>-</v>
      </c>
      <c r="DI107" s="21" t="str">
        <f t="shared" si="7119"/>
        <v>-</v>
      </c>
    </row>
    <row r="108" spans="2:113" x14ac:dyDescent="0.3">
      <c r="B108" s="1">
        <v>103</v>
      </c>
      <c r="C108" s="67">
        <v>2550</v>
      </c>
      <c r="D108" s="88" t="s">
        <v>27</v>
      </c>
      <c r="E108" s="21" t="s">
        <v>27</v>
      </c>
      <c r="F108" s="15" t="str">
        <f t="shared" ref="F108" si="7480">IF(InfGog1LevelCurrent&gt;=$B108,"-",IF(InfGog1LevelDesired&lt;$B108,"-",$C108))</f>
        <v>-</v>
      </c>
      <c r="G108" s="1" t="str">
        <f t="shared" ref="G108" si="7481">IF(InfGog1LevelCurrent&gt;=$B108,"-",IF(InfGog1LevelDesired&lt;$B108,"-",$D108))</f>
        <v>-</v>
      </c>
      <c r="H108" s="21" t="str">
        <f t="shared" ref="H108" si="7482">IF(InfGog1LevelCurrent&gt;=$B108,"-",IF(InfGog1LevelDesired&lt;$B108,"-",$E108))</f>
        <v>-</v>
      </c>
      <c r="I108" s="15" t="str">
        <f t="shared" ref="I108" si="7483">IF(InfGlo1LevelCurrent&gt;=$B108,"-",IF(InfGlo1LevelDesired&lt;$B108,"-",$C108))</f>
        <v>-</v>
      </c>
      <c r="J108" s="1" t="str">
        <f t="shared" ref="J108" si="7484">IF(InfGlo1LevelCurrent&gt;=$B108,"-",IF(InfGlo1LevelDesired&lt;$B108,"-",$D108))</f>
        <v>-</v>
      </c>
      <c r="K108" s="21" t="str">
        <f t="shared" ref="K108" si="7485">IF(InfGlo1LevelCurrent&gt;=$B108,"-",IF(InfGlo1LevelDesired&lt;$B108,"-",$E108))</f>
        <v>-</v>
      </c>
      <c r="L108" s="15" t="str">
        <f t="shared" ref="L108" si="7486">IF(InfBel1LevelCurrent&gt;=$B108,"-",IF(InfBel1LevelDesired&lt;$B108,"-",$C108))</f>
        <v>-</v>
      </c>
      <c r="M108" s="1" t="str">
        <f t="shared" ref="M108" si="7487">IF(InfBel1LevelCurrent&gt;=$B108,"-",IF(InfBel1LevelDesired&lt;$B108,"-",$D108))</f>
        <v>-</v>
      </c>
      <c r="N108" s="21" t="str">
        <f t="shared" ref="N108" si="7488">IF(InfBel1LevelCurrent&gt;=$B108,"-",IF(InfBel1LevelDesired&lt;$B108,"-",$E108))</f>
        <v>-</v>
      </c>
      <c r="O108" s="15" t="str">
        <f t="shared" ref="O108" si="7489">IF(InfBoo1LevelCurrent&gt;=$B108,"-",IF(InfBoo1LevelDesired&lt;$B108,"-",$C108))</f>
        <v>-</v>
      </c>
      <c r="P108" s="1" t="str">
        <f t="shared" ref="P108" si="7490">IF(InfBoo1LevelCurrent&gt;=$B108,"-",IF(InfBoo1LevelDesired&lt;$B108,"-",$D108))</f>
        <v>-</v>
      </c>
      <c r="Q108" s="21" t="str">
        <f t="shared" ref="Q108" si="7491">IF(InfBoo1LevelCurrent&gt;=$B108,"-",IF(InfBoo1LevelDesired&lt;$B108,"-",$E108))</f>
        <v>-</v>
      </c>
      <c r="R108" s="15" t="str">
        <f t="shared" ref="R108" si="7492">IF(LanGog1LevelCurrent&gt;=$B108,"-",IF(LanGog1LevelDesired&lt;$B108,"-",$C108))</f>
        <v>-</v>
      </c>
      <c r="S108" s="1" t="str">
        <f t="shared" ref="S108" si="7493">IF(LanGog1LevelCurrent&gt;=$B108,"-",IF(LanGog1LevelDesired&lt;$B108,"-",$D108))</f>
        <v>-</v>
      </c>
      <c r="T108" s="21" t="str">
        <f t="shared" ref="T108" si="7494">IF(LanGog1LevelCurrent&gt;=$B108,"-",IF(LanGog1LevelDesired&lt;$B108,"-",$E108))</f>
        <v>-</v>
      </c>
      <c r="U108" s="15" t="str">
        <f t="shared" ref="U108" si="7495">IF(LanGlo1LevelCurrent&gt;=$B108,"-",IF(LanGlo1LevelDesired&lt;$B108,"-",$C108))</f>
        <v>-</v>
      </c>
      <c r="V108" s="1" t="str">
        <f t="shared" ref="V108" si="7496">IF(LanGlo1LevelCurrent&gt;=$B108,"-",IF(LanGlo1LevelDesired&lt;$B108,"-",$D108))</f>
        <v>-</v>
      </c>
      <c r="W108" s="21" t="str">
        <f t="shared" ref="W108" si="7497">IF(LanGlo1LevelCurrent&gt;=$B108,"-",IF(LanGlo1LevelDesired&lt;$B108,"-",$E108))</f>
        <v>-</v>
      </c>
      <c r="X108" s="15" t="str">
        <f t="shared" ref="X108" si="7498">IF(LanBel1LevelCurrent&gt;=$B108,"-",IF(LanBel1LevelDesired&lt;$B108,"-",$C108))</f>
        <v>-</v>
      </c>
      <c r="Y108" s="1" t="str">
        <f t="shared" ref="Y108" si="7499">IF(LanBel1LevelCurrent&gt;=$B108,"-",IF(LanBel1LevelDesired&lt;$B108,"-",$D108))</f>
        <v>-</v>
      </c>
      <c r="Z108" s="21" t="str">
        <f t="shared" ref="Z108" si="7500">IF(LanBel1LevelCurrent&gt;=$B108,"-",IF(LanBel1LevelDesired&lt;$B108,"-",$E108))</f>
        <v>-</v>
      </c>
      <c r="AA108" s="15" t="str">
        <f t="shared" ref="AA108" si="7501">IF(LanBoo1LevelCurrent&gt;=$B108,"-",IF(LanBoo1LevelDesired&lt;$B108,"-",$C108))</f>
        <v>-</v>
      </c>
      <c r="AB108" s="1" t="str">
        <f t="shared" ref="AB108" si="7502">IF(LanBoo1LevelCurrent&gt;=$B108,"-",IF(LanBoo1LevelDesired&lt;$B108,"-",$D108))</f>
        <v>-</v>
      </c>
      <c r="AC108" s="21" t="str">
        <f t="shared" ref="AC108" si="7503">IF(LanBoo1LevelCurrent&gt;=$B108,"-",IF(LanBoo1LevelDesired&lt;$B108,"-",$E108))</f>
        <v>-</v>
      </c>
      <c r="AD108" s="15" t="str">
        <f t="shared" ref="AD108" si="7504">IF(MarGog1LevelCurrent&gt;=$B108,"-",IF(MarGog1LevelDesired&lt;$B108,"-",$C108))</f>
        <v>-</v>
      </c>
      <c r="AE108" s="1" t="str">
        <f t="shared" ref="AE108" si="7505">IF(MarGog1LevelCurrent&gt;=$B108,"-",IF(MarGog1LevelDesired&lt;$B108,"-",$D108))</f>
        <v>-</v>
      </c>
      <c r="AF108" s="21" t="str">
        <f t="shared" ref="AF108" si="7506">IF(MarGog1LevelCurrent&gt;=$B108,"-",IF(MarGog1LevelDesired&lt;$B108,"-",$E108))</f>
        <v>-</v>
      </c>
      <c r="AG108" s="15" t="str">
        <f t="shared" ref="AG108" si="7507">IF(MarGlo1LevelCurrent&gt;=$B108,"-",IF(MarGlo1LevelDesired&lt;$B108,"-",$C108))</f>
        <v>-</v>
      </c>
      <c r="AH108" s="1" t="str">
        <f t="shared" ref="AH108" si="7508">IF(MarGlo1LevelCurrent&gt;=$B108,"-",IF(MarGlo1LevelDesired&lt;$B108,"-",$D108))</f>
        <v>-</v>
      </c>
      <c r="AI108" s="21" t="str">
        <f t="shared" ref="AI108" si="7509">IF(MarGlo1LevelCurrent&gt;=$B108,"-",IF(MarGlo1LevelDesired&lt;$B108,"-",$E108))</f>
        <v>-</v>
      </c>
      <c r="AJ108" s="15" t="str">
        <f t="shared" ref="AJ108" si="7510">IF(MarBel1LevelCurrent&gt;=$B108,"-",IF(MarBel1LevelDesired&lt;$B108,"-",$C108))</f>
        <v>-</v>
      </c>
      <c r="AK108" s="1" t="str">
        <f t="shared" ref="AK108" si="7511">IF(MarBel1LevelCurrent&gt;=$B108,"-",IF(MarBel1LevelDesired&lt;$B108,"-",$D108))</f>
        <v>-</v>
      </c>
      <c r="AL108" s="21" t="str">
        <f t="shared" ref="AL108" si="7512">IF(MarBel1LevelCurrent&gt;=$B108,"-",IF(MarBel1LevelDesired&lt;$B108,"-",$E108))</f>
        <v>-</v>
      </c>
      <c r="AM108" s="15" t="str">
        <f t="shared" ref="AM108" si="7513">IF(MarBoo1LevelCurrent&gt;=$B108,"-",IF(MarBoo1LevelDesired&lt;$B108,"-",$C108))</f>
        <v>-</v>
      </c>
      <c r="AN108" s="1" t="str">
        <f t="shared" ref="AN108" si="7514">IF(MarBoo1LevelCurrent&gt;=$B108,"-",IF(MarBoo1LevelDesired&lt;$B108,"-",$D108))</f>
        <v>-</v>
      </c>
      <c r="AO108" s="21" t="str">
        <f t="shared" ref="AO108" si="7515">IF(MarBoo1LevelCurrent&gt;=$B108,"-",IF(MarBoo1LevelDesired&lt;$B108,"-",$E108))</f>
        <v>-</v>
      </c>
      <c r="AP108" s="15" t="str">
        <f t="shared" ref="AP108" si="7516">IF(InfGog2LevelCurrent&gt;=$B108,"-",IF(InfGog2LevelDesired&lt;$B108,"-",$C108))</f>
        <v>-</v>
      </c>
      <c r="AQ108" s="1" t="str">
        <f t="shared" ref="AQ108" si="7517">IF(InfGog2LevelCurrent&gt;=$B108,"-",IF(InfGog2LevelDesired&lt;$B108,"-",$D108))</f>
        <v>-</v>
      </c>
      <c r="AR108" s="21" t="str">
        <f t="shared" ref="AR108" si="7518">IF(InfGog2LevelCurrent&gt;=$B108,"-",IF(InfGog2LevelDesired&lt;$B108,"-",$E108))</f>
        <v>-</v>
      </c>
      <c r="AS108" s="15" t="str">
        <f t="shared" ref="AS108" si="7519">IF(InfGlo2LevelCurrent&gt;=$B108,"-",IF(InfGlo2LevelDesired&lt;$B108,"-",$C108))</f>
        <v>-</v>
      </c>
      <c r="AT108" s="1" t="str">
        <f t="shared" ref="AT108" si="7520">IF(InfGlo2LevelCurrent&gt;=$B108,"-",IF(InfGlo2LevelDesired&lt;$B108,"-",$D108))</f>
        <v>-</v>
      </c>
      <c r="AU108" s="21" t="str">
        <f t="shared" ref="AU108" si="7521">IF(InfGlo2LevelCurrent&gt;=$B108,"-",IF(InfGlo2LevelDesired&lt;$B108,"-",$E108))</f>
        <v>-</v>
      </c>
      <c r="AV108" s="15" t="str">
        <f t="shared" ref="AV108" si="7522">IF(InfBel2LevelCurrent&gt;=$B108,"-",IF(InfBel2LevelDesired&lt;$B108,"-",$C108))</f>
        <v>-</v>
      </c>
      <c r="AW108" s="1" t="str">
        <f t="shared" ref="AW108" si="7523">IF(InfBel2LevelCurrent&gt;=$B108,"-",IF(InfBel2LevelDesired&lt;$B108,"-",$D108))</f>
        <v>-</v>
      </c>
      <c r="AX108" s="21" t="str">
        <f t="shared" ref="AX108" si="7524">IF(InfBel2LevelCurrent&gt;=$B108,"-",IF(InfBel2LevelDesired&lt;$B108,"-",$E108))</f>
        <v>-</v>
      </c>
      <c r="AY108" s="15" t="str">
        <f t="shared" ref="AY108" si="7525">IF(InfBoo2LevelCurrent&gt;=$B108,"-",IF(InfBoo2LevelDesired&lt;$B108,"-",$C108))</f>
        <v>-</v>
      </c>
      <c r="AZ108" s="1" t="str">
        <f t="shared" ref="AZ108" si="7526">IF(InfBoo2LevelCurrent&gt;=$B108,"-",IF(InfBoo2LevelDesired&lt;$B108,"-",$D108))</f>
        <v>-</v>
      </c>
      <c r="BA108" s="21" t="str">
        <f t="shared" ref="BA108" si="7527">IF(InfBoo2LevelCurrent&gt;=$B108,"-",IF(InfBoo2LevelDesired&lt;$B108,"-",$E108))</f>
        <v>-</v>
      </c>
      <c r="BB108" s="15" t="str">
        <f t="shared" ref="BB108" si="7528">IF(LanGog2LevelCurrent&gt;=$B108,"-",IF(LanGog2LevelDesired&lt;$B108,"-",$C108))</f>
        <v>-</v>
      </c>
      <c r="BC108" s="1" t="str">
        <f t="shared" ref="BC108" si="7529">IF(LanGog2LevelCurrent&gt;=$B108,"-",IF(LanGog2LevelDesired&lt;$B108,"-",$D108))</f>
        <v>-</v>
      </c>
      <c r="BD108" s="21" t="str">
        <f t="shared" ref="BD108" si="7530">IF(LanGog2LevelCurrent&gt;=$B108,"-",IF(LanGog2LevelDesired&lt;$B108,"-",$E108))</f>
        <v>-</v>
      </c>
      <c r="BE108" s="15" t="str">
        <f t="shared" ref="BE108" si="7531">IF(LanGlo2LevelCurrent&gt;=$B108,"-",IF(LanGlo2LevelDesired&lt;$B108,"-",$C108))</f>
        <v>-</v>
      </c>
      <c r="BF108" s="1" t="str">
        <f t="shared" ref="BF108" si="7532">IF(LanGlo2LevelCurrent&gt;=$B108,"-",IF(LanGlo2LevelDesired&lt;$B108,"-",$D108))</f>
        <v>-</v>
      </c>
      <c r="BG108" s="21" t="str">
        <f t="shared" ref="BG108" si="7533">IF(LanGlo2LevelCurrent&gt;=$B108,"-",IF(LanGlo2LevelDesired&lt;$B108,"-",$E108))</f>
        <v>-</v>
      </c>
      <c r="BH108" s="15" t="str">
        <f t="shared" ref="BH108" si="7534">IF(LanBel2LevelCurrent&gt;=$B108,"-",IF(LanBel2LevelDesired&lt;$B108,"-",$C108))</f>
        <v>-</v>
      </c>
      <c r="BI108" s="1" t="str">
        <f t="shared" ref="BI108" si="7535">IF(LanBel2LevelCurrent&gt;=$B108,"-",IF(LanBel2LevelDesired&lt;$B108,"-",$D108))</f>
        <v>-</v>
      </c>
      <c r="BJ108" s="21" t="str">
        <f t="shared" ref="BJ108" si="7536">IF(LanBel2LevelCurrent&gt;=$B108,"-",IF(LanBel2LevelDesired&lt;$B108,"-",$E108))</f>
        <v>-</v>
      </c>
      <c r="BK108" s="15" t="str">
        <f t="shared" ref="BK108" si="7537">IF(LanBoo2LevelCurrent&gt;=$B108,"-",IF(LanBoo2LevelDesired&lt;$B108,"-",$C108))</f>
        <v>-</v>
      </c>
      <c r="BL108" s="1" t="str">
        <f t="shared" ref="BL108" si="7538">IF(LanBoo2LevelCurrent&gt;=$B108,"-",IF(LanBoo2LevelDesired&lt;$B108,"-",$D108))</f>
        <v>-</v>
      </c>
      <c r="BM108" s="21" t="str">
        <f t="shared" ref="BM108" si="7539">IF(LanBoo2LevelCurrent&gt;=$B108,"-",IF(LanBoo2LevelDesired&lt;$B108,"-",$E108))</f>
        <v>-</v>
      </c>
      <c r="BN108" s="15" t="str">
        <f t="shared" ref="BN108" si="7540">IF(MarGog2LevelCurrent&gt;=$B108,"-",IF(MarGog2LevelDesired&lt;$B108,"-",$C108))</f>
        <v>-</v>
      </c>
      <c r="BO108" s="1" t="str">
        <f t="shared" ref="BO108" si="7541">IF(MarGog2LevelCurrent&gt;=$B108,"-",IF(MarGog2LevelDesired&lt;$B108,"-",$D108))</f>
        <v>-</v>
      </c>
      <c r="BP108" s="21" t="str">
        <f t="shared" ref="BP108" si="7542">IF(MarGog2LevelCurrent&gt;=$B108,"-",IF(MarGog2LevelDesired&lt;$B108,"-",$E108))</f>
        <v>-</v>
      </c>
      <c r="BQ108" s="15" t="str">
        <f t="shared" ref="BQ108" si="7543">IF(MarGlo2LevelCurrent&gt;=$B108,"-",IF(MarGlo2LevelDesired&lt;$B108,"-",$C108))</f>
        <v>-</v>
      </c>
      <c r="BR108" s="1" t="str">
        <f t="shared" ref="BR108" si="7544">IF(MarGlo2LevelCurrent&gt;=$B108,"-",IF(MarGlo2LevelDesired&lt;$B108,"-",$D108))</f>
        <v>-</v>
      </c>
      <c r="BS108" s="21" t="str">
        <f t="shared" ref="BS108" si="7545">IF(MarGlo2LevelCurrent&gt;=$B108,"-",IF(MarGlo2LevelDesired&lt;$B108,"-",$E108))</f>
        <v>-</v>
      </c>
      <c r="BT108" s="15" t="str">
        <f t="shared" ref="BT108" si="7546">IF(MarBel2LevelCurrent&gt;=$B108,"-",IF(MarBel2LevelDesired&lt;$B108,"-",$C108))</f>
        <v>-</v>
      </c>
      <c r="BU108" s="1" t="str">
        <f t="shared" ref="BU108" si="7547">IF(MarBel2LevelCurrent&gt;=$B108,"-",IF(MarBel2LevelDesired&lt;$B108,"-",$D108))</f>
        <v>-</v>
      </c>
      <c r="BV108" s="21" t="str">
        <f t="shared" ref="BV108" si="7548">IF(MarBel2LevelCurrent&gt;=$B108,"-",IF(MarBel2LevelDesired&lt;$B108,"-",$E108))</f>
        <v>-</v>
      </c>
      <c r="BW108" s="15" t="str">
        <f t="shared" ref="BW108" si="7549">IF(MarBoo2LevelCurrent&gt;=$B108,"-",IF(MarBoo2LevelDesired&lt;$B108,"-",$C108))</f>
        <v>-</v>
      </c>
      <c r="BX108" s="1" t="str">
        <f t="shared" ref="BX108" si="7550">IF(MarBoo2LevelCurrent&gt;=$B108,"-",IF(MarBoo2LevelDesired&lt;$B108,"-",$D108))</f>
        <v>-</v>
      </c>
      <c r="BY108" s="21" t="str">
        <f t="shared" ref="BY108" si="7551">IF(MarBoo2LevelCurrent&gt;=$B108,"-",IF(MarBoo2LevelDesired&lt;$B108,"-",$E108))</f>
        <v>-</v>
      </c>
      <c r="BZ108" s="15" t="str">
        <f t="shared" si="7086"/>
        <v>-</v>
      </c>
      <c r="CA108" s="1" t="str" cm="1">
        <f t="array" ref="CA108">IF(InfGog3LevelCurrent&gt;=$B108,"-",IF(InfGog3LevelDesired&lt;$B108,"-",$D108))</f>
        <v>-</v>
      </c>
      <c r="CB108" s="21" t="str" cm="1">
        <f t="array" ref="CB108">IF(InfGog3LevelCurrent&gt;=$B108,"-",IF(InfGog3LevelDesired&lt;$B108,"-",$E108))</f>
        <v>-</v>
      </c>
      <c r="CC108" s="15" t="str">
        <f t="shared" si="7087"/>
        <v>-</v>
      </c>
      <c r="CD108" s="1" t="str">
        <f t="shared" si="7088"/>
        <v>-</v>
      </c>
      <c r="CE108" s="21" t="str">
        <f t="shared" si="7089"/>
        <v>-</v>
      </c>
      <c r="CF108" s="15" t="str">
        <f t="shared" si="7090"/>
        <v>-</v>
      </c>
      <c r="CG108" s="1" t="str">
        <f t="shared" si="7091"/>
        <v>-</v>
      </c>
      <c r="CH108" s="21" t="str">
        <f t="shared" si="7092"/>
        <v>-</v>
      </c>
      <c r="CI108" s="15" t="str">
        <f t="shared" si="7093"/>
        <v>-</v>
      </c>
      <c r="CJ108" s="1" t="str">
        <f t="shared" si="7094"/>
        <v>-</v>
      </c>
      <c r="CK108" s="21" t="str">
        <f t="shared" si="7095"/>
        <v>-</v>
      </c>
      <c r="CL108" s="15" t="str">
        <f t="shared" si="7096"/>
        <v>-</v>
      </c>
      <c r="CM108" s="1" t="str">
        <f t="shared" si="7097"/>
        <v>-</v>
      </c>
      <c r="CN108" s="21" t="str">
        <f t="shared" si="7098"/>
        <v>-</v>
      </c>
      <c r="CO108" s="15" t="str">
        <f t="shared" si="7099"/>
        <v>-</v>
      </c>
      <c r="CP108" s="1" t="str">
        <f t="shared" si="7100"/>
        <v>-</v>
      </c>
      <c r="CQ108" s="21" t="str">
        <f t="shared" si="7101"/>
        <v>-</v>
      </c>
      <c r="CR108" s="15" t="str">
        <f t="shared" si="7102"/>
        <v>-</v>
      </c>
      <c r="CS108" s="1" t="str">
        <f t="shared" si="7103"/>
        <v>-</v>
      </c>
      <c r="CT108" s="21" t="str">
        <f t="shared" si="7104"/>
        <v>-</v>
      </c>
      <c r="CU108" s="15" t="str">
        <f t="shared" si="7105"/>
        <v>-</v>
      </c>
      <c r="CV108" s="1" t="str">
        <f t="shared" si="7106"/>
        <v>-</v>
      </c>
      <c r="CW108" s="21" t="str">
        <f t="shared" si="7107"/>
        <v>-</v>
      </c>
      <c r="CX108" s="15" t="str">
        <f t="shared" si="7108"/>
        <v>-</v>
      </c>
      <c r="CY108" s="1" t="str">
        <f t="shared" si="7109"/>
        <v>-</v>
      </c>
      <c r="CZ108" s="21" t="str">
        <f t="shared" si="7110"/>
        <v>-</v>
      </c>
      <c r="DA108" s="15" t="str">
        <f t="shared" si="7111"/>
        <v>-</v>
      </c>
      <c r="DB108" s="1" t="str">
        <f t="shared" si="7112"/>
        <v>-</v>
      </c>
      <c r="DC108" s="21" t="str">
        <f t="shared" si="7113"/>
        <v>-</v>
      </c>
      <c r="DD108" s="15" t="str">
        <f t="shared" si="7114"/>
        <v>-</v>
      </c>
      <c r="DE108" s="1" t="str">
        <f t="shared" si="7115"/>
        <v>-</v>
      </c>
      <c r="DF108" s="21" t="str">
        <f t="shared" si="7116"/>
        <v>-</v>
      </c>
      <c r="DG108" s="15" t="str">
        <f t="shared" si="7117"/>
        <v>-</v>
      </c>
      <c r="DH108" s="1" t="str">
        <f t="shared" si="7118"/>
        <v>-</v>
      </c>
      <c r="DI108" s="21" t="str">
        <f t="shared" si="7119"/>
        <v>-</v>
      </c>
    </row>
    <row r="109" spans="2:113" x14ac:dyDescent="0.3">
      <c r="B109" s="1">
        <v>104</v>
      </c>
      <c r="C109" s="67">
        <v>2600</v>
      </c>
      <c r="D109" s="88" t="s">
        <v>27</v>
      </c>
      <c r="E109" s="21" t="s">
        <v>27</v>
      </c>
      <c r="F109" s="15" t="str">
        <f t="shared" ref="F109" si="7552">IF(InfGog1LevelCurrent&gt;=$B109,"-",IF(InfGog1LevelDesired&lt;$B109,"-",$C109))</f>
        <v>-</v>
      </c>
      <c r="G109" s="1" t="str">
        <f t="shared" ref="G109" si="7553">IF(InfGog1LevelCurrent&gt;=$B109,"-",IF(InfGog1LevelDesired&lt;$B109,"-",$D109))</f>
        <v>-</v>
      </c>
      <c r="H109" s="21" t="str">
        <f t="shared" ref="H109" si="7554">IF(InfGog1LevelCurrent&gt;=$B109,"-",IF(InfGog1LevelDesired&lt;$B109,"-",$E109))</f>
        <v>-</v>
      </c>
      <c r="I109" s="15" t="str">
        <f t="shared" ref="I109" si="7555">IF(InfGlo1LevelCurrent&gt;=$B109,"-",IF(InfGlo1LevelDesired&lt;$B109,"-",$C109))</f>
        <v>-</v>
      </c>
      <c r="J109" s="1" t="str">
        <f t="shared" ref="J109" si="7556">IF(InfGlo1LevelCurrent&gt;=$B109,"-",IF(InfGlo1LevelDesired&lt;$B109,"-",$D109))</f>
        <v>-</v>
      </c>
      <c r="K109" s="21" t="str">
        <f t="shared" ref="K109" si="7557">IF(InfGlo1LevelCurrent&gt;=$B109,"-",IF(InfGlo1LevelDesired&lt;$B109,"-",$E109))</f>
        <v>-</v>
      </c>
      <c r="L109" s="15" t="str">
        <f t="shared" ref="L109" si="7558">IF(InfBel1LevelCurrent&gt;=$B109,"-",IF(InfBel1LevelDesired&lt;$B109,"-",$C109))</f>
        <v>-</v>
      </c>
      <c r="M109" s="1" t="str">
        <f t="shared" ref="M109" si="7559">IF(InfBel1LevelCurrent&gt;=$B109,"-",IF(InfBel1LevelDesired&lt;$B109,"-",$D109))</f>
        <v>-</v>
      </c>
      <c r="N109" s="21" t="str">
        <f t="shared" ref="N109" si="7560">IF(InfBel1LevelCurrent&gt;=$B109,"-",IF(InfBel1LevelDesired&lt;$B109,"-",$E109))</f>
        <v>-</v>
      </c>
      <c r="O109" s="15" t="str">
        <f t="shared" ref="O109" si="7561">IF(InfBoo1LevelCurrent&gt;=$B109,"-",IF(InfBoo1LevelDesired&lt;$B109,"-",$C109))</f>
        <v>-</v>
      </c>
      <c r="P109" s="1" t="str">
        <f t="shared" ref="P109" si="7562">IF(InfBoo1LevelCurrent&gt;=$B109,"-",IF(InfBoo1LevelDesired&lt;$B109,"-",$D109))</f>
        <v>-</v>
      </c>
      <c r="Q109" s="21" t="str">
        <f t="shared" ref="Q109" si="7563">IF(InfBoo1LevelCurrent&gt;=$B109,"-",IF(InfBoo1LevelDesired&lt;$B109,"-",$E109))</f>
        <v>-</v>
      </c>
      <c r="R109" s="15" t="str">
        <f t="shared" ref="R109" si="7564">IF(LanGog1LevelCurrent&gt;=$B109,"-",IF(LanGog1LevelDesired&lt;$B109,"-",$C109))</f>
        <v>-</v>
      </c>
      <c r="S109" s="1" t="str">
        <f t="shared" ref="S109" si="7565">IF(LanGog1LevelCurrent&gt;=$B109,"-",IF(LanGog1LevelDesired&lt;$B109,"-",$D109))</f>
        <v>-</v>
      </c>
      <c r="T109" s="21" t="str">
        <f t="shared" ref="T109" si="7566">IF(LanGog1LevelCurrent&gt;=$B109,"-",IF(LanGog1LevelDesired&lt;$B109,"-",$E109))</f>
        <v>-</v>
      </c>
      <c r="U109" s="15" t="str">
        <f t="shared" ref="U109" si="7567">IF(LanGlo1LevelCurrent&gt;=$B109,"-",IF(LanGlo1LevelDesired&lt;$B109,"-",$C109))</f>
        <v>-</v>
      </c>
      <c r="V109" s="1" t="str">
        <f t="shared" ref="V109" si="7568">IF(LanGlo1LevelCurrent&gt;=$B109,"-",IF(LanGlo1LevelDesired&lt;$B109,"-",$D109))</f>
        <v>-</v>
      </c>
      <c r="W109" s="21" t="str">
        <f t="shared" ref="W109" si="7569">IF(LanGlo1LevelCurrent&gt;=$B109,"-",IF(LanGlo1LevelDesired&lt;$B109,"-",$E109))</f>
        <v>-</v>
      </c>
      <c r="X109" s="15" t="str">
        <f t="shared" ref="X109" si="7570">IF(LanBel1LevelCurrent&gt;=$B109,"-",IF(LanBel1LevelDesired&lt;$B109,"-",$C109))</f>
        <v>-</v>
      </c>
      <c r="Y109" s="1" t="str">
        <f t="shared" ref="Y109" si="7571">IF(LanBel1LevelCurrent&gt;=$B109,"-",IF(LanBel1LevelDesired&lt;$B109,"-",$D109))</f>
        <v>-</v>
      </c>
      <c r="Z109" s="21" t="str">
        <f t="shared" ref="Z109" si="7572">IF(LanBel1LevelCurrent&gt;=$B109,"-",IF(LanBel1LevelDesired&lt;$B109,"-",$E109))</f>
        <v>-</v>
      </c>
      <c r="AA109" s="15" t="str">
        <f t="shared" ref="AA109" si="7573">IF(LanBoo1LevelCurrent&gt;=$B109,"-",IF(LanBoo1LevelDesired&lt;$B109,"-",$C109))</f>
        <v>-</v>
      </c>
      <c r="AB109" s="1" t="str">
        <f t="shared" ref="AB109" si="7574">IF(LanBoo1LevelCurrent&gt;=$B109,"-",IF(LanBoo1LevelDesired&lt;$B109,"-",$D109))</f>
        <v>-</v>
      </c>
      <c r="AC109" s="21" t="str">
        <f t="shared" ref="AC109" si="7575">IF(LanBoo1LevelCurrent&gt;=$B109,"-",IF(LanBoo1LevelDesired&lt;$B109,"-",$E109))</f>
        <v>-</v>
      </c>
      <c r="AD109" s="15" t="str">
        <f t="shared" ref="AD109" si="7576">IF(MarGog1LevelCurrent&gt;=$B109,"-",IF(MarGog1LevelDesired&lt;$B109,"-",$C109))</f>
        <v>-</v>
      </c>
      <c r="AE109" s="1" t="str">
        <f t="shared" ref="AE109" si="7577">IF(MarGog1LevelCurrent&gt;=$B109,"-",IF(MarGog1LevelDesired&lt;$B109,"-",$D109))</f>
        <v>-</v>
      </c>
      <c r="AF109" s="21" t="str">
        <f t="shared" ref="AF109" si="7578">IF(MarGog1LevelCurrent&gt;=$B109,"-",IF(MarGog1LevelDesired&lt;$B109,"-",$E109))</f>
        <v>-</v>
      </c>
      <c r="AG109" s="15" t="str">
        <f t="shared" ref="AG109" si="7579">IF(MarGlo1LevelCurrent&gt;=$B109,"-",IF(MarGlo1LevelDesired&lt;$B109,"-",$C109))</f>
        <v>-</v>
      </c>
      <c r="AH109" s="1" t="str">
        <f t="shared" ref="AH109" si="7580">IF(MarGlo1LevelCurrent&gt;=$B109,"-",IF(MarGlo1LevelDesired&lt;$B109,"-",$D109))</f>
        <v>-</v>
      </c>
      <c r="AI109" s="21" t="str">
        <f t="shared" ref="AI109" si="7581">IF(MarGlo1LevelCurrent&gt;=$B109,"-",IF(MarGlo1LevelDesired&lt;$B109,"-",$E109))</f>
        <v>-</v>
      </c>
      <c r="AJ109" s="15" t="str">
        <f t="shared" ref="AJ109" si="7582">IF(MarBel1LevelCurrent&gt;=$B109,"-",IF(MarBel1LevelDesired&lt;$B109,"-",$C109))</f>
        <v>-</v>
      </c>
      <c r="AK109" s="1" t="str">
        <f t="shared" ref="AK109" si="7583">IF(MarBel1LevelCurrent&gt;=$B109,"-",IF(MarBel1LevelDesired&lt;$B109,"-",$D109))</f>
        <v>-</v>
      </c>
      <c r="AL109" s="21" t="str">
        <f t="shared" ref="AL109" si="7584">IF(MarBel1LevelCurrent&gt;=$B109,"-",IF(MarBel1LevelDesired&lt;$B109,"-",$E109))</f>
        <v>-</v>
      </c>
      <c r="AM109" s="15" t="str">
        <f t="shared" ref="AM109" si="7585">IF(MarBoo1LevelCurrent&gt;=$B109,"-",IF(MarBoo1LevelDesired&lt;$B109,"-",$C109))</f>
        <v>-</v>
      </c>
      <c r="AN109" s="1" t="str">
        <f t="shared" ref="AN109" si="7586">IF(MarBoo1LevelCurrent&gt;=$B109,"-",IF(MarBoo1LevelDesired&lt;$B109,"-",$D109))</f>
        <v>-</v>
      </c>
      <c r="AO109" s="21" t="str">
        <f t="shared" ref="AO109" si="7587">IF(MarBoo1LevelCurrent&gt;=$B109,"-",IF(MarBoo1LevelDesired&lt;$B109,"-",$E109))</f>
        <v>-</v>
      </c>
      <c r="AP109" s="15" t="str">
        <f t="shared" ref="AP109" si="7588">IF(InfGog2LevelCurrent&gt;=$B109,"-",IF(InfGog2LevelDesired&lt;$B109,"-",$C109))</f>
        <v>-</v>
      </c>
      <c r="AQ109" s="1" t="str">
        <f t="shared" ref="AQ109" si="7589">IF(InfGog2LevelCurrent&gt;=$B109,"-",IF(InfGog2LevelDesired&lt;$B109,"-",$D109))</f>
        <v>-</v>
      </c>
      <c r="AR109" s="21" t="str">
        <f t="shared" ref="AR109" si="7590">IF(InfGog2LevelCurrent&gt;=$B109,"-",IF(InfGog2LevelDesired&lt;$B109,"-",$E109))</f>
        <v>-</v>
      </c>
      <c r="AS109" s="15" t="str">
        <f t="shared" ref="AS109" si="7591">IF(InfGlo2LevelCurrent&gt;=$B109,"-",IF(InfGlo2LevelDesired&lt;$B109,"-",$C109))</f>
        <v>-</v>
      </c>
      <c r="AT109" s="1" t="str">
        <f t="shared" ref="AT109" si="7592">IF(InfGlo2LevelCurrent&gt;=$B109,"-",IF(InfGlo2LevelDesired&lt;$B109,"-",$D109))</f>
        <v>-</v>
      </c>
      <c r="AU109" s="21" t="str">
        <f t="shared" ref="AU109" si="7593">IF(InfGlo2LevelCurrent&gt;=$B109,"-",IF(InfGlo2LevelDesired&lt;$B109,"-",$E109))</f>
        <v>-</v>
      </c>
      <c r="AV109" s="15" t="str">
        <f t="shared" ref="AV109" si="7594">IF(InfBel2LevelCurrent&gt;=$B109,"-",IF(InfBel2LevelDesired&lt;$B109,"-",$C109))</f>
        <v>-</v>
      </c>
      <c r="AW109" s="1" t="str">
        <f t="shared" ref="AW109" si="7595">IF(InfBel2LevelCurrent&gt;=$B109,"-",IF(InfBel2LevelDesired&lt;$B109,"-",$D109))</f>
        <v>-</v>
      </c>
      <c r="AX109" s="21" t="str">
        <f t="shared" ref="AX109" si="7596">IF(InfBel2LevelCurrent&gt;=$B109,"-",IF(InfBel2LevelDesired&lt;$B109,"-",$E109))</f>
        <v>-</v>
      </c>
      <c r="AY109" s="15" t="str">
        <f t="shared" ref="AY109" si="7597">IF(InfBoo2LevelCurrent&gt;=$B109,"-",IF(InfBoo2LevelDesired&lt;$B109,"-",$C109))</f>
        <v>-</v>
      </c>
      <c r="AZ109" s="1" t="str">
        <f t="shared" ref="AZ109" si="7598">IF(InfBoo2LevelCurrent&gt;=$B109,"-",IF(InfBoo2LevelDesired&lt;$B109,"-",$D109))</f>
        <v>-</v>
      </c>
      <c r="BA109" s="21" t="str">
        <f t="shared" ref="BA109" si="7599">IF(InfBoo2LevelCurrent&gt;=$B109,"-",IF(InfBoo2LevelDesired&lt;$B109,"-",$E109))</f>
        <v>-</v>
      </c>
      <c r="BB109" s="15" t="str">
        <f t="shared" ref="BB109" si="7600">IF(LanGog2LevelCurrent&gt;=$B109,"-",IF(LanGog2LevelDesired&lt;$B109,"-",$C109))</f>
        <v>-</v>
      </c>
      <c r="BC109" s="1" t="str">
        <f t="shared" ref="BC109" si="7601">IF(LanGog2LevelCurrent&gt;=$B109,"-",IF(LanGog2LevelDesired&lt;$B109,"-",$D109))</f>
        <v>-</v>
      </c>
      <c r="BD109" s="21" t="str">
        <f t="shared" ref="BD109" si="7602">IF(LanGog2LevelCurrent&gt;=$B109,"-",IF(LanGog2LevelDesired&lt;$B109,"-",$E109))</f>
        <v>-</v>
      </c>
      <c r="BE109" s="15" t="str">
        <f t="shared" ref="BE109" si="7603">IF(LanGlo2LevelCurrent&gt;=$B109,"-",IF(LanGlo2LevelDesired&lt;$B109,"-",$C109))</f>
        <v>-</v>
      </c>
      <c r="BF109" s="1" t="str">
        <f t="shared" ref="BF109" si="7604">IF(LanGlo2LevelCurrent&gt;=$B109,"-",IF(LanGlo2LevelDesired&lt;$B109,"-",$D109))</f>
        <v>-</v>
      </c>
      <c r="BG109" s="21" t="str">
        <f t="shared" ref="BG109" si="7605">IF(LanGlo2LevelCurrent&gt;=$B109,"-",IF(LanGlo2LevelDesired&lt;$B109,"-",$E109))</f>
        <v>-</v>
      </c>
      <c r="BH109" s="15" t="str">
        <f t="shared" ref="BH109" si="7606">IF(LanBel2LevelCurrent&gt;=$B109,"-",IF(LanBel2LevelDesired&lt;$B109,"-",$C109))</f>
        <v>-</v>
      </c>
      <c r="BI109" s="1" t="str">
        <f t="shared" ref="BI109" si="7607">IF(LanBel2LevelCurrent&gt;=$B109,"-",IF(LanBel2LevelDesired&lt;$B109,"-",$D109))</f>
        <v>-</v>
      </c>
      <c r="BJ109" s="21" t="str">
        <f t="shared" ref="BJ109" si="7608">IF(LanBel2LevelCurrent&gt;=$B109,"-",IF(LanBel2LevelDesired&lt;$B109,"-",$E109))</f>
        <v>-</v>
      </c>
      <c r="BK109" s="15" t="str">
        <f t="shared" ref="BK109" si="7609">IF(LanBoo2LevelCurrent&gt;=$B109,"-",IF(LanBoo2LevelDesired&lt;$B109,"-",$C109))</f>
        <v>-</v>
      </c>
      <c r="BL109" s="1" t="str">
        <f t="shared" ref="BL109" si="7610">IF(LanBoo2LevelCurrent&gt;=$B109,"-",IF(LanBoo2LevelDesired&lt;$B109,"-",$D109))</f>
        <v>-</v>
      </c>
      <c r="BM109" s="21" t="str">
        <f t="shared" ref="BM109" si="7611">IF(LanBoo2LevelCurrent&gt;=$B109,"-",IF(LanBoo2LevelDesired&lt;$B109,"-",$E109))</f>
        <v>-</v>
      </c>
      <c r="BN109" s="15" t="str">
        <f t="shared" ref="BN109" si="7612">IF(MarGog2LevelCurrent&gt;=$B109,"-",IF(MarGog2LevelDesired&lt;$B109,"-",$C109))</f>
        <v>-</v>
      </c>
      <c r="BO109" s="1" t="str">
        <f t="shared" ref="BO109" si="7613">IF(MarGog2LevelCurrent&gt;=$B109,"-",IF(MarGog2LevelDesired&lt;$B109,"-",$D109))</f>
        <v>-</v>
      </c>
      <c r="BP109" s="21" t="str">
        <f t="shared" ref="BP109" si="7614">IF(MarGog2LevelCurrent&gt;=$B109,"-",IF(MarGog2LevelDesired&lt;$B109,"-",$E109))</f>
        <v>-</v>
      </c>
      <c r="BQ109" s="15" t="str">
        <f t="shared" ref="BQ109" si="7615">IF(MarGlo2LevelCurrent&gt;=$B109,"-",IF(MarGlo2LevelDesired&lt;$B109,"-",$C109))</f>
        <v>-</v>
      </c>
      <c r="BR109" s="1" t="str">
        <f t="shared" ref="BR109" si="7616">IF(MarGlo2LevelCurrent&gt;=$B109,"-",IF(MarGlo2LevelDesired&lt;$B109,"-",$D109))</f>
        <v>-</v>
      </c>
      <c r="BS109" s="21" t="str">
        <f t="shared" ref="BS109" si="7617">IF(MarGlo2LevelCurrent&gt;=$B109,"-",IF(MarGlo2LevelDesired&lt;$B109,"-",$E109))</f>
        <v>-</v>
      </c>
      <c r="BT109" s="15" t="str">
        <f t="shared" ref="BT109" si="7618">IF(MarBel2LevelCurrent&gt;=$B109,"-",IF(MarBel2LevelDesired&lt;$B109,"-",$C109))</f>
        <v>-</v>
      </c>
      <c r="BU109" s="1" t="str">
        <f t="shared" ref="BU109" si="7619">IF(MarBel2LevelCurrent&gt;=$B109,"-",IF(MarBel2LevelDesired&lt;$B109,"-",$D109))</f>
        <v>-</v>
      </c>
      <c r="BV109" s="21" t="str">
        <f t="shared" ref="BV109" si="7620">IF(MarBel2LevelCurrent&gt;=$B109,"-",IF(MarBel2LevelDesired&lt;$B109,"-",$E109))</f>
        <v>-</v>
      </c>
      <c r="BW109" s="15" t="str">
        <f t="shared" ref="BW109" si="7621">IF(MarBoo2LevelCurrent&gt;=$B109,"-",IF(MarBoo2LevelDesired&lt;$B109,"-",$C109))</f>
        <v>-</v>
      </c>
      <c r="BX109" s="1" t="str">
        <f t="shared" ref="BX109" si="7622">IF(MarBoo2LevelCurrent&gt;=$B109,"-",IF(MarBoo2LevelDesired&lt;$B109,"-",$D109))</f>
        <v>-</v>
      </c>
      <c r="BY109" s="21" t="str">
        <f t="shared" ref="BY109" si="7623">IF(MarBoo2LevelCurrent&gt;=$B109,"-",IF(MarBoo2LevelDesired&lt;$B109,"-",$E109))</f>
        <v>-</v>
      </c>
      <c r="BZ109" s="15" t="str">
        <f t="shared" si="7086"/>
        <v>-</v>
      </c>
      <c r="CA109" s="1" t="str" cm="1">
        <f t="array" ref="CA109">IF(InfGog3LevelCurrent&gt;=$B109,"-",IF(InfGog3LevelDesired&lt;$B109,"-",$D109))</f>
        <v>-</v>
      </c>
      <c r="CB109" s="21" t="str" cm="1">
        <f t="array" ref="CB109">IF(InfGog3LevelCurrent&gt;=$B109,"-",IF(InfGog3LevelDesired&lt;$B109,"-",$E109))</f>
        <v>-</v>
      </c>
      <c r="CC109" s="15" t="str">
        <f t="shared" si="7087"/>
        <v>-</v>
      </c>
      <c r="CD109" s="1" t="str">
        <f t="shared" si="7088"/>
        <v>-</v>
      </c>
      <c r="CE109" s="21" t="str">
        <f t="shared" si="7089"/>
        <v>-</v>
      </c>
      <c r="CF109" s="15" t="str">
        <f t="shared" si="7090"/>
        <v>-</v>
      </c>
      <c r="CG109" s="1" t="str">
        <f t="shared" si="7091"/>
        <v>-</v>
      </c>
      <c r="CH109" s="21" t="str">
        <f t="shared" si="7092"/>
        <v>-</v>
      </c>
      <c r="CI109" s="15" t="str">
        <f t="shared" si="7093"/>
        <v>-</v>
      </c>
      <c r="CJ109" s="1" t="str">
        <f t="shared" si="7094"/>
        <v>-</v>
      </c>
      <c r="CK109" s="21" t="str">
        <f t="shared" si="7095"/>
        <v>-</v>
      </c>
      <c r="CL109" s="15" t="str">
        <f t="shared" si="7096"/>
        <v>-</v>
      </c>
      <c r="CM109" s="1" t="str">
        <f t="shared" si="7097"/>
        <v>-</v>
      </c>
      <c r="CN109" s="21" t="str">
        <f t="shared" si="7098"/>
        <v>-</v>
      </c>
      <c r="CO109" s="15" t="str">
        <f t="shared" si="7099"/>
        <v>-</v>
      </c>
      <c r="CP109" s="1" t="str">
        <f t="shared" si="7100"/>
        <v>-</v>
      </c>
      <c r="CQ109" s="21" t="str">
        <f t="shared" si="7101"/>
        <v>-</v>
      </c>
      <c r="CR109" s="15" t="str">
        <f t="shared" si="7102"/>
        <v>-</v>
      </c>
      <c r="CS109" s="1" t="str">
        <f t="shared" si="7103"/>
        <v>-</v>
      </c>
      <c r="CT109" s="21" t="str">
        <f t="shared" si="7104"/>
        <v>-</v>
      </c>
      <c r="CU109" s="15" t="str">
        <f t="shared" si="7105"/>
        <v>-</v>
      </c>
      <c r="CV109" s="1" t="str">
        <f t="shared" si="7106"/>
        <v>-</v>
      </c>
      <c r="CW109" s="21" t="str">
        <f t="shared" si="7107"/>
        <v>-</v>
      </c>
      <c r="CX109" s="15" t="str">
        <f t="shared" si="7108"/>
        <v>-</v>
      </c>
      <c r="CY109" s="1" t="str">
        <f t="shared" si="7109"/>
        <v>-</v>
      </c>
      <c r="CZ109" s="21" t="str">
        <f t="shared" si="7110"/>
        <v>-</v>
      </c>
      <c r="DA109" s="15" t="str">
        <f t="shared" si="7111"/>
        <v>-</v>
      </c>
      <c r="DB109" s="1" t="str">
        <f t="shared" si="7112"/>
        <v>-</v>
      </c>
      <c r="DC109" s="21" t="str">
        <f t="shared" si="7113"/>
        <v>-</v>
      </c>
      <c r="DD109" s="15" t="str">
        <f t="shared" si="7114"/>
        <v>-</v>
      </c>
      <c r="DE109" s="1" t="str">
        <f t="shared" si="7115"/>
        <v>-</v>
      </c>
      <c r="DF109" s="21" t="str">
        <f t="shared" si="7116"/>
        <v>-</v>
      </c>
      <c r="DG109" s="15" t="str">
        <f t="shared" si="7117"/>
        <v>-</v>
      </c>
      <c r="DH109" s="1" t="str">
        <f t="shared" si="7118"/>
        <v>-</v>
      </c>
      <c r="DI109" s="21" t="str">
        <f t="shared" si="7119"/>
        <v>-</v>
      </c>
    </row>
    <row r="110" spans="2:113" x14ac:dyDescent="0.3">
      <c r="B110" s="1">
        <v>105</v>
      </c>
      <c r="C110" s="67">
        <v>2650</v>
      </c>
      <c r="D110" s="88" t="s">
        <v>27</v>
      </c>
      <c r="E110" s="21" t="s">
        <v>27</v>
      </c>
      <c r="F110" s="15" t="str">
        <f t="shared" ref="F110" si="7624">IF(InfGog1LevelCurrent&gt;=$B110,"-",IF(InfGog1LevelDesired&lt;$B110,"-",$C110))</f>
        <v>-</v>
      </c>
      <c r="G110" s="1" t="str">
        <f t="shared" ref="G110" si="7625">IF(InfGog1LevelCurrent&gt;=$B110,"-",IF(InfGog1LevelDesired&lt;$B110,"-",$D110))</f>
        <v>-</v>
      </c>
      <c r="H110" s="21" t="str">
        <f t="shared" ref="H110" si="7626">IF(InfGog1LevelCurrent&gt;=$B110,"-",IF(InfGog1LevelDesired&lt;$B110,"-",$E110))</f>
        <v>-</v>
      </c>
      <c r="I110" s="15" t="str">
        <f t="shared" ref="I110" si="7627">IF(InfGlo1LevelCurrent&gt;=$B110,"-",IF(InfGlo1LevelDesired&lt;$B110,"-",$C110))</f>
        <v>-</v>
      </c>
      <c r="J110" s="1" t="str">
        <f t="shared" ref="J110" si="7628">IF(InfGlo1LevelCurrent&gt;=$B110,"-",IF(InfGlo1LevelDesired&lt;$B110,"-",$D110))</f>
        <v>-</v>
      </c>
      <c r="K110" s="21" t="str">
        <f t="shared" ref="K110" si="7629">IF(InfGlo1LevelCurrent&gt;=$B110,"-",IF(InfGlo1LevelDesired&lt;$B110,"-",$E110))</f>
        <v>-</v>
      </c>
      <c r="L110" s="15" t="str">
        <f t="shared" ref="L110" si="7630">IF(InfBel1LevelCurrent&gt;=$B110,"-",IF(InfBel1LevelDesired&lt;$B110,"-",$C110))</f>
        <v>-</v>
      </c>
      <c r="M110" s="1" t="str">
        <f t="shared" ref="M110" si="7631">IF(InfBel1LevelCurrent&gt;=$B110,"-",IF(InfBel1LevelDesired&lt;$B110,"-",$D110))</f>
        <v>-</v>
      </c>
      <c r="N110" s="21" t="str">
        <f t="shared" ref="N110" si="7632">IF(InfBel1LevelCurrent&gt;=$B110,"-",IF(InfBel1LevelDesired&lt;$B110,"-",$E110))</f>
        <v>-</v>
      </c>
      <c r="O110" s="15" t="str">
        <f t="shared" ref="O110" si="7633">IF(InfBoo1LevelCurrent&gt;=$B110,"-",IF(InfBoo1LevelDesired&lt;$B110,"-",$C110))</f>
        <v>-</v>
      </c>
      <c r="P110" s="1" t="str">
        <f t="shared" ref="P110" si="7634">IF(InfBoo1LevelCurrent&gt;=$B110,"-",IF(InfBoo1LevelDesired&lt;$B110,"-",$D110))</f>
        <v>-</v>
      </c>
      <c r="Q110" s="21" t="str">
        <f t="shared" ref="Q110" si="7635">IF(InfBoo1LevelCurrent&gt;=$B110,"-",IF(InfBoo1LevelDesired&lt;$B110,"-",$E110))</f>
        <v>-</v>
      </c>
      <c r="R110" s="15" t="str">
        <f t="shared" ref="R110" si="7636">IF(LanGog1LevelCurrent&gt;=$B110,"-",IF(LanGog1LevelDesired&lt;$B110,"-",$C110))</f>
        <v>-</v>
      </c>
      <c r="S110" s="1" t="str">
        <f t="shared" ref="S110" si="7637">IF(LanGog1LevelCurrent&gt;=$B110,"-",IF(LanGog1LevelDesired&lt;$B110,"-",$D110))</f>
        <v>-</v>
      </c>
      <c r="T110" s="21" t="str">
        <f t="shared" ref="T110" si="7638">IF(LanGog1LevelCurrent&gt;=$B110,"-",IF(LanGog1LevelDesired&lt;$B110,"-",$E110))</f>
        <v>-</v>
      </c>
      <c r="U110" s="15" t="str">
        <f t="shared" ref="U110" si="7639">IF(LanGlo1LevelCurrent&gt;=$B110,"-",IF(LanGlo1LevelDesired&lt;$B110,"-",$C110))</f>
        <v>-</v>
      </c>
      <c r="V110" s="1" t="str">
        <f t="shared" ref="V110" si="7640">IF(LanGlo1LevelCurrent&gt;=$B110,"-",IF(LanGlo1LevelDesired&lt;$B110,"-",$D110))</f>
        <v>-</v>
      </c>
      <c r="W110" s="21" t="str">
        <f t="shared" ref="W110" si="7641">IF(LanGlo1LevelCurrent&gt;=$B110,"-",IF(LanGlo1LevelDesired&lt;$B110,"-",$E110))</f>
        <v>-</v>
      </c>
      <c r="X110" s="15" t="str">
        <f t="shared" ref="X110" si="7642">IF(LanBel1LevelCurrent&gt;=$B110,"-",IF(LanBel1LevelDesired&lt;$B110,"-",$C110))</f>
        <v>-</v>
      </c>
      <c r="Y110" s="1" t="str">
        <f t="shared" ref="Y110" si="7643">IF(LanBel1LevelCurrent&gt;=$B110,"-",IF(LanBel1LevelDesired&lt;$B110,"-",$D110))</f>
        <v>-</v>
      </c>
      <c r="Z110" s="21" t="str">
        <f t="shared" ref="Z110" si="7644">IF(LanBel1LevelCurrent&gt;=$B110,"-",IF(LanBel1LevelDesired&lt;$B110,"-",$E110))</f>
        <v>-</v>
      </c>
      <c r="AA110" s="15" t="str">
        <f t="shared" ref="AA110" si="7645">IF(LanBoo1LevelCurrent&gt;=$B110,"-",IF(LanBoo1LevelDesired&lt;$B110,"-",$C110))</f>
        <v>-</v>
      </c>
      <c r="AB110" s="1" t="str">
        <f t="shared" ref="AB110" si="7646">IF(LanBoo1LevelCurrent&gt;=$B110,"-",IF(LanBoo1LevelDesired&lt;$B110,"-",$D110))</f>
        <v>-</v>
      </c>
      <c r="AC110" s="21" t="str">
        <f t="shared" ref="AC110" si="7647">IF(LanBoo1LevelCurrent&gt;=$B110,"-",IF(LanBoo1LevelDesired&lt;$B110,"-",$E110))</f>
        <v>-</v>
      </c>
      <c r="AD110" s="15" t="str">
        <f t="shared" ref="AD110" si="7648">IF(MarGog1LevelCurrent&gt;=$B110,"-",IF(MarGog1LevelDesired&lt;$B110,"-",$C110))</f>
        <v>-</v>
      </c>
      <c r="AE110" s="1" t="str">
        <f t="shared" ref="AE110" si="7649">IF(MarGog1LevelCurrent&gt;=$B110,"-",IF(MarGog1LevelDesired&lt;$B110,"-",$D110))</f>
        <v>-</v>
      </c>
      <c r="AF110" s="21" t="str">
        <f t="shared" ref="AF110" si="7650">IF(MarGog1LevelCurrent&gt;=$B110,"-",IF(MarGog1LevelDesired&lt;$B110,"-",$E110))</f>
        <v>-</v>
      </c>
      <c r="AG110" s="15" t="str">
        <f t="shared" ref="AG110" si="7651">IF(MarGlo1LevelCurrent&gt;=$B110,"-",IF(MarGlo1LevelDesired&lt;$B110,"-",$C110))</f>
        <v>-</v>
      </c>
      <c r="AH110" s="1" t="str">
        <f t="shared" ref="AH110" si="7652">IF(MarGlo1LevelCurrent&gt;=$B110,"-",IF(MarGlo1LevelDesired&lt;$B110,"-",$D110))</f>
        <v>-</v>
      </c>
      <c r="AI110" s="21" t="str">
        <f t="shared" ref="AI110" si="7653">IF(MarGlo1LevelCurrent&gt;=$B110,"-",IF(MarGlo1LevelDesired&lt;$B110,"-",$E110))</f>
        <v>-</v>
      </c>
      <c r="AJ110" s="15" t="str">
        <f t="shared" ref="AJ110" si="7654">IF(MarBel1LevelCurrent&gt;=$B110,"-",IF(MarBel1LevelDesired&lt;$B110,"-",$C110))</f>
        <v>-</v>
      </c>
      <c r="AK110" s="1" t="str">
        <f t="shared" ref="AK110" si="7655">IF(MarBel1LevelCurrent&gt;=$B110,"-",IF(MarBel1LevelDesired&lt;$B110,"-",$D110))</f>
        <v>-</v>
      </c>
      <c r="AL110" s="21" t="str">
        <f t="shared" ref="AL110" si="7656">IF(MarBel1LevelCurrent&gt;=$B110,"-",IF(MarBel1LevelDesired&lt;$B110,"-",$E110))</f>
        <v>-</v>
      </c>
      <c r="AM110" s="15" t="str">
        <f t="shared" ref="AM110" si="7657">IF(MarBoo1LevelCurrent&gt;=$B110,"-",IF(MarBoo1LevelDesired&lt;$B110,"-",$C110))</f>
        <v>-</v>
      </c>
      <c r="AN110" s="1" t="str">
        <f t="shared" ref="AN110" si="7658">IF(MarBoo1LevelCurrent&gt;=$B110,"-",IF(MarBoo1LevelDesired&lt;$B110,"-",$D110))</f>
        <v>-</v>
      </c>
      <c r="AO110" s="21" t="str">
        <f t="shared" ref="AO110" si="7659">IF(MarBoo1LevelCurrent&gt;=$B110,"-",IF(MarBoo1LevelDesired&lt;$B110,"-",$E110))</f>
        <v>-</v>
      </c>
      <c r="AP110" s="15" t="str">
        <f t="shared" ref="AP110" si="7660">IF(InfGog2LevelCurrent&gt;=$B110,"-",IF(InfGog2LevelDesired&lt;$B110,"-",$C110))</f>
        <v>-</v>
      </c>
      <c r="AQ110" s="1" t="str">
        <f t="shared" ref="AQ110" si="7661">IF(InfGog2LevelCurrent&gt;=$B110,"-",IF(InfGog2LevelDesired&lt;$B110,"-",$D110))</f>
        <v>-</v>
      </c>
      <c r="AR110" s="21" t="str">
        <f t="shared" ref="AR110" si="7662">IF(InfGog2LevelCurrent&gt;=$B110,"-",IF(InfGog2LevelDesired&lt;$B110,"-",$E110))</f>
        <v>-</v>
      </c>
      <c r="AS110" s="15" t="str">
        <f t="shared" ref="AS110" si="7663">IF(InfGlo2LevelCurrent&gt;=$B110,"-",IF(InfGlo2LevelDesired&lt;$B110,"-",$C110))</f>
        <v>-</v>
      </c>
      <c r="AT110" s="1" t="str">
        <f t="shared" ref="AT110" si="7664">IF(InfGlo2LevelCurrent&gt;=$B110,"-",IF(InfGlo2LevelDesired&lt;$B110,"-",$D110))</f>
        <v>-</v>
      </c>
      <c r="AU110" s="21" t="str">
        <f t="shared" ref="AU110" si="7665">IF(InfGlo2LevelCurrent&gt;=$B110,"-",IF(InfGlo2LevelDesired&lt;$B110,"-",$E110))</f>
        <v>-</v>
      </c>
      <c r="AV110" s="15" t="str">
        <f t="shared" ref="AV110" si="7666">IF(InfBel2LevelCurrent&gt;=$B110,"-",IF(InfBel2LevelDesired&lt;$B110,"-",$C110))</f>
        <v>-</v>
      </c>
      <c r="AW110" s="1" t="str">
        <f t="shared" ref="AW110" si="7667">IF(InfBel2LevelCurrent&gt;=$B110,"-",IF(InfBel2LevelDesired&lt;$B110,"-",$D110))</f>
        <v>-</v>
      </c>
      <c r="AX110" s="21" t="str">
        <f t="shared" ref="AX110" si="7668">IF(InfBel2LevelCurrent&gt;=$B110,"-",IF(InfBel2LevelDesired&lt;$B110,"-",$E110))</f>
        <v>-</v>
      </c>
      <c r="AY110" s="15" t="str">
        <f t="shared" ref="AY110" si="7669">IF(InfBoo2LevelCurrent&gt;=$B110,"-",IF(InfBoo2LevelDesired&lt;$B110,"-",$C110))</f>
        <v>-</v>
      </c>
      <c r="AZ110" s="1" t="str">
        <f t="shared" ref="AZ110" si="7670">IF(InfBoo2LevelCurrent&gt;=$B110,"-",IF(InfBoo2LevelDesired&lt;$B110,"-",$D110))</f>
        <v>-</v>
      </c>
      <c r="BA110" s="21" t="str">
        <f t="shared" ref="BA110" si="7671">IF(InfBoo2LevelCurrent&gt;=$B110,"-",IF(InfBoo2LevelDesired&lt;$B110,"-",$E110))</f>
        <v>-</v>
      </c>
      <c r="BB110" s="15" t="str">
        <f t="shared" ref="BB110" si="7672">IF(LanGog2LevelCurrent&gt;=$B110,"-",IF(LanGog2LevelDesired&lt;$B110,"-",$C110))</f>
        <v>-</v>
      </c>
      <c r="BC110" s="1" t="str">
        <f t="shared" ref="BC110" si="7673">IF(LanGog2LevelCurrent&gt;=$B110,"-",IF(LanGog2LevelDesired&lt;$B110,"-",$D110))</f>
        <v>-</v>
      </c>
      <c r="BD110" s="21" t="str">
        <f t="shared" ref="BD110" si="7674">IF(LanGog2LevelCurrent&gt;=$B110,"-",IF(LanGog2LevelDesired&lt;$B110,"-",$E110))</f>
        <v>-</v>
      </c>
      <c r="BE110" s="15" t="str">
        <f t="shared" ref="BE110" si="7675">IF(LanGlo2LevelCurrent&gt;=$B110,"-",IF(LanGlo2LevelDesired&lt;$B110,"-",$C110))</f>
        <v>-</v>
      </c>
      <c r="BF110" s="1" t="str">
        <f t="shared" ref="BF110" si="7676">IF(LanGlo2LevelCurrent&gt;=$B110,"-",IF(LanGlo2LevelDesired&lt;$B110,"-",$D110))</f>
        <v>-</v>
      </c>
      <c r="BG110" s="21" t="str">
        <f t="shared" ref="BG110" si="7677">IF(LanGlo2LevelCurrent&gt;=$B110,"-",IF(LanGlo2LevelDesired&lt;$B110,"-",$E110))</f>
        <v>-</v>
      </c>
      <c r="BH110" s="15" t="str">
        <f t="shared" ref="BH110" si="7678">IF(LanBel2LevelCurrent&gt;=$B110,"-",IF(LanBel2LevelDesired&lt;$B110,"-",$C110))</f>
        <v>-</v>
      </c>
      <c r="BI110" s="1" t="str">
        <f t="shared" ref="BI110" si="7679">IF(LanBel2LevelCurrent&gt;=$B110,"-",IF(LanBel2LevelDesired&lt;$B110,"-",$D110))</f>
        <v>-</v>
      </c>
      <c r="BJ110" s="21" t="str">
        <f t="shared" ref="BJ110" si="7680">IF(LanBel2LevelCurrent&gt;=$B110,"-",IF(LanBel2LevelDesired&lt;$B110,"-",$E110))</f>
        <v>-</v>
      </c>
      <c r="BK110" s="15" t="str">
        <f t="shared" ref="BK110" si="7681">IF(LanBoo2LevelCurrent&gt;=$B110,"-",IF(LanBoo2LevelDesired&lt;$B110,"-",$C110))</f>
        <v>-</v>
      </c>
      <c r="BL110" s="1" t="str">
        <f t="shared" ref="BL110" si="7682">IF(LanBoo2LevelCurrent&gt;=$B110,"-",IF(LanBoo2LevelDesired&lt;$B110,"-",$D110))</f>
        <v>-</v>
      </c>
      <c r="BM110" s="21" t="str">
        <f t="shared" ref="BM110" si="7683">IF(LanBoo2LevelCurrent&gt;=$B110,"-",IF(LanBoo2LevelDesired&lt;$B110,"-",$E110))</f>
        <v>-</v>
      </c>
      <c r="BN110" s="15" t="str">
        <f t="shared" ref="BN110" si="7684">IF(MarGog2LevelCurrent&gt;=$B110,"-",IF(MarGog2LevelDesired&lt;$B110,"-",$C110))</f>
        <v>-</v>
      </c>
      <c r="BO110" s="1" t="str">
        <f t="shared" ref="BO110" si="7685">IF(MarGog2LevelCurrent&gt;=$B110,"-",IF(MarGog2LevelDesired&lt;$B110,"-",$D110))</f>
        <v>-</v>
      </c>
      <c r="BP110" s="21" t="str">
        <f t="shared" ref="BP110" si="7686">IF(MarGog2LevelCurrent&gt;=$B110,"-",IF(MarGog2LevelDesired&lt;$B110,"-",$E110))</f>
        <v>-</v>
      </c>
      <c r="BQ110" s="15" t="str">
        <f t="shared" ref="BQ110" si="7687">IF(MarGlo2LevelCurrent&gt;=$B110,"-",IF(MarGlo2LevelDesired&lt;$B110,"-",$C110))</f>
        <v>-</v>
      </c>
      <c r="BR110" s="1" t="str">
        <f t="shared" ref="BR110" si="7688">IF(MarGlo2LevelCurrent&gt;=$B110,"-",IF(MarGlo2LevelDesired&lt;$B110,"-",$D110))</f>
        <v>-</v>
      </c>
      <c r="BS110" s="21" t="str">
        <f t="shared" ref="BS110" si="7689">IF(MarGlo2LevelCurrent&gt;=$B110,"-",IF(MarGlo2LevelDesired&lt;$B110,"-",$E110))</f>
        <v>-</v>
      </c>
      <c r="BT110" s="15" t="str">
        <f t="shared" ref="BT110" si="7690">IF(MarBel2LevelCurrent&gt;=$B110,"-",IF(MarBel2LevelDesired&lt;$B110,"-",$C110))</f>
        <v>-</v>
      </c>
      <c r="BU110" s="1" t="str">
        <f t="shared" ref="BU110" si="7691">IF(MarBel2LevelCurrent&gt;=$B110,"-",IF(MarBel2LevelDesired&lt;$B110,"-",$D110))</f>
        <v>-</v>
      </c>
      <c r="BV110" s="21" t="str">
        <f t="shared" ref="BV110" si="7692">IF(MarBel2LevelCurrent&gt;=$B110,"-",IF(MarBel2LevelDesired&lt;$B110,"-",$E110))</f>
        <v>-</v>
      </c>
      <c r="BW110" s="15" t="str">
        <f t="shared" ref="BW110" si="7693">IF(MarBoo2LevelCurrent&gt;=$B110,"-",IF(MarBoo2LevelDesired&lt;$B110,"-",$C110))</f>
        <v>-</v>
      </c>
      <c r="BX110" s="1" t="str">
        <f t="shared" ref="BX110" si="7694">IF(MarBoo2LevelCurrent&gt;=$B110,"-",IF(MarBoo2LevelDesired&lt;$B110,"-",$D110))</f>
        <v>-</v>
      </c>
      <c r="BY110" s="21" t="str">
        <f t="shared" ref="BY110" si="7695">IF(MarBoo2LevelCurrent&gt;=$B110,"-",IF(MarBoo2LevelDesired&lt;$B110,"-",$E110))</f>
        <v>-</v>
      </c>
      <c r="BZ110" s="15" t="str">
        <f t="shared" si="7086"/>
        <v>-</v>
      </c>
      <c r="CA110" s="1" t="str" cm="1">
        <f t="array" ref="CA110">IF(InfGog3LevelCurrent&gt;=$B110,"-",IF(InfGog3LevelDesired&lt;$B110,"-",$D110))</f>
        <v>-</v>
      </c>
      <c r="CB110" s="21" t="str" cm="1">
        <f t="array" ref="CB110">IF(InfGog3LevelCurrent&gt;=$B110,"-",IF(InfGog3LevelDesired&lt;$B110,"-",$E110))</f>
        <v>-</v>
      </c>
      <c r="CC110" s="15" t="str">
        <f t="shared" si="7087"/>
        <v>-</v>
      </c>
      <c r="CD110" s="1" t="str">
        <f t="shared" si="7088"/>
        <v>-</v>
      </c>
      <c r="CE110" s="21" t="str">
        <f t="shared" si="7089"/>
        <v>-</v>
      </c>
      <c r="CF110" s="15" t="str">
        <f t="shared" si="7090"/>
        <v>-</v>
      </c>
      <c r="CG110" s="1" t="str">
        <f t="shared" si="7091"/>
        <v>-</v>
      </c>
      <c r="CH110" s="21" t="str">
        <f t="shared" si="7092"/>
        <v>-</v>
      </c>
      <c r="CI110" s="15" t="str">
        <f t="shared" si="7093"/>
        <v>-</v>
      </c>
      <c r="CJ110" s="1" t="str">
        <f t="shared" si="7094"/>
        <v>-</v>
      </c>
      <c r="CK110" s="21" t="str">
        <f t="shared" si="7095"/>
        <v>-</v>
      </c>
      <c r="CL110" s="15" t="str">
        <f t="shared" si="7096"/>
        <v>-</v>
      </c>
      <c r="CM110" s="1" t="str">
        <f t="shared" si="7097"/>
        <v>-</v>
      </c>
      <c r="CN110" s="21" t="str">
        <f t="shared" si="7098"/>
        <v>-</v>
      </c>
      <c r="CO110" s="15" t="str">
        <f t="shared" si="7099"/>
        <v>-</v>
      </c>
      <c r="CP110" s="1" t="str">
        <f t="shared" si="7100"/>
        <v>-</v>
      </c>
      <c r="CQ110" s="21" t="str">
        <f t="shared" si="7101"/>
        <v>-</v>
      </c>
      <c r="CR110" s="15" t="str">
        <f t="shared" si="7102"/>
        <v>-</v>
      </c>
      <c r="CS110" s="1" t="str">
        <f t="shared" si="7103"/>
        <v>-</v>
      </c>
      <c r="CT110" s="21" t="str">
        <f t="shared" si="7104"/>
        <v>-</v>
      </c>
      <c r="CU110" s="15" t="str">
        <f t="shared" si="7105"/>
        <v>-</v>
      </c>
      <c r="CV110" s="1" t="str">
        <f t="shared" si="7106"/>
        <v>-</v>
      </c>
      <c r="CW110" s="21" t="str">
        <f t="shared" si="7107"/>
        <v>-</v>
      </c>
      <c r="CX110" s="15" t="str">
        <f t="shared" si="7108"/>
        <v>-</v>
      </c>
      <c r="CY110" s="1" t="str">
        <f t="shared" si="7109"/>
        <v>-</v>
      </c>
      <c r="CZ110" s="21" t="str">
        <f t="shared" si="7110"/>
        <v>-</v>
      </c>
      <c r="DA110" s="15" t="str">
        <f t="shared" si="7111"/>
        <v>-</v>
      </c>
      <c r="DB110" s="1" t="str">
        <f t="shared" si="7112"/>
        <v>-</v>
      </c>
      <c r="DC110" s="21" t="str">
        <f t="shared" si="7113"/>
        <v>-</v>
      </c>
      <c r="DD110" s="15" t="str">
        <f t="shared" si="7114"/>
        <v>-</v>
      </c>
      <c r="DE110" s="1" t="str">
        <f t="shared" si="7115"/>
        <v>-</v>
      </c>
      <c r="DF110" s="21" t="str">
        <f t="shared" si="7116"/>
        <v>-</v>
      </c>
      <c r="DG110" s="15" t="str">
        <f t="shared" si="7117"/>
        <v>-</v>
      </c>
      <c r="DH110" s="1" t="str">
        <f t="shared" si="7118"/>
        <v>-</v>
      </c>
      <c r="DI110" s="21" t="str">
        <f t="shared" si="7119"/>
        <v>-</v>
      </c>
    </row>
    <row r="111" spans="2:113" x14ac:dyDescent="0.3">
      <c r="B111" s="1">
        <v>106</v>
      </c>
      <c r="C111" s="67">
        <v>2700</v>
      </c>
      <c r="D111" s="88" t="s">
        <v>27</v>
      </c>
      <c r="E111" s="21" t="s">
        <v>27</v>
      </c>
      <c r="F111" s="15" t="str">
        <f t="shared" ref="F111" si="7696">IF(InfGog1LevelCurrent&gt;=$B111,"-",IF(InfGog1LevelDesired&lt;$B111,"-",$C111))</f>
        <v>-</v>
      </c>
      <c r="G111" s="1" t="str">
        <f t="shared" ref="G111" si="7697">IF(InfGog1LevelCurrent&gt;=$B111,"-",IF(InfGog1LevelDesired&lt;$B111,"-",$D111))</f>
        <v>-</v>
      </c>
      <c r="H111" s="21" t="str">
        <f t="shared" ref="H111" si="7698">IF(InfGog1LevelCurrent&gt;=$B111,"-",IF(InfGog1LevelDesired&lt;$B111,"-",$E111))</f>
        <v>-</v>
      </c>
      <c r="I111" s="15" t="str">
        <f t="shared" ref="I111" si="7699">IF(InfGlo1LevelCurrent&gt;=$B111,"-",IF(InfGlo1LevelDesired&lt;$B111,"-",$C111))</f>
        <v>-</v>
      </c>
      <c r="J111" s="1" t="str">
        <f t="shared" ref="J111" si="7700">IF(InfGlo1LevelCurrent&gt;=$B111,"-",IF(InfGlo1LevelDesired&lt;$B111,"-",$D111))</f>
        <v>-</v>
      </c>
      <c r="K111" s="21" t="str">
        <f t="shared" ref="K111" si="7701">IF(InfGlo1LevelCurrent&gt;=$B111,"-",IF(InfGlo1LevelDesired&lt;$B111,"-",$E111))</f>
        <v>-</v>
      </c>
      <c r="L111" s="15" t="str">
        <f t="shared" ref="L111" si="7702">IF(InfBel1LevelCurrent&gt;=$B111,"-",IF(InfBel1LevelDesired&lt;$B111,"-",$C111))</f>
        <v>-</v>
      </c>
      <c r="M111" s="1" t="str">
        <f t="shared" ref="M111" si="7703">IF(InfBel1LevelCurrent&gt;=$B111,"-",IF(InfBel1LevelDesired&lt;$B111,"-",$D111))</f>
        <v>-</v>
      </c>
      <c r="N111" s="21" t="str">
        <f t="shared" ref="N111" si="7704">IF(InfBel1LevelCurrent&gt;=$B111,"-",IF(InfBel1LevelDesired&lt;$B111,"-",$E111))</f>
        <v>-</v>
      </c>
      <c r="O111" s="15" t="str">
        <f t="shared" ref="O111" si="7705">IF(InfBoo1LevelCurrent&gt;=$B111,"-",IF(InfBoo1LevelDesired&lt;$B111,"-",$C111))</f>
        <v>-</v>
      </c>
      <c r="P111" s="1" t="str">
        <f t="shared" ref="P111" si="7706">IF(InfBoo1LevelCurrent&gt;=$B111,"-",IF(InfBoo1LevelDesired&lt;$B111,"-",$D111))</f>
        <v>-</v>
      </c>
      <c r="Q111" s="21" t="str">
        <f t="shared" ref="Q111" si="7707">IF(InfBoo1LevelCurrent&gt;=$B111,"-",IF(InfBoo1LevelDesired&lt;$B111,"-",$E111))</f>
        <v>-</v>
      </c>
      <c r="R111" s="15" t="str">
        <f t="shared" ref="R111" si="7708">IF(LanGog1LevelCurrent&gt;=$B111,"-",IF(LanGog1LevelDesired&lt;$B111,"-",$C111))</f>
        <v>-</v>
      </c>
      <c r="S111" s="1" t="str">
        <f t="shared" ref="S111" si="7709">IF(LanGog1LevelCurrent&gt;=$B111,"-",IF(LanGog1LevelDesired&lt;$B111,"-",$D111))</f>
        <v>-</v>
      </c>
      <c r="T111" s="21" t="str">
        <f t="shared" ref="T111" si="7710">IF(LanGog1LevelCurrent&gt;=$B111,"-",IF(LanGog1LevelDesired&lt;$B111,"-",$E111))</f>
        <v>-</v>
      </c>
      <c r="U111" s="15" t="str">
        <f t="shared" ref="U111" si="7711">IF(LanGlo1LevelCurrent&gt;=$B111,"-",IF(LanGlo1LevelDesired&lt;$B111,"-",$C111))</f>
        <v>-</v>
      </c>
      <c r="V111" s="1" t="str">
        <f t="shared" ref="V111" si="7712">IF(LanGlo1LevelCurrent&gt;=$B111,"-",IF(LanGlo1LevelDesired&lt;$B111,"-",$D111))</f>
        <v>-</v>
      </c>
      <c r="W111" s="21" t="str">
        <f t="shared" ref="W111" si="7713">IF(LanGlo1LevelCurrent&gt;=$B111,"-",IF(LanGlo1LevelDesired&lt;$B111,"-",$E111))</f>
        <v>-</v>
      </c>
      <c r="X111" s="15" t="str">
        <f t="shared" ref="X111" si="7714">IF(LanBel1LevelCurrent&gt;=$B111,"-",IF(LanBel1LevelDesired&lt;$B111,"-",$C111))</f>
        <v>-</v>
      </c>
      <c r="Y111" s="1" t="str">
        <f t="shared" ref="Y111" si="7715">IF(LanBel1LevelCurrent&gt;=$B111,"-",IF(LanBel1LevelDesired&lt;$B111,"-",$D111))</f>
        <v>-</v>
      </c>
      <c r="Z111" s="21" t="str">
        <f t="shared" ref="Z111" si="7716">IF(LanBel1LevelCurrent&gt;=$B111,"-",IF(LanBel1LevelDesired&lt;$B111,"-",$E111))</f>
        <v>-</v>
      </c>
      <c r="AA111" s="15" t="str">
        <f t="shared" ref="AA111" si="7717">IF(LanBoo1LevelCurrent&gt;=$B111,"-",IF(LanBoo1LevelDesired&lt;$B111,"-",$C111))</f>
        <v>-</v>
      </c>
      <c r="AB111" s="1" t="str">
        <f t="shared" ref="AB111" si="7718">IF(LanBoo1LevelCurrent&gt;=$B111,"-",IF(LanBoo1LevelDesired&lt;$B111,"-",$D111))</f>
        <v>-</v>
      </c>
      <c r="AC111" s="21" t="str">
        <f t="shared" ref="AC111" si="7719">IF(LanBoo1LevelCurrent&gt;=$B111,"-",IF(LanBoo1LevelDesired&lt;$B111,"-",$E111))</f>
        <v>-</v>
      </c>
      <c r="AD111" s="15" t="str">
        <f t="shared" ref="AD111" si="7720">IF(MarGog1LevelCurrent&gt;=$B111,"-",IF(MarGog1LevelDesired&lt;$B111,"-",$C111))</f>
        <v>-</v>
      </c>
      <c r="AE111" s="1" t="str">
        <f t="shared" ref="AE111" si="7721">IF(MarGog1LevelCurrent&gt;=$B111,"-",IF(MarGog1LevelDesired&lt;$B111,"-",$D111))</f>
        <v>-</v>
      </c>
      <c r="AF111" s="21" t="str">
        <f t="shared" ref="AF111" si="7722">IF(MarGog1LevelCurrent&gt;=$B111,"-",IF(MarGog1LevelDesired&lt;$B111,"-",$E111))</f>
        <v>-</v>
      </c>
      <c r="AG111" s="15" t="str">
        <f t="shared" ref="AG111" si="7723">IF(MarGlo1LevelCurrent&gt;=$B111,"-",IF(MarGlo1LevelDesired&lt;$B111,"-",$C111))</f>
        <v>-</v>
      </c>
      <c r="AH111" s="1" t="str">
        <f t="shared" ref="AH111" si="7724">IF(MarGlo1LevelCurrent&gt;=$B111,"-",IF(MarGlo1LevelDesired&lt;$B111,"-",$D111))</f>
        <v>-</v>
      </c>
      <c r="AI111" s="21" t="str">
        <f t="shared" ref="AI111" si="7725">IF(MarGlo1LevelCurrent&gt;=$B111,"-",IF(MarGlo1LevelDesired&lt;$B111,"-",$E111))</f>
        <v>-</v>
      </c>
      <c r="AJ111" s="15" t="str">
        <f t="shared" ref="AJ111" si="7726">IF(MarBel1LevelCurrent&gt;=$B111,"-",IF(MarBel1LevelDesired&lt;$B111,"-",$C111))</f>
        <v>-</v>
      </c>
      <c r="AK111" s="1" t="str">
        <f t="shared" ref="AK111" si="7727">IF(MarBel1LevelCurrent&gt;=$B111,"-",IF(MarBel1LevelDesired&lt;$B111,"-",$D111))</f>
        <v>-</v>
      </c>
      <c r="AL111" s="21" t="str">
        <f t="shared" ref="AL111" si="7728">IF(MarBel1LevelCurrent&gt;=$B111,"-",IF(MarBel1LevelDesired&lt;$B111,"-",$E111))</f>
        <v>-</v>
      </c>
      <c r="AM111" s="15" t="str">
        <f t="shared" ref="AM111" si="7729">IF(MarBoo1LevelCurrent&gt;=$B111,"-",IF(MarBoo1LevelDesired&lt;$B111,"-",$C111))</f>
        <v>-</v>
      </c>
      <c r="AN111" s="1" t="str">
        <f t="shared" ref="AN111" si="7730">IF(MarBoo1LevelCurrent&gt;=$B111,"-",IF(MarBoo1LevelDesired&lt;$B111,"-",$D111))</f>
        <v>-</v>
      </c>
      <c r="AO111" s="21" t="str">
        <f t="shared" ref="AO111" si="7731">IF(MarBoo1LevelCurrent&gt;=$B111,"-",IF(MarBoo1LevelDesired&lt;$B111,"-",$E111))</f>
        <v>-</v>
      </c>
      <c r="AP111" s="15" t="str">
        <f t="shared" ref="AP111" si="7732">IF(InfGog2LevelCurrent&gt;=$B111,"-",IF(InfGog2LevelDesired&lt;$B111,"-",$C111))</f>
        <v>-</v>
      </c>
      <c r="AQ111" s="1" t="str">
        <f t="shared" ref="AQ111" si="7733">IF(InfGog2LevelCurrent&gt;=$B111,"-",IF(InfGog2LevelDesired&lt;$B111,"-",$D111))</f>
        <v>-</v>
      </c>
      <c r="AR111" s="21" t="str">
        <f t="shared" ref="AR111" si="7734">IF(InfGog2LevelCurrent&gt;=$B111,"-",IF(InfGog2LevelDesired&lt;$B111,"-",$E111))</f>
        <v>-</v>
      </c>
      <c r="AS111" s="15" t="str">
        <f t="shared" ref="AS111" si="7735">IF(InfGlo2LevelCurrent&gt;=$B111,"-",IF(InfGlo2LevelDesired&lt;$B111,"-",$C111))</f>
        <v>-</v>
      </c>
      <c r="AT111" s="1" t="str">
        <f t="shared" ref="AT111" si="7736">IF(InfGlo2LevelCurrent&gt;=$B111,"-",IF(InfGlo2LevelDesired&lt;$B111,"-",$D111))</f>
        <v>-</v>
      </c>
      <c r="AU111" s="21" t="str">
        <f t="shared" ref="AU111" si="7737">IF(InfGlo2LevelCurrent&gt;=$B111,"-",IF(InfGlo2LevelDesired&lt;$B111,"-",$E111))</f>
        <v>-</v>
      </c>
      <c r="AV111" s="15" t="str">
        <f t="shared" ref="AV111" si="7738">IF(InfBel2LevelCurrent&gt;=$B111,"-",IF(InfBel2LevelDesired&lt;$B111,"-",$C111))</f>
        <v>-</v>
      </c>
      <c r="AW111" s="1" t="str">
        <f t="shared" ref="AW111" si="7739">IF(InfBel2LevelCurrent&gt;=$B111,"-",IF(InfBel2LevelDesired&lt;$B111,"-",$D111))</f>
        <v>-</v>
      </c>
      <c r="AX111" s="21" t="str">
        <f t="shared" ref="AX111" si="7740">IF(InfBel2LevelCurrent&gt;=$B111,"-",IF(InfBel2LevelDesired&lt;$B111,"-",$E111))</f>
        <v>-</v>
      </c>
      <c r="AY111" s="15" t="str">
        <f t="shared" ref="AY111" si="7741">IF(InfBoo2LevelCurrent&gt;=$B111,"-",IF(InfBoo2LevelDesired&lt;$B111,"-",$C111))</f>
        <v>-</v>
      </c>
      <c r="AZ111" s="1" t="str">
        <f t="shared" ref="AZ111" si="7742">IF(InfBoo2LevelCurrent&gt;=$B111,"-",IF(InfBoo2LevelDesired&lt;$B111,"-",$D111))</f>
        <v>-</v>
      </c>
      <c r="BA111" s="21" t="str">
        <f t="shared" ref="BA111" si="7743">IF(InfBoo2LevelCurrent&gt;=$B111,"-",IF(InfBoo2LevelDesired&lt;$B111,"-",$E111))</f>
        <v>-</v>
      </c>
      <c r="BB111" s="15" t="str">
        <f t="shared" ref="BB111" si="7744">IF(LanGog2LevelCurrent&gt;=$B111,"-",IF(LanGog2LevelDesired&lt;$B111,"-",$C111))</f>
        <v>-</v>
      </c>
      <c r="BC111" s="1" t="str">
        <f t="shared" ref="BC111" si="7745">IF(LanGog2LevelCurrent&gt;=$B111,"-",IF(LanGog2LevelDesired&lt;$B111,"-",$D111))</f>
        <v>-</v>
      </c>
      <c r="BD111" s="21" t="str">
        <f t="shared" ref="BD111" si="7746">IF(LanGog2LevelCurrent&gt;=$B111,"-",IF(LanGog2LevelDesired&lt;$B111,"-",$E111))</f>
        <v>-</v>
      </c>
      <c r="BE111" s="15" t="str">
        <f t="shared" ref="BE111" si="7747">IF(LanGlo2LevelCurrent&gt;=$B111,"-",IF(LanGlo2LevelDesired&lt;$B111,"-",$C111))</f>
        <v>-</v>
      </c>
      <c r="BF111" s="1" t="str">
        <f t="shared" ref="BF111" si="7748">IF(LanGlo2LevelCurrent&gt;=$B111,"-",IF(LanGlo2LevelDesired&lt;$B111,"-",$D111))</f>
        <v>-</v>
      </c>
      <c r="BG111" s="21" t="str">
        <f t="shared" ref="BG111" si="7749">IF(LanGlo2LevelCurrent&gt;=$B111,"-",IF(LanGlo2LevelDesired&lt;$B111,"-",$E111))</f>
        <v>-</v>
      </c>
      <c r="BH111" s="15" t="str">
        <f t="shared" ref="BH111" si="7750">IF(LanBel2LevelCurrent&gt;=$B111,"-",IF(LanBel2LevelDesired&lt;$B111,"-",$C111))</f>
        <v>-</v>
      </c>
      <c r="BI111" s="1" t="str">
        <f t="shared" ref="BI111" si="7751">IF(LanBel2LevelCurrent&gt;=$B111,"-",IF(LanBel2LevelDesired&lt;$B111,"-",$D111))</f>
        <v>-</v>
      </c>
      <c r="BJ111" s="21" t="str">
        <f t="shared" ref="BJ111" si="7752">IF(LanBel2LevelCurrent&gt;=$B111,"-",IF(LanBel2LevelDesired&lt;$B111,"-",$E111))</f>
        <v>-</v>
      </c>
      <c r="BK111" s="15" t="str">
        <f t="shared" ref="BK111" si="7753">IF(LanBoo2LevelCurrent&gt;=$B111,"-",IF(LanBoo2LevelDesired&lt;$B111,"-",$C111))</f>
        <v>-</v>
      </c>
      <c r="BL111" s="1" t="str">
        <f t="shared" ref="BL111" si="7754">IF(LanBoo2LevelCurrent&gt;=$B111,"-",IF(LanBoo2LevelDesired&lt;$B111,"-",$D111))</f>
        <v>-</v>
      </c>
      <c r="BM111" s="21" t="str">
        <f t="shared" ref="BM111" si="7755">IF(LanBoo2LevelCurrent&gt;=$B111,"-",IF(LanBoo2LevelDesired&lt;$B111,"-",$E111))</f>
        <v>-</v>
      </c>
      <c r="BN111" s="15" t="str">
        <f t="shared" ref="BN111" si="7756">IF(MarGog2LevelCurrent&gt;=$B111,"-",IF(MarGog2LevelDesired&lt;$B111,"-",$C111))</f>
        <v>-</v>
      </c>
      <c r="BO111" s="1" t="str">
        <f t="shared" ref="BO111" si="7757">IF(MarGog2LevelCurrent&gt;=$B111,"-",IF(MarGog2LevelDesired&lt;$B111,"-",$D111))</f>
        <v>-</v>
      </c>
      <c r="BP111" s="21" t="str">
        <f t="shared" ref="BP111" si="7758">IF(MarGog2LevelCurrent&gt;=$B111,"-",IF(MarGog2LevelDesired&lt;$B111,"-",$E111))</f>
        <v>-</v>
      </c>
      <c r="BQ111" s="15" t="str">
        <f t="shared" ref="BQ111" si="7759">IF(MarGlo2LevelCurrent&gt;=$B111,"-",IF(MarGlo2LevelDesired&lt;$B111,"-",$C111))</f>
        <v>-</v>
      </c>
      <c r="BR111" s="1" t="str">
        <f t="shared" ref="BR111" si="7760">IF(MarGlo2LevelCurrent&gt;=$B111,"-",IF(MarGlo2LevelDesired&lt;$B111,"-",$D111))</f>
        <v>-</v>
      </c>
      <c r="BS111" s="21" t="str">
        <f t="shared" ref="BS111" si="7761">IF(MarGlo2LevelCurrent&gt;=$B111,"-",IF(MarGlo2LevelDesired&lt;$B111,"-",$E111))</f>
        <v>-</v>
      </c>
      <c r="BT111" s="15" t="str">
        <f t="shared" ref="BT111" si="7762">IF(MarBel2LevelCurrent&gt;=$B111,"-",IF(MarBel2LevelDesired&lt;$B111,"-",$C111))</f>
        <v>-</v>
      </c>
      <c r="BU111" s="1" t="str">
        <f t="shared" ref="BU111" si="7763">IF(MarBel2LevelCurrent&gt;=$B111,"-",IF(MarBel2LevelDesired&lt;$B111,"-",$D111))</f>
        <v>-</v>
      </c>
      <c r="BV111" s="21" t="str">
        <f t="shared" ref="BV111" si="7764">IF(MarBel2LevelCurrent&gt;=$B111,"-",IF(MarBel2LevelDesired&lt;$B111,"-",$E111))</f>
        <v>-</v>
      </c>
      <c r="BW111" s="15" t="str">
        <f t="shared" ref="BW111" si="7765">IF(MarBoo2LevelCurrent&gt;=$B111,"-",IF(MarBoo2LevelDesired&lt;$B111,"-",$C111))</f>
        <v>-</v>
      </c>
      <c r="BX111" s="1" t="str">
        <f t="shared" ref="BX111" si="7766">IF(MarBoo2LevelCurrent&gt;=$B111,"-",IF(MarBoo2LevelDesired&lt;$B111,"-",$D111))</f>
        <v>-</v>
      </c>
      <c r="BY111" s="21" t="str">
        <f t="shared" ref="BY111" si="7767">IF(MarBoo2LevelCurrent&gt;=$B111,"-",IF(MarBoo2LevelDesired&lt;$B111,"-",$E111))</f>
        <v>-</v>
      </c>
      <c r="BZ111" s="15" t="str">
        <f t="shared" si="7086"/>
        <v>-</v>
      </c>
      <c r="CA111" s="1" t="str" cm="1">
        <f t="array" ref="CA111">IF(InfGog3LevelCurrent&gt;=$B111,"-",IF(InfGog3LevelDesired&lt;$B111,"-",$D111))</f>
        <v>-</v>
      </c>
      <c r="CB111" s="21" t="str" cm="1">
        <f t="array" ref="CB111">IF(InfGog3LevelCurrent&gt;=$B111,"-",IF(InfGog3LevelDesired&lt;$B111,"-",$E111))</f>
        <v>-</v>
      </c>
      <c r="CC111" s="15" t="str">
        <f t="shared" si="7087"/>
        <v>-</v>
      </c>
      <c r="CD111" s="1" t="str">
        <f t="shared" si="7088"/>
        <v>-</v>
      </c>
      <c r="CE111" s="21" t="str">
        <f t="shared" si="7089"/>
        <v>-</v>
      </c>
      <c r="CF111" s="15" t="str">
        <f t="shared" si="7090"/>
        <v>-</v>
      </c>
      <c r="CG111" s="1" t="str">
        <f t="shared" si="7091"/>
        <v>-</v>
      </c>
      <c r="CH111" s="21" t="str">
        <f t="shared" si="7092"/>
        <v>-</v>
      </c>
      <c r="CI111" s="15" t="str">
        <f t="shared" si="7093"/>
        <v>-</v>
      </c>
      <c r="CJ111" s="1" t="str">
        <f t="shared" si="7094"/>
        <v>-</v>
      </c>
      <c r="CK111" s="21" t="str">
        <f t="shared" si="7095"/>
        <v>-</v>
      </c>
      <c r="CL111" s="15" t="str">
        <f t="shared" si="7096"/>
        <v>-</v>
      </c>
      <c r="CM111" s="1" t="str">
        <f t="shared" si="7097"/>
        <v>-</v>
      </c>
      <c r="CN111" s="21" t="str">
        <f t="shared" si="7098"/>
        <v>-</v>
      </c>
      <c r="CO111" s="15" t="str">
        <f t="shared" si="7099"/>
        <v>-</v>
      </c>
      <c r="CP111" s="1" t="str">
        <f t="shared" si="7100"/>
        <v>-</v>
      </c>
      <c r="CQ111" s="21" t="str">
        <f t="shared" si="7101"/>
        <v>-</v>
      </c>
      <c r="CR111" s="15" t="str">
        <f t="shared" si="7102"/>
        <v>-</v>
      </c>
      <c r="CS111" s="1" t="str">
        <f t="shared" si="7103"/>
        <v>-</v>
      </c>
      <c r="CT111" s="21" t="str">
        <f t="shared" si="7104"/>
        <v>-</v>
      </c>
      <c r="CU111" s="15" t="str">
        <f t="shared" si="7105"/>
        <v>-</v>
      </c>
      <c r="CV111" s="1" t="str">
        <f t="shared" si="7106"/>
        <v>-</v>
      </c>
      <c r="CW111" s="21" t="str">
        <f t="shared" si="7107"/>
        <v>-</v>
      </c>
      <c r="CX111" s="15" t="str">
        <f t="shared" si="7108"/>
        <v>-</v>
      </c>
      <c r="CY111" s="1" t="str">
        <f t="shared" si="7109"/>
        <v>-</v>
      </c>
      <c r="CZ111" s="21" t="str">
        <f t="shared" si="7110"/>
        <v>-</v>
      </c>
      <c r="DA111" s="15" t="str">
        <f t="shared" si="7111"/>
        <v>-</v>
      </c>
      <c r="DB111" s="1" t="str">
        <f t="shared" si="7112"/>
        <v>-</v>
      </c>
      <c r="DC111" s="21" t="str">
        <f t="shared" si="7113"/>
        <v>-</v>
      </c>
      <c r="DD111" s="15" t="str">
        <f t="shared" si="7114"/>
        <v>-</v>
      </c>
      <c r="DE111" s="1" t="str">
        <f t="shared" si="7115"/>
        <v>-</v>
      </c>
      <c r="DF111" s="21" t="str">
        <f t="shared" si="7116"/>
        <v>-</v>
      </c>
      <c r="DG111" s="15" t="str">
        <f t="shared" si="7117"/>
        <v>-</v>
      </c>
      <c r="DH111" s="1" t="str">
        <f t="shared" si="7118"/>
        <v>-</v>
      </c>
      <c r="DI111" s="21" t="str">
        <f t="shared" si="7119"/>
        <v>-</v>
      </c>
    </row>
    <row r="112" spans="2:113" x14ac:dyDescent="0.3">
      <c r="B112" s="1">
        <v>107</v>
      </c>
      <c r="C112" s="67">
        <v>2750</v>
      </c>
      <c r="D112" s="88" t="s">
        <v>27</v>
      </c>
      <c r="E112" s="21" t="s">
        <v>27</v>
      </c>
      <c r="F112" s="15" t="str">
        <f t="shared" ref="F112" si="7768">IF(InfGog1LevelCurrent&gt;=$B112,"-",IF(InfGog1LevelDesired&lt;$B112,"-",$C112))</f>
        <v>-</v>
      </c>
      <c r="G112" s="1" t="str">
        <f t="shared" ref="G112" si="7769">IF(InfGog1LevelCurrent&gt;=$B112,"-",IF(InfGog1LevelDesired&lt;$B112,"-",$D112))</f>
        <v>-</v>
      </c>
      <c r="H112" s="21" t="str">
        <f t="shared" ref="H112" si="7770">IF(InfGog1LevelCurrent&gt;=$B112,"-",IF(InfGog1LevelDesired&lt;$B112,"-",$E112))</f>
        <v>-</v>
      </c>
      <c r="I112" s="15" t="str">
        <f t="shared" ref="I112" si="7771">IF(InfGlo1LevelCurrent&gt;=$B112,"-",IF(InfGlo1LevelDesired&lt;$B112,"-",$C112))</f>
        <v>-</v>
      </c>
      <c r="J112" s="1" t="str">
        <f t="shared" ref="J112" si="7772">IF(InfGlo1LevelCurrent&gt;=$B112,"-",IF(InfGlo1LevelDesired&lt;$B112,"-",$D112))</f>
        <v>-</v>
      </c>
      <c r="K112" s="21" t="str">
        <f t="shared" ref="K112" si="7773">IF(InfGlo1LevelCurrent&gt;=$B112,"-",IF(InfGlo1LevelDesired&lt;$B112,"-",$E112))</f>
        <v>-</v>
      </c>
      <c r="L112" s="15" t="str">
        <f t="shared" ref="L112" si="7774">IF(InfBel1LevelCurrent&gt;=$B112,"-",IF(InfBel1LevelDesired&lt;$B112,"-",$C112))</f>
        <v>-</v>
      </c>
      <c r="M112" s="1" t="str">
        <f t="shared" ref="M112" si="7775">IF(InfBel1LevelCurrent&gt;=$B112,"-",IF(InfBel1LevelDesired&lt;$B112,"-",$D112))</f>
        <v>-</v>
      </c>
      <c r="N112" s="21" t="str">
        <f t="shared" ref="N112" si="7776">IF(InfBel1LevelCurrent&gt;=$B112,"-",IF(InfBel1LevelDesired&lt;$B112,"-",$E112))</f>
        <v>-</v>
      </c>
      <c r="O112" s="15" t="str">
        <f t="shared" ref="O112" si="7777">IF(InfBoo1LevelCurrent&gt;=$B112,"-",IF(InfBoo1LevelDesired&lt;$B112,"-",$C112))</f>
        <v>-</v>
      </c>
      <c r="P112" s="1" t="str">
        <f t="shared" ref="P112" si="7778">IF(InfBoo1LevelCurrent&gt;=$B112,"-",IF(InfBoo1LevelDesired&lt;$B112,"-",$D112))</f>
        <v>-</v>
      </c>
      <c r="Q112" s="21" t="str">
        <f t="shared" ref="Q112" si="7779">IF(InfBoo1LevelCurrent&gt;=$B112,"-",IF(InfBoo1LevelDesired&lt;$B112,"-",$E112))</f>
        <v>-</v>
      </c>
      <c r="R112" s="15" t="str">
        <f t="shared" ref="R112" si="7780">IF(LanGog1LevelCurrent&gt;=$B112,"-",IF(LanGog1LevelDesired&lt;$B112,"-",$C112))</f>
        <v>-</v>
      </c>
      <c r="S112" s="1" t="str">
        <f t="shared" ref="S112" si="7781">IF(LanGog1LevelCurrent&gt;=$B112,"-",IF(LanGog1LevelDesired&lt;$B112,"-",$D112))</f>
        <v>-</v>
      </c>
      <c r="T112" s="21" t="str">
        <f t="shared" ref="T112" si="7782">IF(LanGog1LevelCurrent&gt;=$B112,"-",IF(LanGog1LevelDesired&lt;$B112,"-",$E112))</f>
        <v>-</v>
      </c>
      <c r="U112" s="15" t="str">
        <f t="shared" ref="U112" si="7783">IF(LanGlo1LevelCurrent&gt;=$B112,"-",IF(LanGlo1LevelDesired&lt;$B112,"-",$C112))</f>
        <v>-</v>
      </c>
      <c r="V112" s="1" t="str">
        <f t="shared" ref="V112" si="7784">IF(LanGlo1LevelCurrent&gt;=$B112,"-",IF(LanGlo1LevelDesired&lt;$B112,"-",$D112))</f>
        <v>-</v>
      </c>
      <c r="W112" s="21" t="str">
        <f t="shared" ref="W112" si="7785">IF(LanGlo1LevelCurrent&gt;=$B112,"-",IF(LanGlo1LevelDesired&lt;$B112,"-",$E112))</f>
        <v>-</v>
      </c>
      <c r="X112" s="15" t="str">
        <f t="shared" ref="X112" si="7786">IF(LanBel1LevelCurrent&gt;=$B112,"-",IF(LanBel1LevelDesired&lt;$B112,"-",$C112))</f>
        <v>-</v>
      </c>
      <c r="Y112" s="1" t="str">
        <f t="shared" ref="Y112" si="7787">IF(LanBel1LevelCurrent&gt;=$B112,"-",IF(LanBel1LevelDesired&lt;$B112,"-",$D112))</f>
        <v>-</v>
      </c>
      <c r="Z112" s="21" t="str">
        <f t="shared" ref="Z112" si="7788">IF(LanBel1LevelCurrent&gt;=$B112,"-",IF(LanBel1LevelDesired&lt;$B112,"-",$E112))</f>
        <v>-</v>
      </c>
      <c r="AA112" s="15" t="str">
        <f t="shared" ref="AA112" si="7789">IF(LanBoo1LevelCurrent&gt;=$B112,"-",IF(LanBoo1LevelDesired&lt;$B112,"-",$C112))</f>
        <v>-</v>
      </c>
      <c r="AB112" s="1" t="str">
        <f t="shared" ref="AB112" si="7790">IF(LanBoo1LevelCurrent&gt;=$B112,"-",IF(LanBoo1LevelDesired&lt;$B112,"-",$D112))</f>
        <v>-</v>
      </c>
      <c r="AC112" s="21" t="str">
        <f t="shared" ref="AC112" si="7791">IF(LanBoo1LevelCurrent&gt;=$B112,"-",IF(LanBoo1LevelDesired&lt;$B112,"-",$E112))</f>
        <v>-</v>
      </c>
      <c r="AD112" s="15" t="str">
        <f t="shared" ref="AD112" si="7792">IF(MarGog1LevelCurrent&gt;=$B112,"-",IF(MarGog1LevelDesired&lt;$B112,"-",$C112))</f>
        <v>-</v>
      </c>
      <c r="AE112" s="1" t="str">
        <f t="shared" ref="AE112" si="7793">IF(MarGog1LevelCurrent&gt;=$B112,"-",IF(MarGog1LevelDesired&lt;$B112,"-",$D112))</f>
        <v>-</v>
      </c>
      <c r="AF112" s="21" t="str">
        <f t="shared" ref="AF112" si="7794">IF(MarGog1LevelCurrent&gt;=$B112,"-",IF(MarGog1LevelDesired&lt;$B112,"-",$E112))</f>
        <v>-</v>
      </c>
      <c r="AG112" s="15" t="str">
        <f t="shared" ref="AG112" si="7795">IF(MarGlo1LevelCurrent&gt;=$B112,"-",IF(MarGlo1LevelDesired&lt;$B112,"-",$C112))</f>
        <v>-</v>
      </c>
      <c r="AH112" s="1" t="str">
        <f t="shared" ref="AH112" si="7796">IF(MarGlo1LevelCurrent&gt;=$B112,"-",IF(MarGlo1LevelDesired&lt;$B112,"-",$D112))</f>
        <v>-</v>
      </c>
      <c r="AI112" s="21" t="str">
        <f t="shared" ref="AI112" si="7797">IF(MarGlo1LevelCurrent&gt;=$B112,"-",IF(MarGlo1LevelDesired&lt;$B112,"-",$E112))</f>
        <v>-</v>
      </c>
      <c r="AJ112" s="15" t="str">
        <f t="shared" ref="AJ112" si="7798">IF(MarBel1LevelCurrent&gt;=$B112,"-",IF(MarBel1LevelDesired&lt;$B112,"-",$C112))</f>
        <v>-</v>
      </c>
      <c r="AK112" s="1" t="str">
        <f t="shared" ref="AK112" si="7799">IF(MarBel1LevelCurrent&gt;=$B112,"-",IF(MarBel1LevelDesired&lt;$B112,"-",$D112))</f>
        <v>-</v>
      </c>
      <c r="AL112" s="21" t="str">
        <f t="shared" ref="AL112" si="7800">IF(MarBel1LevelCurrent&gt;=$B112,"-",IF(MarBel1LevelDesired&lt;$B112,"-",$E112))</f>
        <v>-</v>
      </c>
      <c r="AM112" s="15" t="str">
        <f t="shared" ref="AM112" si="7801">IF(MarBoo1LevelCurrent&gt;=$B112,"-",IF(MarBoo1LevelDesired&lt;$B112,"-",$C112))</f>
        <v>-</v>
      </c>
      <c r="AN112" s="1" t="str">
        <f t="shared" ref="AN112" si="7802">IF(MarBoo1LevelCurrent&gt;=$B112,"-",IF(MarBoo1LevelDesired&lt;$B112,"-",$D112))</f>
        <v>-</v>
      </c>
      <c r="AO112" s="21" t="str">
        <f t="shared" ref="AO112" si="7803">IF(MarBoo1LevelCurrent&gt;=$B112,"-",IF(MarBoo1LevelDesired&lt;$B112,"-",$E112))</f>
        <v>-</v>
      </c>
      <c r="AP112" s="15" t="str">
        <f t="shared" ref="AP112" si="7804">IF(InfGog2LevelCurrent&gt;=$B112,"-",IF(InfGog2LevelDesired&lt;$B112,"-",$C112))</f>
        <v>-</v>
      </c>
      <c r="AQ112" s="1" t="str">
        <f t="shared" ref="AQ112" si="7805">IF(InfGog2LevelCurrent&gt;=$B112,"-",IF(InfGog2LevelDesired&lt;$B112,"-",$D112))</f>
        <v>-</v>
      </c>
      <c r="AR112" s="21" t="str">
        <f t="shared" ref="AR112" si="7806">IF(InfGog2LevelCurrent&gt;=$B112,"-",IF(InfGog2LevelDesired&lt;$B112,"-",$E112))</f>
        <v>-</v>
      </c>
      <c r="AS112" s="15" t="str">
        <f t="shared" ref="AS112" si="7807">IF(InfGlo2LevelCurrent&gt;=$B112,"-",IF(InfGlo2LevelDesired&lt;$B112,"-",$C112))</f>
        <v>-</v>
      </c>
      <c r="AT112" s="1" t="str">
        <f t="shared" ref="AT112" si="7808">IF(InfGlo2LevelCurrent&gt;=$B112,"-",IF(InfGlo2LevelDesired&lt;$B112,"-",$D112))</f>
        <v>-</v>
      </c>
      <c r="AU112" s="21" t="str">
        <f t="shared" ref="AU112" si="7809">IF(InfGlo2LevelCurrent&gt;=$B112,"-",IF(InfGlo2LevelDesired&lt;$B112,"-",$E112))</f>
        <v>-</v>
      </c>
      <c r="AV112" s="15" t="str">
        <f t="shared" ref="AV112" si="7810">IF(InfBel2LevelCurrent&gt;=$B112,"-",IF(InfBel2LevelDesired&lt;$B112,"-",$C112))</f>
        <v>-</v>
      </c>
      <c r="AW112" s="1" t="str">
        <f t="shared" ref="AW112" si="7811">IF(InfBel2LevelCurrent&gt;=$B112,"-",IF(InfBel2LevelDesired&lt;$B112,"-",$D112))</f>
        <v>-</v>
      </c>
      <c r="AX112" s="21" t="str">
        <f t="shared" ref="AX112" si="7812">IF(InfBel2LevelCurrent&gt;=$B112,"-",IF(InfBel2LevelDesired&lt;$B112,"-",$E112))</f>
        <v>-</v>
      </c>
      <c r="AY112" s="15" t="str">
        <f t="shared" ref="AY112" si="7813">IF(InfBoo2LevelCurrent&gt;=$B112,"-",IF(InfBoo2LevelDesired&lt;$B112,"-",$C112))</f>
        <v>-</v>
      </c>
      <c r="AZ112" s="1" t="str">
        <f t="shared" ref="AZ112" si="7814">IF(InfBoo2LevelCurrent&gt;=$B112,"-",IF(InfBoo2LevelDesired&lt;$B112,"-",$D112))</f>
        <v>-</v>
      </c>
      <c r="BA112" s="21" t="str">
        <f t="shared" ref="BA112" si="7815">IF(InfBoo2LevelCurrent&gt;=$B112,"-",IF(InfBoo2LevelDesired&lt;$B112,"-",$E112))</f>
        <v>-</v>
      </c>
      <c r="BB112" s="15" t="str">
        <f t="shared" ref="BB112" si="7816">IF(LanGog2LevelCurrent&gt;=$B112,"-",IF(LanGog2LevelDesired&lt;$B112,"-",$C112))</f>
        <v>-</v>
      </c>
      <c r="BC112" s="1" t="str">
        <f t="shared" ref="BC112" si="7817">IF(LanGog2LevelCurrent&gt;=$B112,"-",IF(LanGog2LevelDesired&lt;$B112,"-",$D112))</f>
        <v>-</v>
      </c>
      <c r="BD112" s="21" t="str">
        <f t="shared" ref="BD112" si="7818">IF(LanGog2LevelCurrent&gt;=$B112,"-",IF(LanGog2LevelDesired&lt;$B112,"-",$E112))</f>
        <v>-</v>
      </c>
      <c r="BE112" s="15" t="str">
        <f t="shared" ref="BE112" si="7819">IF(LanGlo2LevelCurrent&gt;=$B112,"-",IF(LanGlo2LevelDesired&lt;$B112,"-",$C112))</f>
        <v>-</v>
      </c>
      <c r="BF112" s="1" t="str">
        <f t="shared" ref="BF112" si="7820">IF(LanGlo2LevelCurrent&gt;=$B112,"-",IF(LanGlo2LevelDesired&lt;$B112,"-",$D112))</f>
        <v>-</v>
      </c>
      <c r="BG112" s="21" t="str">
        <f t="shared" ref="BG112" si="7821">IF(LanGlo2LevelCurrent&gt;=$B112,"-",IF(LanGlo2LevelDesired&lt;$B112,"-",$E112))</f>
        <v>-</v>
      </c>
      <c r="BH112" s="15" t="str">
        <f t="shared" ref="BH112" si="7822">IF(LanBel2LevelCurrent&gt;=$B112,"-",IF(LanBel2LevelDesired&lt;$B112,"-",$C112))</f>
        <v>-</v>
      </c>
      <c r="BI112" s="1" t="str">
        <f t="shared" ref="BI112" si="7823">IF(LanBel2LevelCurrent&gt;=$B112,"-",IF(LanBel2LevelDesired&lt;$B112,"-",$D112))</f>
        <v>-</v>
      </c>
      <c r="BJ112" s="21" t="str">
        <f t="shared" ref="BJ112" si="7824">IF(LanBel2LevelCurrent&gt;=$B112,"-",IF(LanBel2LevelDesired&lt;$B112,"-",$E112))</f>
        <v>-</v>
      </c>
      <c r="BK112" s="15" t="str">
        <f t="shared" ref="BK112" si="7825">IF(LanBoo2LevelCurrent&gt;=$B112,"-",IF(LanBoo2LevelDesired&lt;$B112,"-",$C112))</f>
        <v>-</v>
      </c>
      <c r="BL112" s="1" t="str">
        <f t="shared" ref="BL112" si="7826">IF(LanBoo2LevelCurrent&gt;=$B112,"-",IF(LanBoo2LevelDesired&lt;$B112,"-",$D112))</f>
        <v>-</v>
      </c>
      <c r="BM112" s="21" t="str">
        <f t="shared" ref="BM112" si="7827">IF(LanBoo2LevelCurrent&gt;=$B112,"-",IF(LanBoo2LevelDesired&lt;$B112,"-",$E112))</f>
        <v>-</v>
      </c>
      <c r="BN112" s="15" t="str">
        <f t="shared" ref="BN112" si="7828">IF(MarGog2LevelCurrent&gt;=$B112,"-",IF(MarGog2LevelDesired&lt;$B112,"-",$C112))</f>
        <v>-</v>
      </c>
      <c r="BO112" s="1" t="str">
        <f t="shared" ref="BO112" si="7829">IF(MarGog2LevelCurrent&gt;=$B112,"-",IF(MarGog2LevelDesired&lt;$B112,"-",$D112))</f>
        <v>-</v>
      </c>
      <c r="BP112" s="21" t="str">
        <f t="shared" ref="BP112" si="7830">IF(MarGog2LevelCurrent&gt;=$B112,"-",IF(MarGog2LevelDesired&lt;$B112,"-",$E112))</f>
        <v>-</v>
      </c>
      <c r="BQ112" s="15" t="str">
        <f t="shared" ref="BQ112" si="7831">IF(MarGlo2LevelCurrent&gt;=$B112,"-",IF(MarGlo2LevelDesired&lt;$B112,"-",$C112))</f>
        <v>-</v>
      </c>
      <c r="BR112" s="1" t="str">
        <f t="shared" ref="BR112" si="7832">IF(MarGlo2LevelCurrent&gt;=$B112,"-",IF(MarGlo2LevelDesired&lt;$B112,"-",$D112))</f>
        <v>-</v>
      </c>
      <c r="BS112" s="21" t="str">
        <f t="shared" ref="BS112" si="7833">IF(MarGlo2LevelCurrent&gt;=$B112,"-",IF(MarGlo2LevelDesired&lt;$B112,"-",$E112))</f>
        <v>-</v>
      </c>
      <c r="BT112" s="15" t="str">
        <f t="shared" ref="BT112" si="7834">IF(MarBel2LevelCurrent&gt;=$B112,"-",IF(MarBel2LevelDesired&lt;$B112,"-",$C112))</f>
        <v>-</v>
      </c>
      <c r="BU112" s="1" t="str">
        <f t="shared" ref="BU112" si="7835">IF(MarBel2LevelCurrent&gt;=$B112,"-",IF(MarBel2LevelDesired&lt;$B112,"-",$D112))</f>
        <v>-</v>
      </c>
      <c r="BV112" s="21" t="str">
        <f t="shared" ref="BV112" si="7836">IF(MarBel2LevelCurrent&gt;=$B112,"-",IF(MarBel2LevelDesired&lt;$B112,"-",$E112))</f>
        <v>-</v>
      </c>
      <c r="BW112" s="15" t="str">
        <f t="shared" ref="BW112" si="7837">IF(MarBoo2LevelCurrent&gt;=$B112,"-",IF(MarBoo2LevelDesired&lt;$B112,"-",$C112))</f>
        <v>-</v>
      </c>
      <c r="BX112" s="1" t="str">
        <f t="shared" ref="BX112" si="7838">IF(MarBoo2LevelCurrent&gt;=$B112,"-",IF(MarBoo2LevelDesired&lt;$B112,"-",$D112))</f>
        <v>-</v>
      </c>
      <c r="BY112" s="21" t="str">
        <f t="shared" ref="BY112" si="7839">IF(MarBoo2LevelCurrent&gt;=$B112,"-",IF(MarBoo2LevelDesired&lt;$B112,"-",$E112))</f>
        <v>-</v>
      </c>
      <c r="BZ112" s="15" t="str">
        <f t="shared" si="7086"/>
        <v>-</v>
      </c>
      <c r="CA112" s="1" t="str" cm="1">
        <f t="array" ref="CA112">IF(InfGog3LevelCurrent&gt;=$B112,"-",IF(InfGog3LevelDesired&lt;$B112,"-",$D112))</f>
        <v>-</v>
      </c>
      <c r="CB112" s="21" t="str" cm="1">
        <f t="array" ref="CB112">IF(InfGog3LevelCurrent&gt;=$B112,"-",IF(InfGog3LevelDesired&lt;$B112,"-",$E112))</f>
        <v>-</v>
      </c>
      <c r="CC112" s="15" t="str">
        <f t="shared" si="7087"/>
        <v>-</v>
      </c>
      <c r="CD112" s="1" t="str">
        <f t="shared" si="7088"/>
        <v>-</v>
      </c>
      <c r="CE112" s="21" t="str">
        <f t="shared" si="7089"/>
        <v>-</v>
      </c>
      <c r="CF112" s="15" t="str">
        <f t="shared" si="7090"/>
        <v>-</v>
      </c>
      <c r="CG112" s="1" t="str">
        <f t="shared" si="7091"/>
        <v>-</v>
      </c>
      <c r="CH112" s="21" t="str">
        <f t="shared" si="7092"/>
        <v>-</v>
      </c>
      <c r="CI112" s="15" t="str">
        <f t="shared" si="7093"/>
        <v>-</v>
      </c>
      <c r="CJ112" s="1" t="str">
        <f t="shared" si="7094"/>
        <v>-</v>
      </c>
      <c r="CK112" s="21" t="str">
        <f t="shared" si="7095"/>
        <v>-</v>
      </c>
      <c r="CL112" s="15" t="str">
        <f t="shared" si="7096"/>
        <v>-</v>
      </c>
      <c r="CM112" s="1" t="str">
        <f t="shared" si="7097"/>
        <v>-</v>
      </c>
      <c r="CN112" s="21" t="str">
        <f t="shared" si="7098"/>
        <v>-</v>
      </c>
      <c r="CO112" s="15" t="str">
        <f t="shared" si="7099"/>
        <v>-</v>
      </c>
      <c r="CP112" s="1" t="str">
        <f t="shared" si="7100"/>
        <v>-</v>
      </c>
      <c r="CQ112" s="21" t="str">
        <f t="shared" si="7101"/>
        <v>-</v>
      </c>
      <c r="CR112" s="15" t="str">
        <f t="shared" si="7102"/>
        <v>-</v>
      </c>
      <c r="CS112" s="1" t="str">
        <f t="shared" si="7103"/>
        <v>-</v>
      </c>
      <c r="CT112" s="21" t="str">
        <f t="shared" si="7104"/>
        <v>-</v>
      </c>
      <c r="CU112" s="15" t="str">
        <f t="shared" si="7105"/>
        <v>-</v>
      </c>
      <c r="CV112" s="1" t="str">
        <f t="shared" si="7106"/>
        <v>-</v>
      </c>
      <c r="CW112" s="21" t="str">
        <f t="shared" si="7107"/>
        <v>-</v>
      </c>
      <c r="CX112" s="15" t="str">
        <f t="shared" si="7108"/>
        <v>-</v>
      </c>
      <c r="CY112" s="1" t="str">
        <f t="shared" si="7109"/>
        <v>-</v>
      </c>
      <c r="CZ112" s="21" t="str">
        <f t="shared" si="7110"/>
        <v>-</v>
      </c>
      <c r="DA112" s="15" t="str">
        <f t="shared" si="7111"/>
        <v>-</v>
      </c>
      <c r="DB112" s="1" t="str">
        <f t="shared" si="7112"/>
        <v>-</v>
      </c>
      <c r="DC112" s="21" t="str">
        <f t="shared" si="7113"/>
        <v>-</v>
      </c>
      <c r="DD112" s="15" t="str">
        <f t="shared" si="7114"/>
        <v>-</v>
      </c>
      <c r="DE112" s="1" t="str">
        <f t="shared" si="7115"/>
        <v>-</v>
      </c>
      <c r="DF112" s="21" t="str">
        <f t="shared" si="7116"/>
        <v>-</v>
      </c>
      <c r="DG112" s="15" t="str">
        <f t="shared" si="7117"/>
        <v>-</v>
      </c>
      <c r="DH112" s="1" t="str">
        <f t="shared" si="7118"/>
        <v>-</v>
      </c>
      <c r="DI112" s="21" t="str">
        <f t="shared" si="7119"/>
        <v>-</v>
      </c>
    </row>
    <row r="113" spans="2:113" x14ac:dyDescent="0.3">
      <c r="B113" s="1">
        <v>108</v>
      </c>
      <c r="C113" s="67">
        <v>2800</v>
      </c>
      <c r="D113" s="88" t="s">
        <v>27</v>
      </c>
      <c r="E113" s="21" t="s">
        <v>27</v>
      </c>
      <c r="F113" s="15" t="str">
        <f t="shared" ref="F113" si="7840">IF(InfGog1LevelCurrent&gt;=$B113,"-",IF(InfGog1LevelDesired&lt;$B113,"-",$C113))</f>
        <v>-</v>
      </c>
      <c r="G113" s="1" t="str">
        <f t="shared" ref="G113" si="7841">IF(InfGog1LevelCurrent&gt;=$B113,"-",IF(InfGog1LevelDesired&lt;$B113,"-",$D113))</f>
        <v>-</v>
      </c>
      <c r="H113" s="21" t="str">
        <f t="shared" ref="H113" si="7842">IF(InfGog1LevelCurrent&gt;=$B113,"-",IF(InfGog1LevelDesired&lt;$B113,"-",$E113))</f>
        <v>-</v>
      </c>
      <c r="I113" s="15" t="str">
        <f t="shared" ref="I113" si="7843">IF(InfGlo1LevelCurrent&gt;=$B113,"-",IF(InfGlo1LevelDesired&lt;$B113,"-",$C113))</f>
        <v>-</v>
      </c>
      <c r="J113" s="1" t="str">
        <f t="shared" ref="J113" si="7844">IF(InfGlo1LevelCurrent&gt;=$B113,"-",IF(InfGlo1LevelDesired&lt;$B113,"-",$D113))</f>
        <v>-</v>
      </c>
      <c r="K113" s="21" t="str">
        <f t="shared" ref="K113" si="7845">IF(InfGlo1LevelCurrent&gt;=$B113,"-",IF(InfGlo1LevelDesired&lt;$B113,"-",$E113))</f>
        <v>-</v>
      </c>
      <c r="L113" s="15" t="str">
        <f t="shared" ref="L113" si="7846">IF(InfBel1LevelCurrent&gt;=$B113,"-",IF(InfBel1LevelDesired&lt;$B113,"-",$C113))</f>
        <v>-</v>
      </c>
      <c r="M113" s="1" t="str">
        <f t="shared" ref="M113" si="7847">IF(InfBel1LevelCurrent&gt;=$B113,"-",IF(InfBel1LevelDesired&lt;$B113,"-",$D113))</f>
        <v>-</v>
      </c>
      <c r="N113" s="21" t="str">
        <f t="shared" ref="N113" si="7848">IF(InfBel1LevelCurrent&gt;=$B113,"-",IF(InfBel1LevelDesired&lt;$B113,"-",$E113))</f>
        <v>-</v>
      </c>
      <c r="O113" s="15" t="str">
        <f t="shared" ref="O113" si="7849">IF(InfBoo1LevelCurrent&gt;=$B113,"-",IF(InfBoo1LevelDesired&lt;$B113,"-",$C113))</f>
        <v>-</v>
      </c>
      <c r="P113" s="1" t="str">
        <f t="shared" ref="P113" si="7850">IF(InfBoo1LevelCurrent&gt;=$B113,"-",IF(InfBoo1LevelDesired&lt;$B113,"-",$D113))</f>
        <v>-</v>
      </c>
      <c r="Q113" s="21" t="str">
        <f t="shared" ref="Q113" si="7851">IF(InfBoo1LevelCurrent&gt;=$B113,"-",IF(InfBoo1LevelDesired&lt;$B113,"-",$E113))</f>
        <v>-</v>
      </c>
      <c r="R113" s="15" t="str">
        <f t="shared" ref="R113" si="7852">IF(LanGog1LevelCurrent&gt;=$B113,"-",IF(LanGog1LevelDesired&lt;$B113,"-",$C113))</f>
        <v>-</v>
      </c>
      <c r="S113" s="1" t="str">
        <f t="shared" ref="S113" si="7853">IF(LanGog1LevelCurrent&gt;=$B113,"-",IF(LanGog1LevelDesired&lt;$B113,"-",$D113))</f>
        <v>-</v>
      </c>
      <c r="T113" s="21" t="str">
        <f t="shared" ref="T113" si="7854">IF(LanGog1LevelCurrent&gt;=$B113,"-",IF(LanGog1LevelDesired&lt;$B113,"-",$E113))</f>
        <v>-</v>
      </c>
      <c r="U113" s="15" t="str">
        <f t="shared" ref="U113" si="7855">IF(LanGlo1LevelCurrent&gt;=$B113,"-",IF(LanGlo1LevelDesired&lt;$B113,"-",$C113))</f>
        <v>-</v>
      </c>
      <c r="V113" s="1" t="str">
        <f t="shared" ref="V113" si="7856">IF(LanGlo1LevelCurrent&gt;=$B113,"-",IF(LanGlo1LevelDesired&lt;$B113,"-",$D113))</f>
        <v>-</v>
      </c>
      <c r="W113" s="21" t="str">
        <f t="shared" ref="W113" si="7857">IF(LanGlo1LevelCurrent&gt;=$B113,"-",IF(LanGlo1LevelDesired&lt;$B113,"-",$E113))</f>
        <v>-</v>
      </c>
      <c r="X113" s="15" t="str">
        <f t="shared" ref="X113" si="7858">IF(LanBel1LevelCurrent&gt;=$B113,"-",IF(LanBel1LevelDesired&lt;$B113,"-",$C113))</f>
        <v>-</v>
      </c>
      <c r="Y113" s="1" t="str">
        <f t="shared" ref="Y113" si="7859">IF(LanBel1LevelCurrent&gt;=$B113,"-",IF(LanBel1LevelDesired&lt;$B113,"-",$D113))</f>
        <v>-</v>
      </c>
      <c r="Z113" s="21" t="str">
        <f t="shared" ref="Z113" si="7860">IF(LanBel1LevelCurrent&gt;=$B113,"-",IF(LanBel1LevelDesired&lt;$B113,"-",$E113))</f>
        <v>-</v>
      </c>
      <c r="AA113" s="15" t="str">
        <f t="shared" ref="AA113" si="7861">IF(LanBoo1LevelCurrent&gt;=$B113,"-",IF(LanBoo1LevelDesired&lt;$B113,"-",$C113))</f>
        <v>-</v>
      </c>
      <c r="AB113" s="1" t="str">
        <f t="shared" ref="AB113" si="7862">IF(LanBoo1LevelCurrent&gt;=$B113,"-",IF(LanBoo1LevelDesired&lt;$B113,"-",$D113))</f>
        <v>-</v>
      </c>
      <c r="AC113" s="21" t="str">
        <f t="shared" ref="AC113" si="7863">IF(LanBoo1LevelCurrent&gt;=$B113,"-",IF(LanBoo1LevelDesired&lt;$B113,"-",$E113))</f>
        <v>-</v>
      </c>
      <c r="AD113" s="15" t="str">
        <f t="shared" ref="AD113" si="7864">IF(MarGog1LevelCurrent&gt;=$B113,"-",IF(MarGog1LevelDesired&lt;$B113,"-",$C113))</f>
        <v>-</v>
      </c>
      <c r="AE113" s="1" t="str">
        <f t="shared" ref="AE113" si="7865">IF(MarGog1LevelCurrent&gt;=$B113,"-",IF(MarGog1LevelDesired&lt;$B113,"-",$D113))</f>
        <v>-</v>
      </c>
      <c r="AF113" s="21" t="str">
        <f t="shared" ref="AF113" si="7866">IF(MarGog1LevelCurrent&gt;=$B113,"-",IF(MarGog1LevelDesired&lt;$B113,"-",$E113))</f>
        <v>-</v>
      </c>
      <c r="AG113" s="15" t="str">
        <f t="shared" ref="AG113" si="7867">IF(MarGlo1LevelCurrent&gt;=$B113,"-",IF(MarGlo1LevelDesired&lt;$B113,"-",$C113))</f>
        <v>-</v>
      </c>
      <c r="AH113" s="1" t="str">
        <f t="shared" ref="AH113" si="7868">IF(MarGlo1LevelCurrent&gt;=$B113,"-",IF(MarGlo1LevelDesired&lt;$B113,"-",$D113))</f>
        <v>-</v>
      </c>
      <c r="AI113" s="21" t="str">
        <f t="shared" ref="AI113" si="7869">IF(MarGlo1LevelCurrent&gt;=$B113,"-",IF(MarGlo1LevelDesired&lt;$B113,"-",$E113))</f>
        <v>-</v>
      </c>
      <c r="AJ113" s="15" t="str">
        <f t="shared" ref="AJ113" si="7870">IF(MarBel1LevelCurrent&gt;=$B113,"-",IF(MarBel1LevelDesired&lt;$B113,"-",$C113))</f>
        <v>-</v>
      </c>
      <c r="AK113" s="1" t="str">
        <f t="shared" ref="AK113" si="7871">IF(MarBel1LevelCurrent&gt;=$B113,"-",IF(MarBel1LevelDesired&lt;$B113,"-",$D113))</f>
        <v>-</v>
      </c>
      <c r="AL113" s="21" t="str">
        <f t="shared" ref="AL113" si="7872">IF(MarBel1LevelCurrent&gt;=$B113,"-",IF(MarBel1LevelDesired&lt;$B113,"-",$E113))</f>
        <v>-</v>
      </c>
      <c r="AM113" s="15" t="str">
        <f t="shared" ref="AM113" si="7873">IF(MarBoo1LevelCurrent&gt;=$B113,"-",IF(MarBoo1LevelDesired&lt;$B113,"-",$C113))</f>
        <v>-</v>
      </c>
      <c r="AN113" s="1" t="str">
        <f t="shared" ref="AN113" si="7874">IF(MarBoo1LevelCurrent&gt;=$B113,"-",IF(MarBoo1LevelDesired&lt;$B113,"-",$D113))</f>
        <v>-</v>
      </c>
      <c r="AO113" s="21" t="str">
        <f t="shared" ref="AO113" si="7875">IF(MarBoo1LevelCurrent&gt;=$B113,"-",IF(MarBoo1LevelDesired&lt;$B113,"-",$E113))</f>
        <v>-</v>
      </c>
      <c r="AP113" s="15" t="str">
        <f t="shared" ref="AP113" si="7876">IF(InfGog2LevelCurrent&gt;=$B113,"-",IF(InfGog2LevelDesired&lt;$B113,"-",$C113))</f>
        <v>-</v>
      </c>
      <c r="AQ113" s="1" t="str">
        <f t="shared" ref="AQ113" si="7877">IF(InfGog2LevelCurrent&gt;=$B113,"-",IF(InfGog2LevelDesired&lt;$B113,"-",$D113))</f>
        <v>-</v>
      </c>
      <c r="AR113" s="21" t="str">
        <f t="shared" ref="AR113" si="7878">IF(InfGog2LevelCurrent&gt;=$B113,"-",IF(InfGog2LevelDesired&lt;$B113,"-",$E113))</f>
        <v>-</v>
      </c>
      <c r="AS113" s="15" t="str">
        <f t="shared" ref="AS113" si="7879">IF(InfGlo2LevelCurrent&gt;=$B113,"-",IF(InfGlo2LevelDesired&lt;$B113,"-",$C113))</f>
        <v>-</v>
      </c>
      <c r="AT113" s="1" t="str">
        <f t="shared" ref="AT113" si="7880">IF(InfGlo2LevelCurrent&gt;=$B113,"-",IF(InfGlo2LevelDesired&lt;$B113,"-",$D113))</f>
        <v>-</v>
      </c>
      <c r="AU113" s="21" t="str">
        <f t="shared" ref="AU113" si="7881">IF(InfGlo2LevelCurrent&gt;=$B113,"-",IF(InfGlo2LevelDesired&lt;$B113,"-",$E113))</f>
        <v>-</v>
      </c>
      <c r="AV113" s="15" t="str">
        <f t="shared" ref="AV113" si="7882">IF(InfBel2LevelCurrent&gt;=$B113,"-",IF(InfBel2LevelDesired&lt;$B113,"-",$C113))</f>
        <v>-</v>
      </c>
      <c r="AW113" s="1" t="str">
        <f t="shared" ref="AW113" si="7883">IF(InfBel2LevelCurrent&gt;=$B113,"-",IF(InfBel2LevelDesired&lt;$B113,"-",$D113))</f>
        <v>-</v>
      </c>
      <c r="AX113" s="21" t="str">
        <f t="shared" ref="AX113" si="7884">IF(InfBel2LevelCurrent&gt;=$B113,"-",IF(InfBel2LevelDesired&lt;$B113,"-",$E113))</f>
        <v>-</v>
      </c>
      <c r="AY113" s="15" t="str">
        <f t="shared" ref="AY113" si="7885">IF(InfBoo2LevelCurrent&gt;=$B113,"-",IF(InfBoo2LevelDesired&lt;$B113,"-",$C113))</f>
        <v>-</v>
      </c>
      <c r="AZ113" s="1" t="str">
        <f t="shared" ref="AZ113" si="7886">IF(InfBoo2LevelCurrent&gt;=$B113,"-",IF(InfBoo2LevelDesired&lt;$B113,"-",$D113))</f>
        <v>-</v>
      </c>
      <c r="BA113" s="21" t="str">
        <f t="shared" ref="BA113" si="7887">IF(InfBoo2LevelCurrent&gt;=$B113,"-",IF(InfBoo2LevelDesired&lt;$B113,"-",$E113))</f>
        <v>-</v>
      </c>
      <c r="BB113" s="15" t="str">
        <f t="shared" ref="BB113" si="7888">IF(LanGog2LevelCurrent&gt;=$B113,"-",IF(LanGog2LevelDesired&lt;$B113,"-",$C113))</f>
        <v>-</v>
      </c>
      <c r="BC113" s="1" t="str">
        <f t="shared" ref="BC113" si="7889">IF(LanGog2LevelCurrent&gt;=$B113,"-",IF(LanGog2LevelDesired&lt;$B113,"-",$D113))</f>
        <v>-</v>
      </c>
      <c r="BD113" s="21" t="str">
        <f t="shared" ref="BD113" si="7890">IF(LanGog2LevelCurrent&gt;=$B113,"-",IF(LanGog2LevelDesired&lt;$B113,"-",$E113))</f>
        <v>-</v>
      </c>
      <c r="BE113" s="15" t="str">
        <f t="shared" ref="BE113" si="7891">IF(LanGlo2LevelCurrent&gt;=$B113,"-",IF(LanGlo2LevelDesired&lt;$B113,"-",$C113))</f>
        <v>-</v>
      </c>
      <c r="BF113" s="1" t="str">
        <f t="shared" ref="BF113" si="7892">IF(LanGlo2LevelCurrent&gt;=$B113,"-",IF(LanGlo2LevelDesired&lt;$B113,"-",$D113))</f>
        <v>-</v>
      </c>
      <c r="BG113" s="21" t="str">
        <f t="shared" ref="BG113" si="7893">IF(LanGlo2LevelCurrent&gt;=$B113,"-",IF(LanGlo2LevelDesired&lt;$B113,"-",$E113))</f>
        <v>-</v>
      </c>
      <c r="BH113" s="15" t="str">
        <f t="shared" ref="BH113" si="7894">IF(LanBel2LevelCurrent&gt;=$B113,"-",IF(LanBel2LevelDesired&lt;$B113,"-",$C113))</f>
        <v>-</v>
      </c>
      <c r="BI113" s="1" t="str">
        <f t="shared" ref="BI113" si="7895">IF(LanBel2LevelCurrent&gt;=$B113,"-",IF(LanBel2LevelDesired&lt;$B113,"-",$D113))</f>
        <v>-</v>
      </c>
      <c r="BJ113" s="21" t="str">
        <f t="shared" ref="BJ113" si="7896">IF(LanBel2LevelCurrent&gt;=$B113,"-",IF(LanBel2LevelDesired&lt;$B113,"-",$E113))</f>
        <v>-</v>
      </c>
      <c r="BK113" s="15" t="str">
        <f t="shared" ref="BK113" si="7897">IF(LanBoo2LevelCurrent&gt;=$B113,"-",IF(LanBoo2LevelDesired&lt;$B113,"-",$C113))</f>
        <v>-</v>
      </c>
      <c r="BL113" s="1" t="str">
        <f t="shared" ref="BL113" si="7898">IF(LanBoo2LevelCurrent&gt;=$B113,"-",IF(LanBoo2LevelDesired&lt;$B113,"-",$D113))</f>
        <v>-</v>
      </c>
      <c r="BM113" s="21" t="str">
        <f t="shared" ref="BM113" si="7899">IF(LanBoo2LevelCurrent&gt;=$B113,"-",IF(LanBoo2LevelDesired&lt;$B113,"-",$E113))</f>
        <v>-</v>
      </c>
      <c r="BN113" s="15" t="str">
        <f t="shared" ref="BN113" si="7900">IF(MarGog2LevelCurrent&gt;=$B113,"-",IF(MarGog2LevelDesired&lt;$B113,"-",$C113))</f>
        <v>-</v>
      </c>
      <c r="BO113" s="1" t="str">
        <f t="shared" ref="BO113" si="7901">IF(MarGog2LevelCurrent&gt;=$B113,"-",IF(MarGog2LevelDesired&lt;$B113,"-",$D113))</f>
        <v>-</v>
      </c>
      <c r="BP113" s="21" t="str">
        <f t="shared" ref="BP113" si="7902">IF(MarGog2LevelCurrent&gt;=$B113,"-",IF(MarGog2LevelDesired&lt;$B113,"-",$E113))</f>
        <v>-</v>
      </c>
      <c r="BQ113" s="15" t="str">
        <f t="shared" ref="BQ113" si="7903">IF(MarGlo2LevelCurrent&gt;=$B113,"-",IF(MarGlo2LevelDesired&lt;$B113,"-",$C113))</f>
        <v>-</v>
      </c>
      <c r="BR113" s="1" t="str">
        <f t="shared" ref="BR113" si="7904">IF(MarGlo2LevelCurrent&gt;=$B113,"-",IF(MarGlo2LevelDesired&lt;$B113,"-",$D113))</f>
        <v>-</v>
      </c>
      <c r="BS113" s="21" t="str">
        <f t="shared" ref="BS113" si="7905">IF(MarGlo2LevelCurrent&gt;=$B113,"-",IF(MarGlo2LevelDesired&lt;$B113,"-",$E113))</f>
        <v>-</v>
      </c>
      <c r="BT113" s="15" t="str">
        <f t="shared" ref="BT113" si="7906">IF(MarBel2LevelCurrent&gt;=$B113,"-",IF(MarBel2LevelDesired&lt;$B113,"-",$C113))</f>
        <v>-</v>
      </c>
      <c r="BU113" s="1" t="str">
        <f t="shared" ref="BU113" si="7907">IF(MarBel2LevelCurrent&gt;=$B113,"-",IF(MarBel2LevelDesired&lt;$B113,"-",$D113))</f>
        <v>-</v>
      </c>
      <c r="BV113" s="21" t="str">
        <f t="shared" ref="BV113" si="7908">IF(MarBel2LevelCurrent&gt;=$B113,"-",IF(MarBel2LevelDesired&lt;$B113,"-",$E113))</f>
        <v>-</v>
      </c>
      <c r="BW113" s="15" t="str">
        <f t="shared" ref="BW113" si="7909">IF(MarBoo2LevelCurrent&gt;=$B113,"-",IF(MarBoo2LevelDesired&lt;$B113,"-",$C113))</f>
        <v>-</v>
      </c>
      <c r="BX113" s="1" t="str">
        <f t="shared" ref="BX113" si="7910">IF(MarBoo2LevelCurrent&gt;=$B113,"-",IF(MarBoo2LevelDesired&lt;$B113,"-",$D113))</f>
        <v>-</v>
      </c>
      <c r="BY113" s="21" t="str">
        <f t="shared" ref="BY113" si="7911">IF(MarBoo2LevelCurrent&gt;=$B113,"-",IF(MarBoo2LevelDesired&lt;$B113,"-",$E113))</f>
        <v>-</v>
      </c>
      <c r="BZ113" s="15" t="str">
        <f t="shared" si="7086"/>
        <v>-</v>
      </c>
      <c r="CA113" s="1" t="str" cm="1">
        <f t="array" ref="CA113">IF(InfGog3LevelCurrent&gt;=$B113,"-",IF(InfGog3LevelDesired&lt;$B113,"-",$D113))</f>
        <v>-</v>
      </c>
      <c r="CB113" s="21" t="str" cm="1">
        <f t="array" ref="CB113">IF(InfGog3LevelCurrent&gt;=$B113,"-",IF(InfGog3LevelDesired&lt;$B113,"-",$E113))</f>
        <v>-</v>
      </c>
      <c r="CC113" s="15" t="str">
        <f t="shared" si="7087"/>
        <v>-</v>
      </c>
      <c r="CD113" s="1" t="str">
        <f t="shared" si="7088"/>
        <v>-</v>
      </c>
      <c r="CE113" s="21" t="str">
        <f t="shared" si="7089"/>
        <v>-</v>
      </c>
      <c r="CF113" s="15" t="str">
        <f t="shared" si="7090"/>
        <v>-</v>
      </c>
      <c r="CG113" s="1" t="str">
        <f t="shared" si="7091"/>
        <v>-</v>
      </c>
      <c r="CH113" s="21" t="str">
        <f t="shared" si="7092"/>
        <v>-</v>
      </c>
      <c r="CI113" s="15" t="str">
        <f t="shared" si="7093"/>
        <v>-</v>
      </c>
      <c r="CJ113" s="1" t="str">
        <f t="shared" si="7094"/>
        <v>-</v>
      </c>
      <c r="CK113" s="21" t="str">
        <f t="shared" si="7095"/>
        <v>-</v>
      </c>
      <c r="CL113" s="15" t="str">
        <f t="shared" si="7096"/>
        <v>-</v>
      </c>
      <c r="CM113" s="1" t="str">
        <f t="shared" si="7097"/>
        <v>-</v>
      </c>
      <c r="CN113" s="21" t="str">
        <f t="shared" si="7098"/>
        <v>-</v>
      </c>
      <c r="CO113" s="15" t="str">
        <f t="shared" si="7099"/>
        <v>-</v>
      </c>
      <c r="CP113" s="1" t="str">
        <f t="shared" si="7100"/>
        <v>-</v>
      </c>
      <c r="CQ113" s="21" t="str">
        <f t="shared" si="7101"/>
        <v>-</v>
      </c>
      <c r="CR113" s="15" t="str">
        <f t="shared" si="7102"/>
        <v>-</v>
      </c>
      <c r="CS113" s="1" t="str">
        <f t="shared" si="7103"/>
        <v>-</v>
      </c>
      <c r="CT113" s="21" t="str">
        <f t="shared" si="7104"/>
        <v>-</v>
      </c>
      <c r="CU113" s="15" t="str">
        <f t="shared" si="7105"/>
        <v>-</v>
      </c>
      <c r="CV113" s="1" t="str">
        <f t="shared" si="7106"/>
        <v>-</v>
      </c>
      <c r="CW113" s="21" t="str">
        <f t="shared" si="7107"/>
        <v>-</v>
      </c>
      <c r="CX113" s="15" t="str">
        <f t="shared" si="7108"/>
        <v>-</v>
      </c>
      <c r="CY113" s="1" t="str">
        <f t="shared" si="7109"/>
        <v>-</v>
      </c>
      <c r="CZ113" s="21" t="str">
        <f t="shared" si="7110"/>
        <v>-</v>
      </c>
      <c r="DA113" s="15" t="str">
        <f t="shared" si="7111"/>
        <v>-</v>
      </c>
      <c r="DB113" s="1" t="str">
        <f t="shared" si="7112"/>
        <v>-</v>
      </c>
      <c r="DC113" s="21" t="str">
        <f t="shared" si="7113"/>
        <v>-</v>
      </c>
      <c r="DD113" s="15" t="str">
        <f t="shared" si="7114"/>
        <v>-</v>
      </c>
      <c r="DE113" s="1" t="str">
        <f t="shared" si="7115"/>
        <v>-</v>
      </c>
      <c r="DF113" s="21" t="str">
        <f t="shared" si="7116"/>
        <v>-</v>
      </c>
      <c r="DG113" s="15" t="str">
        <f t="shared" si="7117"/>
        <v>-</v>
      </c>
      <c r="DH113" s="1" t="str">
        <f t="shared" si="7118"/>
        <v>-</v>
      </c>
      <c r="DI113" s="21" t="str">
        <f t="shared" si="7119"/>
        <v>-</v>
      </c>
    </row>
    <row r="114" spans="2:113" x14ac:dyDescent="0.3">
      <c r="B114" s="1">
        <v>109</v>
      </c>
      <c r="C114" s="67">
        <v>2850</v>
      </c>
      <c r="D114" s="88" t="s">
        <v>27</v>
      </c>
      <c r="E114" s="21" t="s">
        <v>27</v>
      </c>
      <c r="F114" s="15" t="str">
        <f t="shared" ref="F114" si="7912">IF(InfGog1LevelCurrent&gt;=$B114,"-",IF(InfGog1LevelDesired&lt;$B114,"-",$C114))</f>
        <v>-</v>
      </c>
      <c r="G114" s="1" t="str">
        <f t="shared" ref="G114" si="7913">IF(InfGog1LevelCurrent&gt;=$B114,"-",IF(InfGog1LevelDesired&lt;$B114,"-",$D114))</f>
        <v>-</v>
      </c>
      <c r="H114" s="21" t="str">
        <f t="shared" ref="H114" si="7914">IF(InfGog1LevelCurrent&gt;=$B114,"-",IF(InfGog1LevelDesired&lt;$B114,"-",$E114))</f>
        <v>-</v>
      </c>
      <c r="I114" s="15" t="str">
        <f t="shared" ref="I114" si="7915">IF(InfGlo1LevelCurrent&gt;=$B114,"-",IF(InfGlo1LevelDesired&lt;$B114,"-",$C114))</f>
        <v>-</v>
      </c>
      <c r="J114" s="1" t="str">
        <f t="shared" ref="J114" si="7916">IF(InfGlo1LevelCurrent&gt;=$B114,"-",IF(InfGlo1LevelDesired&lt;$B114,"-",$D114))</f>
        <v>-</v>
      </c>
      <c r="K114" s="21" t="str">
        <f t="shared" ref="K114" si="7917">IF(InfGlo1LevelCurrent&gt;=$B114,"-",IF(InfGlo1LevelDesired&lt;$B114,"-",$E114))</f>
        <v>-</v>
      </c>
      <c r="L114" s="15" t="str">
        <f t="shared" ref="L114" si="7918">IF(InfBel1LevelCurrent&gt;=$B114,"-",IF(InfBel1LevelDesired&lt;$B114,"-",$C114))</f>
        <v>-</v>
      </c>
      <c r="M114" s="1" t="str">
        <f t="shared" ref="M114" si="7919">IF(InfBel1LevelCurrent&gt;=$B114,"-",IF(InfBel1LevelDesired&lt;$B114,"-",$D114))</f>
        <v>-</v>
      </c>
      <c r="N114" s="21" t="str">
        <f t="shared" ref="N114" si="7920">IF(InfBel1LevelCurrent&gt;=$B114,"-",IF(InfBel1LevelDesired&lt;$B114,"-",$E114))</f>
        <v>-</v>
      </c>
      <c r="O114" s="15" t="str">
        <f t="shared" ref="O114" si="7921">IF(InfBoo1LevelCurrent&gt;=$B114,"-",IF(InfBoo1LevelDesired&lt;$B114,"-",$C114))</f>
        <v>-</v>
      </c>
      <c r="P114" s="1" t="str">
        <f t="shared" ref="P114" si="7922">IF(InfBoo1LevelCurrent&gt;=$B114,"-",IF(InfBoo1LevelDesired&lt;$B114,"-",$D114))</f>
        <v>-</v>
      </c>
      <c r="Q114" s="21" t="str">
        <f t="shared" ref="Q114" si="7923">IF(InfBoo1LevelCurrent&gt;=$B114,"-",IF(InfBoo1LevelDesired&lt;$B114,"-",$E114))</f>
        <v>-</v>
      </c>
      <c r="R114" s="15" t="str">
        <f t="shared" ref="R114" si="7924">IF(LanGog1LevelCurrent&gt;=$B114,"-",IF(LanGog1LevelDesired&lt;$B114,"-",$C114))</f>
        <v>-</v>
      </c>
      <c r="S114" s="1" t="str">
        <f t="shared" ref="S114" si="7925">IF(LanGog1LevelCurrent&gt;=$B114,"-",IF(LanGog1LevelDesired&lt;$B114,"-",$D114))</f>
        <v>-</v>
      </c>
      <c r="T114" s="21" t="str">
        <f t="shared" ref="T114" si="7926">IF(LanGog1LevelCurrent&gt;=$B114,"-",IF(LanGog1LevelDesired&lt;$B114,"-",$E114))</f>
        <v>-</v>
      </c>
      <c r="U114" s="15" t="str">
        <f t="shared" ref="U114" si="7927">IF(LanGlo1LevelCurrent&gt;=$B114,"-",IF(LanGlo1LevelDesired&lt;$B114,"-",$C114))</f>
        <v>-</v>
      </c>
      <c r="V114" s="1" t="str">
        <f t="shared" ref="V114" si="7928">IF(LanGlo1LevelCurrent&gt;=$B114,"-",IF(LanGlo1LevelDesired&lt;$B114,"-",$D114))</f>
        <v>-</v>
      </c>
      <c r="W114" s="21" t="str">
        <f t="shared" ref="W114" si="7929">IF(LanGlo1LevelCurrent&gt;=$B114,"-",IF(LanGlo1LevelDesired&lt;$B114,"-",$E114))</f>
        <v>-</v>
      </c>
      <c r="X114" s="15" t="str">
        <f t="shared" ref="X114" si="7930">IF(LanBel1LevelCurrent&gt;=$B114,"-",IF(LanBel1LevelDesired&lt;$B114,"-",$C114))</f>
        <v>-</v>
      </c>
      <c r="Y114" s="1" t="str">
        <f t="shared" ref="Y114" si="7931">IF(LanBel1LevelCurrent&gt;=$B114,"-",IF(LanBel1LevelDesired&lt;$B114,"-",$D114))</f>
        <v>-</v>
      </c>
      <c r="Z114" s="21" t="str">
        <f t="shared" ref="Z114" si="7932">IF(LanBel1LevelCurrent&gt;=$B114,"-",IF(LanBel1LevelDesired&lt;$B114,"-",$E114))</f>
        <v>-</v>
      </c>
      <c r="AA114" s="15" t="str">
        <f t="shared" ref="AA114" si="7933">IF(LanBoo1LevelCurrent&gt;=$B114,"-",IF(LanBoo1LevelDesired&lt;$B114,"-",$C114))</f>
        <v>-</v>
      </c>
      <c r="AB114" s="1" t="str">
        <f t="shared" ref="AB114" si="7934">IF(LanBoo1LevelCurrent&gt;=$B114,"-",IF(LanBoo1LevelDesired&lt;$B114,"-",$D114))</f>
        <v>-</v>
      </c>
      <c r="AC114" s="21" t="str">
        <f t="shared" ref="AC114" si="7935">IF(LanBoo1LevelCurrent&gt;=$B114,"-",IF(LanBoo1LevelDesired&lt;$B114,"-",$E114))</f>
        <v>-</v>
      </c>
      <c r="AD114" s="15" t="str">
        <f t="shared" ref="AD114" si="7936">IF(MarGog1LevelCurrent&gt;=$B114,"-",IF(MarGog1LevelDesired&lt;$B114,"-",$C114))</f>
        <v>-</v>
      </c>
      <c r="AE114" s="1" t="str">
        <f t="shared" ref="AE114" si="7937">IF(MarGog1LevelCurrent&gt;=$B114,"-",IF(MarGog1LevelDesired&lt;$B114,"-",$D114))</f>
        <v>-</v>
      </c>
      <c r="AF114" s="21" t="str">
        <f t="shared" ref="AF114" si="7938">IF(MarGog1LevelCurrent&gt;=$B114,"-",IF(MarGog1LevelDesired&lt;$B114,"-",$E114))</f>
        <v>-</v>
      </c>
      <c r="AG114" s="15" t="str">
        <f t="shared" ref="AG114" si="7939">IF(MarGlo1LevelCurrent&gt;=$B114,"-",IF(MarGlo1LevelDesired&lt;$B114,"-",$C114))</f>
        <v>-</v>
      </c>
      <c r="AH114" s="1" t="str">
        <f t="shared" ref="AH114" si="7940">IF(MarGlo1LevelCurrent&gt;=$B114,"-",IF(MarGlo1LevelDesired&lt;$B114,"-",$D114))</f>
        <v>-</v>
      </c>
      <c r="AI114" s="21" t="str">
        <f t="shared" ref="AI114" si="7941">IF(MarGlo1LevelCurrent&gt;=$B114,"-",IF(MarGlo1LevelDesired&lt;$B114,"-",$E114))</f>
        <v>-</v>
      </c>
      <c r="AJ114" s="15" t="str">
        <f t="shared" ref="AJ114" si="7942">IF(MarBel1LevelCurrent&gt;=$B114,"-",IF(MarBel1LevelDesired&lt;$B114,"-",$C114))</f>
        <v>-</v>
      </c>
      <c r="AK114" s="1" t="str">
        <f t="shared" ref="AK114" si="7943">IF(MarBel1LevelCurrent&gt;=$B114,"-",IF(MarBel1LevelDesired&lt;$B114,"-",$D114))</f>
        <v>-</v>
      </c>
      <c r="AL114" s="21" t="str">
        <f t="shared" ref="AL114" si="7944">IF(MarBel1LevelCurrent&gt;=$B114,"-",IF(MarBel1LevelDesired&lt;$B114,"-",$E114))</f>
        <v>-</v>
      </c>
      <c r="AM114" s="15" t="str">
        <f t="shared" ref="AM114" si="7945">IF(MarBoo1LevelCurrent&gt;=$B114,"-",IF(MarBoo1LevelDesired&lt;$B114,"-",$C114))</f>
        <v>-</v>
      </c>
      <c r="AN114" s="1" t="str">
        <f t="shared" ref="AN114" si="7946">IF(MarBoo1LevelCurrent&gt;=$B114,"-",IF(MarBoo1LevelDesired&lt;$B114,"-",$D114))</f>
        <v>-</v>
      </c>
      <c r="AO114" s="21" t="str">
        <f t="shared" ref="AO114" si="7947">IF(MarBoo1LevelCurrent&gt;=$B114,"-",IF(MarBoo1LevelDesired&lt;$B114,"-",$E114))</f>
        <v>-</v>
      </c>
      <c r="AP114" s="15" t="str">
        <f t="shared" ref="AP114" si="7948">IF(InfGog2LevelCurrent&gt;=$B114,"-",IF(InfGog2LevelDesired&lt;$B114,"-",$C114))</f>
        <v>-</v>
      </c>
      <c r="AQ114" s="1" t="str">
        <f t="shared" ref="AQ114" si="7949">IF(InfGog2LevelCurrent&gt;=$B114,"-",IF(InfGog2LevelDesired&lt;$B114,"-",$D114))</f>
        <v>-</v>
      </c>
      <c r="AR114" s="21" t="str">
        <f t="shared" ref="AR114" si="7950">IF(InfGog2LevelCurrent&gt;=$B114,"-",IF(InfGog2LevelDesired&lt;$B114,"-",$E114))</f>
        <v>-</v>
      </c>
      <c r="AS114" s="15" t="str">
        <f t="shared" ref="AS114" si="7951">IF(InfGlo2LevelCurrent&gt;=$B114,"-",IF(InfGlo2LevelDesired&lt;$B114,"-",$C114))</f>
        <v>-</v>
      </c>
      <c r="AT114" s="1" t="str">
        <f t="shared" ref="AT114" si="7952">IF(InfGlo2LevelCurrent&gt;=$B114,"-",IF(InfGlo2LevelDesired&lt;$B114,"-",$D114))</f>
        <v>-</v>
      </c>
      <c r="AU114" s="21" t="str">
        <f t="shared" ref="AU114" si="7953">IF(InfGlo2LevelCurrent&gt;=$B114,"-",IF(InfGlo2LevelDesired&lt;$B114,"-",$E114))</f>
        <v>-</v>
      </c>
      <c r="AV114" s="15" t="str">
        <f t="shared" ref="AV114" si="7954">IF(InfBel2LevelCurrent&gt;=$B114,"-",IF(InfBel2LevelDesired&lt;$B114,"-",$C114))</f>
        <v>-</v>
      </c>
      <c r="AW114" s="1" t="str">
        <f t="shared" ref="AW114" si="7955">IF(InfBel2LevelCurrent&gt;=$B114,"-",IF(InfBel2LevelDesired&lt;$B114,"-",$D114))</f>
        <v>-</v>
      </c>
      <c r="AX114" s="21" t="str">
        <f t="shared" ref="AX114" si="7956">IF(InfBel2LevelCurrent&gt;=$B114,"-",IF(InfBel2LevelDesired&lt;$B114,"-",$E114))</f>
        <v>-</v>
      </c>
      <c r="AY114" s="15" t="str">
        <f t="shared" ref="AY114" si="7957">IF(InfBoo2LevelCurrent&gt;=$B114,"-",IF(InfBoo2LevelDesired&lt;$B114,"-",$C114))</f>
        <v>-</v>
      </c>
      <c r="AZ114" s="1" t="str">
        <f t="shared" ref="AZ114" si="7958">IF(InfBoo2LevelCurrent&gt;=$B114,"-",IF(InfBoo2LevelDesired&lt;$B114,"-",$D114))</f>
        <v>-</v>
      </c>
      <c r="BA114" s="21" t="str">
        <f t="shared" ref="BA114" si="7959">IF(InfBoo2LevelCurrent&gt;=$B114,"-",IF(InfBoo2LevelDesired&lt;$B114,"-",$E114))</f>
        <v>-</v>
      </c>
      <c r="BB114" s="15" t="str">
        <f t="shared" ref="BB114" si="7960">IF(LanGog2LevelCurrent&gt;=$B114,"-",IF(LanGog2LevelDesired&lt;$B114,"-",$C114))</f>
        <v>-</v>
      </c>
      <c r="BC114" s="1" t="str">
        <f t="shared" ref="BC114" si="7961">IF(LanGog2LevelCurrent&gt;=$B114,"-",IF(LanGog2LevelDesired&lt;$B114,"-",$D114))</f>
        <v>-</v>
      </c>
      <c r="BD114" s="21" t="str">
        <f t="shared" ref="BD114" si="7962">IF(LanGog2LevelCurrent&gt;=$B114,"-",IF(LanGog2LevelDesired&lt;$B114,"-",$E114))</f>
        <v>-</v>
      </c>
      <c r="BE114" s="15" t="str">
        <f t="shared" ref="BE114" si="7963">IF(LanGlo2LevelCurrent&gt;=$B114,"-",IF(LanGlo2LevelDesired&lt;$B114,"-",$C114))</f>
        <v>-</v>
      </c>
      <c r="BF114" s="1" t="str">
        <f t="shared" ref="BF114" si="7964">IF(LanGlo2LevelCurrent&gt;=$B114,"-",IF(LanGlo2LevelDesired&lt;$B114,"-",$D114))</f>
        <v>-</v>
      </c>
      <c r="BG114" s="21" t="str">
        <f t="shared" ref="BG114" si="7965">IF(LanGlo2LevelCurrent&gt;=$B114,"-",IF(LanGlo2LevelDesired&lt;$B114,"-",$E114))</f>
        <v>-</v>
      </c>
      <c r="BH114" s="15" t="str">
        <f t="shared" ref="BH114" si="7966">IF(LanBel2LevelCurrent&gt;=$B114,"-",IF(LanBel2LevelDesired&lt;$B114,"-",$C114))</f>
        <v>-</v>
      </c>
      <c r="BI114" s="1" t="str">
        <f t="shared" ref="BI114" si="7967">IF(LanBel2LevelCurrent&gt;=$B114,"-",IF(LanBel2LevelDesired&lt;$B114,"-",$D114))</f>
        <v>-</v>
      </c>
      <c r="BJ114" s="21" t="str">
        <f t="shared" ref="BJ114" si="7968">IF(LanBel2LevelCurrent&gt;=$B114,"-",IF(LanBel2LevelDesired&lt;$B114,"-",$E114))</f>
        <v>-</v>
      </c>
      <c r="BK114" s="15" t="str">
        <f t="shared" ref="BK114" si="7969">IF(LanBoo2LevelCurrent&gt;=$B114,"-",IF(LanBoo2LevelDesired&lt;$B114,"-",$C114))</f>
        <v>-</v>
      </c>
      <c r="BL114" s="1" t="str">
        <f t="shared" ref="BL114" si="7970">IF(LanBoo2LevelCurrent&gt;=$B114,"-",IF(LanBoo2LevelDesired&lt;$B114,"-",$D114))</f>
        <v>-</v>
      </c>
      <c r="BM114" s="21" t="str">
        <f t="shared" ref="BM114" si="7971">IF(LanBoo2LevelCurrent&gt;=$B114,"-",IF(LanBoo2LevelDesired&lt;$B114,"-",$E114))</f>
        <v>-</v>
      </c>
      <c r="BN114" s="15" t="str">
        <f t="shared" ref="BN114" si="7972">IF(MarGog2LevelCurrent&gt;=$B114,"-",IF(MarGog2LevelDesired&lt;$B114,"-",$C114))</f>
        <v>-</v>
      </c>
      <c r="BO114" s="1" t="str">
        <f t="shared" ref="BO114" si="7973">IF(MarGog2LevelCurrent&gt;=$B114,"-",IF(MarGog2LevelDesired&lt;$B114,"-",$D114))</f>
        <v>-</v>
      </c>
      <c r="BP114" s="21" t="str">
        <f t="shared" ref="BP114" si="7974">IF(MarGog2LevelCurrent&gt;=$B114,"-",IF(MarGog2LevelDesired&lt;$B114,"-",$E114))</f>
        <v>-</v>
      </c>
      <c r="BQ114" s="15" t="str">
        <f t="shared" ref="BQ114" si="7975">IF(MarGlo2LevelCurrent&gt;=$B114,"-",IF(MarGlo2LevelDesired&lt;$B114,"-",$C114))</f>
        <v>-</v>
      </c>
      <c r="BR114" s="1" t="str">
        <f t="shared" ref="BR114" si="7976">IF(MarGlo2LevelCurrent&gt;=$B114,"-",IF(MarGlo2LevelDesired&lt;$B114,"-",$D114))</f>
        <v>-</v>
      </c>
      <c r="BS114" s="21" t="str">
        <f t="shared" ref="BS114" si="7977">IF(MarGlo2LevelCurrent&gt;=$B114,"-",IF(MarGlo2LevelDesired&lt;$B114,"-",$E114))</f>
        <v>-</v>
      </c>
      <c r="BT114" s="15" t="str">
        <f t="shared" ref="BT114" si="7978">IF(MarBel2LevelCurrent&gt;=$B114,"-",IF(MarBel2LevelDesired&lt;$B114,"-",$C114))</f>
        <v>-</v>
      </c>
      <c r="BU114" s="1" t="str">
        <f t="shared" ref="BU114" si="7979">IF(MarBel2LevelCurrent&gt;=$B114,"-",IF(MarBel2LevelDesired&lt;$B114,"-",$D114))</f>
        <v>-</v>
      </c>
      <c r="BV114" s="21" t="str">
        <f t="shared" ref="BV114" si="7980">IF(MarBel2LevelCurrent&gt;=$B114,"-",IF(MarBel2LevelDesired&lt;$B114,"-",$E114))</f>
        <v>-</v>
      </c>
      <c r="BW114" s="15" t="str">
        <f t="shared" ref="BW114" si="7981">IF(MarBoo2LevelCurrent&gt;=$B114,"-",IF(MarBoo2LevelDesired&lt;$B114,"-",$C114))</f>
        <v>-</v>
      </c>
      <c r="BX114" s="1" t="str">
        <f t="shared" ref="BX114" si="7982">IF(MarBoo2LevelCurrent&gt;=$B114,"-",IF(MarBoo2LevelDesired&lt;$B114,"-",$D114))</f>
        <v>-</v>
      </c>
      <c r="BY114" s="21" t="str">
        <f t="shared" ref="BY114" si="7983">IF(MarBoo2LevelCurrent&gt;=$B114,"-",IF(MarBoo2LevelDesired&lt;$B114,"-",$E114))</f>
        <v>-</v>
      </c>
      <c r="BZ114" s="15" t="str">
        <f t="shared" si="7086"/>
        <v>-</v>
      </c>
      <c r="CA114" s="1" t="str" cm="1">
        <f t="array" ref="CA114">IF(InfGog3LevelCurrent&gt;=$B114,"-",IF(InfGog3LevelDesired&lt;$B114,"-",$D114))</f>
        <v>-</v>
      </c>
      <c r="CB114" s="21" t="str" cm="1">
        <f t="array" ref="CB114">IF(InfGog3LevelCurrent&gt;=$B114,"-",IF(InfGog3LevelDesired&lt;$B114,"-",$E114))</f>
        <v>-</v>
      </c>
      <c r="CC114" s="15" t="str">
        <f t="shared" si="7087"/>
        <v>-</v>
      </c>
      <c r="CD114" s="1" t="str">
        <f t="shared" si="7088"/>
        <v>-</v>
      </c>
      <c r="CE114" s="21" t="str">
        <f t="shared" si="7089"/>
        <v>-</v>
      </c>
      <c r="CF114" s="15" t="str">
        <f t="shared" si="7090"/>
        <v>-</v>
      </c>
      <c r="CG114" s="1" t="str">
        <f t="shared" si="7091"/>
        <v>-</v>
      </c>
      <c r="CH114" s="21" t="str">
        <f t="shared" si="7092"/>
        <v>-</v>
      </c>
      <c r="CI114" s="15" t="str">
        <f t="shared" si="7093"/>
        <v>-</v>
      </c>
      <c r="CJ114" s="1" t="str">
        <f t="shared" si="7094"/>
        <v>-</v>
      </c>
      <c r="CK114" s="21" t="str">
        <f t="shared" si="7095"/>
        <v>-</v>
      </c>
      <c r="CL114" s="15" t="str">
        <f t="shared" si="7096"/>
        <v>-</v>
      </c>
      <c r="CM114" s="1" t="str">
        <f t="shared" si="7097"/>
        <v>-</v>
      </c>
      <c r="CN114" s="21" t="str">
        <f t="shared" si="7098"/>
        <v>-</v>
      </c>
      <c r="CO114" s="15" t="str">
        <f t="shared" si="7099"/>
        <v>-</v>
      </c>
      <c r="CP114" s="1" t="str">
        <f t="shared" si="7100"/>
        <v>-</v>
      </c>
      <c r="CQ114" s="21" t="str">
        <f t="shared" si="7101"/>
        <v>-</v>
      </c>
      <c r="CR114" s="15" t="str">
        <f t="shared" si="7102"/>
        <v>-</v>
      </c>
      <c r="CS114" s="1" t="str">
        <f t="shared" si="7103"/>
        <v>-</v>
      </c>
      <c r="CT114" s="21" t="str">
        <f t="shared" si="7104"/>
        <v>-</v>
      </c>
      <c r="CU114" s="15" t="str">
        <f t="shared" si="7105"/>
        <v>-</v>
      </c>
      <c r="CV114" s="1" t="str">
        <f t="shared" si="7106"/>
        <v>-</v>
      </c>
      <c r="CW114" s="21" t="str">
        <f t="shared" si="7107"/>
        <v>-</v>
      </c>
      <c r="CX114" s="15" t="str">
        <f t="shared" si="7108"/>
        <v>-</v>
      </c>
      <c r="CY114" s="1" t="str">
        <f t="shared" si="7109"/>
        <v>-</v>
      </c>
      <c r="CZ114" s="21" t="str">
        <f t="shared" si="7110"/>
        <v>-</v>
      </c>
      <c r="DA114" s="15" t="str">
        <f t="shared" si="7111"/>
        <v>-</v>
      </c>
      <c r="DB114" s="1" t="str">
        <f t="shared" si="7112"/>
        <v>-</v>
      </c>
      <c r="DC114" s="21" t="str">
        <f t="shared" si="7113"/>
        <v>-</v>
      </c>
      <c r="DD114" s="15" t="str">
        <f t="shared" si="7114"/>
        <v>-</v>
      </c>
      <c r="DE114" s="1" t="str">
        <f t="shared" si="7115"/>
        <v>-</v>
      </c>
      <c r="DF114" s="21" t="str">
        <f t="shared" si="7116"/>
        <v>-</v>
      </c>
      <c r="DG114" s="15" t="str">
        <f t="shared" si="7117"/>
        <v>-</v>
      </c>
      <c r="DH114" s="1" t="str">
        <f t="shared" si="7118"/>
        <v>-</v>
      </c>
      <c r="DI114" s="21" t="str">
        <f t="shared" si="7119"/>
        <v>-</v>
      </c>
    </row>
    <row r="115" spans="2:113" x14ac:dyDescent="0.3">
      <c r="B115" s="1">
        <v>110</v>
      </c>
      <c r="C115" s="67">
        <v>2900</v>
      </c>
      <c r="D115" s="88" t="s">
        <v>27</v>
      </c>
      <c r="E115" s="21" t="s">
        <v>27</v>
      </c>
      <c r="F115" s="15" t="str">
        <f t="shared" ref="F115" si="7984">IF(InfGog1LevelCurrent&gt;=$B115,"-",IF(InfGog1LevelDesired&lt;$B115,"-",$C115))</f>
        <v>-</v>
      </c>
      <c r="G115" s="1" t="str">
        <f t="shared" ref="G115" si="7985">IF(InfGog1LevelCurrent&gt;=$B115,"-",IF(InfGog1LevelDesired&lt;$B115,"-",$D115))</f>
        <v>-</v>
      </c>
      <c r="H115" s="21" t="str">
        <f t="shared" ref="H115" si="7986">IF(InfGog1LevelCurrent&gt;=$B115,"-",IF(InfGog1LevelDesired&lt;$B115,"-",$E115))</f>
        <v>-</v>
      </c>
      <c r="I115" s="15" t="str">
        <f t="shared" ref="I115" si="7987">IF(InfGlo1LevelCurrent&gt;=$B115,"-",IF(InfGlo1LevelDesired&lt;$B115,"-",$C115))</f>
        <v>-</v>
      </c>
      <c r="J115" s="1" t="str">
        <f t="shared" ref="J115" si="7988">IF(InfGlo1LevelCurrent&gt;=$B115,"-",IF(InfGlo1LevelDesired&lt;$B115,"-",$D115))</f>
        <v>-</v>
      </c>
      <c r="K115" s="21" t="str">
        <f t="shared" ref="K115" si="7989">IF(InfGlo1LevelCurrent&gt;=$B115,"-",IF(InfGlo1LevelDesired&lt;$B115,"-",$E115))</f>
        <v>-</v>
      </c>
      <c r="L115" s="15" t="str">
        <f t="shared" ref="L115" si="7990">IF(InfBel1LevelCurrent&gt;=$B115,"-",IF(InfBel1LevelDesired&lt;$B115,"-",$C115))</f>
        <v>-</v>
      </c>
      <c r="M115" s="1" t="str">
        <f t="shared" ref="M115" si="7991">IF(InfBel1LevelCurrent&gt;=$B115,"-",IF(InfBel1LevelDesired&lt;$B115,"-",$D115))</f>
        <v>-</v>
      </c>
      <c r="N115" s="21" t="str">
        <f t="shared" ref="N115" si="7992">IF(InfBel1LevelCurrent&gt;=$B115,"-",IF(InfBel1LevelDesired&lt;$B115,"-",$E115))</f>
        <v>-</v>
      </c>
      <c r="O115" s="15" t="str">
        <f t="shared" ref="O115" si="7993">IF(InfBoo1LevelCurrent&gt;=$B115,"-",IF(InfBoo1LevelDesired&lt;$B115,"-",$C115))</f>
        <v>-</v>
      </c>
      <c r="P115" s="1" t="str">
        <f t="shared" ref="P115" si="7994">IF(InfBoo1LevelCurrent&gt;=$B115,"-",IF(InfBoo1LevelDesired&lt;$B115,"-",$D115))</f>
        <v>-</v>
      </c>
      <c r="Q115" s="21" t="str">
        <f t="shared" ref="Q115" si="7995">IF(InfBoo1LevelCurrent&gt;=$B115,"-",IF(InfBoo1LevelDesired&lt;$B115,"-",$E115))</f>
        <v>-</v>
      </c>
      <c r="R115" s="15" t="str">
        <f t="shared" ref="R115" si="7996">IF(LanGog1LevelCurrent&gt;=$B115,"-",IF(LanGog1LevelDesired&lt;$B115,"-",$C115))</f>
        <v>-</v>
      </c>
      <c r="S115" s="1" t="str">
        <f t="shared" ref="S115" si="7997">IF(LanGog1LevelCurrent&gt;=$B115,"-",IF(LanGog1LevelDesired&lt;$B115,"-",$D115))</f>
        <v>-</v>
      </c>
      <c r="T115" s="21" t="str">
        <f t="shared" ref="T115" si="7998">IF(LanGog1LevelCurrent&gt;=$B115,"-",IF(LanGog1LevelDesired&lt;$B115,"-",$E115))</f>
        <v>-</v>
      </c>
      <c r="U115" s="15" t="str">
        <f t="shared" ref="U115" si="7999">IF(LanGlo1LevelCurrent&gt;=$B115,"-",IF(LanGlo1LevelDesired&lt;$B115,"-",$C115))</f>
        <v>-</v>
      </c>
      <c r="V115" s="1" t="str">
        <f t="shared" ref="V115" si="8000">IF(LanGlo1LevelCurrent&gt;=$B115,"-",IF(LanGlo1LevelDesired&lt;$B115,"-",$D115))</f>
        <v>-</v>
      </c>
      <c r="W115" s="21" t="str">
        <f t="shared" ref="W115" si="8001">IF(LanGlo1LevelCurrent&gt;=$B115,"-",IF(LanGlo1LevelDesired&lt;$B115,"-",$E115))</f>
        <v>-</v>
      </c>
      <c r="X115" s="15" t="str">
        <f t="shared" ref="X115" si="8002">IF(LanBel1LevelCurrent&gt;=$B115,"-",IF(LanBel1LevelDesired&lt;$B115,"-",$C115))</f>
        <v>-</v>
      </c>
      <c r="Y115" s="1" t="str">
        <f t="shared" ref="Y115" si="8003">IF(LanBel1LevelCurrent&gt;=$B115,"-",IF(LanBel1LevelDesired&lt;$B115,"-",$D115))</f>
        <v>-</v>
      </c>
      <c r="Z115" s="21" t="str">
        <f t="shared" ref="Z115" si="8004">IF(LanBel1LevelCurrent&gt;=$B115,"-",IF(LanBel1LevelDesired&lt;$B115,"-",$E115))</f>
        <v>-</v>
      </c>
      <c r="AA115" s="15" t="str">
        <f t="shared" ref="AA115" si="8005">IF(LanBoo1LevelCurrent&gt;=$B115,"-",IF(LanBoo1LevelDesired&lt;$B115,"-",$C115))</f>
        <v>-</v>
      </c>
      <c r="AB115" s="1" t="str">
        <f t="shared" ref="AB115" si="8006">IF(LanBoo1LevelCurrent&gt;=$B115,"-",IF(LanBoo1LevelDesired&lt;$B115,"-",$D115))</f>
        <v>-</v>
      </c>
      <c r="AC115" s="21" t="str">
        <f t="shared" ref="AC115" si="8007">IF(LanBoo1LevelCurrent&gt;=$B115,"-",IF(LanBoo1LevelDesired&lt;$B115,"-",$E115))</f>
        <v>-</v>
      </c>
      <c r="AD115" s="15" t="str">
        <f t="shared" ref="AD115" si="8008">IF(MarGog1LevelCurrent&gt;=$B115,"-",IF(MarGog1LevelDesired&lt;$B115,"-",$C115))</f>
        <v>-</v>
      </c>
      <c r="AE115" s="1" t="str">
        <f t="shared" ref="AE115" si="8009">IF(MarGog1LevelCurrent&gt;=$B115,"-",IF(MarGog1LevelDesired&lt;$B115,"-",$D115))</f>
        <v>-</v>
      </c>
      <c r="AF115" s="21" t="str">
        <f t="shared" ref="AF115" si="8010">IF(MarGog1LevelCurrent&gt;=$B115,"-",IF(MarGog1LevelDesired&lt;$B115,"-",$E115))</f>
        <v>-</v>
      </c>
      <c r="AG115" s="15" t="str">
        <f t="shared" ref="AG115" si="8011">IF(MarGlo1LevelCurrent&gt;=$B115,"-",IF(MarGlo1LevelDesired&lt;$B115,"-",$C115))</f>
        <v>-</v>
      </c>
      <c r="AH115" s="1" t="str">
        <f t="shared" ref="AH115" si="8012">IF(MarGlo1LevelCurrent&gt;=$B115,"-",IF(MarGlo1LevelDesired&lt;$B115,"-",$D115))</f>
        <v>-</v>
      </c>
      <c r="AI115" s="21" t="str">
        <f t="shared" ref="AI115" si="8013">IF(MarGlo1LevelCurrent&gt;=$B115,"-",IF(MarGlo1LevelDesired&lt;$B115,"-",$E115))</f>
        <v>-</v>
      </c>
      <c r="AJ115" s="15" t="str">
        <f t="shared" ref="AJ115" si="8014">IF(MarBel1LevelCurrent&gt;=$B115,"-",IF(MarBel1LevelDesired&lt;$B115,"-",$C115))</f>
        <v>-</v>
      </c>
      <c r="AK115" s="1" t="str">
        <f t="shared" ref="AK115" si="8015">IF(MarBel1LevelCurrent&gt;=$B115,"-",IF(MarBel1LevelDesired&lt;$B115,"-",$D115))</f>
        <v>-</v>
      </c>
      <c r="AL115" s="21" t="str">
        <f t="shared" ref="AL115" si="8016">IF(MarBel1LevelCurrent&gt;=$B115,"-",IF(MarBel1LevelDesired&lt;$B115,"-",$E115))</f>
        <v>-</v>
      </c>
      <c r="AM115" s="15" t="str">
        <f t="shared" ref="AM115" si="8017">IF(MarBoo1LevelCurrent&gt;=$B115,"-",IF(MarBoo1LevelDesired&lt;$B115,"-",$C115))</f>
        <v>-</v>
      </c>
      <c r="AN115" s="1" t="str">
        <f t="shared" ref="AN115" si="8018">IF(MarBoo1LevelCurrent&gt;=$B115,"-",IF(MarBoo1LevelDesired&lt;$B115,"-",$D115))</f>
        <v>-</v>
      </c>
      <c r="AO115" s="21" t="str">
        <f t="shared" ref="AO115" si="8019">IF(MarBoo1LevelCurrent&gt;=$B115,"-",IF(MarBoo1LevelDesired&lt;$B115,"-",$E115))</f>
        <v>-</v>
      </c>
      <c r="AP115" s="15" t="str">
        <f t="shared" ref="AP115" si="8020">IF(InfGog2LevelCurrent&gt;=$B115,"-",IF(InfGog2LevelDesired&lt;$B115,"-",$C115))</f>
        <v>-</v>
      </c>
      <c r="AQ115" s="1" t="str">
        <f t="shared" ref="AQ115" si="8021">IF(InfGog2LevelCurrent&gt;=$B115,"-",IF(InfGog2LevelDesired&lt;$B115,"-",$D115))</f>
        <v>-</v>
      </c>
      <c r="AR115" s="21" t="str">
        <f t="shared" ref="AR115" si="8022">IF(InfGog2LevelCurrent&gt;=$B115,"-",IF(InfGog2LevelDesired&lt;$B115,"-",$E115))</f>
        <v>-</v>
      </c>
      <c r="AS115" s="15" t="str">
        <f t="shared" ref="AS115" si="8023">IF(InfGlo2LevelCurrent&gt;=$B115,"-",IF(InfGlo2LevelDesired&lt;$B115,"-",$C115))</f>
        <v>-</v>
      </c>
      <c r="AT115" s="1" t="str">
        <f t="shared" ref="AT115" si="8024">IF(InfGlo2LevelCurrent&gt;=$B115,"-",IF(InfGlo2LevelDesired&lt;$B115,"-",$D115))</f>
        <v>-</v>
      </c>
      <c r="AU115" s="21" t="str">
        <f t="shared" ref="AU115" si="8025">IF(InfGlo2LevelCurrent&gt;=$B115,"-",IF(InfGlo2LevelDesired&lt;$B115,"-",$E115))</f>
        <v>-</v>
      </c>
      <c r="AV115" s="15" t="str">
        <f t="shared" ref="AV115" si="8026">IF(InfBel2LevelCurrent&gt;=$B115,"-",IF(InfBel2LevelDesired&lt;$B115,"-",$C115))</f>
        <v>-</v>
      </c>
      <c r="AW115" s="1" t="str">
        <f t="shared" ref="AW115" si="8027">IF(InfBel2LevelCurrent&gt;=$B115,"-",IF(InfBel2LevelDesired&lt;$B115,"-",$D115))</f>
        <v>-</v>
      </c>
      <c r="AX115" s="21" t="str">
        <f t="shared" ref="AX115" si="8028">IF(InfBel2LevelCurrent&gt;=$B115,"-",IF(InfBel2LevelDesired&lt;$B115,"-",$E115))</f>
        <v>-</v>
      </c>
      <c r="AY115" s="15" t="str">
        <f t="shared" ref="AY115" si="8029">IF(InfBoo2LevelCurrent&gt;=$B115,"-",IF(InfBoo2LevelDesired&lt;$B115,"-",$C115))</f>
        <v>-</v>
      </c>
      <c r="AZ115" s="1" t="str">
        <f t="shared" ref="AZ115" si="8030">IF(InfBoo2LevelCurrent&gt;=$B115,"-",IF(InfBoo2LevelDesired&lt;$B115,"-",$D115))</f>
        <v>-</v>
      </c>
      <c r="BA115" s="21" t="str">
        <f t="shared" ref="BA115" si="8031">IF(InfBoo2LevelCurrent&gt;=$B115,"-",IF(InfBoo2LevelDesired&lt;$B115,"-",$E115))</f>
        <v>-</v>
      </c>
      <c r="BB115" s="15" t="str">
        <f t="shared" ref="BB115" si="8032">IF(LanGog2LevelCurrent&gt;=$B115,"-",IF(LanGog2LevelDesired&lt;$B115,"-",$C115))</f>
        <v>-</v>
      </c>
      <c r="BC115" s="1" t="str">
        <f t="shared" ref="BC115" si="8033">IF(LanGog2LevelCurrent&gt;=$B115,"-",IF(LanGog2LevelDesired&lt;$B115,"-",$D115))</f>
        <v>-</v>
      </c>
      <c r="BD115" s="21" t="str">
        <f t="shared" ref="BD115" si="8034">IF(LanGog2LevelCurrent&gt;=$B115,"-",IF(LanGog2LevelDesired&lt;$B115,"-",$E115))</f>
        <v>-</v>
      </c>
      <c r="BE115" s="15" t="str">
        <f t="shared" ref="BE115" si="8035">IF(LanGlo2LevelCurrent&gt;=$B115,"-",IF(LanGlo2LevelDesired&lt;$B115,"-",$C115))</f>
        <v>-</v>
      </c>
      <c r="BF115" s="1" t="str">
        <f t="shared" ref="BF115" si="8036">IF(LanGlo2LevelCurrent&gt;=$B115,"-",IF(LanGlo2LevelDesired&lt;$B115,"-",$D115))</f>
        <v>-</v>
      </c>
      <c r="BG115" s="21" t="str">
        <f t="shared" ref="BG115" si="8037">IF(LanGlo2LevelCurrent&gt;=$B115,"-",IF(LanGlo2LevelDesired&lt;$B115,"-",$E115))</f>
        <v>-</v>
      </c>
      <c r="BH115" s="15" t="str">
        <f t="shared" ref="BH115" si="8038">IF(LanBel2LevelCurrent&gt;=$B115,"-",IF(LanBel2LevelDesired&lt;$B115,"-",$C115))</f>
        <v>-</v>
      </c>
      <c r="BI115" s="1" t="str">
        <f t="shared" ref="BI115" si="8039">IF(LanBel2LevelCurrent&gt;=$B115,"-",IF(LanBel2LevelDesired&lt;$B115,"-",$D115))</f>
        <v>-</v>
      </c>
      <c r="BJ115" s="21" t="str">
        <f t="shared" ref="BJ115" si="8040">IF(LanBel2LevelCurrent&gt;=$B115,"-",IF(LanBel2LevelDesired&lt;$B115,"-",$E115))</f>
        <v>-</v>
      </c>
      <c r="BK115" s="15" t="str">
        <f t="shared" ref="BK115" si="8041">IF(LanBoo2LevelCurrent&gt;=$B115,"-",IF(LanBoo2LevelDesired&lt;$B115,"-",$C115))</f>
        <v>-</v>
      </c>
      <c r="BL115" s="1" t="str">
        <f t="shared" ref="BL115" si="8042">IF(LanBoo2LevelCurrent&gt;=$B115,"-",IF(LanBoo2LevelDesired&lt;$B115,"-",$D115))</f>
        <v>-</v>
      </c>
      <c r="BM115" s="21" t="str">
        <f t="shared" ref="BM115" si="8043">IF(LanBoo2LevelCurrent&gt;=$B115,"-",IF(LanBoo2LevelDesired&lt;$B115,"-",$E115))</f>
        <v>-</v>
      </c>
      <c r="BN115" s="15" t="str">
        <f t="shared" ref="BN115" si="8044">IF(MarGog2LevelCurrent&gt;=$B115,"-",IF(MarGog2LevelDesired&lt;$B115,"-",$C115))</f>
        <v>-</v>
      </c>
      <c r="BO115" s="1" t="str">
        <f t="shared" ref="BO115" si="8045">IF(MarGog2LevelCurrent&gt;=$B115,"-",IF(MarGog2LevelDesired&lt;$B115,"-",$D115))</f>
        <v>-</v>
      </c>
      <c r="BP115" s="21" t="str">
        <f t="shared" ref="BP115" si="8046">IF(MarGog2LevelCurrent&gt;=$B115,"-",IF(MarGog2LevelDesired&lt;$B115,"-",$E115))</f>
        <v>-</v>
      </c>
      <c r="BQ115" s="15" t="str">
        <f t="shared" ref="BQ115" si="8047">IF(MarGlo2LevelCurrent&gt;=$B115,"-",IF(MarGlo2LevelDesired&lt;$B115,"-",$C115))</f>
        <v>-</v>
      </c>
      <c r="BR115" s="1" t="str">
        <f t="shared" ref="BR115" si="8048">IF(MarGlo2LevelCurrent&gt;=$B115,"-",IF(MarGlo2LevelDesired&lt;$B115,"-",$D115))</f>
        <v>-</v>
      </c>
      <c r="BS115" s="21" t="str">
        <f t="shared" ref="BS115" si="8049">IF(MarGlo2LevelCurrent&gt;=$B115,"-",IF(MarGlo2LevelDesired&lt;$B115,"-",$E115))</f>
        <v>-</v>
      </c>
      <c r="BT115" s="15" t="str">
        <f t="shared" ref="BT115" si="8050">IF(MarBel2LevelCurrent&gt;=$B115,"-",IF(MarBel2LevelDesired&lt;$B115,"-",$C115))</f>
        <v>-</v>
      </c>
      <c r="BU115" s="1" t="str">
        <f t="shared" ref="BU115" si="8051">IF(MarBel2LevelCurrent&gt;=$B115,"-",IF(MarBel2LevelDesired&lt;$B115,"-",$D115))</f>
        <v>-</v>
      </c>
      <c r="BV115" s="21" t="str">
        <f t="shared" ref="BV115" si="8052">IF(MarBel2LevelCurrent&gt;=$B115,"-",IF(MarBel2LevelDesired&lt;$B115,"-",$E115))</f>
        <v>-</v>
      </c>
      <c r="BW115" s="15" t="str">
        <f t="shared" ref="BW115" si="8053">IF(MarBoo2LevelCurrent&gt;=$B115,"-",IF(MarBoo2LevelDesired&lt;$B115,"-",$C115))</f>
        <v>-</v>
      </c>
      <c r="BX115" s="1" t="str">
        <f t="shared" ref="BX115" si="8054">IF(MarBoo2LevelCurrent&gt;=$B115,"-",IF(MarBoo2LevelDesired&lt;$B115,"-",$D115))</f>
        <v>-</v>
      </c>
      <c r="BY115" s="21" t="str">
        <f t="shared" ref="BY115" si="8055">IF(MarBoo2LevelCurrent&gt;=$B115,"-",IF(MarBoo2LevelDesired&lt;$B115,"-",$E115))</f>
        <v>-</v>
      </c>
      <c r="BZ115" s="15" t="str">
        <f t="shared" si="7086"/>
        <v>-</v>
      </c>
      <c r="CA115" s="1" t="str" cm="1">
        <f t="array" ref="CA115">IF(InfGog3LevelCurrent&gt;=$B115,"-",IF(InfGog3LevelDesired&lt;$B115,"-",$D115))</f>
        <v>-</v>
      </c>
      <c r="CB115" s="21" t="str" cm="1">
        <f t="array" ref="CB115">IF(InfGog3LevelCurrent&gt;=$B115,"-",IF(InfGog3LevelDesired&lt;$B115,"-",$E115))</f>
        <v>-</v>
      </c>
      <c r="CC115" s="15" t="str">
        <f t="shared" si="7087"/>
        <v>-</v>
      </c>
      <c r="CD115" s="1" t="str">
        <f t="shared" si="7088"/>
        <v>-</v>
      </c>
      <c r="CE115" s="21" t="str">
        <f t="shared" si="7089"/>
        <v>-</v>
      </c>
      <c r="CF115" s="15" t="str">
        <f t="shared" si="7090"/>
        <v>-</v>
      </c>
      <c r="CG115" s="1" t="str">
        <f t="shared" si="7091"/>
        <v>-</v>
      </c>
      <c r="CH115" s="21" t="str">
        <f t="shared" si="7092"/>
        <v>-</v>
      </c>
      <c r="CI115" s="15" t="str">
        <f t="shared" si="7093"/>
        <v>-</v>
      </c>
      <c r="CJ115" s="1" t="str">
        <f t="shared" si="7094"/>
        <v>-</v>
      </c>
      <c r="CK115" s="21" t="str">
        <f t="shared" si="7095"/>
        <v>-</v>
      </c>
      <c r="CL115" s="15" t="str">
        <f t="shared" si="7096"/>
        <v>-</v>
      </c>
      <c r="CM115" s="1" t="str">
        <f t="shared" si="7097"/>
        <v>-</v>
      </c>
      <c r="CN115" s="21" t="str">
        <f t="shared" si="7098"/>
        <v>-</v>
      </c>
      <c r="CO115" s="15" t="str">
        <f t="shared" si="7099"/>
        <v>-</v>
      </c>
      <c r="CP115" s="1" t="str">
        <f t="shared" si="7100"/>
        <v>-</v>
      </c>
      <c r="CQ115" s="21" t="str">
        <f t="shared" si="7101"/>
        <v>-</v>
      </c>
      <c r="CR115" s="15" t="str">
        <f t="shared" si="7102"/>
        <v>-</v>
      </c>
      <c r="CS115" s="1" t="str">
        <f t="shared" si="7103"/>
        <v>-</v>
      </c>
      <c r="CT115" s="21" t="str">
        <f t="shared" si="7104"/>
        <v>-</v>
      </c>
      <c r="CU115" s="15" t="str">
        <f t="shared" si="7105"/>
        <v>-</v>
      </c>
      <c r="CV115" s="1" t="str">
        <f t="shared" si="7106"/>
        <v>-</v>
      </c>
      <c r="CW115" s="21" t="str">
        <f t="shared" si="7107"/>
        <v>-</v>
      </c>
      <c r="CX115" s="15" t="str">
        <f t="shared" si="7108"/>
        <v>-</v>
      </c>
      <c r="CY115" s="1" t="str">
        <f t="shared" si="7109"/>
        <v>-</v>
      </c>
      <c r="CZ115" s="21" t="str">
        <f t="shared" si="7110"/>
        <v>-</v>
      </c>
      <c r="DA115" s="15" t="str">
        <f t="shared" si="7111"/>
        <v>-</v>
      </c>
      <c r="DB115" s="1" t="str">
        <f t="shared" si="7112"/>
        <v>-</v>
      </c>
      <c r="DC115" s="21" t="str">
        <f t="shared" si="7113"/>
        <v>-</v>
      </c>
      <c r="DD115" s="15" t="str">
        <f t="shared" si="7114"/>
        <v>-</v>
      </c>
      <c r="DE115" s="1" t="str">
        <f t="shared" si="7115"/>
        <v>-</v>
      </c>
      <c r="DF115" s="21" t="str">
        <f t="shared" si="7116"/>
        <v>-</v>
      </c>
      <c r="DG115" s="15" t="str">
        <f t="shared" si="7117"/>
        <v>-</v>
      </c>
      <c r="DH115" s="1" t="str">
        <f t="shared" si="7118"/>
        <v>-</v>
      </c>
      <c r="DI115" s="21" t="str">
        <f t="shared" si="7119"/>
        <v>-</v>
      </c>
    </row>
    <row r="116" spans="2:113" x14ac:dyDescent="0.3">
      <c r="B116" s="1">
        <v>111</v>
      </c>
      <c r="C116" s="67">
        <v>2950</v>
      </c>
      <c r="D116" s="88" t="s">
        <v>27</v>
      </c>
      <c r="E116" s="21" t="s">
        <v>27</v>
      </c>
      <c r="F116" s="15" t="str">
        <f t="shared" ref="F116" si="8056">IF(InfGog1LevelCurrent&gt;=$B116,"-",IF(InfGog1LevelDesired&lt;$B116,"-",$C116))</f>
        <v>-</v>
      </c>
      <c r="G116" s="1" t="str">
        <f t="shared" ref="G116" si="8057">IF(InfGog1LevelCurrent&gt;=$B116,"-",IF(InfGog1LevelDesired&lt;$B116,"-",$D116))</f>
        <v>-</v>
      </c>
      <c r="H116" s="21" t="str">
        <f t="shared" ref="H116" si="8058">IF(InfGog1LevelCurrent&gt;=$B116,"-",IF(InfGog1LevelDesired&lt;$B116,"-",$E116))</f>
        <v>-</v>
      </c>
      <c r="I116" s="15" t="str">
        <f t="shared" ref="I116" si="8059">IF(InfGlo1LevelCurrent&gt;=$B116,"-",IF(InfGlo1LevelDesired&lt;$B116,"-",$C116))</f>
        <v>-</v>
      </c>
      <c r="J116" s="1" t="str">
        <f t="shared" ref="J116" si="8060">IF(InfGlo1LevelCurrent&gt;=$B116,"-",IF(InfGlo1LevelDesired&lt;$B116,"-",$D116))</f>
        <v>-</v>
      </c>
      <c r="K116" s="21" t="str">
        <f t="shared" ref="K116" si="8061">IF(InfGlo1LevelCurrent&gt;=$B116,"-",IF(InfGlo1LevelDesired&lt;$B116,"-",$E116))</f>
        <v>-</v>
      </c>
      <c r="L116" s="15" t="str">
        <f t="shared" ref="L116" si="8062">IF(InfBel1LevelCurrent&gt;=$B116,"-",IF(InfBel1LevelDesired&lt;$B116,"-",$C116))</f>
        <v>-</v>
      </c>
      <c r="M116" s="1" t="str">
        <f t="shared" ref="M116" si="8063">IF(InfBel1LevelCurrent&gt;=$B116,"-",IF(InfBel1LevelDesired&lt;$B116,"-",$D116))</f>
        <v>-</v>
      </c>
      <c r="N116" s="21" t="str">
        <f t="shared" ref="N116" si="8064">IF(InfBel1LevelCurrent&gt;=$B116,"-",IF(InfBel1LevelDesired&lt;$B116,"-",$E116))</f>
        <v>-</v>
      </c>
      <c r="O116" s="15" t="str">
        <f t="shared" ref="O116" si="8065">IF(InfBoo1LevelCurrent&gt;=$B116,"-",IF(InfBoo1LevelDesired&lt;$B116,"-",$C116))</f>
        <v>-</v>
      </c>
      <c r="P116" s="1" t="str">
        <f t="shared" ref="P116" si="8066">IF(InfBoo1LevelCurrent&gt;=$B116,"-",IF(InfBoo1LevelDesired&lt;$B116,"-",$D116))</f>
        <v>-</v>
      </c>
      <c r="Q116" s="21" t="str">
        <f t="shared" ref="Q116" si="8067">IF(InfBoo1LevelCurrent&gt;=$B116,"-",IF(InfBoo1LevelDesired&lt;$B116,"-",$E116))</f>
        <v>-</v>
      </c>
      <c r="R116" s="15" t="str">
        <f t="shared" ref="R116" si="8068">IF(LanGog1LevelCurrent&gt;=$B116,"-",IF(LanGog1LevelDesired&lt;$B116,"-",$C116))</f>
        <v>-</v>
      </c>
      <c r="S116" s="1" t="str">
        <f t="shared" ref="S116" si="8069">IF(LanGog1LevelCurrent&gt;=$B116,"-",IF(LanGog1LevelDesired&lt;$B116,"-",$D116))</f>
        <v>-</v>
      </c>
      <c r="T116" s="21" t="str">
        <f t="shared" ref="T116" si="8070">IF(LanGog1LevelCurrent&gt;=$B116,"-",IF(LanGog1LevelDesired&lt;$B116,"-",$E116))</f>
        <v>-</v>
      </c>
      <c r="U116" s="15" t="str">
        <f t="shared" ref="U116" si="8071">IF(LanGlo1LevelCurrent&gt;=$B116,"-",IF(LanGlo1LevelDesired&lt;$B116,"-",$C116))</f>
        <v>-</v>
      </c>
      <c r="V116" s="1" t="str">
        <f t="shared" ref="V116" si="8072">IF(LanGlo1LevelCurrent&gt;=$B116,"-",IF(LanGlo1LevelDesired&lt;$B116,"-",$D116))</f>
        <v>-</v>
      </c>
      <c r="W116" s="21" t="str">
        <f t="shared" ref="W116" si="8073">IF(LanGlo1LevelCurrent&gt;=$B116,"-",IF(LanGlo1LevelDesired&lt;$B116,"-",$E116))</f>
        <v>-</v>
      </c>
      <c r="X116" s="15" t="str">
        <f t="shared" ref="X116" si="8074">IF(LanBel1LevelCurrent&gt;=$B116,"-",IF(LanBel1LevelDesired&lt;$B116,"-",$C116))</f>
        <v>-</v>
      </c>
      <c r="Y116" s="1" t="str">
        <f t="shared" ref="Y116" si="8075">IF(LanBel1LevelCurrent&gt;=$B116,"-",IF(LanBel1LevelDesired&lt;$B116,"-",$D116))</f>
        <v>-</v>
      </c>
      <c r="Z116" s="21" t="str">
        <f t="shared" ref="Z116" si="8076">IF(LanBel1LevelCurrent&gt;=$B116,"-",IF(LanBel1LevelDesired&lt;$B116,"-",$E116))</f>
        <v>-</v>
      </c>
      <c r="AA116" s="15" t="str">
        <f t="shared" ref="AA116" si="8077">IF(LanBoo1LevelCurrent&gt;=$B116,"-",IF(LanBoo1LevelDesired&lt;$B116,"-",$C116))</f>
        <v>-</v>
      </c>
      <c r="AB116" s="1" t="str">
        <f t="shared" ref="AB116" si="8078">IF(LanBoo1LevelCurrent&gt;=$B116,"-",IF(LanBoo1LevelDesired&lt;$B116,"-",$D116))</f>
        <v>-</v>
      </c>
      <c r="AC116" s="21" t="str">
        <f t="shared" ref="AC116" si="8079">IF(LanBoo1LevelCurrent&gt;=$B116,"-",IF(LanBoo1LevelDesired&lt;$B116,"-",$E116))</f>
        <v>-</v>
      </c>
      <c r="AD116" s="15" t="str">
        <f t="shared" ref="AD116" si="8080">IF(MarGog1LevelCurrent&gt;=$B116,"-",IF(MarGog1LevelDesired&lt;$B116,"-",$C116))</f>
        <v>-</v>
      </c>
      <c r="AE116" s="1" t="str">
        <f t="shared" ref="AE116" si="8081">IF(MarGog1LevelCurrent&gt;=$B116,"-",IF(MarGog1LevelDesired&lt;$B116,"-",$D116))</f>
        <v>-</v>
      </c>
      <c r="AF116" s="21" t="str">
        <f t="shared" ref="AF116" si="8082">IF(MarGog1LevelCurrent&gt;=$B116,"-",IF(MarGog1LevelDesired&lt;$B116,"-",$E116))</f>
        <v>-</v>
      </c>
      <c r="AG116" s="15" t="str">
        <f t="shared" ref="AG116" si="8083">IF(MarGlo1LevelCurrent&gt;=$B116,"-",IF(MarGlo1LevelDesired&lt;$B116,"-",$C116))</f>
        <v>-</v>
      </c>
      <c r="AH116" s="1" t="str">
        <f t="shared" ref="AH116" si="8084">IF(MarGlo1LevelCurrent&gt;=$B116,"-",IF(MarGlo1LevelDesired&lt;$B116,"-",$D116))</f>
        <v>-</v>
      </c>
      <c r="AI116" s="21" t="str">
        <f t="shared" ref="AI116" si="8085">IF(MarGlo1LevelCurrent&gt;=$B116,"-",IF(MarGlo1LevelDesired&lt;$B116,"-",$E116))</f>
        <v>-</v>
      </c>
      <c r="AJ116" s="15" t="str">
        <f t="shared" ref="AJ116" si="8086">IF(MarBel1LevelCurrent&gt;=$B116,"-",IF(MarBel1LevelDesired&lt;$B116,"-",$C116))</f>
        <v>-</v>
      </c>
      <c r="AK116" s="1" t="str">
        <f t="shared" ref="AK116" si="8087">IF(MarBel1LevelCurrent&gt;=$B116,"-",IF(MarBel1LevelDesired&lt;$B116,"-",$D116))</f>
        <v>-</v>
      </c>
      <c r="AL116" s="21" t="str">
        <f t="shared" ref="AL116" si="8088">IF(MarBel1LevelCurrent&gt;=$B116,"-",IF(MarBel1LevelDesired&lt;$B116,"-",$E116))</f>
        <v>-</v>
      </c>
      <c r="AM116" s="15" t="str">
        <f t="shared" ref="AM116" si="8089">IF(MarBoo1LevelCurrent&gt;=$B116,"-",IF(MarBoo1LevelDesired&lt;$B116,"-",$C116))</f>
        <v>-</v>
      </c>
      <c r="AN116" s="1" t="str">
        <f t="shared" ref="AN116" si="8090">IF(MarBoo1LevelCurrent&gt;=$B116,"-",IF(MarBoo1LevelDesired&lt;$B116,"-",$D116))</f>
        <v>-</v>
      </c>
      <c r="AO116" s="21" t="str">
        <f t="shared" ref="AO116" si="8091">IF(MarBoo1LevelCurrent&gt;=$B116,"-",IF(MarBoo1LevelDesired&lt;$B116,"-",$E116))</f>
        <v>-</v>
      </c>
      <c r="AP116" s="15" t="str">
        <f t="shared" ref="AP116" si="8092">IF(InfGog2LevelCurrent&gt;=$B116,"-",IF(InfGog2LevelDesired&lt;$B116,"-",$C116))</f>
        <v>-</v>
      </c>
      <c r="AQ116" s="1" t="str">
        <f t="shared" ref="AQ116" si="8093">IF(InfGog2LevelCurrent&gt;=$B116,"-",IF(InfGog2LevelDesired&lt;$B116,"-",$D116))</f>
        <v>-</v>
      </c>
      <c r="AR116" s="21" t="str">
        <f t="shared" ref="AR116" si="8094">IF(InfGog2LevelCurrent&gt;=$B116,"-",IF(InfGog2LevelDesired&lt;$B116,"-",$E116))</f>
        <v>-</v>
      </c>
      <c r="AS116" s="15" t="str">
        <f t="shared" ref="AS116" si="8095">IF(InfGlo2LevelCurrent&gt;=$B116,"-",IF(InfGlo2LevelDesired&lt;$B116,"-",$C116))</f>
        <v>-</v>
      </c>
      <c r="AT116" s="1" t="str">
        <f t="shared" ref="AT116" si="8096">IF(InfGlo2LevelCurrent&gt;=$B116,"-",IF(InfGlo2LevelDesired&lt;$B116,"-",$D116))</f>
        <v>-</v>
      </c>
      <c r="AU116" s="21" t="str">
        <f t="shared" ref="AU116" si="8097">IF(InfGlo2LevelCurrent&gt;=$B116,"-",IF(InfGlo2LevelDesired&lt;$B116,"-",$E116))</f>
        <v>-</v>
      </c>
      <c r="AV116" s="15" t="str">
        <f t="shared" ref="AV116" si="8098">IF(InfBel2LevelCurrent&gt;=$B116,"-",IF(InfBel2LevelDesired&lt;$B116,"-",$C116))</f>
        <v>-</v>
      </c>
      <c r="AW116" s="1" t="str">
        <f t="shared" ref="AW116" si="8099">IF(InfBel2LevelCurrent&gt;=$B116,"-",IF(InfBel2LevelDesired&lt;$B116,"-",$D116))</f>
        <v>-</v>
      </c>
      <c r="AX116" s="21" t="str">
        <f t="shared" ref="AX116" si="8100">IF(InfBel2LevelCurrent&gt;=$B116,"-",IF(InfBel2LevelDesired&lt;$B116,"-",$E116))</f>
        <v>-</v>
      </c>
      <c r="AY116" s="15" t="str">
        <f t="shared" ref="AY116" si="8101">IF(InfBoo2LevelCurrent&gt;=$B116,"-",IF(InfBoo2LevelDesired&lt;$B116,"-",$C116))</f>
        <v>-</v>
      </c>
      <c r="AZ116" s="1" t="str">
        <f t="shared" ref="AZ116" si="8102">IF(InfBoo2LevelCurrent&gt;=$B116,"-",IF(InfBoo2LevelDesired&lt;$B116,"-",$D116))</f>
        <v>-</v>
      </c>
      <c r="BA116" s="21" t="str">
        <f t="shared" ref="BA116" si="8103">IF(InfBoo2LevelCurrent&gt;=$B116,"-",IF(InfBoo2LevelDesired&lt;$B116,"-",$E116))</f>
        <v>-</v>
      </c>
      <c r="BB116" s="15" t="str">
        <f t="shared" ref="BB116" si="8104">IF(LanGog2LevelCurrent&gt;=$B116,"-",IF(LanGog2LevelDesired&lt;$B116,"-",$C116))</f>
        <v>-</v>
      </c>
      <c r="BC116" s="1" t="str">
        <f t="shared" ref="BC116" si="8105">IF(LanGog2LevelCurrent&gt;=$B116,"-",IF(LanGog2LevelDesired&lt;$B116,"-",$D116))</f>
        <v>-</v>
      </c>
      <c r="BD116" s="21" t="str">
        <f t="shared" ref="BD116" si="8106">IF(LanGog2LevelCurrent&gt;=$B116,"-",IF(LanGog2LevelDesired&lt;$B116,"-",$E116))</f>
        <v>-</v>
      </c>
      <c r="BE116" s="15" t="str">
        <f t="shared" ref="BE116" si="8107">IF(LanGlo2LevelCurrent&gt;=$B116,"-",IF(LanGlo2LevelDesired&lt;$B116,"-",$C116))</f>
        <v>-</v>
      </c>
      <c r="BF116" s="1" t="str">
        <f t="shared" ref="BF116" si="8108">IF(LanGlo2LevelCurrent&gt;=$B116,"-",IF(LanGlo2LevelDesired&lt;$B116,"-",$D116))</f>
        <v>-</v>
      </c>
      <c r="BG116" s="21" t="str">
        <f t="shared" ref="BG116" si="8109">IF(LanGlo2LevelCurrent&gt;=$B116,"-",IF(LanGlo2LevelDesired&lt;$B116,"-",$E116))</f>
        <v>-</v>
      </c>
      <c r="BH116" s="15" t="str">
        <f t="shared" ref="BH116" si="8110">IF(LanBel2LevelCurrent&gt;=$B116,"-",IF(LanBel2LevelDesired&lt;$B116,"-",$C116))</f>
        <v>-</v>
      </c>
      <c r="BI116" s="1" t="str">
        <f t="shared" ref="BI116" si="8111">IF(LanBel2LevelCurrent&gt;=$B116,"-",IF(LanBel2LevelDesired&lt;$B116,"-",$D116))</f>
        <v>-</v>
      </c>
      <c r="BJ116" s="21" t="str">
        <f t="shared" ref="BJ116" si="8112">IF(LanBel2LevelCurrent&gt;=$B116,"-",IF(LanBel2LevelDesired&lt;$B116,"-",$E116))</f>
        <v>-</v>
      </c>
      <c r="BK116" s="15" t="str">
        <f t="shared" ref="BK116" si="8113">IF(LanBoo2LevelCurrent&gt;=$B116,"-",IF(LanBoo2LevelDesired&lt;$B116,"-",$C116))</f>
        <v>-</v>
      </c>
      <c r="BL116" s="1" t="str">
        <f t="shared" ref="BL116" si="8114">IF(LanBoo2LevelCurrent&gt;=$B116,"-",IF(LanBoo2LevelDesired&lt;$B116,"-",$D116))</f>
        <v>-</v>
      </c>
      <c r="BM116" s="21" t="str">
        <f t="shared" ref="BM116" si="8115">IF(LanBoo2LevelCurrent&gt;=$B116,"-",IF(LanBoo2LevelDesired&lt;$B116,"-",$E116))</f>
        <v>-</v>
      </c>
      <c r="BN116" s="15" t="str">
        <f t="shared" ref="BN116" si="8116">IF(MarGog2LevelCurrent&gt;=$B116,"-",IF(MarGog2LevelDesired&lt;$B116,"-",$C116))</f>
        <v>-</v>
      </c>
      <c r="BO116" s="1" t="str">
        <f t="shared" ref="BO116" si="8117">IF(MarGog2LevelCurrent&gt;=$B116,"-",IF(MarGog2LevelDesired&lt;$B116,"-",$D116))</f>
        <v>-</v>
      </c>
      <c r="BP116" s="21" t="str">
        <f t="shared" ref="BP116" si="8118">IF(MarGog2LevelCurrent&gt;=$B116,"-",IF(MarGog2LevelDesired&lt;$B116,"-",$E116))</f>
        <v>-</v>
      </c>
      <c r="BQ116" s="15" t="str">
        <f t="shared" ref="BQ116" si="8119">IF(MarGlo2LevelCurrent&gt;=$B116,"-",IF(MarGlo2LevelDesired&lt;$B116,"-",$C116))</f>
        <v>-</v>
      </c>
      <c r="BR116" s="1" t="str">
        <f t="shared" ref="BR116" si="8120">IF(MarGlo2LevelCurrent&gt;=$B116,"-",IF(MarGlo2LevelDesired&lt;$B116,"-",$D116))</f>
        <v>-</v>
      </c>
      <c r="BS116" s="21" t="str">
        <f t="shared" ref="BS116" si="8121">IF(MarGlo2LevelCurrent&gt;=$B116,"-",IF(MarGlo2LevelDesired&lt;$B116,"-",$E116))</f>
        <v>-</v>
      </c>
      <c r="BT116" s="15" t="str">
        <f t="shared" ref="BT116" si="8122">IF(MarBel2LevelCurrent&gt;=$B116,"-",IF(MarBel2LevelDesired&lt;$B116,"-",$C116))</f>
        <v>-</v>
      </c>
      <c r="BU116" s="1" t="str">
        <f t="shared" ref="BU116" si="8123">IF(MarBel2LevelCurrent&gt;=$B116,"-",IF(MarBel2LevelDesired&lt;$B116,"-",$D116))</f>
        <v>-</v>
      </c>
      <c r="BV116" s="21" t="str">
        <f t="shared" ref="BV116" si="8124">IF(MarBel2LevelCurrent&gt;=$B116,"-",IF(MarBel2LevelDesired&lt;$B116,"-",$E116))</f>
        <v>-</v>
      </c>
      <c r="BW116" s="15" t="str">
        <f t="shared" ref="BW116" si="8125">IF(MarBoo2LevelCurrent&gt;=$B116,"-",IF(MarBoo2LevelDesired&lt;$B116,"-",$C116))</f>
        <v>-</v>
      </c>
      <c r="BX116" s="1" t="str">
        <f t="shared" ref="BX116" si="8126">IF(MarBoo2LevelCurrent&gt;=$B116,"-",IF(MarBoo2LevelDesired&lt;$B116,"-",$D116))</f>
        <v>-</v>
      </c>
      <c r="BY116" s="21" t="str">
        <f t="shared" ref="BY116" si="8127">IF(MarBoo2LevelCurrent&gt;=$B116,"-",IF(MarBoo2LevelDesired&lt;$B116,"-",$E116))</f>
        <v>-</v>
      </c>
      <c r="BZ116" s="15" t="str">
        <f t="shared" si="7086"/>
        <v>-</v>
      </c>
      <c r="CA116" s="1" t="str" cm="1">
        <f t="array" ref="CA116">IF(InfGog3LevelCurrent&gt;=$B116,"-",IF(InfGog3LevelDesired&lt;$B116,"-",$D116))</f>
        <v>-</v>
      </c>
      <c r="CB116" s="21" t="str" cm="1">
        <f t="array" ref="CB116">IF(InfGog3LevelCurrent&gt;=$B116,"-",IF(InfGog3LevelDesired&lt;$B116,"-",$E116))</f>
        <v>-</v>
      </c>
      <c r="CC116" s="15" t="str">
        <f t="shared" si="7087"/>
        <v>-</v>
      </c>
      <c r="CD116" s="1" t="str">
        <f t="shared" si="7088"/>
        <v>-</v>
      </c>
      <c r="CE116" s="21" t="str">
        <f t="shared" si="7089"/>
        <v>-</v>
      </c>
      <c r="CF116" s="15" t="str">
        <f t="shared" si="7090"/>
        <v>-</v>
      </c>
      <c r="CG116" s="1" t="str">
        <f t="shared" si="7091"/>
        <v>-</v>
      </c>
      <c r="CH116" s="21" t="str">
        <f t="shared" si="7092"/>
        <v>-</v>
      </c>
      <c r="CI116" s="15" t="str">
        <f t="shared" si="7093"/>
        <v>-</v>
      </c>
      <c r="CJ116" s="1" t="str">
        <f t="shared" si="7094"/>
        <v>-</v>
      </c>
      <c r="CK116" s="21" t="str">
        <f t="shared" si="7095"/>
        <v>-</v>
      </c>
      <c r="CL116" s="15" t="str">
        <f t="shared" si="7096"/>
        <v>-</v>
      </c>
      <c r="CM116" s="1" t="str">
        <f t="shared" si="7097"/>
        <v>-</v>
      </c>
      <c r="CN116" s="21" t="str">
        <f t="shared" si="7098"/>
        <v>-</v>
      </c>
      <c r="CO116" s="15" t="str">
        <f t="shared" si="7099"/>
        <v>-</v>
      </c>
      <c r="CP116" s="1" t="str">
        <f t="shared" si="7100"/>
        <v>-</v>
      </c>
      <c r="CQ116" s="21" t="str">
        <f t="shared" si="7101"/>
        <v>-</v>
      </c>
      <c r="CR116" s="15" t="str">
        <f t="shared" si="7102"/>
        <v>-</v>
      </c>
      <c r="CS116" s="1" t="str">
        <f t="shared" si="7103"/>
        <v>-</v>
      </c>
      <c r="CT116" s="21" t="str">
        <f t="shared" si="7104"/>
        <v>-</v>
      </c>
      <c r="CU116" s="15" t="str">
        <f t="shared" si="7105"/>
        <v>-</v>
      </c>
      <c r="CV116" s="1" t="str">
        <f t="shared" si="7106"/>
        <v>-</v>
      </c>
      <c r="CW116" s="21" t="str">
        <f t="shared" si="7107"/>
        <v>-</v>
      </c>
      <c r="CX116" s="15" t="str">
        <f t="shared" si="7108"/>
        <v>-</v>
      </c>
      <c r="CY116" s="1" t="str">
        <f t="shared" si="7109"/>
        <v>-</v>
      </c>
      <c r="CZ116" s="21" t="str">
        <f t="shared" si="7110"/>
        <v>-</v>
      </c>
      <c r="DA116" s="15" t="str">
        <f t="shared" si="7111"/>
        <v>-</v>
      </c>
      <c r="DB116" s="1" t="str">
        <f t="shared" si="7112"/>
        <v>-</v>
      </c>
      <c r="DC116" s="21" t="str">
        <f t="shared" si="7113"/>
        <v>-</v>
      </c>
      <c r="DD116" s="15" t="str">
        <f t="shared" si="7114"/>
        <v>-</v>
      </c>
      <c r="DE116" s="1" t="str">
        <f t="shared" si="7115"/>
        <v>-</v>
      </c>
      <c r="DF116" s="21" t="str">
        <f t="shared" si="7116"/>
        <v>-</v>
      </c>
      <c r="DG116" s="15" t="str">
        <f t="shared" si="7117"/>
        <v>-</v>
      </c>
      <c r="DH116" s="1" t="str">
        <f t="shared" si="7118"/>
        <v>-</v>
      </c>
      <c r="DI116" s="21" t="str">
        <f t="shared" si="7119"/>
        <v>-</v>
      </c>
    </row>
    <row r="117" spans="2:113" x14ac:dyDescent="0.3">
      <c r="B117" s="1">
        <v>112</v>
      </c>
      <c r="C117" s="67">
        <v>3000</v>
      </c>
      <c r="D117" s="88" t="s">
        <v>27</v>
      </c>
      <c r="E117" s="21" t="s">
        <v>27</v>
      </c>
      <c r="F117" s="15" t="str">
        <f t="shared" ref="F117" si="8128">IF(InfGog1LevelCurrent&gt;=$B117,"-",IF(InfGog1LevelDesired&lt;$B117,"-",$C117))</f>
        <v>-</v>
      </c>
      <c r="G117" s="1" t="str">
        <f t="shared" ref="G117" si="8129">IF(InfGog1LevelCurrent&gt;=$B117,"-",IF(InfGog1LevelDesired&lt;$B117,"-",$D117))</f>
        <v>-</v>
      </c>
      <c r="H117" s="21" t="str">
        <f t="shared" ref="H117" si="8130">IF(InfGog1LevelCurrent&gt;=$B117,"-",IF(InfGog1LevelDesired&lt;$B117,"-",$E117))</f>
        <v>-</v>
      </c>
      <c r="I117" s="15" t="str">
        <f t="shared" ref="I117" si="8131">IF(InfGlo1LevelCurrent&gt;=$B117,"-",IF(InfGlo1LevelDesired&lt;$B117,"-",$C117))</f>
        <v>-</v>
      </c>
      <c r="J117" s="1" t="str">
        <f t="shared" ref="J117" si="8132">IF(InfGlo1LevelCurrent&gt;=$B117,"-",IF(InfGlo1LevelDesired&lt;$B117,"-",$D117))</f>
        <v>-</v>
      </c>
      <c r="K117" s="21" t="str">
        <f t="shared" ref="K117" si="8133">IF(InfGlo1LevelCurrent&gt;=$B117,"-",IF(InfGlo1LevelDesired&lt;$B117,"-",$E117))</f>
        <v>-</v>
      </c>
      <c r="L117" s="15" t="str">
        <f t="shared" ref="L117" si="8134">IF(InfBel1LevelCurrent&gt;=$B117,"-",IF(InfBel1LevelDesired&lt;$B117,"-",$C117))</f>
        <v>-</v>
      </c>
      <c r="M117" s="1" t="str">
        <f t="shared" ref="M117" si="8135">IF(InfBel1LevelCurrent&gt;=$B117,"-",IF(InfBel1LevelDesired&lt;$B117,"-",$D117))</f>
        <v>-</v>
      </c>
      <c r="N117" s="21" t="str">
        <f t="shared" ref="N117" si="8136">IF(InfBel1LevelCurrent&gt;=$B117,"-",IF(InfBel1LevelDesired&lt;$B117,"-",$E117))</f>
        <v>-</v>
      </c>
      <c r="O117" s="15" t="str">
        <f t="shared" ref="O117" si="8137">IF(InfBoo1LevelCurrent&gt;=$B117,"-",IF(InfBoo1LevelDesired&lt;$B117,"-",$C117))</f>
        <v>-</v>
      </c>
      <c r="P117" s="1" t="str">
        <f t="shared" ref="P117" si="8138">IF(InfBoo1LevelCurrent&gt;=$B117,"-",IF(InfBoo1LevelDesired&lt;$B117,"-",$D117))</f>
        <v>-</v>
      </c>
      <c r="Q117" s="21" t="str">
        <f t="shared" ref="Q117" si="8139">IF(InfBoo1LevelCurrent&gt;=$B117,"-",IF(InfBoo1LevelDesired&lt;$B117,"-",$E117))</f>
        <v>-</v>
      </c>
      <c r="R117" s="15" t="str">
        <f t="shared" ref="R117" si="8140">IF(LanGog1LevelCurrent&gt;=$B117,"-",IF(LanGog1LevelDesired&lt;$B117,"-",$C117))</f>
        <v>-</v>
      </c>
      <c r="S117" s="1" t="str">
        <f t="shared" ref="S117" si="8141">IF(LanGog1LevelCurrent&gt;=$B117,"-",IF(LanGog1LevelDesired&lt;$B117,"-",$D117))</f>
        <v>-</v>
      </c>
      <c r="T117" s="21" t="str">
        <f t="shared" ref="T117" si="8142">IF(LanGog1LevelCurrent&gt;=$B117,"-",IF(LanGog1LevelDesired&lt;$B117,"-",$E117))</f>
        <v>-</v>
      </c>
      <c r="U117" s="15" t="str">
        <f t="shared" ref="U117" si="8143">IF(LanGlo1LevelCurrent&gt;=$B117,"-",IF(LanGlo1LevelDesired&lt;$B117,"-",$C117))</f>
        <v>-</v>
      </c>
      <c r="V117" s="1" t="str">
        <f t="shared" ref="V117" si="8144">IF(LanGlo1LevelCurrent&gt;=$B117,"-",IF(LanGlo1LevelDesired&lt;$B117,"-",$D117))</f>
        <v>-</v>
      </c>
      <c r="W117" s="21" t="str">
        <f t="shared" ref="W117" si="8145">IF(LanGlo1LevelCurrent&gt;=$B117,"-",IF(LanGlo1LevelDesired&lt;$B117,"-",$E117))</f>
        <v>-</v>
      </c>
      <c r="X117" s="15" t="str">
        <f t="shared" ref="X117" si="8146">IF(LanBel1LevelCurrent&gt;=$B117,"-",IF(LanBel1LevelDesired&lt;$B117,"-",$C117))</f>
        <v>-</v>
      </c>
      <c r="Y117" s="1" t="str">
        <f t="shared" ref="Y117" si="8147">IF(LanBel1LevelCurrent&gt;=$B117,"-",IF(LanBel1LevelDesired&lt;$B117,"-",$D117))</f>
        <v>-</v>
      </c>
      <c r="Z117" s="21" t="str">
        <f t="shared" ref="Z117" si="8148">IF(LanBel1LevelCurrent&gt;=$B117,"-",IF(LanBel1LevelDesired&lt;$B117,"-",$E117))</f>
        <v>-</v>
      </c>
      <c r="AA117" s="15" t="str">
        <f t="shared" ref="AA117" si="8149">IF(LanBoo1LevelCurrent&gt;=$B117,"-",IF(LanBoo1LevelDesired&lt;$B117,"-",$C117))</f>
        <v>-</v>
      </c>
      <c r="AB117" s="1" t="str">
        <f t="shared" ref="AB117" si="8150">IF(LanBoo1LevelCurrent&gt;=$B117,"-",IF(LanBoo1LevelDesired&lt;$B117,"-",$D117))</f>
        <v>-</v>
      </c>
      <c r="AC117" s="21" t="str">
        <f t="shared" ref="AC117" si="8151">IF(LanBoo1LevelCurrent&gt;=$B117,"-",IF(LanBoo1LevelDesired&lt;$B117,"-",$E117))</f>
        <v>-</v>
      </c>
      <c r="AD117" s="15" t="str">
        <f t="shared" ref="AD117" si="8152">IF(MarGog1LevelCurrent&gt;=$B117,"-",IF(MarGog1LevelDesired&lt;$B117,"-",$C117))</f>
        <v>-</v>
      </c>
      <c r="AE117" s="1" t="str">
        <f t="shared" ref="AE117" si="8153">IF(MarGog1LevelCurrent&gt;=$B117,"-",IF(MarGog1LevelDesired&lt;$B117,"-",$D117))</f>
        <v>-</v>
      </c>
      <c r="AF117" s="21" t="str">
        <f t="shared" ref="AF117" si="8154">IF(MarGog1LevelCurrent&gt;=$B117,"-",IF(MarGog1LevelDesired&lt;$B117,"-",$E117))</f>
        <v>-</v>
      </c>
      <c r="AG117" s="15" t="str">
        <f t="shared" ref="AG117" si="8155">IF(MarGlo1LevelCurrent&gt;=$B117,"-",IF(MarGlo1LevelDesired&lt;$B117,"-",$C117))</f>
        <v>-</v>
      </c>
      <c r="AH117" s="1" t="str">
        <f t="shared" ref="AH117" si="8156">IF(MarGlo1LevelCurrent&gt;=$B117,"-",IF(MarGlo1LevelDesired&lt;$B117,"-",$D117))</f>
        <v>-</v>
      </c>
      <c r="AI117" s="21" t="str">
        <f t="shared" ref="AI117" si="8157">IF(MarGlo1LevelCurrent&gt;=$B117,"-",IF(MarGlo1LevelDesired&lt;$B117,"-",$E117))</f>
        <v>-</v>
      </c>
      <c r="AJ117" s="15" t="str">
        <f t="shared" ref="AJ117" si="8158">IF(MarBel1LevelCurrent&gt;=$B117,"-",IF(MarBel1LevelDesired&lt;$B117,"-",$C117))</f>
        <v>-</v>
      </c>
      <c r="AK117" s="1" t="str">
        <f t="shared" ref="AK117" si="8159">IF(MarBel1LevelCurrent&gt;=$B117,"-",IF(MarBel1LevelDesired&lt;$B117,"-",$D117))</f>
        <v>-</v>
      </c>
      <c r="AL117" s="21" t="str">
        <f t="shared" ref="AL117" si="8160">IF(MarBel1LevelCurrent&gt;=$B117,"-",IF(MarBel1LevelDesired&lt;$B117,"-",$E117))</f>
        <v>-</v>
      </c>
      <c r="AM117" s="15" t="str">
        <f t="shared" ref="AM117" si="8161">IF(MarBoo1LevelCurrent&gt;=$B117,"-",IF(MarBoo1LevelDesired&lt;$B117,"-",$C117))</f>
        <v>-</v>
      </c>
      <c r="AN117" s="1" t="str">
        <f t="shared" ref="AN117" si="8162">IF(MarBoo1LevelCurrent&gt;=$B117,"-",IF(MarBoo1LevelDesired&lt;$B117,"-",$D117))</f>
        <v>-</v>
      </c>
      <c r="AO117" s="21" t="str">
        <f t="shared" ref="AO117" si="8163">IF(MarBoo1LevelCurrent&gt;=$B117,"-",IF(MarBoo1LevelDesired&lt;$B117,"-",$E117))</f>
        <v>-</v>
      </c>
      <c r="AP117" s="15" t="str">
        <f t="shared" ref="AP117" si="8164">IF(InfGog2LevelCurrent&gt;=$B117,"-",IF(InfGog2LevelDesired&lt;$B117,"-",$C117))</f>
        <v>-</v>
      </c>
      <c r="AQ117" s="1" t="str">
        <f t="shared" ref="AQ117" si="8165">IF(InfGog2LevelCurrent&gt;=$B117,"-",IF(InfGog2LevelDesired&lt;$B117,"-",$D117))</f>
        <v>-</v>
      </c>
      <c r="AR117" s="21" t="str">
        <f t="shared" ref="AR117" si="8166">IF(InfGog2LevelCurrent&gt;=$B117,"-",IF(InfGog2LevelDesired&lt;$B117,"-",$E117))</f>
        <v>-</v>
      </c>
      <c r="AS117" s="15" t="str">
        <f t="shared" ref="AS117" si="8167">IF(InfGlo2LevelCurrent&gt;=$B117,"-",IF(InfGlo2LevelDesired&lt;$B117,"-",$C117))</f>
        <v>-</v>
      </c>
      <c r="AT117" s="1" t="str">
        <f t="shared" ref="AT117" si="8168">IF(InfGlo2LevelCurrent&gt;=$B117,"-",IF(InfGlo2LevelDesired&lt;$B117,"-",$D117))</f>
        <v>-</v>
      </c>
      <c r="AU117" s="21" t="str">
        <f t="shared" ref="AU117" si="8169">IF(InfGlo2LevelCurrent&gt;=$B117,"-",IF(InfGlo2LevelDesired&lt;$B117,"-",$E117))</f>
        <v>-</v>
      </c>
      <c r="AV117" s="15" t="str">
        <f t="shared" ref="AV117" si="8170">IF(InfBel2LevelCurrent&gt;=$B117,"-",IF(InfBel2LevelDesired&lt;$B117,"-",$C117))</f>
        <v>-</v>
      </c>
      <c r="AW117" s="1" t="str">
        <f t="shared" ref="AW117" si="8171">IF(InfBel2LevelCurrent&gt;=$B117,"-",IF(InfBel2LevelDesired&lt;$B117,"-",$D117))</f>
        <v>-</v>
      </c>
      <c r="AX117" s="21" t="str">
        <f t="shared" ref="AX117" si="8172">IF(InfBel2LevelCurrent&gt;=$B117,"-",IF(InfBel2LevelDesired&lt;$B117,"-",$E117))</f>
        <v>-</v>
      </c>
      <c r="AY117" s="15" t="str">
        <f t="shared" ref="AY117" si="8173">IF(InfBoo2LevelCurrent&gt;=$B117,"-",IF(InfBoo2LevelDesired&lt;$B117,"-",$C117))</f>
        <v>-</v>
      </c>
      <c r="AZ117" s="1" t="str">
        <f t="shared" ref="AZ117" si="8174">IF(InfBoo2LevelCurrent&gt;=$B117,"-",IF(InfBoo2LevelDesired&lt;$B117,"-",$D117))</f>
        <v>-</v>
      </c>
      <c r="BA117" s="21" t="str">
        <f t="shared" ref="BA117" si="8175">IF(InfBoo2LevelCurrent&gt;=$B117,"-",IF(InfBoo2LevelDesired&lt;$B117,"-",$E117))</f>
        <v>-</v>
      </c>
      <c r="BB117" s="15" t="str">
        <f t="shared" ref="BB117" si="8176">IF(LanGog2LevelCurrent&gt;=$B117,"-",IF(LanGog2LevelDesired&lt;$B117,"-",$C117))</f>
        <v>-</v>
      </c>
      <c r="BC117" s="1" t="str">
        <f t="shared" ref="BC117" si="8177">IF(LanGog2LevelCurrent&gt;=$B117,"-",IF(LanGog2LevelDesired&lt;$B117,"-",$D117))</f>
        <v>-</v>
      </c>
      <c r="BD117" s="21" t="str">
        <f t="shared" ref="BD117" si="8178">IF(LanGog2LevelCurrent&gt;=$B117,"-",IF(LanGog2LevelDesired&lt;$B117,"-",$E117))</f>
        <v>-</v>
      </c>
      <c r="BE117" s="15" t="str">
        <f t="shared" ref="BE117" si="8179">IF(LanGlo2LevelCurrent&gt;=$B117,"-",IF(LanGlo2LevelDesired&lt;$B117,"-",$C117))</f>
        <v>-</v>
      </c>
      <c r="BF117" s="1" t="str">
        <f t="shared" ref="BF117" si="8180">IF(LanGlo2LevelCurrent&gt;=$B117,"-",IF(LanGlo2LevelDesired&lt;$B117,"-",$D117))</f>
        <v>-</v>
      </c>
      <c r="BG117" s="21" t="str">
        <f t="shared" ref="BG117" si="8181">IF(LanGlo2LevelCurrent&gt;=$B117,"-",IF(LanGlo2LevelDesired&lt;$B117,"-",$E117))</f>
        <v>-</v>
      </c>
      <c r="BH117" s="15" t="str">
        <f t="shared" ref="BH117" si="8182">IF(LanBel2LevelCurrent&gt;=$B117,"-",IF(LanBel2LevelDesired&lt;$B117,"-",$C117))</f>
        <v>-</v>
      </c>
      <c r="BI117" s="1" t="str">
        <f t="shared" ref="BI117" si="8183">IF(LanBel2LevelCurrent&gt;=$B117,"-",IF(LanBel2LevelDesired&lt;$B117,"-",$D117))</f>
        <v>-</v>
      </c>
      <c r="BJ117" s="21" t="str">
        <f t="shared" ref="BJ117" si="8184">IF(LanBel2LevelCurrent&gt;=$B117,"-",IF(LanBel2LevelDesired&lt;$B117,"-",$E117))</f>
        <v>-</v>
      </c>
      <c r="BK117" s="15" t="str">
        <f t="shared" ref="BK117" si="8185">IF(LanBoo2LevelCurrent&gt;=$B117,"-",IF(LanBoo2LevelDesired&lt;$B117,"-",$C117))</f>
        <v>-</v>
      </c>
      <c r="BL117" s="1" t="str">
        <f t="shared" ref="BL117" si="8186">IF(LanBoo2LevelCurrent&gt;=$B117,"-",IF(LanBoo2LevelDesired&lt;$B117,"-",$D117))</f>
        <v>-</v>
      </c>
      <c r="BM117" s="21" t="str">
        <f t="shared" ref="BM117" si="8187">IF(LanBoo2LevelCurrent&gt;=$B117,"-",IF(LanBoo2LevelDesired&lt;$B117,"-",$E117))</f>
        <v>-</v>
      </c>
      <c r="BN117" s="15" t="str">
        <f t="shared" ref="BN117" si="8188">IF(MarGog2LevelCurrent&gt;=$B117,"-",IF(MarGog2LevelDesired&lt;$B117,"-",$C117))</f>
        <v>-</v>
      </c>
      <c r="BO117" s="1" t="str">
        <f t="shared" ref="BO117" si="8189">IF(MarGog2LevelCurrent&gt;=$B117,"-",IF(MarGog2LevelDesired&lt;$B117,"-",$D117))</f>
        <v>-</v>
      </c>
      <c r="BP117" s="21" t="str">
        <f t="shared" ref="BP117" si="8190">IF(MarGog2LevelCurrent&gt;=$B117,"-",IF(MarGog2LevelDesired&lt;$B117,"-",$E117))</f>
        <v>-</v>
      </c>
      <c r="BQ117" s="15" t="str">
        <f t="shared" ref="BQ117" si="8191">IF(MarGlo2LevelCurrent&gt;=$B117,"-",IF(MarGlo2LevelDesired&lt;$B117,"-",$C117))</f>
        <v>-</v>
      </c>
      <c r="BR117" s="1" t="str">
        <f t="shared" ref="BR117" si="8192">IF(MarGlo2LevelCurrent&gt;=$B117,"-",IF(MarGlo2LevelDesired&lt;$B117,"-",$D117))</f>
        <v>-</v>
      </c>
      <c r="BS117" s="21" t="str">
        <f t="shared" ref="BS117" si="8193">IF(MarGlo2LevelCurrent&gt;=$B117,"-",IF(MarGlo2LevelDesired&lt;$B117,"-",$E117))</f>
        <v>-</v>
      </c>
      <c r="BT117" s="15" t="str">
        <f t="shared" ref="BT117" si="8194">IF(MarBel2LevelCurrent&gt;=$B117,"-",IF(MarBel2LevelDesired&lt;$B117,"-",$C117))</f>
        <v>-</v>
      </c>
      <c r="BU117" s="1" t="str">
        <f t="shared" ref="BU117" si="8195">IF(MarBel2LevelCurrent&gt;=$B117,"-",IF(MarBel2LevelDesired&lt;$B117,"-",$D117))</f>
        <v>-</v>
      </c>
      <c r="BV117" s="21" t="str">
        <f t="shared" ref="BV117" si="8196">IF(MarBel2LevelCurrent&gt;=$B117,"-",IF(MarBel2LevelDesired&lt;$B117,"-",$E117))</f>
        <v>-</v>
      </c>
      <c r="BW117" s="15" t="str">
        <f t="shared" ref="BW117" si="8197">IF(MarBoo2LevelCurrent&gt;=$B117,"-",IF(MarBoo2LevelDesired&lt;$B117,"-",$C117))</f>
        <v>-</v>
      </c>
      <c r="BX117" s="1" t="str">
        <f t="shared" ref="BX117" si="8198">IF(MarBoo2LevelCurrent&gt;=$B117,"-",IF(MarBoo2LevelDesired&lt;$B117,"-",$D117))</f>
        <v>-</v>
      </c>
      <c r="BY117" s="21" t="str">
        <f t="shared" ref="BY117" si="8199">IF(MarBoo2LevelCurrent&gt;=$B117,"-",IF(MarBoo2LevelDesired&lt;$B117,"-",$E117))</f>
        <v>-</v>
      </c>
      <c r="BZ117" s="15" t="str">
        <f t="shared" si="7086"/>
        <v>-</v>
      </c>
      <c r="CA117" s="1" t="str" cm="1">
        <f t="array" ref="CA117">IF(InfGog3LevelCurrent&gt;=$B117,"-",IF(InfGog3LevelDesired&lt;$B117,"-",$D117))</f>
        <v>-</v>
      </c>
      <c r="CB117" s="21" t="str" cm="1">
        <f t="array" ref="CB117">IF(InfGog3LevelCurrent&gt;=$B117,"-",IF(InfGog3LevelDesired&lt;$B117,"-",$E117))</f>
        <v>-</v>
      </c>
      <c r="CC117" s="15" t="str">
        <f t="shared" si="7087"/>
        <v>-</v>
      </c>
      <c r="CD117" s="1" t="str">
        <f t="shared" si="7088"/>
        <v>-</v>
      </c>
      <c r="CE117" s="21" t="str">
        <f t="shared" si="7089"/>
        <v>-</v>
      </c>
      <c r="CF117" s="15" t="str">
        <f t="shared" si="7090"/>
        <v>-</v>
      </c>
      <c r="CG117" s="1" t="str">
        <f t="shared" si="7091"/>
        <v>-</v>
      </c>
      <c r="CH117" s="21" t="str">
        <f t="shared" si="7092"/>
        <v>-</v>
      </c>
      <c r="CI117" s="15" t="str">
        <f t="shared" si="7093"/>
        <v>-</v>
      </c>
      <c r="CJ117" s="1" t="str">
        <f t="shared" si="7094"/>
        <v>-</v>
      </c>
      <c r="CK117" s="21" t="str">
        <f t="shared" si="7095"/>
        <v>-</v>
      </c>
      <c r="CL117" s="15" t="str">
        <f t="shared" si="7096"/>
        <v>-</v>
      </c>
      <c r="CM117" s="1" t="str">
        <f t="shared" si="7097"/>
        <v>-</v>
      </c>
      <c r="CN117" s="21" t="str">
        <f t="shared" si="7098"/>
        <v>-</v>
      </c>
      <c r="CO117" s="15" t="str">
        <f t="shared" si="7099"/>
        <v>-</v>
      </c>
      <c r="CP117" s="1" t="str">
        <f t="shared" si="7100"/>
        <v>-</v>
      </c>
      <c r="CQ117" s="21" t="str">
        <f t="shared" si="7101"/>
        <v>-</v>
      </c>
      <c r="CR117" s="15" t="str">
        <f t="shared" si="7102"/>
        <v>-</v>
      </c>
      <c r="CS117" s="1" t="str">
        <f t="shared" si="7103"/>
        <v>-</v>
      </c>
      <c r="CT117" s="21" t="str">
        <f t="shared" si="7104"/>
        <v>-</v>
      </c>
      <c r="CU117" s="15" t="str">
        <f t="shared" si="7105"/>
        <v>-</v>
      </c>
      <c r="CV117" s="1" t="str">
        <f t="shared" si="7106"/>
        <v>-</v>
      </c>
      <c r="CW117" s="21" t="str">
        <f t="shared" si="7107"/>
        <v>-</v>
      </c>
      <c r="CX117" s="15" t="str">
        <f t="shared" si="7108"/>
        <v>-</v>
      </c>
      <c r="CY117" s="1" t="str">
        <f t="shared" si="7109"/>
        <v>-</v>
      </c>
      <c r="CZ117" s="21" t="str">
        <f t="shared" si="7110"/>
        <v>-</v>
      </c>
      <c r="DA117" s="15" t="str">
        <f t="shared" si="7111"/>
        <v>-</v>
      </c>
      <c r="DB117" s="1" t="str">
        <f t="shared" si="7112"/>
        <v>-</v>
      </c>
      <c r="DC117" s="21" t="str">
        <f t="shared" si="7113"/>
        <v>-</v>
      </c>
      <c r="DD117" s="15" t="str">
        <f t="shared" si="7114"/>
        <v>-</v>
      </c>
      <c r="DE117" s="1" t="str">
        <f t="shared" si="7115"/>
        <v>-</v>
      </c>
      <c r="DF117" s="21" t="str">
        <f t="shared" si="7116"/>
        <v>-</v>
      </c>
      <c r="DG117" s="15" t="str">
        <f t="shared" si="7117"/>
        <v>-</v>
      </c>
      <c r="DH117" s="1" t="str">
        <f t="shared" si="7118"/>
        <v>-</v>
      </c>
      <c r="DI117" s="21" t="str">
        <f t="shared" si="7119"/>
        <v>-</v>
      </c>
    </row>
    <row r="118" spans="2:113" x14ac:dyDescent="0.3">
      <c r="B118" s="1">
        <v>113</v>
      </c>
      <c r="C118" s="67">
        <v>3050</v>
      </c>
      <c r="D118" s="88" t="s">
        <v>27</v>
      </c>
      <c r="E118" s="21" t="s">
        <v>27</v>
      </c>
      <c r="F118" s="15" t="str">
        <f t="shared" ref="F118" si="8200">IF(InfGog1LevelCurrent&gt;=$B118,"-",IF(InfGog1LevelDesired&lt;$B118,"-",$C118))</f>
        <v>-</v>
      </c>
      <c r="G118" s="1" t="str">
        <f t="shared" ref="G118" si="8201">IF(InfGog1LevelCurrent&gt;=$B118,"-",IF(InfGog1LevelDesired&lt;$B118,"-",$D118))</f>
        <v>-</v>
      </c>
      <c r="H118" s="21" t="str">
        <f t="shared" ref="H118" si="8202">IF(InfGog1LevelCurrent&gt;=$B118,"-",IF(InfGog1LevelDesired&lt;$B118,"-",$E118))</f>
        <v>-</v>
      </c>
      <c r="I118" s="15" t="str">
        <f t="shared" ref="I118" si="8203">IF(InfGlo1LevelCurrent&gt;=$B118,"-",IF(InfGlo1LevelDesired&lt;$B118,"-",$C118))</f>
        <v>-</v>
      </c>
      <c r="J118" s="1" t="str">
        <f t="shared" ref="J118" si="8204">IF(InfGlo1LevelCurrent&gt;=$B118,"-",IF(InfGlo1LevelDesired&lt;$B118,"-",$D118))</f>
        <v>-</v>
      </c>
      <c r="K118" s="21" t="str">
        <f t="shared" ref="K118" si="8205">IF(InfGlo1LevelCurrent&gt;=$B118,"-",IF(InfGlo1LevelDesired&lt;$B118,"-",$E118))</f>
        <v>-</v>
      </c>
      <c r="L118" s="15" t="str">
        <f t="shared" ref="L118" si="8206">IF(InfBel1LevelCurrent&gt;=$B118,"-",IF(InfBel1LevelDesired&lt;$B118,"-",$C118))</f>
        <v>-</v>
      </c>
      <c r="M118" s="1" t="str">
        <f t="shared" ref="M118" si="8207">IF(InfBel1LevelCurrent&gt;=$B118,"-",IF(InfBel1LevelDesired&lt;$B118,"-",$D118))</f>
        <v>-</v>
      </c>
      <c r="N118" s="21" t="str">
        <f t="shared" ref="N118" si="8208">IF(InfBel1LevelCurrent&gt;=$B118,"-",IF(InfBel1LevelDesired&lt;$B118,"-",$E118))</f>
        <v>-</v>
      </c>
      <c r="O118" s="15" t="str">
        <f t="shared" ref="O118" si="8209">IF(InfBoo1LevelCurrent&gt;=$B118,"-",IF(InfBoo1LevelDesired&lt;$B118,"-",$C118))</f>
        <v>-</v>
      </c>
      <c r="P118" s="1" t="str">
        <f t="shared" ref="P118" si="8210">IF(InfBoo1LevelCurrent&gt;=$B118,"-",IF(InfBoo1LevelDesired&lt;$B118,"-",$D118))</f>
        <v>-</v>
      </c>
      <c r="Q118" s="21" t="str">
        <f t="shared" ref="Q118" si="8211">IF(InfBoo1LevelCurrent&gt;=$B118,"-",IF(InfBoo1LevelDesired&lt;$B118,"-",$E118))</f>
        <v>-</v>
      </c>
      <c r="R118" s="15" t="str">
        <f t="shared" ref="R118" si="8212">IF(LanGog1LevelCurrent&gt;=$B118,"-",IF(LanGog1LevelDesired&lt;$B118,"-",$C118))</f>
        <v>-</v>
      </c>
      <c r="S118" s="1" t="str">
        <f t="shared" ref="S118" si="8213">IF(LanGog1LevelCurrent&gt;=$B118,"-",IF(LanGog1LevelDesired&lt;$B118,"-",$D118))</f>
        <v>-</v>
      </c>
      <c r="T118" s="21" t="str">
        <f t="shared" ref="T118" si="8214">IF(LanGog1LevelCurrent&gt;=$B118,"-",IF(LanGog1LevelDesired&lt;$B118,"-",$E118))</f>
        <v>-</v>
      </c>
      <c r="U118" s="15" t="str">
        <f t="shared" ref="U118" si="8215">IF(LanGlo1LevelCurrent&gt;=$B118,"-",IF(LanGlo1LevelDesired&lt;$B118,"-",$C118))</f>
        <v>-</v>
      </c>
      <c r="V118" s="1" t="str">
        <f t="shared" ref="V118" si="8216">IF(LanGlo1LevelCurrent&gt;=$B118,"-",IF(LanGlo1LevelDesired&lt;$B118,"-",$D118))</f>
        <v>-</v>
      </c>
      <c r="W118" s="21" t="str">
        <f t="shared" ref="W118" si="8217">IF(LanGlo1LevelCurrent&gt;=$B118,"-",IF(LanGlo1LevelDesired&lt;$B118,"-",$E118))</f>
        <v>-</v>
      </c>
      <c r="X118" s="15" t="str">
        <f t="shared" ref="X118" si="8218">IF(LanBel1LevelCurrent&gt;=$B118,"-",IF(LanBel1LevelDesired&lt;$B118,"-",$C118))</f>
        <v>-</v>
      </c>
      <c r="Y118" s="1" t="str">
        <f t="shared" ref="Y118" si="8219">IF(LanBel1LevelCurrent&gt;=$B118,"-",IF(LanBel1LevelDesired&lt;$B118,"-",$D118))</f>
        <v>-</v>
      </c>
      <c r="Z118" s="21" t="str">
        <f t="shared" ref="Z118" si="8220">IF(LanBel1LevelCurrent&gt;=$B118,"-",IF(LanBel1LevelDesired&lt;$B118,"-",$E118))</f>
        <v>-</v>
      </c>
      <c r="AA118" s="15" t="str">
        <f t="shared" ref="AA118" si="8221">IF(LanBoo1LevelCurrent&gt;=$B118,"-",IF(LanBoo1LevelDesired&lt;$B118,"-",$C118))</f>
        <v>-</v>
      </c>
      <c r="AB118" s="1" t="str">
        <f t="shared" ref="AB118" si="8222">IF(LanBoo1LevelCurrent&gt;=$B118,"-",IF(LanBoo1LevelDesired&lt;$B118,"-",$D118))</f>
        <v>-</v>
      </c>
      <c r="AC118" s="21" t="str">
        <f t="shared" ref="AC118" si="8223">IF(LanBoo1LevelCurrent&gt;=$B118,"-",IF(LanBoo1LevelDesired&lt;$B118,"-",$E118))</f>
        <v>-</v>
      </c>
      <c r="AD118" s="15" t="str">
        <f t="shared" ref="AD118" si="8224">IF(MarGog1LevelCurrent&gt;=$B118,"-",IF(MarGog1LevelDesired&lt;$B118,"-",$C118))</f>
        <v>-</v>
      </c>
      <c r="AE118" s="1" t="str">
        <f t="shared" ref="AE118" si="8225">IF(MarGog1LevelCurrent&gt;=$B118,"-",IF(MarGog1LevelDesired&lt;$B118,"-",$D118))</f>
        <v>-</v>
      </c>
      <c r="AF118" s="21" t="str">
        <f t="shared" ref="AF118" si="8226">IF(MarGog1LevelCurrent&gt;=$B118,"-",IF(MarGog1LevelDesired&lt;$B118,"-",$E118))</f>
        <v>-</v>
      </c>
      <c r="AG118" s="15" t="str">
        <f t="shared" ref="AG118" si="8227">IF(MarGlo1LevelCurrent&gt;=$B118,"-",IF(MarGlo1LevelDesired&lt;$B118,"-",$C118))</f>
        <v>-</v>
      </c>
      <c r="AH118" s="1" t="str">
        <f t="shared" ref="AH118" si="8228">IF(MarGlo1LevelCurrent&gt;=$B118,"-",IF(MarGlo1LevelDesired&lt;$B118,"-",$D118))</f>
        <v>-</v>
      </c>
      <c r="AI118" s="21" t="str">
        <f t="shared" ref="AI118" si="8229">IF(MarGlo1LevelCurrent&gt;=$B118,"-",IF(MarGlo1LevelDesired&lt;$B118,"-",$E118))</f>
        <v>-</v>
      </c>
      <c r="AJ118" s="15" t="str">
        <f t="shared" ref="AJ118" si="8230">IF(MarBel1LevelCurrent&gt;=$B118,"-",IF(MarBel1LevelDesired&lt;$B118,"-",$C118))</f>
        <v>-</v>
      </c>
      <c r="AK118" s="1" t="str">
        <f t="shared" ref="AK118" si="8231">IF(MarBel1LevelCurrent&gt;=$B118,"-",IF(MarBel1LevelDesired&lt;$B118,"-",$D118))</f>
        <v>-</v>
      </c>
      <c r="AL118" s="21" t="str">
        <f t="shared" ref="AL118" si="8232">IF(MarBel1LevelCurrent&gt;=$B118,"-",IF(MarBel1LevelDesired&lt;$B118,"-",$E118))</f>
        <v>-</v>
      </c>
      <c r="AM118" s="15" t="str">
        <f t="shared" ref="AM118" si="8233">IF(MarBoo1LevelCurrent&gt;=$B118,"-",IF(MarBoo1LevelDesired&lt;$B118,"-",$C118))</f>
        <v>-</v>
      </c>
      <c r="AN118" s="1" t="str">
        <f t="shared" ref="AN118" si="8234">IF(MarBoo1LevelCurrent&gt;=$B118,"-",IF(MarBoo1LevelDesired&lt;$B118,"-",$D118))</f>
        <v>-</v>
      </c>
      <c r="AO118" s="21" t="str">
        <f t="shared" ref="AO118" si="8235">IF(MarBoo1LevelCurrent&gt;=$B118,"-",IF(MarBoo1LevelDesired&lt;$B118,"-",$E118))</f>
        <v>-</v>
      </c>
      <c r="AP118" s="15" t="str">
        <f t="shared" ref="AP118" si="8236">IF(InfGog2LevelCurrent&gt;=$B118,"-",IF(InfGog2LevelDesired&lt;$B118,"-",$C118))</f>
        <v>-</v>
      </c>
      <c r="AQ118" s="1" t="str">
        <f t="shared" ref="AQ118" si="8237">IF(InfGog2LevelCurrent&gt;=$B118,"-",IF(InfGog2LevelDesired&lt;$B118,"-",$D118))</f>
        <v>-</v>
      </c>
      <c r="AR118" s="21" t="str">
        <f t="shared" ref="AR118" si="8238">IF(InfGog2LevelCurrent&gt;=$B118,"-",IF(InfGog2LevelDesired&lt;$B118,"-",$E118))</f>
        <v>-</v>
      </c>
      <c r="AS118" s="15" t="str">
        <f t="shared" ref="AS118" si="8239">IF(InfGlo2LevelCurrent&gt;=$B118,"-",IF(InfGlo2LevelDesired&lt;$B118,"-",$C118))</f>
        <v>-</v>
      </c>
      <c r="AT118" s="1" t="str">
        <f t="shared" ref="AT118" si="8240">IF(InfGlo2LevelCurrent&gt;=$B118,"-",IF(InfGlo2LevelDesired&lt;$B118,"-",$D118))</f>
        <v>-</v>
      </c>
      <c r="AU118" s="21" t="str">
        <f t="shared" ref="AU118" si="8241">IF(InfGlo2LevelCurrent&gt;=$B118,"-",IF(InfGlo2LevelDesired&lt;$B118,"-",$E118))</f>
        <v>-</v>
      </c>
      <c r="AV118" s="15" t="str">
        <f t="shared" ref="AV118" si="8242">IF(InfBel2LevelCurrent&gt;=$B118,"-",IF(InfBel2LevelDesired&lt;$B118,"-",$C118))</f>
        <v>-</v>
      </c>
      <c r="AW118" s="1" t="str">
        <f t="shared" ref="AW118" si="8243">IF(InfBel2LevelCurrent&gt;=$B118,"-",IF(InfBel2LevelDesired&lt;$B118,"-",$D118))</f>
        <v>-</v>
      </c>
      <c r="AX118" s="21" t="str">
        <f t="shared" ref="AX118" si="8244">IF(InfBel2LevelCurrent&gt;=$B118,"-",IF(InfBel2LevelDesired&lt;$B118,"-",$E118))</f>
        <v>-</v>
      </c>
      <c r="AY118" s="15" t="str">
        <f t="shared" ref="AY118" si="8245">IF(InfBoo2LevelCurrent&gt;=$B118,"-",IF(InfBoo2LevelDesired&lt;$B118,"-",$C118))</f>
        <v>-</v>
      </c>
      <c r="AZ118" s="1" t="str">
        <f t="shared" ref="AZ118" si="8246">IF(InfBoo2LevelCurrent&gt;=$B118,"-",IF(InfBoo2LevelDesired&lt;$B118,"-",$D118))</f>
        <v>-</v>
      </c>
      <c r="BA118" s="21" t="str">
        <f t="shared" ref="BA118" si="8247">IF(InfBoo2LevelCurrent&gt;=$B118,"-",IF(InfBoo2LevelDesired&lt;$B118,"-",$E118))</f>
        <v>-</v>
      </c>
      <c r="BB118" s="15" t="str">
        <f t="shared" ref="BB118" si="8248">IF(LanGog2LevelCurrent&gt;=$B118,"-",IF(LanGog2LevelDesired&lt;$B118,"-",$C118))</f>
        <v>-</v>
      </c>
      <c r="BC118" s="1" t="str">
        <f t="shared" ref="BC118" si="8249">IF(LanGog2LevelCurrent&gt;=$B118,"-",IF(LanGog2LevelDesired&lt;$B118,"-",$D118))</f>
        <v>-</v>
      </c>
      <c r="BD118" s="21" t="str">
        <f t="shared" ref="BD118" si="8250">IF(LanGog2LevelCurrent&gt;=$B118,"-",IF(LanGog2LevelDesired&lt;$B118,"-",$E118))</f>
        <v>-</v>
      </c>
      <c r="BE118" s="15" t="str">
        <f t="shared" ref="BE118" si="8251">IF(LanGlo2LevelCurrent&gt;=$B118,"-",IF(LanGlo2LevelDesired&lt;$B118,"-",$C118))</f>
        <v>-</v>
      </c>
      <c r="BF118" s="1" t="str">
        <f t="shared" ref="BF118" si="8252">IF(LanGlo2LevelCurrent&gt;=$B118,"-",IF(LanGlo2LevelDesired&lt;$B118,"-",$D118))</f>
        <v>-</v>
      </c>
      <c r="BG118" s="21" t="str">
        <f t="shared" ref="BG118" si="8253">IF(LanGlo2LevelCurrent&gt;=$B118,"-",IF(LanGlo2LevelDesired&lt;$B118,"-",$E118))</f>
        <v>-</v>
      </c>
      <c r="BH118" s="15" t="str">
        <f t="shared" ref="BH118" si="8254">IF(LanBel2LevelCurrent&gt;=$B118,"-",IF(LanBel2LevelDesired&lt;$B118,"-",$C118))</f>
        <v>-</v>
      </c>
      <c r="BI118" s="1" t="str">
        <f t="shared" ref="BI118" si="8255">IF(LanBel2LevelCurrent&gt;=$B118,"-",IF(LanBel2LevelDesired&lt;$B118,"-",$D118))</f>
        <v>-</v>
      </c>
      <c r="BJ118" s="21" t="str">
        <f t="shared" ref="BJ118" si="8256">IF(LanBel2LevelCurrent&gt;=$B118,"-",IF(LanBel2LevelDesired&lt;$B118,"-",$E118))</f>
        <v>-</v>
      </c>
      <c r="BK118" s="15" t="str">
        <f t="shared" ref="BK118" si="8257">IF(LanBoo2LevelCurrent&gt;=$B118,"-",IF(LanBoo2LevelDesired&lt;$B118,"-",$C118))</f>
        <v>-</v>
      </c>
      <c r="BL118" s="1" t="str">
        <f t="shared" ref="BL118" si="8258">IF(LanBoo2LevelCurrent&gt;=$B118,"-",IF(LanBoo2LevelDesired&lt;$B118,"-",$D118))</f>
        <v>-</v>
      </c>
      <c r="BM118" s="21" t="str">
        <f t="shared" ref="BM118" si="8259">IF(LanBoo2LevelCurrent&gt;=$B118,"-",IF(LanBoo2LevelDesired&lt;$B118,"-",$E118))</f>
        <v>-</v>
      </c>
      <c r="BN118" s="15" t="str">
        <f t="shared" ref="BN118" si="8260">IF(MarGog2LevelCurrent&gt;=$B118,"-",IF(MarGog2LevelDesired&lt;$B118,"-",$C118))</f>
        <v>-</v>
      </c>
      <c r="BO118" s="1" t="str">
        <f t="shared" ref="BO118" si="8261">IF(MarGog2LevelCurrent&gt;=$B118,"-",IF(MarGog2LevelDesired&lt;$B118,"-",$D118))</f>
        <v>-</v>
      </c>
      <c r="BP118" s="21" t="str">
        <f t="shared" ref="BP118" si="8262">IF(MarGog2LevelCurrent&gt;=$B118,"-",IF(MarGog2LevelDesired&lt;$B118,"-",$E118))</f>
        <v>-</v>
      </c>
      <c r="BQ118" s="15" t="str">
        <f t="shared" ref="BQ118" si="8263">IF(MarGlo2LevelCurrent&gt;=$B118,"-",IF(MarGlo2LevelDesired&lt;$B118,"-",$C118))</f>
        <v>-</v>
      </c>
      <c r="BR118" s="1" t="str">
        <f t="shared" ref="BR118" si="8264">IF(MarGlo2LevelCurrent&gt;=$B118,"-",IF(MarGlo2LevelDesired&lt;$B118,"-",$D118))</f>
        <v>-</v>
      </c>
      <c r="BS118" s="21" t="str">
        <f t="shared" ref="BS118" si="8265">IF(MarGlo2LevelCurrent&gt;=$B118,"-",IF(MarGlo2LevelDesired&lt;$B118,"-",$E118))</f>
        <v>-</v>
      </c>
      <c r="BT118" s="15" t="str">
        <f t="shared" ref="BT118" si="8266">IF(MarBel2LevelCurrent&gt;=$B118,"-",IF(MarBel2LevelDesired&lt;$B118,"-",$C118))</f>
        <v>-</v>
      </c>
      <c r="BU118" s="1" t="str">
        <f t="shared" ref="BU118" si="8267">IF(MarBel2LevelCurrent&gt;=$B118,"-",IF(MarBel2LevelDesired&lt;$B118,"-",$D118))</f>
        <v>-</v>
      </c>
      <c r="BV118" s="21" t="str">
        <f t="shared" ref="BV118" si="8268">IF(MarBel2LevelCurrent&gt;=$B118,"-",IF(MarBel2LevelDesired&lt;$B118,"-",$E118))</f>
        <v>-</v>
      </c>
      <c r="BW118" s="15" t="str">
        <f t="shared" ref="BW118" si="8269">IF(MarBoo2LevelCurrent&gt;=$B118,"-",IF(MarBoo2LevelDesired&lt;$B118,"-",$C118))</f>
        <v>-</v>
      </c>
      <c r="BX118" s="1" t="str">
        <f t="shared" ref="BX118" si="8270">IF(MarBoo2LevelCurrent&gt;=$B118,"-",IF(MarBoo2LevelDesired&lt;$B118,"-",$D118))</f>
        <v>-</v>
      </c>
      <c r="BY118" s="21" t="str">
        <f t="shared" ref="BY118" si="8271">IF(MarBoo2LevelCurrent&gt;=$B118,"-",IF(MarBoo2LevelDesired&lt;$B118,"-",$E118))</f>
        <v>-</v>
      </c>
      <c r="BZ118" s="15" t="str">
        <f t="shared" si="7086"/>
        <v>-</v>
      </c>
      <c r="CA118" s="1" t="str" cm="1">
        <f t="array" ref="CA118">IF(InfGog3LevelCurrent&gt;=$B118,"-",IF(InfGog3LevelDesired&lt;$B118,"-",$D118))</f>
        <v>-</v>
      </c>
      <c r="CB118" s="21" t="str" cm="1">
        <f t="array" ref="CB118">IF(InfGog3LevelCurrent&gt;=$B118,"-",IF(InfGog3LevelDesired&lt;$B118,"-",$E118))</f>
        <v>-</v>
      </c>
      <c r="CC118" s="15" t="str">
        <f t="shared" si="7087"/>
        <v>-</v>
      </c>
      <c r="CD118" s="1" t="str">
        <f t="shared" si="7088"/>
        <v>-</v>
      </c>
      <c r="CE118" s="21" t="str">
        <f t="shared" si="7089"/>
        <v>-</v>
      </c>
      <c r="CF118" s="15" t="str">
        <f t="shared" si="7090"/>
        <v>-</v>
      </c>
      <c r="CG118" s="1" t="str">
        <f t="shared" si="7091"/>
        <v>-</v>
      </c>
      <c r="CH118" s="21" t="str">
        <f t="shared" si="7092"/>
        <v>-</v>
      </c>
      <c r="CI118" s="15" t="str">
        <f t="shared" si="7093"/>
        <v>-</v>
      </c>
      <c r="CJ118" s="1" t="str">
        <f t="shared" si="7094"/>
        <v>-</v>
      </c>
      <c r="CK118" s="21" t="str">
        <f t="shared" si="7095"/>
        <v>-</v>
      </c>
      <c r="CL118" s="15" t="str">
        <f t="shared" si="7096"/>
        <v>-</v>
      </c>
      <c r="CM118" s="1" t="str">
        <f t="shared" si="7097"/>
        <v>-</v>
      </c>
      <c r="CN118" s="21" t="str">
        <f t="shared" si="7098"/>
        <v>-</v>
      </c>
      <c r="CO118" s="15" t="str">
        <f t="shared" si="7099"/>
        <v>-</v>
      </c>
      <c r="CP118" s="1" t="str">
        <f t="shared" si="7100"/>
        <v>-</v>
      </c>
      <c r="CQ118" s="21" t="str">
        <f t="shared" si="7101"/>
        <v>-</v>
      </c>
      <c r="CR118" s="15" t="str">
        <f t="shared" si="7102"/>
        <v>-</v>
      </c>
      <c r="CS118" s="1" t="str">
        <f t="shared" si="7103"/>
        <v>-</v>
      </c>
      <c r="CT118" s="21" t="str">
        <f t="shared" si="7104"/>
        <v>-</v>
      </c>
      <c r="CU118" s="15" t="str">
        <f t="shared" si="7105"/>
        <v>-</v>
      </c>
      <c r="CV118" s="1" t="str">
        <f t="shared" si="7106"/>
        <v>-</v>
      </c>
      <c r="CW118" s="21" t="str">
        <f t="shared" si="7107"/>
        <v>-</v>
      </c>
      <c r="CX118" s="15" t="str">
        <f t="shared" si="7108"/>
        <v>-</v>
      </c>
      <c r="CY118" s="1" t="str">
        <f t="shared" si="7109"/>
        <v>-</v>
      </c>
      <c r="CZ118" s="21" t="str">
        <f t="shared" si="7110"/>
        <v>-</v>
      </c>
      <c r="DA118" s="15" t="str">
        <f t="shared" si="7111"/>
        <v>-</v>
      </c>
      <c r="DB118" s="1" t="str">
        <f t="shared" si="7112"/>
        <v>-</v>
      </c>
      <c r="DC118" s="21" t="str">
        <f t="shared" si="7113"/>
        <v>-</v>
      </c>
      <c r="DD118" s="15" t="str">
        <f t="shared" si="7114"/>
        <v>-</v>
      </c>
      <c r="DE118" s="1" t="str">
        <f t="shared" si="7115"/>
        <v>-</v>
      </c>
      <c r="DF118" s="21" t="str">
        <f t="shared" si="7116"/>
        <v>-</v>
      </c>
      <c r="DG118" s="15" t="str">
        <f t="shared" si="7117"/>
        <v>-</v>
      </c>
      <c r="DH118" s="1" t="str">
        <f t="shared" si="7118"/>
        <v>-</v>
      </c>
      <c r="DI118" s="21" t="str">
        <f t="shared" si="7119"/>
        <v>-</v>
      </c>
    </row>
    <row r="119" spans="2:113" x14ac:dyDescent="0.3">
      <c r="B119" s="1">
        <v>114</v>
      </c>
      <c r="C119" s="67">
        <v>3100</v>
      </c>
      <c r="D119" s="88" t="s">
        <v>27</v>
      </c>
      <c r="E119" s="21" t="s">
        <v>27</v>
      </c>
      <c r="F119" s="15" t="str">
        <f t="shared" ref="F119" si="8272">IF(InfGog1LevelCurrent&gt;=$B119,"-",IF(InfGog1LevelDesired&lt;$B119,"-",$C119))</f>
        <v>-</v>
      </c>
      <c r="G119" s="1" t="str">
        <f t="shared" ref="G119" si="8273">IF(InfGog1LevelCurrent&gt;=$B119,"-",IF(InfGog1LevelDesired&lt;$B119,"-",$D119))</f>
        <v>-</v>
      </c>
      <c r="H119" s="21" t="str">
        <f t="shared" ref="H119" si="8274">IF(InfGog1LevelCurrent&gt;=$B119,"-",IF(InfGog1LevelDesired&lt;$B119,"-",$E119))</f>
        <v>-</v>
      </c>
      <c r="I119" s="15" t="str">
        <f t="shared" ref="I119" si="8275">IF(InfGlo1LevelCurrent&gt;=$B119,"-",IF(InfGlo1LevelDesired&lt;$B119,"-",$C119))</f>
        <v>-</v>
      </c>
      <c r="J119" s="1" t="str">
        <f t="shared" ref="J119" si="8276">IF(InfGlo1LevelCurrent&gt;=$B119,"-",IF(InfGlo1LevelDesired&lt;$B119,"-",$D119))</f>
        <v>-</v>
      </c>
      <c r="K119" s="21" t="str">
        <f t="shared" ref="K119" si="8277">IF(InfGlo1LevelCurrent&gt;=$B119,"-",IF(InfGlo1LevelDesired&lt;$B119,"-",$E119))</f>
        <v>-</v>
      </c>
      <c r="L119" s="15" t="str">
        <f t="shared" ref="L119" si="8278">IF(InfBel1LevelCurrent&gt;=$B119,"-",IF(InfBel1LevelDesired&lt;$B119,"-",$C119))</f>
        <v>-</v>
      </c>
      <c r="M119" s="1" t="str">
        <f t="shared" ref="M119" si="8279">IF(InfBel1LevelCurrent&gt;=$B119,"-",IF(InfBel1LevelDesired&lt;$B119,"-",$D119))</f>
        <v>-</v>
      </c>
      <c r="N119" s="21" t="str">
        <f t="shared" ref="N119" si="8280">IF(InfBel1LevelCurrent&gt;=$B119,"-",IF(InfBel1LevelDesired&lt;$B119,"-",$E119))</f>
        <v>-</v>
      </c>
      <c r="O119" s="15" t="str">
        <f t="shared" ref="O119" si="8281">IF(InfBoo1LevelCurrent&gt;=$B119,"-",IF(InfBoo1LevelDesired&lt;$B119,"-",$C119))</f>
        <v>-</v>
      </c>
      <c r="P119" s="1" t="str">
        <f t="shared" ref="P119" si="8282">IF(InfBoo1LevelCurrent&gt;=$B119,"-",IF(InfBoo1LevelDesired&lt;$B119,"-",$D119))</f>
        <v>-</v>
      </c>
      <c r="Q119" s="21" t="str">
        <f t="shared" ref="Q119" si="8283">IF(InfBoo1LevelCurrent&gt;=$B119,"-",IF(InfBoo1LevelDesired&lt;$B119,"-",$E119))</f>
        <v>-</v>
      </c>
      <c r="R119" s="15" t="str">
        <f t="shared" ref="R119" si="8284">IF(LanGog1LevelCurrent&gt;=$B119,"-",IF(LanGog1LevelDesired&lt;$B119,"-",$C119))</f>
        <v>-</v>
      </c>
      <c r="S119" s="1" t="str">
        <f t="shared" ref="S119" si="8285">IF(LanGog1LevelCurrent&gt;=$B119,"-",IF(LanGog1LevelDesired&lt;$B119,"-",$D119))</f>
        <v>-</v>
      </c>
      <c r="T119" s="21" t="str">
        <f t="shared" ref="T119" si="8286">IF(LanGog1LevelCurrent&gt;=$B119,"-",IF(LanGog1LevelDesired&lt;$B119,"-",$E119))</f>
        <v>-</v>
      </c>
      <c r="U119" s="15" t="str">
        <f t="shared" ref="U119" si="8287">IF(LanGlo1LevelCurrent&gt;=$B119,"-",IF(LanGlo1LevelDesired&lt;$B119,"-",$C119))</f>
        <v>-</v>
      </c>
      <c r="V119" s="1" t="str">
        <f t="shared" ref="V119" si="8288">IF(LanGlo1LevelCurrent&gt;=$B119,"-",IF(LanGlo1LevelDesired&lt;$B119,"-",$D119))</f>
        <v>-</v>
      </c>
      <c r="W119" s="21" t="str">
        <f t="shared" ref="W119" si="8289">IF(LanGlo1LevelCurrent&gt;=$B119,"-",IF(LanGlo1LevelDesired&lt;$B119,"-",$E119))</f>
        <v>-</v>
      </c>
      <c r="X119" s="15" t="str">
        <f t="shared" ref="X119" si="8290">IF(LanBel1LevelCurrent&gt;=$B119,"-",IF(LanBel1LevelDesired&lt;$B119,"-",$C119))</f>
        <v>-</v>
      </c>
      <c r="Y119" s="1" t="str">
        <f t="shared" ref="Y119" si="8291">IF(LanBel1LevelCurrent&gt;=$B119,"-",IF(LanBel1LevelDesired&lt;$B119,"-",$D119))</f>
        <v>-</v>
      </c>
      <c r="Z119" s="21" t="str">
        <f t="shared" ref="Z119" si="8292">IF(LanBel1LevelCurrent&gt;=$B119,"-",IF(LanBel1LevelDesired&lt;$B119,"-",$E119))</f>
        <v>-</v>
      </c>
      <c r="AA119" s="15" t="str">
        <f t="shared" ref="AA119" si="8293">IF(LanBoo1LevelCurrent&gt;=$B119,"-",IF(LanBoo1LevelDesired&lt;$B119,"-",$C119))</f>
        <v>-</v>
      </c>
      <c r="AB119" s="1" t="str">
        <f t="shared" ref="AB119" si="8294">IF(LanBoo1LevelCurrent&gt;=$B119,"-",IF(LanBoo1LevelDesired&lt;$B119,"-",$D119))</f>
        <v>-</v>
      </c>
      <c r="AC119" s="21" t="str">
        <f t="shared" ref="AC119" si="8295">IF(LanBoo1LevelCurrent&gt;=$B119,"-",IF(LanBoo1LevelDesired&lt;$B119,"-",$E119))</f>
        <v>-</v>
      </c>
      <c r="AD119" s="15" t="str">
        <f t="shared" ref="AD119" si="8296">IF(MarGog1LevelCurrent&gt;=$B119,"-",IF(MarGog1LevelDesired&lt;$B119,"-",$C119))</f>
        <v>-</v>
      </c>
      <c r="AE119" s="1" t="str">
        <f t="shared" ref="AE119" si="8297">IF(MarGog1LevelCurrent&gt;=$B119,"-",IF(MarGog1LevelDesired&lt;$B119,"-",$D119))</f>
        <v>-</v>
      </c>
      <c r="AF119" s="21" t="str">
        <f t="shared" ref="AF119" si="8298">IF(MarGog1LevelCurrent&gt;=$B119,"-",IF(MarGog1LevelDesired&lt;$B119,"-",$E119))</f>
        <v>-</v>
      </c>
      <c r="AG119" s="15" t="str">
        <f t="shared" ref="AG119" si="8299">IF(MarGlo1LevelCurrent&gt;=$B119,"-",IF(MarGlo1LevelDesired&lt;$B119,"-",$C119))</f>
        <v>-</v>
      </c>
      <c r="AH119" s="1" t="str">
        <f t="shared" ref="AH119" si="8300">IF(MarGlo1LevelCurrent&gt;=$B119,"-",IF(MarGlo1LevelDesired&lt;$B119,"-",$D119))</f>
        <v>-</v>
      </c>
      <c r="AI119" s="21" t="str">
        <f t="shared" ref="AI119" si="8301">IF(MarGlo1LevelCurrent&gt;=$B119,"-",IF(MarGlo1LevelDesired&lt;$B119,"-",$E119))</f>
        <v>-</v>
      </c>
      <c r="AJ119" s="15" t="str">
        <f t="shared" ref="AJ119" si="8302">IF(MarBel1LevelCurrent&gt;=$B119,"-",IF(MarBel1LevelDesired&lt;$B119,"-",$C119))</f>
        <v>-</v>
      </c>
      <c r="AK119" s="1" t="str">
        <f t="shared" ref="AK119" si="8303">IF(MarBel1LevelCurrent&gt;=$B119,"-",IF(MarBel1LevelDesired&lt;$B119,"-",$D119))</f>
        <v>-</v>
      </c>
      <c r="AL119" s="21" t="str">
        <f t="shared" ref="AL119" si="8304">IF(MarBel1LevelCurrent&gt;=$B119,"-",IF(MarBel1LevelDesired&lt;$B119,"-",$E119))</f>
        <v>-</v>
      </c>
      <c r="AM119" s="15" t="str">
        <f t="shared" ref="AM119" si="8305">IF(MarBoo1LevelCurrent&gt;=$B119,"-",IF(MarBoo1LevelDesired&lt;$B119,"-",$C119))</f>
        <v>-</v>
      </c>
      <c r="AN119" s="1" t="str">
        <f t="shared" ref="AN119" si="8306">IF(MarBoo1LevelCurrent&gt;=$B119,"-",IF(MarBoo1LevelDesired&lt;$B119,"-",$D119))</f>
        <v>-</v>
      </c>
      <c r="AO119" s="21" t="str">
        <f t="shared" ref="AO119" si="8307">IF(MarBoo1LevelCurrent&gt;=$B119,"-",IF(MarBoo1LevelDesired&lt;$B119,"-",$E119))</f>
        <v>-</v>
      </c>
      <c r="AP119" s="15" t="str">
        <f t="shared" ref="AP119" si="8308">IF(InfGog2LevelCurrent&gt;=$B119,"-",IF(InfGog2LevelDesired&lt;$B119,"-",$C119))</f>
        <v>-</v>
      </c>
      <c r="AQ119" s="1" t="str">
        <f t="shared" ref="AQ119" si="8309">IF(InfGog2LevelCurrent&gt;=$B119,"-",IF(InfGog2LevelDesired&lt;$B119,"-",$D119))</f>
        <v>-</v>
      </c>
      <c r="AR119" s="21" t="str">
        <f t="shared" ref="AR119" si="8310">IF(InfGog2LevelCurrent&gt;=$B119,"-",IF(InfGog2LevelDesired&lt;$B119,"-",$E119))</f>
        <v>-</v>
      </c>
      <c r="AS119" s="15" t="str">
        <f t="shared" ref="AS119" si="8311">IF(InfGlo2LevelCurrent&gt;=$B119,"-",IF(InfGlo2LevelDesired&lt;$B119,"-",$C119))</f>
        <v>-</v>
      </c>
      <c r="AT119" s="1" t="str">
        <f t="shared" ref="AT119" si="8312">IF(InfGlo2LevelCurrent&gt;=$B119,"-",IF(InfGlo2LevelDesired&lt;$B119,"-",$D119))</f>
        <v>-</v>
      </c>
      <c r="AU119" s="21" t="str">
        <f t="shared" ref="AU119" si="8313">IF(InfGlo2LevelCurrent&gt;=$B119,"-",IF(InfGlo2LevelDesired&lt;$B119,"-",$E119))</f>
        <v>-</v>
      </c>
      <c r="AV119" s="15" t="str">
        <f t="shared" ref="AV119" si="8314">IF(InfBel2LevelCurrent&gt;=$B119,"-",IF(InfBel2LevelDesired&lt;$B119,"-",$C119))</f>
        <v>-</v>
      </c>
      <c r="AW119" s="1" t="str">
        <f t="shared" ref="AW119" si="8315">IF(InfBel2LevelCurrent&gt;=$B119,"-",IF(InfBel2LevelDesired&lt;$B119,"-",$D119))</f>
        <v>-</v>
      </c>
      <c r="AX119" s="21" t="str">
        <f t="shared" ref="AX119" si="8316">IF(InfBel2LevelCurrent&gt;=$B119,"-",IF(InfBel2LevelDesired&lt;$B119,"-",$E119))</f>
        <v>-</v>
      </c>
      <c r="AY119" s="15" t="str">
        <f t="shared" ref="AY119" si="8317">IF(InfBoo2LevelCurrent&gt;=$B119,"-",IF(InfBoo2LevelDesired&lt;$B119,"-",$C119))</f>
        <v>-</v>
      </c>
      <c r="AZ119" s="1" t="str">
        <f t="shared" ref="AZ119" si="8318">IF(InfBoo2LevelCurrent&gt;=$B119,"-",IF(InfBoo2LevelDesired&lt;$B119,"-",$D119))</f>
        <v>-</v>
      </c>
      <c r="BA119" s="21" t="str">
        <f t="shared" ref="BA119" si="8319">IF(InfBoo2LevelCurrent&gt;=$B119,"-",IF(InfBoo2LevelDesired&lt;$B119,"-",$E119))</f>
        <v>-</v>
      </c>
      <c r="BB119" s="15" t="str">
        <f t="shared" ref="BB119" si="8320">IF(LanGog2LevelCurrent&gt;=$B119,"-",IF(LanGog2LevelDesired&lt;$B119,"-",$C119))</f>
        <v>-</v>
      </c>
      <c r="BC119" s="1" t="str">
        <f t="shared" ref="BC119" si="8321">IF(LanGog2LevelCurrent&gt;=$B119,"-",IF(LanGog2LevelDesired&lt;$B119,"-",$D119))</f>
        <v>-</v>
      </c>
      <c r="BD119" s="21" t="str">
        <f t="shared" ref="BD119" si="8322">IF(LanGog2LevelCurrent&gt;=$B119,"-",IF(LanGog2LevelDesired&lt;$B119,"-",$E119))</f>
        <v>-</v>
      </c>
      <c r="BE119" s="15" t="str">
        <f t="shared" ref="BE119" si="8323">IF(LanGlo2LevelCurrent&gt;=$B119,"-",IF(LanGlo2LevelDesired&lt;$B119,"-",$C119))</f>
        <v>-</v>
      </c>
      <c r="BF119" s="1" t="str">
        <f t="shared" ref="BF119" si="8324">IF(LanGlo2LevelCurrent&gt;=$B119,"-",IF(LanGlo2LevelDesired&lt;$B119,"-",$D119))</f>
        <v>-</v>
      </c>
      <c r="BG119" s="21" t="str">
        <f t="shared" ref="BG119" si="8325">IF(LanGlo2LevelCurrent&gt;=$B119,"-",IF(LanGlo2LevelDesired&lt;$B119,"-",$E119))</f>
        <v>-</v>
      </c>
      <c r="BH119" s="15" t="str">
        <f t="shared" ref="BH119" si="8326">IF(LanBel2LevelCurrent&gt;=$B119,"-",IF(LanBel2LevelDesired&lt;$B119,"-",$C119))</f>
        <v>-</v>
      </c>
      <c r="BI119" s="1" t="str">
        <f t="shared" ref="BI119" si="8327">IF(LanBel2LevelCurrent&gt;=$B119,"-",IF(LanBel2LevelDesired&lt;$B119,"-",$D119))</f>
        <v>-</v>
      </c>
      <c r="BJ119" s="21" t="str">
        <f t="shared" ref="BJ119" si="8328">IF(LanBel2LevelCurrent&gt;=$B119,"-",IF(LanBel2LevelDesired&lt;$B119,"-",$E119))</f>
        <v>-</v>
      </c>
      <c r="BK119" s="15" t="str">
        <f t="shared" ref="BK119" si="8329">IF(LanBoo2LevelCurrent&gt;=$B119,"-",IF(LanBoo2LevelDesired&lt;$B119,"-",$C119))</f>
        <v>-</v>
      </c>
      <c r="BL119" s="1" t="str">
        <f t="shared" ref="BL119" si="8330">IF(LanBoo2LevelCurrent&gt;=$B119,"-",IF(LanBoo2LevelDesired&lt;$B119,"-",$D119))</f>
        <v>-</v>
      </c>
      <c r="BM119" s="21" t="str">
        <f t="shared" ref="BM119" si="8331">IF(LanBoo2LevelCurrent&gt;=$B119,"-",IF(LanBoo2LevelDesired&lt;$B119,"-",$E119))</f>
        <v>-</v>
      </c>
      <c r="BN119" s="15" t="str">
        <f t="shared" ref="BN119" si="8332">IF(MarGog2LevelCurrent&gt;=$B119,"-",IF(MarGog2LevelDesired&lt;$B119,"-",$C119))</f>
        <v>-</v>
      </c>
      <c r="BO119" s="1" t="str">
        <f t="shared" ref="BO119" si="8333">IF(MarGog2LevelCurrent&gt;=$B119,"-",IF(MarGog2LevelDesired&lt;$B119,"-",$D119))</f>
        <v>-</v>
      </c>
      <c r="BP119" s="21" t="str">
        <f t="shared" ref="BP119" si="8334">IF(MarGog2LevelCurrent&gt;=$B119,"-",IF(MarGog2LevelDesired&lt;$B119,"-",$E119))</f>
        <v>-</v>
      </c>
      <c r="BQ119" s="15" t="str">
        <f t="shared" ref="BQ119" si="8335">IF(MarGlo2LevelCurrent&gt;=$B119,"-",IF(MarGlo2LevelDesired&lt;$B119,"-",$C119))</f>
        <v>-</v>
      </c>
      <c r="BR119" s="1" t="str">
        <f t="shared" ref="BR119" si="8336">IF(MarGlo2LevelCurrent&gt;=$B119,"-",IF(MarGlo2LevelDesired&lt;$B119,"-",$D119))</f>
        <v>-</v>
      </c>
      <c r="BS119" s="21" t="str">
        <f t="shared" ref="BS119" si="8337">IF(MarGlo2LevelCurrent&gt;=$B119,"-",IF(MarGlo2LevelDesired&lt;$B119,"-",$E119))</f>
        <v>-</v>
      </c>
      <c r="BT119" s="15" t="str">
        <f t="shared" ref="BT119" si="8338">IF(MarBel2LevelCurrent&gt;=$B119,"-",IF(MarBel2LevelDesired&lt;$B119,"-",$C119))</f>
        <v>-</v>
      </c>
      <c r="BU119" s="1" t="str">
        <f t="shared" ref="BU119" si="8339">IF(MarBel2LevelCurrent&gt;=$B119,"-",IF(MarBel2LevelDesired&lt;$B119,"-",$D119))</f>
        <v>-</v>
      </c>
      <c r="BV119" s="21" t="str">
        <f t="shared" ref="BV119" si="8340">IF(MarBel2LevelCurrent&gt;=$B119,"-",IF(MarBel2LevelDesired&lt;$B119,"-",$E119))</f>
        <v>-</v>
      </c>
      <c r="BW119" s="15" t="str">
        <f t="shared" ref="BW119" si="8341">IF(MarBoo2LevelCurrent&gt;=$B119,"-",IF(MarBoo2LevelDesired&lt;$B119,"-",$C119))</f>
        <v>-</v>
      </c>
      <c r="BX119" s="1" t="str">
        <f t="shared" ref="BX119" si="8342">IF(MarBoo2LevelCurrent&gt;=$B119,"-",IF(MarBoo2LevelDesired&lt;$B119,"-",$D119))</f>
        <v>-</v>
      </c>
      <c r="BY119" s="21" t="str">
        <f t="shared" ref="BY119" si="8343">IF(MarBoo2LevelCurrent&gt;=$B119,"-",IF(MarBoo2LevelDesired&lt;$B119,"-",$E119))</f>
        <v>-</v>
      </c>
      <c r="BZ119" s="15" t="str">
        <f t="shared" si="7086"/>
        <v>-</v>
      </c>
      <c r="CA119" s="1" t="str" cm="1">
        <f t="array" ref="CA119">IF(InfGog3LevelCurrent&gt;=$B119,"-",IF(InfGog3LevelDesired&lt;$B119,"-",$D119))</f>
        <v>-</v>
      </c>
      <c r="CB119" s="21" t="str" cm="1">
        <f t="array" ref="CB119">IF(InfGog3LevelCurrent&gt;=$B119,"-",IF(InfGog3LevelDesired&lt;$B119,"-",$E119))</f>
        <v>-</v>
      </c>
      <c r="CC119" s="15" t="str">
        <f t="shared" si="7087"/>
        <v>-</v>
      </c>
      <c r="CD119" s="1" t="str">
        <f t="shared" si="7088"/>
        <v>-</v>
      </c>
      <c r="CE119" s="21" t="str">
        <f t="shared" si="7089"/>
        <v>-</v>
      </c>
      <c r="CF119" s="15" t="str">
        <f t="shared" si="7090"/>
        <v>-</v>
      </c>
      <c r="CG119" s="1" t="str">
        <f t="shared" si="7091"/>
        <v>-</v>
      </c>
      <c r="CH119" s="21" t="str">
        <f t="shared" si="7092"/>
        <v>-</v>
      </c>
      <c r="CI119" s="15" t="str">
        <f t="shared" si="7093"/>
        <v>-</v>
      </c>
      <c r="CJ119" s="1" t="str">
        <f t="shared" si="7094"/>
        <v>-</v>
      </c>
      <c r="CK119" s="21" t="str">
        <f t="shared" si="7095"/>
        <v>-</v>
      </c>
      <c r="CL119" s="15" t="str">
        <f t="shared" si="7096"/>
        <v>-</v>
      </c>
      <c r="CM119" s="1" t="str">
        <f t="shared" si="7097"/>
        <v>-</v>
      </c>
      <c r="CN119" s="21" t="str">
        <f t="shared" si="7098"/>
        <v>-</v>
      </c>
      <c r="CO119" s="15" t="str">
        <f t="shared" si="7099"/>
        <v>-</v>
      </c>
      <c r="CP119" s="1" t="str">
        <f t="shared" si="7100"/>
        <v>-</v>
      </c>
      <c r="CQ119" s="21" t="str">
        <f t="shared" si="7101"/>
        <v>-</v>
      </c>
      <c r="CR119" s="15" t="str">
        <f t="shared" si="7102"/>
        <v>-</v>
      </c>
      <c r="CS119" s="1" t="str">
        <f t="shared" si="7103"/>
        <v>-</v>
      </c>
      <c r="CT119" s="21" t="str">
        <f t="shared" si="7104"/>
        <v>-</v>
      </c>
      <c r="CU119" s="15" t="str">
        <f t="shared" si="7105"/>
        <v>-</v>
      </c>
      <c r="CV119" s="1" t="str">
        <f t="shared" si="7106"/>
        <v>-</v>
      </c>
      <c r="CW119" s="21" t="str">
        <f t="shared" si="7107"/>
        <v>-</v>
      </c>
      <c r="CX119" s="15" t="str">
        <f t="shared" si="7108"/>
        <v>-</v>
      </c>
      <c r="CY119" s="1" t="str">
        <f t="shared" si="7109"/>
        <v>-</v>
      </c>
      <c r="CZ119" s="21" t="str">
        <f t="shared" si="7110"/>
        <v>-</v>
      </c>
      <c r="DA119" s="15" t="str">
        <f t="shared" si="7111"/>
        <v>-</v>
      </c>
      <c r="DB119" s="1" t="str">
        <f t="shared" si="7112"/>
        <v>-</v>
      </c>
      <c r="DC119" s="21" t="str">
        <f t="shared" si="7113"/>
        <v>-</v>
      </c>
      <c r="DD119" s="15" t="str">
        <f t="shared" si="7114"/>
        <v>-</v>
      </c>
      <c r="DE119" s="1" t="str">
        <f t="shared" si="7115"/>
        <v>-</v>
      </c>
      <c r="DF119" s="21" t="str">
        <f t="shared" si="7116"/>
        <v>-</v>
      </c>
      <c r="DG119" s="15" t="str">
        <f t="shared" si="7117"/>
        <v>-</v>
      </c>
      <c r="DH119" s="1" t="str">
        <f t="shared" si="7118"/>
        <v>-</v>
      </c>
      <c r="DI119" s="21" t="str">
        <f t="shared" si="7119"/>
        <v>-</v>
      </c>
    </row>
    <row r="120" spans="2:113" x14ac:dyDescent="0.3">
      <c r="B120" s="1">
        <v>115</v>
      </c>
      <c r="C120" s="67">
        <v>3150</v>
      </c>
      <c r="D120" s="88" t="s">
        <v>27</v>
      </c>
      <c r="E120" s="21" t="s">
        <v>27</v>
      </c>
      <c r="F120" s="15" t="str">
        <f t="shared" ref="F120" si="8344">IF(InfGog1LevelCurrent&gt;=$B120,"-",IF(InfGog1LevelDesired&lt;$B120,"-",$C120))</f>
        <v>-</v>
      </c>
      <c r="G120" s="1" t="str">
        <f t="shared" ref="G120" si="8345">IF(InfGog1LevelCurrent&gt;=$B120,"-",IF(InfGog1LevelDesired&lt;$B120,"-",$D120))</f>
        <v>-</v>
      </c>
      <c r="H120" s="21" t="str">
        <f t="shared" ref="H120" si="8346">IF(InfGog1LevelCurrent&gt;=$B120,"-",IF(InfGog1LevelDesired&lt;$B120,"-",$E120))</f>
        <v>-</v>
      </c>
      <c r="I120" s="15" t="str">
        <f t="shared" ref="I120" si="8347">IF(InfGlo1LevelCurrent&gt;=$B120,"-",IF(InfGlo1LevelDesired&lt;$B120,"-",$C120))</f>
        <v>-</v>
      </c>
      <c r="J120" s="1" t="str">
        <f t="shared" ref="J120" si="8348">IF(InfGlo1LevelCurrent&gt;=$B120,"-",IF(InfGlo1LevelDesired&lt;$B120,"-",$D120))</f>
        <v>-</v>
      </c>
      <c r="K120" s="21" t="str">
        <f t="shared" ref="K120" si="8349">IF(InfGlo1LevelCurrent&gt;=$B120,"-",IF(InfGlo1LevelDesired&lt;$B120,"-",$E120))</f>
        <v>-</v>
      </c>
      <c r="L120" s="15" t="str">
        <f t="shared" ref="L120" si="8350">IF(InfBel1LevelCurrent&gt;=$B120,"-",IF(InfBel1LevelDesired&lt;$B120,"-",$C120))</f>
        <v>-</v>
      </c>
      <c r="M120" s="1" t="str">
        <f t="shared" ref="M120" si="8351">IF(InfBel1LevelCurrent&gt;=$B120,"-",IF(InfBel1LevelDesired&lt;$B120,"-",$D120))</f>
        <v>-</v>
      </c>
      <c r="N120" s="21" t="str">
        <f t="shared" ref="N120" si="8352">IF(InfBel1LevelCurrent&gt;=$B120,"-",IF(InfBel1LevelDesired&lt;$B120,"-",$E120))</f>
        <v>-</v>
      </c>
      <c r="O120" s="15" t="str">
        <f t="shared" ref="O120" si="8353">IF(InfBoo1LevelCurrent&gt;=$B120,"-",IF(InfBoo1LevelDesired&lt;$B120,"-",$C120))</f>
        <v>-</v>
      </c>
      <c r="P120" s="1" t="str">
        <f t="shared" ref="P120" si="8354">IF(InfBoo1LevelCurrent&gt;=$B120,"-",IF(InfBoo1LevelDesired&lt;$B120,"-",$D120))</f>
        <v>-</v>
      </c>
      <c r="Q120" s="21" t="str">
        <f t="shared" ref="Q120" si="8355">IF(InfBoo1LevelCurrent&gt;=$B120,"-",IF(InfBoo1LevelDesired&lt;$B120,"-",$E120))</f>
        <v>-</v>
      </c>
      <c r="R120" s="15" t="str">
        <f t="shared" ref="R120" si="8356">IF(LanGog1LevelCurrent&gt;=$B120,"-",IF(LanGog1LevelDesired&lt;$B120,"-",$C120))</f>
        <v>-</v>
      </c>
      <c r="S120" s="1" t="str">
        <f t="shared" ref="S120" si="8357">IF(LanGog1LevelCurrent&gt;=$B120,"-",IF(LanGog1LevelDesired&lt;$B120,"-",$D120))</f>
        <v>-</v>
      </c>
      <c r="T120" s="21" t="str">
        <f t="shared" ref="T120" si="8358">IF(LanGog1LevelCurrent&gt;=$B120,"-",IF(LanGog1LevelDesired&lt;$B120,"-",$E120))</f>
        <v>-</v>
      </c>
      <c r="U120" s="15" t="str">
        <f t="shared" ref="U120" si="8359">IF(LanGlo1LevelCurrent&gt;=$B120,"-",IF(LanGlo1LevelDesired&lt;$B120,"-",$C120))</f>
        <v>-</v>
      </c>
      <c r="V120" s="1" t="str">
        <f t="shared" ref="V120" si="8360">IF(LanGlo1LevelCurrent&gt;=$B120,"-",IF(LanGlo1LevelDesired&lt;$B120,"-",$D120))</f>
        <v>-</v>
      </c>
      <c r="W120" s="21" t="str">
        <f t="shared" ref="W120" si="8361">IF(LanGlo1LevelCurrent&gt;=$B120,"-",IF(LanGlo1LevelDesired&lt;$B120,"-",$E120))</f>
        <v>-</v>
      </c>
      <c r="X120" s="15" t="str">
        <f t="shared" ref="X120" si="8362">IF(LanBel1LevelCurrent&gt;=$B120,"-",IF(LanBel1LevelDesired&lt;$B120,"-",$C120))</f>
        <v>-</v>
      </c>
      <c r="Y120" s="1" t="str">
        <f t="shared" ref="Y120" si="8363">IF(LanBel1LevelCurrent&gt;=$B120,"-",IF(LanBel1LevelDesired&lt;$B120,"-",$D120))</f>
        <v>-</v>
      </c>
      <c r="Z120" s="21" t="str">
        <f t="shared" ref="Z120" si="8364">IF(LanBel1LevelCurrent&gt;=$B120,"-",IF(LanBel1LevelDesired&lt;$B120,"-",$E120))</f>
        <v>-</v>
      </c>
      <c r="AA120" s="15" t="str">
        <f t="shared" ref="AA120" si="8365">IF(LanBoo1LevelCurrent&gt;=$B120,"-",IF(LanBoo1LevelDesired&lt;$B120,"-",$C120))</f>
        <v>-</v>
      </c>
      <c r="AB120" s="1" t="str">
        <f t="shared" ref="AB120" si="8366">IF(LanBoo1LevelCurrent&gt;=$B120,"-",IF(LanBoo1LevelDesired&lt;$B120,"-",$D120))</f>
        <v>-</v>
      </c>
      <c r="AC120" s="21" t="str">
        <f t="shared" ref="AC120" si="8367">IF(LanBoo1LevelCurrent&gt;=$B120,"-",IF(LanBoo1LevelDesired&lt;$B120,"-",$E120))</f>
        <v>-</v>
      </c>
      <c r="AD120" s="15" t="str">
        <f t="shared" ref="AD120" si="8368">IF(MarGog1LevelCurrent&gt;=$B120,"-",IF(MarGog1LevelDesired&lt;$B120,"-",$C120))</f>
        <v>-</v>
      </c>
      <c r="AE120" s="1" t="str">
        <f t="shared" ref="AE120" si="8369">IF(MarGog1LevelCurrent&gt;=$B120,"-",IF(MarGog1LevelDesired&lt;$B120,"-",$D120))</f>
        <v>-</v>
      </c>
      <c r="AF120" s="21" t="str">
        <f t="shared" ref="AF120" si="8370">IF(MarGog1LevelCurrent&gt;=$B120,"-",IF(MarGog1LevelDesired&lt;$B120,"-",$E120))</f>
        <v>-</v>
      </c>
      <c r="AG120" s="15" t="str">
        <f t="shared" ref="AG120" si="8371">IF(MarGlo1LevelCurrent&gt;=$B120,"-",IF(MarGlo1LevelDesired&lt;$B120,"-",$C120))</f>
        <v>-</v>
      </c>
      <c r="AH120" s="1" t="str">
        <f t="shared" ref="AH120" si="8372">IF(MarGlo1LevelCurrent&gt;=$B120,"-",IF(MarGlo1LevelDesired&lt;$B120,"-",$D120))</f>
        <v>-</v>
      </c>
      <c r="AI120" s="21" t="str">
        <f t="shared" ref="AI120" si="8373">IF(MarGlo1LevelCurrent&gt;=$B120,"-",IF(MarGlo1LevelDesired&lt;$B120,"-",$E120))</f>
        <v>-</v>
      </c>
      <c r="AJ120" s="15" t="str">
        <f t="shared" ref="AJ120" si="8374">IF(MarBel1LevelCurrent&gt;=$B120,"-",IF(MarBel1LevelDesired&lt;$B120,"-",$C120))</f>
        <v>-</v>
      </c>
      <c r="AK120" s="1" t="str">
        <f t="shared" ref="AK120" si="8375">IF(MarBel1LevelCurrent&gt;=$B120,"-",IF(MarBel1LevelDesired&lt;$B120,"-",$D120))</f>
        <v>-</v>
      </c>
      <c r="AL120" s="21" t="str">
        <f t="shared" ref="AL120" si="8376">IF(MarBel1LevelCurrent&gt;=$B120,"-",IF(MarBel1LevelDesired&lt;$B120,"-",$E120))</f>
        <v>-</v>
      </c>
      <c r="AM120" s="15" t="str">
        <f t="shared" ref="AM120" si="8377">IF(MarBoo1LevelCurrent&gt;=$B120,"-",IF(MarBoo1LevelDesired&lt;$B120,"-",$C120))</f>
        <v>-</v>
      </c>
      <c r="AN120" s="1" t="str">
        <f t="shared" ref="AN120" si="8378">IF(MarBoo1LevelCurrent&gt;=$B120,"-",IF(MarBoo1LevelDesired&lt;$B120,"-",$D120))</f>
        <v>-</v>
      </c>
      <c r="AO120" s="21" t="str">
        <f t="shared" ref="AO120" si="8379">IF(MarBoo1LevelCurrent&gt;=$B120,"-",IF(MarBoo1LevelDesired&lt;$B120,"-",$E120))</f>
        <v>-</v>
      </c>
      <c r="AP120" s="15" t="str">
        <f t="shared" ref="AP120" si="8380">IF(InfGog2LevelCurrent&gt;=$B120,"-",IF(InfGog2LevelDesired&lt;$B120,"-",$C120))</f>
        <v>-</v>
      </c>
      <c r="AQ120" s="1" t="str">
        <f t="shared" ref="AQ120" si="8381">IF(InfGog2LevelCurrent&gt;=$B120,"-",IF(InfGog2LevelDesired&lt;$B120,"-",$D120))</f>
        <v>-</v>
      </c>
      <c r="AR120" s="21" t="str">
        <f t="shared" ref="AR120" si="8382">IF(InfGog2LevelCurrent&gt;=$B120,"-",IF(InfGog2LevelDesired&lt;$B120,"-",$E120))</f>
        <v>-</v>
      </c>
      <c r="AS120" s="15" t="str">
        <f t="shared" ref="AS120" si="8383">IF(InfGlo2LevelCurrent&gt;=$B120,"-",IF(InfGlo2LevelDesired&lt;$B120,"-",$C120))</f>
        <v>-</v>
      </c>
      <c r="AT120" s="1" t="str">
        <f t="shared" ref="AT120" si="8384">IF(InfGlo2LevelCurrent&gt;=$B120,"-",IF(InfGlo2LevelDesired&lt;$B120,"-",$D120))</f>
        <v>-</v>
      </c>
      <c r="AU120" s="21" t="str">
        <f t="shared" ref="AU120" si="8385">IF(InfGlo2LevelCurrent&gt;=$B120,"-",IF(InfGlo2LevelDesired&lt;$B120,"-",$E120))</f>
        <v>-</v>
      </c>
      <c r="AV120" s="15" t="str">
        <f t="shared" ref="AV120" si="8386">IF(InfBel2LevelCurrent&gt;=$B120,"-",IF(InfBel2LevelDesired&lt;$B120,"-",$C120))</f>
        <v>-</v>
      </c>
      <c r="AW120" s="1" t="str">
        <f t="shared" ref="AW120" si="8387">IF(InfBel2LevelCurrent&gt;=$B120,"-",IF(InfBel2LevelDesired&lt;$B120,"-",$D120))</f>
        <v>-</v>
      </c>
      <c r="AX120" s="21" t="str">
        <f t="shared" ref="AX120" si="8388">IF(InfBel2LevelCurrent&gt;=$B120,"-",IF(InfBel2LevelDesired&lt;$B120,"-",$E120))</f>
        <v>-</v>
      </c>
      <c r="AY120" s="15" t="str">
        <f t="shared" ref="AY120" si="8389">IF(InfBoo2LevelCurrent&gt;=$B120,"-",IF(InfBoo2LevelDesired&lt;$B120,"-",$C120))</f>
        <v>-</v>
      </c>
      <c r="AZ120" s="1" t="str">
        <f t="shared" ref="AZ120" si="8390">IF(InfBoo2LevelCurrent&gt;=$B120,"-",IF(InfBoo2LevelDesired&lt;$B120,"-",$D120))</f>
        <v>-</v>
      </c>
      <c r="BA120" s="21" t="str">
        <f t="shared" ref="BA120" si="8391">IF(InfBoo2LevelCurrent&gt;=$B120,"-",IF(InfBoo2LevelDesired&lt;$B120,"-",$E120))</f>
        <v>-</v>
      </c>
      <c r="BB120" s="15" t="str">
        <f t="shared" ref="BB120" si="8392">IF(LanGog2LevelCurrent&gt;=$B120,"-",IF(LanGog2LevelDesired&lt;$B120,"-",$C120))</f>
        <v>-</v>
      </c>
      <c r="BC120" s="1" t="str">
        <f t="shared" ref="BC120" si="8393">IF(LanGog2LevelCurrent&gt;=$B120,"-",IF(LanGog2LevelDesired&lt;$B120,"-",$D120))</f>
        <v>-</v>
      </c>
      <c r="BD120" s="21" t="str">
        <f t="shared" ref="BD120" si="8394">IF(LanGog2LevelCurrent&gt;=$B120,"-",IF(LanGog2LevelDesired&lt;$B120,"-",$E120))</f>
        <v>-</v>
      </c>
      <c r="BE120" s="15" t="str">
        <f t="shared" ref="BE120" si="8395">IF(LanGlo2LevelCurrent&gt;=$B120,"-",IF(LanGlo2LevelDesired&lt;$B120,"-",$C120))</f>
        <v>-</v>
      </c>
      <c r="BF120" s="1" t="str">
        <f t="shared" ref="BF120" si="8396">IF(LanGlo2LevelCurrent&gt;=$B120,"-",IF(LanGlo2LevelDesired&lt;$B120,"-",$D120))</f>
        <v>-</v>
      </c>
      <c r="BG120" s="21" t="str">
        <f t="shared" ref="BG120" si="8397">IF(LanGlo2LevelCurrent&gt;=$B120,"-",IF(LanGlo2LevelDesired&lt;$B120,"-",$E120))</f>
        <v>-</v>
      </c>
      <c r="BH120" s="15" t="str">
        <f t="shared" ref="BH120" si="8398">IF(LanBel2LevelCurrent&gt;=$B120,"-",IF(LanBel2LevelDesired&lt;$B120,"-",$C120))</f>
        <v>-</v>
      </c>
      <c r="BI120" s="1" t="str">
        <f t="shared" ref="BI120" si="8399">IF(LanBel2LevelCurrent&gt;=$B120,"-",IF(LanBel2LevelDesired&lt;$B120,"-",$D120))</f>
        <v>-</v>
      </c>
      <c r="BJ120" s="21" t="str">
        <f t="shared" ref="BJ120" si="8400">IF(LanBel2LevelCurrent&gt;=$B120,"-",IF(LanBel2LevelDesired&lt;$B120,"-",$E120))</f>
        <v>-</v>
      </c>
      <c r="BK120" s="15" t="str">
        <f t="shared" ref="BK120" si="8401">IF(LanBoo2LevelCurrent&gt;=$B120,"-",IF(LanBoo2LevelDesired&lt;$B120,"-",$C120))</f>
        <v>-</v>
      </c>
      <c r="BL120" s="1" t="str">
        <f t="shared" ref="BL120" si="8402">IF(LanBoo2LevelCurrent&gt;=$B120,"-",IF(LanBoo2LevelDesired&lt;$B120,"-",$D120))</f>
        <v>-</v>
      </c>
      <c r="BM120" s="21" t="str">
        <f t="shared" ref="BM120" si="8403">IF(LanBoo2LevelCurrent&gt;=$B120,"-",IF(LanBoo2LevelDesired&lt;$B120,"-",$E120))</f>
        <v>-</v>
      </c>
      <c r="BN120" s="15" t="str">
        <f t="shared" ref="BN120" si="8404">IF(MarGog2LevelCurrent&gt;=$B120,"-",IF(MarGog2LevelDesired&lt;$B120,"-",$C120))</f>
        <v>-</v>
      </c>
      <c r="BO120" s="1" t="str">
        <f t="shared" ref="BO120" si="8405">IF(MarGog2LevelCurrent&gt;=$B120,"-",IF(MarGog2LevelDesired&lt;$B120,"-",$D120))</f>
        <v>-</v>
      </c>
      <c r="BP120" s="21" t="str">
        <f t="shared" ref="BP120" si="8406">IF(MarGog2LevelCurrent&gt;=$B120,"-",IF(MarGog2LevelDesired&lt;$B120,"-",$E120))</f>
        <v>-</v>
      </c>
      <c r="BQ120" s="15" t="str">
        <f t="shared" ref="BQ120" si="8407">IF(MarGlo2LevelCurrent&gt;=$B120,"-",IF(MarGlo2LevelDesired&lt;$B120,"-",$C120))</f>
        <v>-</v>
      </c>
      <c r="BR120" s="1" t="str">
        <f t="shared" ref="BR120" si="8408">IF(MarGlo2LevelCurrent&gt;=$B120,"-",IF(MarGlo2LevelDesired&lt;$B120,"-",$D120))</f>
        <v>-</v>
      </c>
      <c r="BS120" s="21" t="str">
        <f t="shared" ref="BS120" si="8409">IF(MarGlo2LevelCurrent&gt;=$B120,"-",IF(MarGlo2LevelDesired&lt;$B120,"-",$E120))</f>
        <v>-</v>
      </c>
      <c r="BT120" s="15" t="str">
        <f t="shared" ref="BT120" si="8410">IF(MarBel2LevelCurrent&gt;=$B120,"-",IF(MarBel2LevelDesired&lt;$B120,"-",$C120))</f>
        <v>-</v>
      </c>
      <c r="BU120" s="1" t="str">
        <f t="shared" ref="BU120" si="8411">IF(MarBel2LevelCurrent&gt;=$B120,"-",IF(MarBel2LevelDesired&lt;$B120,"-",$D120))</f>
        <v>-</v>
      </c>
      <c r="BV120" s="21" t="str">
        <f t="shared" ref="BV120" si="8412">IF(MarBel2LevelCurrent&gt;=$B120,"-",IF(MarBel2LevelDesired&lt;$B120,"-",$E120))</f>
        <v>-</v>
      </c>
      <c r="BW120" s="15" t="str">
        <f t="shared" ref="BW120" si="8413">IF(MarBoo2LevelCurrent&gt;=$B120,"-",IF(MarBoo2LevelDesired&lt;$B120,"-",$C120))</f>
        <v>-</v>
      </c>
      <c r="BX120" s="1" t="str">
        <f t="shared" ref="BX120" si="8414">IF(MarBoo2LevelCurrent&gt;=$B120,"-",IF(MarBoo2LevelDesired&lt;$B120,"-",$D120))</f>
        <v>-</v>
      </c>
      <c r="BY120" s="21" t="str">
        <f t="shared" ref="BY120" si="8415">IF(MarBoo2LevelCurrent&gt;=$B120,"-",IF(MarBoo2LevelDesired&lt;$B120,"-",$E120))</f>
        <v>-</v>
      </c>
      <c r="BZ120" s="15" t="str">
        <f t="shared" si="7086"/>
        <v>-</v>
      </c>
      <c r="CA120" s="1" t="str" cm="1">
        <f t="array" ref="CA120">IF(InfGog3LevelCurrent&gt;=$B120,"-",IF(InfGog3LevelDesired&lt;$B120,"-",$D120))</f>
        <v>-</v>
      </c>
      <c r="CB120" s="21" t="str" cm="1">
        <f t="array" ref="CB120">IF(InfGog3LevelCurrent&gt;=$B120,"-",IF(InfGog3LevelDesired&lt;$B120,"-",$E120))</f>
        <v>-</v>
      </c>
      <c r="CC120" s="15" t="str">
        <f t="shared" si="7087"/>
        <v>-</v>
      </c>
      <c r="CD120" s="1" t="str">
        <f t="shared" si="7088"/>
        <v>-</v>
      </c>
      <c r="CE120" s="21" t="str">
        <f t="shared" si="7089"/>
        <v>-</v>
      </c>
      <c r="CF120" s="15" t="str">
        <f t="shared" si="7090"/>
        <v>-</v>
      </c>
      <c r="CG120" s="1" t="str">
        <f t="shared" si="7091"/>
        <v>-</v>
      </c>
      <c r="CH120" s="21" t="str">
        <f t="shared" si="7092"/>
        <v>-</v>
      </c>
      <c r="CI120" s="15" t="str">
        <f t="shared" si="7093"/>
        <v>-</v>
      </c>
      <c r="CJ120" s="1" t="str">
        <f t="shared" si="7094"/>
        <v>-</v>
      </c>
      <c r="CK120" s="21" t="str">
        <f t="shared" si="7095"/>
        <v>-</v>
      </c>
      <c r="CL120" s="15" t="str">
        <f t="shared" si="7096"/>
        <v>-</v>
      </c>
      <c r="CM120" s="1" t="str">
        <f t="shared" si="7097"/>
        <v>-</v>
      </c>
      <c r="CN120" s="21" t="str">
        <f t="shared" si="7098"/>
        <v>-</v>
      </c>
      <c r="CO120" s="15" t="str">
        <f t="shared" si="7099"/>
        <v>-</v>
      </c>
      <c r="CP120" s="1" t="str">
        <f t="shared" si="7100"/>
        <v>-</v>
      </c>
      <c r="CQ120" s="21" t="str">
        <f t="shared" si="7101"/>
        <v>-</v>
      </c>
      <c r="CR120" s="15" t="str">
        <f t="shared" si="7102"/>
        <v>-</v>
      </c>
      <c r="CS120" s="1" t="str">
        <f t="shared" si="7103"/>
        <v>-</v>
      </c>
      <c r="CT120" s="21" t="str">
        <f t="shared" si="7104"/>
        <v>-</v>
      </c>
      <c r="CU120" s="15" t="str">
        <f t="shared" si="7105"/>
        <v>-</v>
      </c>
      <c r="CV120" s="1" t="str">
        <f t="shared" si="7106"/>
        <v>-</v>
      </c>
      <c r="CW120" s="21" t="str">
        <f t="shared" si="7107"/>
        <v>-</v>
      </c>
      <c r="CX120" s="15" t="str">
        <f t="shared" si="7108"/>
        <v>-</v>
      </c>
      <c r="CY120" s="1" t="str">
        <f t="shared" si="7109"/>
        <v>-</v>
      </c>
      <c r="CZ120" s="21" t="str">
        <f t="shared" si="7110"/>
        <v>-</v>
      </c>
      <c r="DA120" s="15" t="str">
        <f t="shared" si="7111"/>
        <v>-</v>
      </c>
      <c r="DB120" s="1" t="str">
        <f t="shared" si="7112"/>
        <v>-</v>
      </c>
      <c r="DC120" s="21" t="str">
        <f t="shared" si="7113"/>
        <v>-</v>
      </c>
      <c r="DD120" s="15" t="str">
        <f t="shared" si="7114"/>
        <v>-</v>
      </c>
      <c r="DE120" s="1" t="str">
        <f t="shared" si="7115"/>
        <v>-</v>
      </c>
      <c r="DF120" s="21" t="str">
        <f t="shared" si="7116"/>
        <v>-</v>
      </c>
      <c r="DG120" s="15" t="str">
        <f t="shared" si="7117"/>
        <v>-</v>
      </c>
      <c r="DH120" s="1" t="str">
        <f t="shared" si="7118"/>
        <v>-</v>
      </c>
      <c r="DI120" s="21" t="str">
        <f t="shared" si="7119"/>
        <v>-</v>
      </c>
    </row>
    <row r="121" spans="2:113" x14ac:dyDescent="0.3">
      <c r="B121" s="1">
        <v>116</v>
      </c>
      <c r="C121" s="67">
        <v>3200</v>
      </c>
      <c r="D121" s="88" t="s">
        <v>27</v>
      </c>
      <c r="E121" s="21" t="s">
        <v>27</v>
      </c>
      <c r="F121" s="15" t="str">
        <f t="shared" ref="F121" si="8416">IF(InfGog1LevelCurrent&gt;=$B121,"-",IF(InfGog1LevelDesired&lt;$B121,"-",$C121))</f>
        <v>-</v>
      </c>
      <c r="G121" s="1" t="str">
        <f t="shared" ref="G121" si="8417">IF(InfGog1LevelCurrent&gt;=$B121,"-",IF(InfGog1LevelDesired&lt;$B121,"-",$D121))</f>
        <v>-</v>
      </c>
      <c r="H121" s="21" t="str">
        <f t="shared" ref="H121" si="8418">IF(InfGog1LevelCurrent&gt;=$B121,"-",IF(InfGog1LevelDesired&lt;$B121,"-",$E121))</f>
        <v>-</v>
      </c>
      <c r="I121" s="15" t="str">
        <f t="shared" ref="I121" si="8419">IF(InfGlo1LevelCurrent&gt;=$B121,"-",IF(InfGlo1LevelDesired&lt;$B121,"-",$C121))</f>
        <v>-</v>
      </c>
      <c r="J121" s="1" t="str">
        <f t="shared" ref="J121" si="8420">IF(InfGlo1LevelCurrent&gt;=$B121,"-",IF(InfGlo1LevelDesired&lt;$B121,"-",$D121))</f>
        <v>-</v>
      </c>
      <c r="K121" s="21" t="str">
        <f t="shared" ref="K121" si="8421">IF(InfGlo1LevelCurrent&gt;=$B121,"-",IF(InfGlo1LevelDesired&lt;$B121,"-",$E121))</f>
        <v>-</v>
      </c>
      <c r="L121" s="15" t="str">
        <f t="shared" ref="L121" si="8422">IF(InfBel1LevelCurrent&gt;=$B121,"-",IF(InfBel1LevelDesired&lt;$B121,"-",$C121))</f>
        <v>-</v>
      </c>
      <c r="M121" s="1" t="str">
        <f t="shared" ref="M121" si="8423">IF(InfBel1LevelCurrent&gt;=$B121,"-",IF(InfBel1LevelDesired&lt;$B121,"-",$D121))</f>
        <v>-</v>
      </c>
      <c r="N121" s="21" t="str">
        <f t="shared" ref="N121" si="8424">IF(InfBel1LevelCurrent&gt;=$B121,"-",IF(InfBel1LevelDesired&lt;$B121,"-",$E121))</f>
        <v>-</v>
      </c>
      <c r="O121" s="15" t="str">
        <f t="shared" ref="O121" si="8425">IF(InfBoo1LevelCurrent&gt;=$B121,"-",IF(InfBoo1LevelDesired&lt;$B121,"-",$C121))</f>
        <v>-</v>
      </c>
      <c r="P121" s="1" t="str">
        <f t="shared" ref="P121" si="8426">IF(InfBoo1LevelCurrent&gt;=$B121,"-",IF(InfBoo1LevelDesired&lt;$B121,"-",$D121))</f>
        <v>-</v>
      </c>
      <c r="Q121" s="21" t="str">
        <f t="shared" ref="Q121" si="8427">IF(InfBoo1LevelCurrent&gt;=$B121,"-",IF(InfBoo1LevelDesired&lt;$B121,"-",$E121))</f>
        <v>-</v>
      </c>
      <c r="R121" s="15" t="str">
        <f t="shared" ref="R121" si="8428">IF(LanGog1LevelCurrent&gt;=$B121,"-",IF(LanGog1LevelDesired&lt;$B121,"-",$C121))</f>
        <v>-</v>
      </c>
      <c r="S121" s="1" t="str">
        <f t="shared" ref="S121" si="8429">IF(LanGog1LevelCurrent&gt;=$B121,"-",IF(LanGog1LevelDesired&lt;$B121,"-",$D121))</f>
        <v>-</v>
      </c>
      <c r="T121" s="21" t="str">
        <f t="shared" ref="T121" si="8430">IF(LanGog1LevelCurrent&gt;=$B121,"-",IF(LanGog1LevelDesired&lt;$B121,"-",$E121))</f>
        <v>-</v>
      </c>
      <c r="U121" s="15" t="str">
        <f t="shared" ref="U121" si="8431">IF(LanGlo1LevelCurrent&gt;=$B121,"-",IF(LanGlo1LevelDesired&lt;$B121,"-",$C121))</f>
        <v>-</v>
      </c>
      <c r="V121" s="1" t="str">
        <f t="shared" ref="V121" si="8432">IF(LanGlo1LevelCurrent&gt;=$B121,"-",IF(LanGlo1LevelDesired&lt;$B121,"-",$D121))</f>
        <v>-</v>
      </c>
      <c r="W121" s="21" t="str">
        <f t="shared" ref="W121" si="8433">IF(LanGlo1LevelCurrent&gt;=$B121,"-",IF(LanGlo1LevelDesired&lt;$B121,"-",$E121))</f>
        <v>-</v>
      </c>
      <c r="X121" s="15" t="str">
        <f t="shared" ref="X121" si="8434">IF(LanBel1LevelCurrent&gt;=$B121,"-",IF(LanBel1LevelDesired&lt;$B121,"-",$C121))</f>
        <v>-</v>
      </c>
      <c r="Y121" s="1" t="str">
        <f t="shared" ref="Y121" si="8435">IF(LanBel1LevelCurrent&gt;=$B121,"-",IF(LanBel1LevelDesired&lt;$B121,"-",$D121))</f>
        <v>-</v>
      </c>
      <c r="Z121" s="21" t="str">
        <f t="shared" ref="Z121" si="8436">IF(LanBel1LevelCurrent&gt;=$B121,"-",IF(LanBel1LevelDesired&lt;$B121,"-",$E121))</f>
        <v>-</v>
      </c>
      <c r="AA121" s="15" t="str">
        <f t="shared" ref="AA121" si="8437">IF(LanBoo1LevelCurrent&gt;=$B121,"-",IF(LanBoo1LevelDesired&lt;$B121,"-",$C121))</f>
        <v>-</v>
      </c>
      <c r="AB121" s="1" t="str">
        <f t="shared" ref="AB121" si="8438">IF(LanBoo1LevelCurrent&gt;=$B121,"-",IF(LanBoo1LevelDesired&lt;$B121,"-",$D121))</f>
        <v>-</v>
      </c>
      <c r="AC121" s="21" t="str">
        <f t="shared" ref="AC121" si="8439">IF(LanBoo1LevelCurrent&gt;=$B121,"-",IF(LanBoo1LevelDesired&lt;$B121,"-",$E121))</f>
        <v>-</v>
      </c>
      <c r="AD121" s="15" t="str">
        <f t="shared" ref="AD121" si="8440">IF(MarGog1LevelCurrent&gt;=$B121,"-",IF(MarGog1LevelDesired&lt;$B121,"-",$C121))</f>
        <v>-</v>
      </c>
      <c r="AE121" s="1" t="str">
        <f t="shared" ref="AE121" si="8441">IF(MarGog1LevelCurrent&gt;=$B121,"-",IF(MarGog1LevelDesired&lt;$B121,"-",$D121))</f>
        <v>-</v>
      </c>
      <c r="AF121" s="21" t="str">
        <f t="shared" ref="AF121" si="8442">IF(MarGog1LevelCurrent&gt;=$B121,"-",IF(MarGog1LevelDesired&lt;$B121,"-",$E121))</f>
        <v>-</v>
      </c>
      <c r="AG121" s="15" t="str">
        <f t="shared" ref="AG121" si="8443">IF(MarGlo1LevelCurrent&gt;=$B121,"-",IF(MarGlo1LevelDesired&lt;$B121,"-",$C121))</f>
        <v>-</v>
      </c>
      <c r="AH121" s="1" t="str">
        <f t="shared" ref="AH121" si="8444">IF(MarGlo1LevelCurrent&gt;=$B121,"-",IF(MarGlo1LevelDesired&lt;$B121,"-",$D121))</f>
        <v>-</v>
      </c>
      <c r="AI121" s="21" t="str">
        <f t="shared" ref="AI121" si="8445">IF(MarGlo1LevelCurrent&gt;=$B121,"-",IF(MarGlo1LevelDesired&lt;$B121,"-",$E121))</f>
        <v>-</v>
      </c>
      <c r="AJ121" s="15" t="str">
        <f t="shared" ref="AJ121" si="8446">IF(MarBel1LevelCurrent&gt;=$B121,"-",IF(MarBel1LevelDesired&lt;$B121,"-",$C121))</f>
        <v>-</v>
      </c>
      <c r="AK121" s="1" t="str">
        <f t="shared" ref="AK121" si="8447">IF(MarBel1LevelCurrent&gt;=$B121,"-",IF(MarBel1LevelDesired&lt;$B121,"-",$D121))</f>
        <v>-</v>
      </c>
      <c r="AL121" s="21" t="str">
        <f t="shared" ref="AL121" si="8448">IF(MarBel1LevelCurrent&gt;=$B121,"-",IF(MarBel1LevelDesired&lt;$B121,"-",$E121))</f>
        <v>-</v>
      </c>
      <c r="AM121" s="15" t="str">
        <f t="shared" ref="AM121" si="8449">IF(MarBoo1LevelCurrent&gt;=$B121,"-",IF(MarBoo1LevelDesired&lt;$B121,"-",$C121))</f>
        <v>-</v>
      </c>
      <c r="AN121" s="1" t="str">
        <f t="shared" ref="AN121" si="8450">IF(MarBoo1LevelCurrent&gt;=$B121,"-",IF(MarBoo1LevelDesired&lt;$B121,"-",$D121))</f>
        <v>-</v>
      </c>
      <c r="AO121" s="21" t="str">
        <f t="shared" ref="AO121" si="8451">IF(MarBoo1LevelCurrent&gt;=$B121,"-",IF(MarBoo1LevelDesired&lt;$B121,"-",$E121))</f>
        <v>-</v>
      </c>
      <c r="AP121" s="15" t="str">
        <f t="shared" ref="AP121" si="8452">IF(InfGog2LevelCurrent&gt;=$B121,"-",IF(InfGog2LevelDesired&lt;$B121,"-",$C121))</f>
        <v>-</v>
      </c>
      <c r="AQ121" s="1" t="str">
        <f t="shared" ref="AQ121" si="8453">IF(InfGog2LevelCurrent&gt;=$B121,"-",IF(InfGog2LevelDesired&lt;$B121,"-",$D121))</f>
        <v>-</v>
      </c>
      <c r="AR121" s="21" t="str">
        <f t="shared" ref="AR121" si="8454">IF(InfGog2LevelCurrent&gt;=$B121,"-",IF(InfGog2LevelDesired&lt;$B121,"-",$E121))</f>
        <v>-</v>
      </c>
      <c r="AS121" s="15" t="str">
        <f t="shared" ref="AS121" si="8455">IF(InfGlo2LevelCurrent&gt;=$B121,"-",IF(InfGlo2LevelDesired&lt;$B121,"-",$C121))</f>
        <v>-</v>
      </c>
      <c r="AT121" s="1" t="str">
        <f t="shared" ref="AT121" si="8456">IF(InfGlo2LevelCurrent&gt;=$B121,"-",IF(InfGlo2LevelDesired&lt;$B121,"-",$D121))</f>
        <v>-</v>
      </c>
      <c r="AU121" s="21" t="str">
        <f t="shared" ref="AU121" si="8457">IF(InfGlo2LevelCurrent&gt;=$B121,"-",IF(InfGlo2LevelDesired&lt;$B121,"-",$E121))</f>
        <v>-</v>
      </c>
      <c r="AV121" s="15" t="str">
        <f t="shared" ref="AV121" si="8458">IF(InfBel2LevelCurrent&gt;=$B121,"-",IF(InfBel2LevelDesired&lt;$B121,"-",$C121))</f>
        <v>-</v>
      </c>
      <c r="AW121" s="1" t="str">
        <f t="shared" ref="AW121" si="8459">IF(InfBel2LevelCurrent&gt;=$B121,"-",IF(InfBel2LevelDesired&lt;$B121,"-",$D121))</f>
        <v>-</v>
      </c>
      <c r="AX121" s="21" t="str">
        <f t="shared" ref="AX121" si="8460">IF(InfBel2LevelCurrent&gt;=$B121,"-",IF(InfBel2LevelDesired&lt;$B121,"-",$E121))</f>
        <v>-</v>
      </c>
      <c r="AY121" s="15" t="str">
        <f t="shared" ref="AY121" si="8461">IF(InfBoo2LevelCurrent&gt;=$B121,"-",IF(InfBoo2LevelDesired&lt;$B121,"-",$C121))</f>
        <v>-</v>
      </c>
      <c r="AZ121" s="1" t="str">
        <f t="shared" ref="AZ121" si="8462">IF(InfBoo2LevelCurrent&gt;=$B121,"-",IF(InfBoo2LevelDesired&lt;$B121,"-",$D121))</f>
        <v>-</v>
      </c>
      <c r="BA121" s="21" t="str">
        <f t="shared" ref="BA121" si="8463">IF(InfBoo2LevelCurrent&gt;=$B121,"-",IF(InfBoo2LevelDesired&lt;$B121,"-",$E121))</f>
        <v>-</v>
      </c>
      <c r="BB121" s="15" t="str">
        <f t="shared" ref="BB121" si="8464">IF(LanGog2LevelCurrent&gt;=$B121,"-",IF(LanGog2LevelDesired&lt;$B121,"-",$C121))</f>
        <v>-</v>
      </c>
      <c r="BC121" s="1" t="str">
        <f t="shared" ref="BC121" si="8465">IF(LanGog2LevelCurrent&gt;=$B121,"-",IF(LanGog2LevelDesired&lt;$B121,"-",$D121))</f>
        <v>-</v>
      </c>
      <c r="BD121" s="21" t="str">
        <f t="shared" ref="BD121" si="8466">IF(LanGog2LevelCurrent&gt;=$B121,"-",IF(LanGog2LevelDesired&lt;$B121,"-",$E121))</f>
        <v>-</v>
      </c>
      <c r="BE121" s="15" t="str">
        <f t="shared" ref="BE121" si="8467">IF(LanGlo2LevelCurrent&gt;=$B121,"-",IF(LanGlo2LevelDesired&lt;$B121,"-",$C121))</f>
        <v>-</v>
      </c>
      <c r="BF121" s="1" t="str">
        <f t="shared" ref="BF121" si="8468">IF(LanGlo2LevelCurrent&gt;=$B121,"-",IF(LanGlo2LevelDesired&lt;$B121,"-",$D121))</f>
        <v>-</v>
      </c>
      <c r="BG121" s="21" t="str">
        <f t="shared" ref="BG121" si="8469">IF(LanGlo2LevelCurrent&gt;=$B121,"-",IF(LanGlo2LevelDesired&lt;$B121,"-",$E121))</f>
        <v>-</v>
      </c>
      <c r="BH121" s="15" t="str">
        <f t="shared" ref="BH121" si="8470">IF(LanBel2LevelCurrent&gt;=$B121,"-",IF(LanBel2LevelDesired&lt;$B121,"-",$C121))</f>
        <v>-</v>
      </c>
      <c r="BI121" s="1" t="str">
        <f t="shared" ref="BI121" si="8471">IF(LanBel2LevelCurrent&gt;=$B121,"-",IF(LanBel2LevelDesired&lt;$B121,"-",$D121))</f>
        <v>-</v>
      </c>
      <c r="BJ121" s="21" t="str">
        <f t="shared" ref="BJ121" si="8472">IF(LanBel2LevelCurrent&gt;=$B121,"-",IF(LanBel2LevelDesired&lt;$B121,"-",$E121))</f>
        <v>-</v>
      </c>
      <c r="BK121" s="15" t="str">
        <f t="shared" ref="BK121" si="8473">IF(LanBoo2LevelCurrent&gt;=$B121,"-",IF(LanBoo2LevelDesired&lt;$B121,"-",$C121))</f>
        <v>-</v>
      </c>
      <c r="BL121" s="1" t="str">
        <f t="shared" ref="BL121" si="8474">IF(LanBoo2LevelCurrent&gt;=$B121,"-",IF(LanBoo2LevelDesired&lt;$B121,"-",$D121))</f>
        <v>-</v>
      </c>
      <c r="BM121" s="21" t="str">
        <f t="shared" ref="BM121" si="8475">IF(LanBoo2LevelCurrent&gt;=$B121,"-",IF(LanBoo2LevelDesired&lt;$B121,"-",$E121))</f>
        <v>-</v>
      </c>
      <c r="BN121" s="15" t="str">
        <f t="shared" ref="BN121" si="8476">IF(MarGog2LevelCurrent&gt;=$B121,"-",IF(MarGog2LevelDesired&lt;$B121,"-",$C121))</f>
        <v>-</v>
      </c>
      <c r="BO121" s="1" t="str">
        <f t="shared" ref="BO121" si="8477">IF(MarGog2LevelCurrent&gt;=$B121,"-",IF(MarGog2LevelDesired&lt;$B121,"-",$D121))</f>
        <v>-</v>
      </c>
      <c r="BP121" s="21" t="str">
        <f t="shared" ref="BP121" si="8478">IF(MarGog2LevelCurrent&gt;=$B121,"-",IF(MarGog2LevelDesired&lt;$B121,"-",$E121))</f>
        <v>-</v>
      </c>
      <c r="BQ121" s="15" t="str">
        <f t="shared" ref="BQ121" si="8479">IF(MarGlo2LevelCurrent&gt;=$B121,"-",IF(MarGlo2LevelDesired&lt;$B121,"-",$C121))</f>
        <v>-</v>
      </c>
      <c r="BR121" s="1" t="str">
        <f t="shared" ref="BR121" si="8480">IF(MarGlo2LevelCurrent&gt;=$B121,"-",IF(MarGlo2LevelDesired&lt;$B121,"-",$D121))</f>
        <v>-</v>
      </c>
      <c r="BS121" s="21" t="str">
        <f t="shared" ref="BS121" si="8481">IF(MarGlo2LevelCurrent&gt;=$B121,"-",IF(MarGlo2LevelDesired&lt;$B121,"-",$E121))</f>
        <v>-</v>
      </c>
      <c r="BT121" s="15" t="str">
        <f t="shared" ref="BT121" si="8482">IF(MarBel2LevelCurrent&gt;=$B121,"-",IF(MarBel2LevelDesired&lt;$B121,"-",$C121))</f>
        <v>-</v>
      </c>
      <c r="BU121" s="1" t="str">
        <f t="shared" ref="BU121" si="8483">IF(MarBel2LevelCurrent&gt;=$B121,"-",IF(MarBel2LevelDesired&lt;$B121,"-",$D121))</f>
        <v>-</v>
      </c>
      <c r="BV121" s="21" t="str">
        <f t="shared" ref="BV121" si="8484">IF(MarBel2LevelCurrent&gt;=$B121,"-",IF(MarBel2LevelDesired&lt;$B121,"-",$E121))</f>
        <v>-</v>
      </c>
      <c r="BW121" s="15" t="str">
        <f t="shared" ref="BW121" si="8485">IF(MarBoo2LevelCurrent&gt;=$B121,"-",IF(MarBoo2LevelDesired&lt;$B121,"-",$C121))</f>
        <v>-</v>
      </c>
      <c r="BX121" s="1" t="str">
        <f t="shared" ref="BX121" si="8486">IF(MarBoo2LevelCurrent&gt;=$B121,"-",IF(MarBoo2LevelDesired&lt;$B121,"-",$D121))</f>
        <v>-</v>
      </c>
      <c r="BY121" s="21" t="str">
        <f t="shared" ref="BY121" si="8487">IF(MarBoo2LevelCurrent&gt;=$B121,"-",IF(MarBoo2LevelDesired&lt;$B121,"-",$E121))</f>
        <v>-</v>
      </c>
      <c r="BZ121" s="15" t="str">
        <f t="shared" si="7086"/>
        <v>-</v>
      </c>
      <c r="CA121" s="1" t="str" cm="1">
        <f t="array" ref="CA121">IF(InfGog3LevelCurrent&gt;=$B121,"-",IF(InfGog3LevelDesired&lt;$B121,"-",$D121))</f>
        <v>-</v>
      </c>
      <c r="CB121" s="21" t="str" cm="1">
        <f t="array" ref="CB121">IF(InfGog3LevelCurrent&gt;=$B121,"-",IF(InfGog3LevelDesired&lt;$B121,"-",$E121))</f>
        <v>-</v>
      </c>
      <c r="CC121" s="15" t="str">
        <f t="shared" si="7087"/>
        <v>-</v>
      </c>
      <c r="CD121" s="1" t="str">
        <f t="shared" si="7088"/>
        <v>-</v>
      </c>
      <c r="CE121" s="21" t="str">
        <f t="shared" si="7089"/>
        <v>-</v>
      </c>
      <c r="CF121" s="15" t="str">
        <f t="shared" si="7090"/>
        <v>-</v>
      </c>
      <c r="CG121" s="1" t="str">
        <f t="shared" si="7091"/>
        <v>-</v>
      </c>
      <c r="CH121" s="21" t="str">
        <f t="shared" si="7092"/>
        <v>-</v>
      </c>
      <c r="CI121" s="15" t="str">
        <f t="shared" si="7093"/>
        <v>-</v>
      </c>
      <c r="CJ121" s="1" t="str">
        <f t="shared" si="7094"/>
        <v>-</v>
      </c>
      <c r="CK121" s="21" t="str">
        <f t="shared" si="7095"/>
        <v>-</v>
      </c>
      <c r="CL121" s="15" t="str">
        <f t="shared" si="7096"/>
        <v>-</v>
      </c>
      <c r="CM121" s="1" t="str">
        <f t="shared" si="7097"/>
        <v>-</v>
      </c>
      <c r="CN121" s="21" t="str">
        <f t="shared" si="7098"/>
        <v>-</v>
      </c>
      <c r="CO121" s="15" t="str">
        <f t="shared" si="7099"/>
        <v>-</v>
      </c>
      <c r="CP121" s="1" t="str">
        <f t="shared" si="7100"/>
        <v>-</v>
      </c>
      <c r="CQ121" s="21" t="str">
        <f t="shared" si="7101"/>
        <v>-</v>
      </c>
      <c r="CR121" s="15" t="str">
        <f t="shared" si="7102"/>
        <v>-</v>
      </c>
      <c r="CS121" s="1" t="str">
        <f t="shared" si="7103"/>
        <v>-</v>
      </c>
      <c r="CT121" s="21" t="str">
        <f t="shared" si="7104"/>
        <v>-</v>
      </c>
      <c r="CU121" s="15" t="str">
        <f t="shared" si="7105"/>
        <v>-</v>
      </c>
      <c r="CV121" s="1" t="str">
        <f t="shared" si="7106"/>
        <v>-</v>
      </c>
      <c r="CW121" s="21" t="str">
        <f t="shared" si="7107"/>
        <v>-</v>
      </c>
      <c r="CX121" s="15" t="str">
        <f t="shared" si="7108"/>
        <v>-</v>
      </c>
      <c r="CY121" s="1" t="str">
        <f t="shared" si="7109"/>
        <v>-</v>
      </c>
      <c r="CZ121" s="21" t="str">
        <f t="shared" si="7110"/>
        <v>-</v>
      </c>
      <c r="DA121" s="15" t="str">
        <f t="shared" si="7111"/>
        <v>-</v>
      </c>
      <c r="DB121" s="1" t="str">
        <f t="shared" si="7112"/>
        <v>-</v>
      </c>
      <c r="DC121" s="21" t="str">
        <f t="shared" si="7113"/>
        <v>-</v>
      </c>
      <c r="DD121" s="15" t="str">
        <f t="shared" si="7114"/>
        <v>-</v>
      </c>
      <c r="DE121" s="1" t="str">
        <f t="shared" si="7115"/>
        <v>-</v>
      </c>
      <c r="DF121" s="21" t="str">
        <f t="shared" si="7116"/>
        <v>-</v>
      </c>
      <c r="DG121" s="15" t="str">
        <f t="shared" si="7117"/>
        <v>-</v>
      </c>
      <c r="DH121" s="1" t="str">
        <f t="shared" si="7118"/>
        <v>-</v>
      </c>
      <c r="DI121" s="21" t="str">
        <f t="shared" si="7119"/>
        <v>-</v>
      </c>
    </row>
    <row r="122" spans="2:113" x14ac:dyDescent="0.3">
      <c r="B122" s="1">
        <v>117</v>
      </c>
      <c r="C122" s="67">
        <v>3250</v>
      </c>
      <c r="D122" s="88" t="s">
        <v>27</v>
      </c>
      <c r="E122" s="21" t="s">
        <v>27</v>
      </c>
      <c r="F122" s="15" t="str">
        <f t="shared" ref="F122" si="8488">IF(InfGog1LevelCurrent&gt;=$B122,"-",IF(InfGog1LevelDesired&lt;$B122,"-",$C122))</f>
        <v>-</v>
      </c>
      <c r="G122" s="1" t="str">
        <f t="shared" ref="G122" si="8489">IF(InfGog1LevelCurrent&gt;=$B122,"-",IF(InfGog1LevelDesired&lt;$B122,"-",$D122))</f>
        <v>-</v>
      </c>
      <c r="H122" s="21" t="str">
        <f t="shared" ref="H122" si="8490">IF(InfGog1LevelCurrent&gt;=$B122,"-",IF(InfGog1LevelDesired&lt;$B122,"-",$E122))</f>
        <v>-</v>
      </c>
      <c r="I122" s="15" t="str">
        <f t="shared" ref="I122" si="8491">IF(InfGlo1LevelCurrent&gt;=$B122,"-",IF(InfGlo1LevelDesired&lt;$B122,"-",$C122))</f>
        <v>-</v>
      </c>
      <c r="J122" s="1" t="str">
        <f t="shared" ref="J122" si="8492">IF(InfGlo1LevelCurrent&gt;=$B122,"-",IF(InfGlo1LevelDesired&lt;$B122,"-",$D122))</f>
        <v>-</v>
      </c>
      <c r="K122" s="21" t="str">
        <f t="shared" ref="K122" si="8493">IF(InfGlo1LevelCurrent&gt;=$B122,"-",IF(InfGlo1LevelDesired&lt;$B122,"-",$E122))</f>
        <v>-</v>
      </c>
      <c r="L122" s="15" t="str">
        <f t="shared" ref="L122" si="8494">IF(InfBel1LevelCurrent&gt;=$B122,"-",IF(InfBel1LevelDesired&lt;$B122,"-",$C122))</f>
        <v>-</v>
      </c>
      <c r="M122" s="1" t="str">
        <f t="shared" ref="M122" si="8495">IF(InfBel1LevelCurrent&gt;=$B122,"-",IF(InfBel1LevelDesired&lt;$B122,"-",$D122))</f>
        <v>-</v>
      </c>
      <c r="N122" s="21" t="str">
        <f t="shared" ref="N122" si="8496">IF(InfBel1LevelCurrent&gt;=$B122,"-",IF(InfBel1LevelDesired&lt;$B122,"-",$E122))</f>
        <v>-</v>
      </c>
      <c r="O122" s="15" t="str">
        <f t="shared" ref="O122" si="8497">IF(InfBoo1LevelCurrent&gt;=$B122,"-",IF(InfBoo1LevelDesired&lt;$B122,"-",$C122))</f>
        <v>-</v>
      </c>
      <c r="P122" s="1" t="str">
        <f t="shared" ref="P122" si="8498">IF(InfBoo1LevelCurrent&gt;=$B122,"-",IF(InfBoo1LevelDesired&lt;$B122,"-",$D122))</f>
        <v>-</v>
      </c>
      <c r="Q122" s="21" t="str">
        <f t="shared" ref="Q122" si="8499">IF(InfBoo1LevelCurrent&gt;=$B122,"-",IF(InfBoo1LevelDesired&lt;$B122,"-",$E122))</f>
        <v>-</v>
      </c>
      <c r="R122" s="15" t="str">
        <f t="shared" ref="R122" si="8500">IF(LanGog1LevelCurrent&gt;=$B122,"-",IF(LanGog1LevelDesired&lt;$B122,"-",$C122))</f>
        <v>-</v>
      </c>
      <c r="S122" s="1" t="str">
        <f t="shared" ref="S122" si="8501">IF(LanGog1LevelCurrent&gt;=$B122,"-",IF(LanGog1LevelDesired&lt;$B122,"-",$D122))</f>
        <v>-</v>
      </c>
      <c r="T122" s="21" t="str">
        <f t="shared" ref="T122" si="8502">IF(LanGog1LevelCurrent&gt;=$B122,"-",IF(LanGog1LevelDesired&lt;$B122,"-",$E122))</f>
        <v>-</v>
      </c>
      <c r="U122" s="15" t="str">
        <f t="shared" ref="U122" si="8503">IF(LanGlo1LevelCurrent&gt;=$B122,"-",IF(LanGlo1LevelDesired&lt;$B122,"-",$C122))</f>
        <v>-</v>
      </c>
      <c r="V122" s="1" t="str">
        <f t="shared" ref="V122" si="8504">IF(LanGlo1LevelCurrent&gt;=$B122,"-",IF(LanGlo1LevelDesired&lt;$B122,"-",$D122))</f>
        <v>-</v>
      </c>
      <c r="W122" s="21" t="str">
        <f t="shared" ref="W122" si="8505">IF(LanGlo1LevelCurrent&gt;=$B122,"-",IF(LanGlo1LevelDesired&lt;$B122,"-",$E122))</f>
        <v>-</v>
      </c>
      <c r="X122" s="15" t="str">
        <f t="shared" ref="X122" si="8506">IF(LanBel1LevelCurrent&gt;=$B122,"-",IF(LanBel1LevelDesired&lt;$B122,"-",$C122))</f>
        <v>-</v>
      </c>
      <c r="Y122" s="1" t="str">
        <f t="shared" ref="Y122" si="8507">IF(LanBel1LevelCurrent&gt;=$B122,"-",IF(LanBel1LevelDesired&lt;$B122,"-",$D122))</f>
        <v>-</v>
      </c>
      <c r="Z122" s="21" t="str">
        <f t="shared" ref="Z122" si="8508">IF(LanBel1LevelCurrent&gt;=$B122,"-",IF(LanBel1LevelDesired&lt;$B122,"-",$E122))</f>
        <v>-</v>
      </c>
      <c r="AA122" s="15" t="str">
        <f t="shared" ref="AA122" si="8509">IF(LanBoo1LevelCurrent&gt;=$B122,"-",IF(LanBoo1LevelDesired&lt;$B122,"-",$C122))</f>
        <v>-</v>
      </c>
      <c r="AB122" s="1" t="str">
        <f t="shared" ref="AB122" si="8510">IF(LanBoo1LevelCurrent&gt;=$B122,"-",IF(LanBoo1LevelDesired&lt;$B122,"-",$D122))</f>
        <v>-</v>
      </c>
      <c r="AC122" s="21" t="str">
        <f t="shared" ref="AC122" si="8511">IF(LanBoo1LevelCurrent&gt;=$B122,"-",IF(LanBoo1LevelDesired&lt;$B122,"-",$E122))</f>
        <v>-</v>
      </c>
      <c r="AD122" s="15" t="str">
        <f t="shared" ref="AD122" si="8512">IF(MarGog1LevelCurrent&gt;=$B122,"-",IF(MarGog1LevelDesired&lt;$B122,"-",$C122))</f>
        <v>-</v>
      </c>
      <c r="AE122" s="1" t="str">
        <f t="shared" ref="AE122" si="8513">IF(MarGog1LevelCurrent&gt;=$B122,"-",IF(MarGog1LevelDesired&lt;$B122,"-",$D122))</f>
        <v>-</v>
      </c>
      <c r="AF122" s="21" t="str">
        <f t="shared" ref="AF122" si="8514">IF(MarGog1LevelCurrent&gt;=$B122,"-",IF(MarGog1LevelDesired&lt;$B122,"-",$E122))</f>
        <v>-</v>
      </c>
      <c r="AG122" s="15" t="str">
        <f t="shared" ref="AG122" si="8515">IF(MarGlo1LevelCurrent&gt;=$B122,"-",IF(MarGlo1LevelDesired&lt;$B122,"-",$C122))</f>
        <v>-</v>
      </c>
      <c r="AH122" s="1" t="str">
        <f t="shared" ref="AH122" si="8516">IF(MarGlo1LevelCurrent&gt;=$B122,"-",IF(MarGlo1LevelDesired&lt;$B122,"-",$D122))</f>
        <v>-</v>
      </c>
      <c r="AI122" s="21" t="str">
        <f t="shared" ref="AI122" si="8517">IF(MarGlo1LevelCurrent&gt;=$B122,"-",IF(MarGlo1LevelDesired&lt;$B122,"-",$E122))</f>
        <v>-</v>
      </c>
      <c r="AJ122" s="15" t="str">
        <f t="shared" ref="AJ122" si="8518">IF(MarBel1LevelCurrent&gt;=$B122,"-",IF(MarBel1LevelDesired&lt;$B122,"-",$C122))</f>
        <v>-</v>
      </c>
      <c r="AK122" s="1" t="str">
        <f t="shared" ref="AK122" si="8519">IF(MarBel1LevelCurrent&gt;=$B122,"-",IF(MarBel1LevelDesired&lt;$B122,"-",$D122))</f>
        <v>-</v>
      </c>
      <c r="AL122" s="21" t="str">
        <f t="shared" ref="AL122" si="8520">IF(MarBel1LevelCurrent&gt;=$B122,"-",IF(MarBel1LevelDesired&lt;$B122,"-",$E122))</f>
        <v>-</v>
      </c>
      <c r="AM122" s="15" t="str">
        <f t="shared" ref="AM122" si="8521">IF(MarBoo1LevelCurrent&gt;=$B122,"-",IF(MarBoo1LevelDesired&lt;$B122,"-",$C122))</f>
        <v>-</v>
      </c>
      <c r="AN122" s="1" t="str">
        <f t="shared" ref="AN122" si="8522">IF(MarBoo1LevelCurrent&gt;=$B122,"-",IF(MarBoo1LevelDesired&lt;$B122,"-",$D122))</f>
        <v>-</v>
      </c>
      <c r="AO122" s="21" t="str">
        <f t="shared" ref="AO122" si="8523">IF(MarBoo1LevelCurrent&gt;=$B122,"-",IF(MarBoo1LevelDesired&lt;$B122,"-",$E122))</f>
        <v>-</v>
      </c>
      <c r="AP122" s="15" t="str">
        <f t="shared" ref="AP122" si="8524">IF(InfGog2LevelCurrent&gt;=$B122,"-",IF(InfGog2LevelDesired&lt;$B122,"-",$C122))</f>
        <v>-</v>
      </c>
      <c r="AQ122" s="1" t="str">
        <f t="shared" ref="AQ122" si="8525">IF(InfGog2LevelCurrent&gt;=$B122,"-",IF(InfGog2LevelDesired&lt;$B122,"-",$D122))</f>
        <v>-</v>
      </c>
      <c r="AR122" s="21" t="str">
        <f t="shared" ref="AR122" si="8526">IF(InfGog2LevelCurrent&gt;=$B122,"-",IF(InfGog2LevelDesired&lt;$B122,"-",$E122))</f>
        <v>-</v>
      </c>
      <c r="AS122" s="15" t="str">
        <f t="shared" ref="AS122" si="8527">IF(InfGlo2LevelCurrent&gt;=$B122,"-",IF(InfGlo2LevelDesired&lt;$B122,"-",$C122))</f>
        <v>-</v>
      </c>
      <c r="AT122" s="1" t="str">
        <f t="shared" ref="AT122" si="8528">IF(InfGlo2LevelCurrent&gt;=$B122,"-",IF(InfGlo2LevelDesired&lt;$B122,"-",$D122))</f>
        <v>-</v>
      </c>
      <c r="AU122" s="21" t="str">
        <f t="shared" ref="AU122" si="8529">IF(InfGlo2LevelCurrent&gt;=$B122,"-",IF(InfGlo2LevelDesired&lt;$B122,"-",$E122))</f>
        <v>-</v>
      </c>
      <c r="AV122" s="15" t="str">
        <f t="shared" ref="AV122" si="8530">IF(InfBel2LevelCurrent&gt;=$B122,"-",IF(InfBel2LevelDesired&lt;$B122,"-",$C122))</f>
        <v>-</v>
      </c>
      <c r="AW122" s="1" t="str">
        <f t="shared" ref="AW122" si="8531">IF(InfBel2LevelCurrent&gt;=$B122,"-",IF(InfBel2LevelDesired&lt;$B122,"-",$D122))</f>
        <v>-</v>
      </c>
      <c r="AX122" s="21" t="str">
        <f t="shared" ref="AX122" si="8532">IF(InfBel2LevelCurrent&gt;=$B122,"-",IF(InfBel2LevelDesired&lt;$B122,"-",$E122))</f>
        <v>-</v>
      </c>
      <c r="AY122" s="15" t="str">
        <f t="shared" ref="AY122" si="8533">IF(InfBoo2LevelCurrent&gt;=$B122,"-",IF(InfBoo2LevelDesired&lt;$B122,"-",$C122))</f>
        <v>-</v>
      </c>
      <c r="AZ122" s="1" t="str">
        <f t="shared" ref="AZ122" si="8534">IF(InfBoo2LevelCurrent&gt;=$B122,"-",IF(InfBoo2LevelDesired&lt;$B122,"-",$D122))</f>
        <v>-</v>
      </c>
      <c r="BA122" s="21" t="str">
        <f t="shared" ref="BA122" si="8535">IF(InfBoo2LevelCurrent&gt;=$B122,"-",IF(InfBoo2LevelDesired&lt;$B122,"-",$E122))</f>
        <v>-</v>
      </c>
      <c r="BB122" s="15" t="str">
        <f t="shared" ref="BB122" si="8536">IF(LanGog2LevelCurrent&gt;=$B122,"-",IF(LanGog2LevelDesired&lt;$B122,"-",$C122))</f>
        <v>-</v>
      </c>
      <c r="BC122" s="1" t="str">
        <f t="shared" ref="BC122" si="8537">IF(LanGog2LevelCurrent&gt;=$B122,"-",IF(LanGog2LevelDesired&lt;$B122,"-",$D122))</f>
        <v>-</v>
      </c>
      <c r="BD122" s="21" t="str">
        <f t="shared" ref="BD122" si="8538">IF(LanGog2LevelCurrent&gt;=$B122,"-",IF(LanGog2LevelDesired&lt;$B122,"-",$E122))</f>
        <v>-</v>
      </c>
      <c r="BE122" s="15" t="str">
        <f t="shared" ref="BE122" si="8539">IF(LanGlo2LevelCurrent&gt;=$B122,"-",IF(LanGlo2LevelDesired&lt;$B122,"-",$C122))</f>
        <v>-</v>
      </c>
      <c r="BF122" s="1" t="str">
        <f t="shared" ref="BF122" si="8540">IF(LanGlo2LevelCurrent&gt;=$B122,"-",IF(LanGlo2LevelDesired&lt;$B122,"-",$D122))</f>
        <v>-</v>
      </c>
      <c r="BG122" s="21" t="str">
        <f t="shared" ref="BG122" si="8541">IF(LanGlo2LevelCurrent&gt;=$B122,"-",IF(LanGlo2LevelDesired&lt;$B122,"-",$E122))</f>
        <v>-</v>
      </c>
      <c r="BH122" s="15" t="str">
        <f t="shared" ref="BH122" si="8542">IF(LanBel2LevelCurrent&gt;=$B122,"-",IF(LanBel2LevelDesired&lt;$B122,"-",$C122))</f>
        <v>-</v>
      </c>
      <c r="BI122" s="1" t="str">
        <f t="shared" ref="BI122" si="8543">IF(LanBel2LevelCurrent&gt;=$B122,"-",IF(LanBel2LevelDesired&lt;$B122,"-",$D122))</f>
        <v>-</v>
      </c>
      <c r="BJ122" s="21" t="str">
        <f t="shared" ref="BJ122" si="8544">IF(LanBel2LevelCurrent&gt;=$B122,"-",IF(LanBel2LevelDesired&lt;$B122,"-",$E122))</f>
        <v>-</v>
      </c>
      <c r="BK122" s="15" t="str">
        <f t="shared" ref="BK122" si="8545">IF(LanBoo2LevelCurrent&gt;=$B122,"-",IF(LanBoo2LevelDesired&lt;$B122,"-",$C122))</f>
        <v>-</v>
      </c>
      <c r="BL122" s="1" t="str">
        <f t="shared" ref="BL122" si="8546">IF(LanBoo2LevelCurrent&gt;=$B122,"-",IF(LanBoo2LevelDesired&lt;$B122,"-",$D122))</f>
        <v>-</v>
      </c>
      <c r="BM122" s="21" t="str">
        <f t="shared" ref="BM122" si="8547">IF(LanBoo2LevelCurrent&gt;=$B122,"-",IF(LanBoo2LevelDesired&lt;$B122,"-",$E122))</f>
        <v>-</v>
      </c>
      <c r="BN122" s="15" t="str">
        <f t="shared" ref="BN122" si="8548">IF(MarGog2LevelCurrent&gt;=$B122,"-",IF(MarGog2LevelDesired&lt;$B122,"-",$C122))</f>
        <v>-</v>
      </c>
      <c r="BO122" s="1" t="str">
        <f t="shared" ref="BO122" si="8549">IF(MarGog2LevelCurrent&gt;=$B122,"-",IF(MarGog2LevelDesired&lt;$B122,"-",$D122))</f>
        <v>-</v>
      </c>
      <c r="BP122" s="21" t="str">
        <f t="shared" ref="BP122" si="8550">IF(MarGog2LevelCurrent&gt;=$B122,"-",IF(MarGog2LevelDesired&lt;$B122,"-",$E122))</f>
        <v>-</v>
      </c>
      <c r="BQ122" s="15" t="str">
        <f t="shared" ref="BQ122" si="8551">IF(MarGlo2LevelCurrent&gt;=$B122,"-",IF(MarGlo2LevelDesired&lt;$B122,"-",$C122))</f>
        <v>-</v>
      </c>
      <c r="BR122" s="1" t="str">
        <f t="shared" ref="BR122" si="8552">IF(MarGlo2LevelCurrent&gt;=$B122,"-",IF(MarGlo2LevelDesired&lt;$B122,"-",$D122))</f>
        <v>-</v>
      </c>
      <c r="BS122" s="21" t="str">
        <f t="shared" ref="BS122" si="8553">IF(MarGlo2LevelCurrent&gt;=$B122,"-",IF(MarGlo2LevelDesired&lt;$B122,"-",$E122))</f>
        <v>-</v>
      </c>
      <c r="BT122" s="15" t="str">
        <f t="shared" ref="BT122" si="8554">IF(MarBel2LevelCurrent&gt;=$B122,"-",IF(MarBel2LevelDesired&lt;$B122,"-",$C122))</f>
        <v>-</v>
      </c>
      <c r="BU122" s="1" t="str">
        <f t="shared" ref="BU122" si="8555">IF(MarBel2LevelCurrent&gt;=$B122,"-",IF(MarBel2LevelDesired&lt;$B122,"-",$D122))</f>
        <v>-</v>
      </c>
      <c r="BV122" s="21" t="str">
        <f t="shared" ref="BV122" si="8556">IF(MarBel2LevelCurrent&gt;=$B122,"-",IF(MarBel2LevelDesired&lt;$B122,"-",$E122))</f>
        <v>-</v>
      </c>
      <c r="BW122" s="15" t="str">
        <f t="shared" ref="BW122" si="8557">IF(MarBoo2LevelCurrent&gt;=$B122,"-",IF(MarBoo2LevelDesired&lt;$B122,"-",$C122))</f>
        <v>-</v>
      </c>
      <c r="BX122" s="1" t="str">
        <f t="shared" ref="BX122" si="8558">IF(MarBoo2LevelCurrent&gt;=$B122,"-",IF(MarBoo2LevelDesired&lt;$B122,"-",$D122))</f>
        <v>-</v>
      </c>
      <c r="BY122" s="21" t="str">
        <f t="shared" ref="BY122" si="8559">IF(MarBoo2LevelCurrent&gt;=$B122,"-",IF(MarBoo2LevelDesired&lt;$B122,"-",$E122))</f>
        <v>-</v>
      </c>
      <c r="BZ122" s="15" t="str">
        <f t="shared" si="7086"/>
        <v>-</v>
      </c>
      <c r="CA122" s="1" t="str" cm="1">
        <f t="array" ref="CA122">IF(InfGog3LevelCurrent&gt;=$B122,"-",IF(InfGog3LevelDesired&lt;$B122,"-",$D122))</f>
        <v>-</v>
      </c>
      <c r="CB122" s="21" t="str" cm="1">
        <f t="array" ref="CB122">IF(InfGog3LevelCurrent&gt;=$B122,"-",IF(InfGog3LevelDesired&lt;$B122,"-",$E122))</f>
        <v>-</v>
      </c>
      <c r="CC122" s="15" t="str">
        <f t="shared" si="7087"/>
        <v>-</v>
      </c>
      <c r="CD122" s="1" t="str">
        <f t="shared" si="7088"/>
        <v>-</v>
      </c>
      <c r="CE122" s="21" t="str">
        <f t="shared" si="7089"/>
        <v>-</v>
      </c>
      <c r="CF122" s="15" t="str">
        <f t="shared" si="7090"/>
        <v>-</v>
      </c>
      <c r="CG122" s="1" t="str">
        <f t="shared" si="7091"/>
        <v>-</v>
      </c>
      <c r="CH122" s="21" t="str">
        <f t="shared" si="7092"/>
        <v>-</v>
      </c>
      <c r="CI122" s="15" t="str">
        <f t="shared" si="7093"/>
        <v>-</v>
      </c>
      <c r="CJ122" s="1" t="str">
        <f t="shared" si="7094"/>
        <v>-</v>
      </c>
      <c r="CK122" s="21" t="str">
        <f t="shared" si="7095"/>
        <v>-</v>
      </c>
      <c r="CL122" s="15" t="str">
        <f t="shared" si="7096"/>
        <v>-</v>
      </c>
      <c r="CM122" s="1" t="str">
        <f t="shared" si="7097"/>
        <v>-</v>
      </c>
      <c r="CN122" s="21" t="str">
        <f t="shared" si="7098"/>
        <v>-</v>
      </c>
      <c r="CO122" s="15" t="str">
        <f t="shared" si="7099"/>
        <v>-</v>
      </c>
      <c r="CP122" s="1" t="str">
        <f t="shared" si="7100"/>
        <v>-</v>
      </c>
      <c r="CQ122" s="21" t="str">
        <f t="shared" si="7101"/>
        <v>-</v>
      </c>
      <c r="CR122" s="15" t="str">
        <f t="shared" si="7102"/>
        <v>-</v>
      </c>
      <c r="CS122" s="1" t="str">
        <f t="shared" si="7103"/>
        <v>-</v>
      </c>
      <c r="CT122" s="21" t="str">
        <f t="shared" si="7104"/>
        <v>-</v>
      </c>
      <c r="CU122" s="15" t="str">
        <f t="shared" si="7105"/>
        <v>-</v>
      </c>
      <c r="CV122" s="1" t="str">
        <f t="shared" si="7106"/>
        <v>-</v>
      </c>
      <c r="CW122" s="21" t="str">
        <f t="shared" si="7107"/>
        <v>-</v>
      </c>
      <c r="CX122" s="15" t="str">
        <f t="shared" si="7108"/>
        <v>-</v>
      </c>
      <c r="CY122" s="1" t="str">
        <f t="shared" si="7109"/>
        <v>-</v>
      </c>
      <c r="CZ122" s="21" t="str">
        <f t="shared" si="7110"/>
        <v>-</v>
      </c>
      <c r="DA122" s="15" t="str">
        <f t="shared" si="7111"/>
        <v>-</v>
      </c>
      <c r="DB122" s="1" t="str">
        <f t="shared" si="7112"/>
        <v>-</v>
      </c>
      <c r="DC122" s="21" t="str">
        <f t="shared" si="7113"/>
        <v>-</v>
      </c>
      <c r="DD122" s="15" t="str">
        <f t="shared" si="7114"/>
        <v>-</v>
      </c>
      <c r="DE122" s="1" t="str">
        <f t="shared" si="7115"/>
        <v>-</v>
      </c>
      <c r="DF122" s="21" t="str">
        <f t="shared" si="7116"/>
        <v>-</v>
      </c>
      <c r="DG122" s="15" t="str">
        <f t="shared" si="7117"/>
        <v>-</v>
      </c>
      <c r="DH122" s="1" t="str">
        <f t="shared" si="7118"/>
        <v>-</v>
      </c>
      <c r="DI122" s="21" t="str">
        <f t="shared" si="7119"/>
        <v>-</v>
      </c>
    </row>
    <row r="123" spans="2:113" x14ac:dyDescent="0.3">
      <c r="B123" s="1">
        <v>118</v>
      </c>
      <c r="C123" s="67">
        <v>3300</v>
      </c>
      <c r="D123" s="88" t="s">
        <v>27</v>
      </c>
      <c r="E123" s="21" t="s">
        <v>27</v>
      </c>
      <c r="F123" s="15" t="str">
        <f t="shared" ref="F123" si="8560">IF(InfGog1LevelCurrent&gt;=$B123,"-",IF(InfGog1LevelDesired&lt;$B123,"-",$C123))</f>
        <v>-</v>
      </c>
      <c r="G123" s="1" t="str">
        <f t="shared" ref="G123" si="8561">IF(InfGog1LevelCurrent&gt;=$B123,"-",IF(InfGog1LevelDesired&lt;$B123,"-",$D123))</f>
        <v>-</v>
      </c>
      <c r="H123" s="21" t="str">
        <f t="shared" ref="H123" si="8562">IF(InfGog1LevelCurrent&gt;=$B123,"-",IF(InfGog1LevelDesired&lt;$B123,"-",$E123))</f>
        <v>-</v>
      </c>
      <c r="I123" s="15" t="str">
        <f t="shared" ref="I123" si="8563">IF(InfGlo1LevelCurrent&gt;=$B123,"-",IF(InfGlo1LevelDesired&lt;$B123,"-",$C123))</f>
        <v>-</v>
      </c>
      <c r="J123" s="1" t="str">
        <f t="shared" ref="J123" si="8564">IF(InfGlo1LevelCurrent&gt;=$B123,"-",IF(InfGlo1LevelDesired&lt;$B123,"-",$D123))</f>
        <v>-</v>
      </c>
      <c r="K123" s="21" t="str">
        <f t="shared" ref="K123" si="8565">IF(InfGlo1LevelCurrent&gt;=$B123,"-",IF(InfGlo1LevelDesired&lt;$B123,"-",$E123))</f>
        <v>-</v>
      </c>
      <c r="L123" s="15" t="str">
        <f t="shared" ref="L123" si="8566">IF(InfBel1LevelCurrent&gt;=$B123,"-",IF(InfBel1LevelDesired&lt;$B123,"-",$C123))</f>
        <v>-</v>
      </c>
      <c r="M123" s="1" t="str">
        <f t="shared" ref="M123" si="8567">IF(InfBel1LevelCurrent&gt;=$B123,"-",IF(InfBel1LevelDesired&lt;$B123,"-",$D123))</f>
        <v>-</v>
      </c>
      <c r="N123" s="21" t="str">
        <f t="shared" ref="N123" si="8568">IF(InfBel1LevelCurrent&gt;=$B123,"-",IF(InfBel1LevelDesired&lt;$B123,"-",$E123))</f>
        <v>-</v>
      </c>
      <c r="O123" s="15" t="str">
        <f t="shared" ref="O123" si="8569">IF(InfBoo1LevelCurrent&gt;=$B123,"-",IF(InfBoo1LevelDesired&lt;$B123,"-",$C123))</f>
        <v>-</v>
      </c>
      <c r="P123" s="1" t="str">
        <f t="shared" ref="P123" si="8570">IF(InfBoo1LevelCurrent&gt;=$B123,"-",IF(InfBoo1LevelDesired&lt;$B123,"-",$D123))</f>
        <v>-</v>
      </c>
      <c r="Q123" s="21" t="str">
        <f t="shared" ref="Q123" si="8571">IF(InfBoo1LevelCurrent&gt;=$B123,"-",IF(InfBoo1LevelDesired&lt;$B123,"-",$E123))</f>
        <v>-</v>
      </c>
      <c r="R123" s="15" t="str">
        <f t="shared" ref="R123" si="8572">IF(LanGog1LevelCurrent&gt;=$B123,"-",IF(LanGog1LevelDesired&lt;$B123,"-",$C123))</f>
        <v>-</v>
      </c>
      <c r="S123" s="1" t="str">
        <f t="shared" ref="S123" si="8573">IF(LanGog1LevelCurrent&gt;=$B123,"-",IF(LanGog1LevelDesired&lt;$B123,"-",$D123))</f>
        <v>-</v>
      </c>
      <c r="T123" s="21" t="str">
        <f t="shared" ref="T123" si="8574">IF(LanGog1LevelCurrent&gt;=$B123,"-",IF(LanGog1LevelDesired&lt;$B123,"-",$E123))</f>
        <v>-</v>
      </c>
      <c r="U123" s="15" t="str">
        <f t="shared" ref="U123" si="8575">IF(LanGlo1LevelCurrent&gt;=$B123,"-",IF(LanGlo1LevelDesired&lt;$B123,"-",$C123))</f>
        <v>-</v>
      </c>
      <c r="V123" s="1" t="str">
        <f t="shared" ref="V123" si="8576">IF(LanGlo1LevelCurrent&gt;=$B123,"-",IF(LanGlo1LevelDesired&lt;$B123,"-",$D123))</f>
        <v>-</v>
      </c>
      <c r="W123" s="21" t="str">
        <f t="shared" ref="W123" si="8577">IF(LanGlo1LevelCurrent&gt;=$B123,"-",IF(LanGlo1LevelDesired&lt;$B123,"-",$E123))</f>
        <v>-</v>
      </c>
      <c r="X123" s="15" t="str">
        <f t="shared" ref="X123" si="8578">IF(LanBel1LevelCurrent&gt;=$B123,"-",IF(LanBel1LevelDesired&lt;$B123,"-",$C123))</f>
        <v>-</v>
      </c>
      <c r="Y123" s="1" t="str">
        <f t="shared" ref="Y123" si="8579">IF(LanBel1LevelCurrent&gt;=$B123,"-",IF(LanBel1LevelDesired&lt;$B123,"-",$D123))</f>
        <v>-</v>
      </c>
      <c r="Z123" s="21" t="str">
        <f t="shared" ref="Z123" si="8580">IF(LanBel1LevelCurrent&gt;=$B123,"-",IF(LanBel1LevelDesired&lt;$B123,"-",$E123))</f>
        <v>-</v>
      </c>
      <c r="AA123" s="15" t="str">
        <f t="shared" ref="AA123" si="8581">IF(LanBoo1LevelCurrent&gt;=$B123,"-",IF(LanBoo1LevelDesired&lt;$B123,"-",$C123))</f>
        <v>-</v>
      </c>
      <c r="AB123" s="1" t="str">
        <f t="shared" ref="AB123" si="8582">IF(LanBoo1LevelCurrent&gt;=$B123,"-",IF(LanBoo1LevelDesired&lt;$B123,"-",$D123))</f>
        <v>-</v>
      </c>
      <c r="AC123" s="21" t="str">
        <f t="shared" ref="AC123" si="8583">IF(LanBoo1LevelCurrent&gt;=$B123,"-",IF(LanBoo1LevelDesired&lt;$B123,"-",$E123))</f>
        <v>-</v>
      </c>
      <c r="AD123" s="15" t="str">
        <f t="shared" ref="AD123" si="8584">IF(MarGog1LevelCurrent&gt;=$B123,"-",IF(MarGog1LevelDesired&lt;$B123,"-",$C123))</f>
        <v>-</v>
      </c>
      <c r="AE123" s="1" t="str">
        <f t="shared" ref="AE123" si="8585">IF(MarGog1LevelCurrent&gt;=$B123,"-",IF(MarGog1LevelDesired&lt;$B123,"-",$D123))</f>
        <v>-</v>
      </c>
      <c r="AF123" s="21" t="str">
        <f t="shared" ref="AF123" si="8586">IF(MarGog1LevelCurrent&gt;=$B123,"-",IF(MarGog1LevelDesired&lt;$B123,"-",$E123))</f>
        <v>-</v>
      </c>
      <c r="AG123" s="15" t="str">
        <f t="shared" ref="AG123" si="8587">IF(MarGlo1LevelCurrent&gt;=$B123,"-",IF(MarGlo1LevelDesired&lt;$B123,"-",$C123))</f>
        <v>-</v>
      </c>
      <c r="AH123" s="1" t="str">
        <f t="shared" ref="AH123" si="8588">IF(MarGlo1LevelCurrent&gt;=$B123,"-",IF(MarGlo1LevelDesired&lt;$B123,"-",$D123))</f>
        <v>-</v>
      </c>
      <c r="AI123" s="21" t="str">
        <f t="shared" ref="AI123" si="8589">IF(MarGlo1LevelCurrent&gt;=$B123,"-",IF(MarGlo1LevelDesired&lt;$B123,"-",$E123))</f>
        <v>-</v>
      </c>
      <c r="AJ123" s="15" t="str">
        <f t="shared" ref="AJ123" si="8590">IF(MarBel1LevelCurrent&gt;=$B123,"-",IF(MarBel1LevelDesired&lt;$B123,"-",$C123))</f>
        <v>-</v>
      </c>
      <c r="AK123" s="1" t="str">
        <f t="shared" ref="AK123" si="8591">IF(MarBel1LevelCurrent&gt;=$B123,"-",IF(MarBel1LevelDesired&lt;$B123,"-",$D123))</f>
        <v>-</v>
      </c>
      <c r="AL123" s="21" t="str">
        <f t="shared" ref="AL123" si="8592">IF(MarBel1LevelCurrent&gt;=$B123,"-",IF(MarBel1LevelDesired&lt;$B123,"-",$E123))</f>
        <v>-</v>
      </c>
      <c r="AM123" s="15" t="str">
        <f t="shared" ref="AM123" si="8593">IF(MarBoo1LevelCurrent&gt;=$B123,"-",IF(MarBoo1LevelDesired&lt;$B123,"-",$C123))</f>
        <v>-</v>
      </c>
      <c r="AN123" s="1" t="str">
        <f t="shared" ref="AN123" si="8594">IF(MarBoo1LevelCurrent&gt;=$B123,"-",IF(MarBoo1LevelDesired&lt;$B123,"-",$D123))</f>
        <v>-</v>
      </c>
      <c r="AO123" s="21" t="str">
        <f t="shared" ref="AO123" si="8595">IF(MarBoo1LevelCurrent&gt;=$B123,"-",IF(MarBoo1LevelDesired&lt;$B123,"-",$E123))</f>
        <v>-</v>
      </c>
      <c r="AP123" s="15" t="str">
        <f t="shared" ref="AP123" si="8596">IF(InfGog2LevelCurrent&gt;=$B123,"-",IF(InfGog2LevelDesired&lt;$B123,"-",$C123))</f>
        <v>-</v>
      </c>
      <c r="AQ123" s="1" t="str">
        <f t="shared" ref="AQ123" si="8597">IF(InfGog2LevelCurrent&gt;=$B123,"-",IF(InfGog2LevelDesired&lt;$B123,"-",$D123))</f>
        <v>-</v>
      </c>
      <c r="AR123" s="21" t="str">
        <f t="shared" ref="AR123" si="8598">IF(InfGog2LevelCurrent&gt;=$B123,"-",IF(InfGog2LevelDesired&lt;$B123,"-",$E123))</f>
        <v>-</v>
      </c>
      <c r="AS123" s="15" t="str">
        <f t="shared" ref="AS123" si="8599">IF(InfGlo2LevelCurrent&gt;=$B123,"-",IF(InfGlo2LevelDesired&lt;$B123,"-",$C123))</f>
        <v>-</v>
      </c>
      <c r="AT123" s="1" t="str">
        <f t="shared" ref="AT123" si="8600">IF(InfGlo2LevelCurrent&gt;=$B123,"-",IF(InfGlo2LevelDesired&lt;$B123,"-",$D123))</f>
        <v>-</v>
      </c>
      <c r="AU123" s="21" t="str">
        <f t="shared" ref="AU123" si="8601">IF(InfGlo2LevelCurrent&gt;=$B123,"-",IF(InfGlo2LevelDesired&lt;$B123,"-",$E123))</f>
        <v>-</v>
      </c>
      <c r="AV123" s="15" t="str">
        <f t="shared" ref="AV123" si="8602">IF(InfBel2LevelCurrent&gt;=$B123,"-",IF(InfBel2LevelDesired&lt;$B123,"-",$C123))</f>
        <v>-</v>
      </c>
      <c r="AW123" s="1" t="str">
        <f t="shared" ref="AW123" si="8603">IF(InfBel2LevelCurrent&gt;=$B123,"-",IF(InfBel2LevelDesired&lt;$B123,"-",$D123))</f>
        <v>-</v>
      </c>
      <c r="AX123" s="21" t="str">
        <f t="shared" ref="AX123" si="8604">IF(InfBel2LevelCurrent&gt;=$B123,"-",IF(InfBel2LevelDesired&lt;$B123,"-",$E123))</f>
        <v>-</v>
      </c>
      <c r="AY123" s="15" t="str">
        <f t="shared" ref="AY123" si="8605">IF(InfBoo2LevelCurrent&gt;=$B123,"-",IF(InfBoo2LevelDesired&lt;$B123,"-",$C123))</f>
        <v>-</v>
      </c>
      <c r="AZ123" s="1" t="str">
        <f t="shared" ref="AZ123" si="8606">IF(InfBoo2LevelCurrent&gt;=$B123,"-",IF(InfBoo2LevelDesired&lt;$B123,"-",$D123))</f>
        <v>-</v>
      </c>
      <c r="BA123" s="21" t="str">
        <f t="shared" ref="BA123" si="8607">IF(InfBoo2LevelCurrent&gt;=$B123,"-",IF(InfBoo2LevelDesired&lt;$B123,"-",$E123))</f>
        <v>-</v>
      </c>
      <c r="BB123" s="15" t="str">
        <f t="shared" ref="BB123" si="8608">IF(LanGog2LevelCurrent&gt;=$B123,"-",IF(LanGog2LevelDesired&lt;$B123,"-",$C123))</f>
        <v>-</v>
      </c>
      <c r="BC123" s="1" t="str">
        <f t="shared" ref="BC123" si="8609">IF(LanGog2LevelCurrent&gt;=$B123,"-",IF(LanGog2LevelDesired&lt;$B123,"-",$D123))</f>
        <v>-</v>
      </c>
      <c r="BD123" s="21" t="str">
        <f t="shared" ref="BD123" si="8610">IF(LanGog2LevelCurrent&gt;=$B123,"-",IF(LanGog2LevelDesired&lt;$B123,"-",$E123))</f>
        <v>-</v>
      </c>
      <c r="BE123" s="15" t="str">
        <f t="shared" ref="BE123" si="8611">IF(LanGlo2LevelCurrent&gt;=$B123,"-",IF(LanGlo2LevelDesired&lt;$B123,"-",$C123))</f>
        <v>-</v>
      </c>
      <c r="BF123" s="1" t="str">
        <f t="shared" ref="BF123" si="8612">IF(LanGlo2LevelCurrent&gt;=$B123,"-",IF(LanGlo2LevelDesired&lt;$B123,"-",$D123))</f>
        <v>-</v>
      </c>
      <c r="BG123" s="21" t="str">
        <f t="shared" ref="BG123" si="8613">IF(LanGlo2LevelCurrent&gt;=$B123,"-",IF(LanGlo2LevelDesired&lt;$B123,"-",$E123))</f>
        <v>-</v>
      </c>
      <c r="BH123" s="15" t="str">
        <f t="shared" ref="BH123" si="8614">IF(LanBel2LevelCurrent&gt;=$B123,"-",IF(LanBel2LevelDesired&lt;$B123,"-",$C123))</f>
        <v>-</v>
      </c>
      <c r="BI123" s="1" t="str">
        <f t="shared" ref="BI123" si="8615">IF(LanBel2LevelCurrent&gt;=$B123,"-",IF(LanBel2LevelDesired&lt;$B123,"-",$D123))</f>
        <v>-</v>
      </c>
      <c r="BJ123" s="21" t="str">
        <f t="shared" ref="BJ123" si="8616">IF(LanBel2LevelCurrent&gt;=$B123,"-",IF(LanBel2LevelDesired&lt;$B123,"-",$E123))</f>
        <v>-</v>
      </c>
      <c r="BK123" s="15" t="str">
        <f t="shared" ref="BK123" si="8617">IF(LanBoo2LevelCurrent&gt;=$B123,"-",IF(LanBoo2LevelDesired&lt;$B123,"-",$C123))</f>
        <v>-</v>
      </c>
      <c r="BL123" s="1" t="str">
        <f t="shared" ref="BL123" si="8618">IF(LanBoo2LevelCurrent&gt;=$B123,"-",IF(LanBoo2LevelDesired&lt;$B123,"-",$D123))</f>
        <v>-</v>
      </c>
      <c r="BM123" s="21" t="str">
        <f t="shared" ref="BM123" si="8619">IF(LanBoo2LevelCurrent&gt;=$B123,"-",IF(LanBoo2LevelDesired&lt;$B123,"-",$E123))</f>
        <v>-</v>
      </c>
      <c r="BN123" s="15" t="str">
        <f t="shared" ref="BN123" si="8620">IF(MarGog2LevelCurrent&gt;=$B123,"-",IF(MarGog2LevelDesired&lt;$B123,"-",$C123))</f>
        <v>-</v>
      </c>
      <c r="BO123" s="1" t="str">
        <f t="shared" ref="BO123" si="8621">IF(MarGog2LevelCurrent&gt;=$B123,"-",IF(MarGog2LevelDesired&lt;$B123,"-",$D123))</f>
        <v>-</v>
      </c>
      <c r="BP123" s="21" t="str">
        <f t="shared" ref="BP123" si="8622">IF(MarGog2LevelCurrent&gt;=$B123,"-",IF(MarGog2LevelDesired&lt;$B123,"-",$E123))</f>
        <v>-</v>
      </c>
      <c r="BQ123" s="15" t="str">
        <f t="shared" ref="BQ123" si="8623">IF(MarGlo2LevelCurrent&gt;=$B123,"-",IF(MarGlo2LevelDesired&lt;$B123,"-",$C123))</f>
        <v>-</v>
      </c>
      <c r="BR123" s="1" t="str">
        <f t="shared" ref="BR123" si="8624">IF(MarGlo2LevelCurrent&gt;=$B123,"-",IF(MarGlo2LevelDesired&lt;$B123,"-",$D123))</f>
        <v>-</v>
      </c>
      <c r="BS123" s="21" t="str">
        <f t="shared" ref="BS123" si="8625">IF(MarGlo2LevelCurrent&gt;=$B123,"-",IF(MarGlo2LevelDesired&lt;$B123,"-",$E123))</f>
        <v>-</v>
      </c>
      <c r="BT123" s="15" t="str">
        <f t="shared" ref="BT123" si="8626">IF(MarBel2LevelCurrent&gt;=$B123,"-",IF(MarBel2LevelDesired&lt;$B123,"-",$C123))</f>
        <v>-</v>
      </c>
      <c r="BU123" s="1" t="str">
        <f t="shared" ref="BU123" si="8627">IF(MarBel2LevelCurrent&gt;=$B123,"-",IF(MarBel2LevelDesired&lt;$B123,"-",$D123))</f>
        <v>-</v>
      </c>
      <c r="BV123" s="21" t="str">
        <f t="shared" ref="BV123" si="8628">IF(MarBel2LevelCurrent&gt;=$B123,"-",IF(MarBel2LevelDesired&lt;$B123,"-",$E123))</f>
        <v>-</v>
      </c>
      <c r="BW123" s="15" t="str">
        <f t="shared" ref="BW123" si="8629">IF(MarBoo2LevelCurrent&gt;=$B123,"-",IF(MarBoo2LevelDesired&lt;$B123,"-",$C123))</f>
        <v>-</v>
      </c>
      <c r="BX123" s="1" t="str">
        <f t="shared" ref="BX123" si="8630">IF(MarBoo2LevelCurrent&gt;=$B123,"-",IF(MarBoo2LevelDesired&lt;$B123,"-",$D123))</f>
        <v>-</v>
      </c>
      <c r="BY123" s="21" t="str">
        <f t="shared" ref="BY123" si="8631">IF(MarBoo2LevelCurrent&gt;=$B123,"-",IF(MarBoo2LevelDesired&lt;$B123,"-",$E123))</f>
        <v>-</v>
      </c>
      <c r="BZ123" s="15" t="str">
        <f t="shared" si="7086"/>
        <v>-</v>
      </c>
      <c r="CA123" s="1" t="str" cm="1">
        <f t="array" ref="CA123">IF(InfGog3LevelCurrent&gt;=$B123,"-",IF(InfGog3LevelDesired&lt;$B123,"-",$D123))</f>
        <v>-</v>
      </c>
      <c r="CB123" s="21" t="str" cm="1">
        <f t="array" ref="CB123">IF(InfGog3LevelCurrent&gt;=$B123,"-",IF(InfGog3LevelDesired&lt;$B123,"-",$E123))</f>
        <v>-</v>
      </c>
      <c r="CC123" s="15" t="str">
        <f t="shared" si="7087"/>
        <v>-</v>
      </c>
      <c r="CD123" s="1" t="str">
        <f t="shared" si="7088"/>
        <v>-</v>
      </c>
      <c r="CE123" s="21" t="str">
        <f t="shared" si="7089"/>
        <v>-</v>
      </c>
      <c r="CF123" s="15" t="str">
        <f t="shared" si="7090"/>
        <v>-</v>
      </c>
      <c r="CG123" s="1" t="str">
        <f t="shared" si="7091"/>
        <v>-</v>
      </c>
      <c r="CH123" s="21" t="str">
        <f t="shared" si="7092"/>
        <v>-</v>
      </c>
      <c r="CI123" s="15" t="str">
        <f t="shared" si="7093"/>
        <v>-</v>
      </c>
      <c r="CJ123" s="1" t="str">
        <f t="shared" si="7094"/>
        <v>-</v>
      </c>
      <c r="CK123" s="21" t="str">
        <f t="shared" si="7095"/>
        <v>-</v>
      </c>
      <c r="CL123" s="15" t="str">
        <f t="shared" si="7096"/>
        <v>-</v>
      </c>
      <c r="CM123" s="1" t="str">
        <f t="shared" si="7097"/>
        <v>-</v>
      </c>
      <c r="CN123" s="21" t="str">
        <f t="shared" si="7098"/>
        <v>-</v>
      </c>
      <c r="CO123" s="15" t="str">
        <f t="shared" si="7099"/>
        <v>-</v>
      </c>
      <c r="CP123" s="1" t="str">
        <f t="shared" si="7100"/>
        <v>-</v>
      </c>
      <c r="CQ123" s="21" t="str">
        <f t="shared" si="7101"/>
        <v>-</v>
      </c>
      <c r="CR123" s="15" t="str">
        <f t="shared" si="7102"/>
        <v>-</v>
      </c>
      <c r="CS123" s="1" t="str">
        <f t="shared" si="7103"/>
        <v>-</v>
      </c>
      <c r="CT123" s="21" t="str">
        <f t="shared" si="7104"/>
        <v>-</v>
      </c>
      <c r="CU123" s="15" t="str">
        <f t="shared" si="7105"/>
        <v>-</v>
      </c>
      <c r="CV123" s="1" t="str">
        <f t="shared" si="7106"/>
        <v>-</v>
      </c>
      <c r="CW123" s="21" t="str">
        <f t="shared" si="7107"/>
        <v>-</v>
      </c>
      <c r="CX123" s="15" t="str">
        <f t="shared" si="7108"/>
        <v>-</v>
      </c>
      <c r="CY123" s="1" t="str">
        <f t="shared" si="7109"/>
        <v>-</v>
      </c>
      <c r="CZ123" s="21" t="str">
        <f t="shared" si="7110"/>
        <v>-</v>
      </c>
      <c r="DA123" s="15" t="str">
        <f t="shared" si="7111"/>
        <v>-</v>
      </c>
      <c r="DB123" s="1" t="str">
        <f t="shared" si="7112"/>
        <v>-</v>
      </c>
      <c r="DC123" s="21" t="str">
        <f t="shared" si="7113"/>
        <v>-</v>
      </c>
      <c r="DD123" s="15" t="str">
        <f t="shared" si="7114"/>
        <v>-</v>
      </c>
      <c r="DE123" s="1" t="str">
        <f t="shared" si="7115"/>
        <v>-</v>
      </c>
      <c r="DF123" s="21" t="str">
        <f t="shared" si="7116"/>
        <v>-</v>
      </c>
      <c r="DG123" s="15" t="str">
        <f t="shared" si="7117"/>
        <v>-</v>
      </c>
      <c r="DH123" s="1" t="str">
        <f t="shared" si="7118"/>
        <v>-</v>
      </c>
      <c r="DI123" s="21" t="str">
        <f t="shared" si="7119"/>
        <v>-</v>
      </c>
    </row>
    <row r="124" spans="2:113" x14ac:dyDescent="0.3">
      <c r="B124" s="1">
        <v>119</v>
      </c>
      <c r="C124" s="67">
        <v>3350</v>
      </c>
      <c r="D124" s="88" t="s">
        <v>27</v>
      </c>
      <c r="E124" s="21" t="s">
        <v>27</v>
      </c>
      <c r="F124" s="15" t="str">
        <f t="shared" ref="F124" si="8632">IF(InfGog1LevelCurrent&gt;=$B124,"-",IF(InfGog1LevelDesired&lt;$B124,"-",$C124))</f>
        <v>-</v>
      </c>
      <c r="G124" s="1" t="str">
        <f t="shared" ref="G124" si="8633">IF(InfGog1LevelCurrent&gt;=$B124,"-",IF(InfGog1LevelDesired&lt;$B124,"-",$D124))</f>
        <v>-</v>
      </c>
      <c r="H124" s="21" t="str">
        <f t="shared" ref="H124" si="8634">IF(InfGog1LevelCurrent&gt;=$B124,"-",IF(InfGog1LevelDesired&lt;$B124,"-",$E124))</f>
        <v>-</v>
      </c>
      <c r="I124" s="15" t="str">
        <f t="shared" ref="I124" si="8635">IF(InfGlo1LevelCurrent&gt;=$B124,"-",IF(InfGlo1LevelDesired&lt;$B124,"-",$C124))</f>
        <v>-</v>
      </c>
      <c r="J124" s="1" t="str">
        <f t="shared" ref="J124" si="8636">IF(InfGlo1LevelCurrent&gt;=$B124,"-",IF(InfGlo1LevelDesired&lt;$B124,"-",$D124))</f>
        <v>-</v>
      </c>
      <c r="K124" s="21" t="str">
        <f t="shared" ref="K124" si="8637">IF(InfGlo1LevelCurrent&gt;=$B124,"-",IF(InfGlo1LevelDesired&lt;$B124,"-",$E124))</f>
        <v>-</v>
      </c>
      <c r="L124" s="15" t="str">
        <f t="shared" ref="L124" si="8638">IF(InfBel1LevelCurrent&gt;=$B124,"-",IF(InfBel1LevelDesired&lt;$B124,"-",$C124))</f>
        <v>-</v>
      </c>
      <c r="M124" s="1" t="str">
        <f t="shared" ref="M124" si="8639">IF(InfBel1LevelCurrent&gt;=$B124,"-",IF(InfBel1LevelDesired&lt;$B124,"-",$D124))</f>
        <v>-</v>
      </c>
      <c r="N124" s="21" t="str">
        <f t="shared" ref="N124" si="8640">IF(InfBel1LevelCurrent&gt;=$B124,"-",IF(InfBel1LevelDesired&lt;$B124,"-",$E124))</f>
        <v>-</v>
      </c>
      <c r="O124" s="15" t="str">
        <f t="shared" ref="O124" si="8641">IF(InfBoo1LevelCurrent&gt;=$B124,"-",IF(InfBoo1LevelDesired&lt;$B124,"-",$C124))</f>
        <v>-</v>
      </c>
      <c r="P124" s="1" t="str">
        <f t="shared" ref="P124" si="8642">IF(InfBoo1LevelCurrent&gt;=$B124,"-",IF(InfBoo1LevelDesired&lt;$B124,"-",$D124))</f>
        <v>-</v>
      </c>
      <c r="Q124" s="21" t="str">
        <f t="shared" ref="Q124" si="8643">IF(InfBoo1LevelCurrent&gt;=$B124,"-",IF(InfBoo1LevelDesired&lt;$B124,"-",$E124))</f>
        <v>-</v>
      </c>
      <c r="R124" s="15" t="str">
        <f t="shared" ref="R124" si="8644">IF(LanGog1LevelCurrent&gt;=$B124,"-",IF(LanGog1LevelDesired&lt;$B124,"-",$C124))</f>
        <v>-</v>
      </c>
      <c r="S124" s="1" t="str">
        <f t="shared" ref="S124" si="8645">IF(LanGog1LevelCurrent&gt;=$B124,"-",IF(LanGog1LevelDesired&lt;$B124,"-",$D124))</f>
        <v>-</v>
      </c>
      <c r="T124" s="21" t="str">
        <f t="shared" ref="T124" si="8646">IF(LanGog1LevelCurrent&gt;=$B124,"-",IF(LanGog1LevelDesired&lt;$B124,"-",$E124))</f>
        <v>-</v>
      </c>
      <c r="U124" s="15" t="str">
        <f t="shared" ref="U124" si="8647">IF(LanGlo1LevelCurrent&gt;=$B124,"-",IF(LanGlo1LevelDesired&lt;$B124,"-",$C124))</f>
        <v>-</v>
      </c>
      <c r="V124" s="1" t="str">
        <f t="shared" ref="V124" si="8648">IF(LanGlo1LevelCurrent&gt;=$B124,"-",IF(LanGlo1LevelDesired&lt;$B124,"-",$D124))</f>
        <v>-</v>
      </c>
      <c r="W124" s="21" t="str">
        <f t="shared" ref="W124" si="8649">IF(LanGlo1LevelCurrent&gt;=$B124,"-",IF(LanGlo1LevelDesired&lt;$B124,"-",$E124))</f>
        <v>-</v>
      </c>
      <c r="X124" s="15" t="str">
        <f t="shared" ref="X124" si="8650">IF(LanBel1LevelCurrent&gt;=$B124,"-",IF(LanBel1LevelDesired&lt;$B124,"-",$C124))</f>
        <v>-</v>
      </c>
      <c r="Y124" s="1" t="str">
        <f t="shared" ref="Y124" si="8651">IF(LanBel1LevelCurrent&gt;=$B124,"-",IF(LanBel1LevelDesired&lt;$B124,"-",$D124))</f>
        <v>-</v>
      </c>
      <c r="Z124" s="21" t="str">
        <f t="shared" ref="Z124" si="8652">IF(LanBel1LevelCurrent&gt;=$B124,"-",IF(LanBel1LevelDesired&lt;$B124,"-",$E124))</f>
        <v>-</v>
      </c>
      <c r="AA124" s="15" t="str">
        <f t="shared" ref="AA124" si="8653">IF(LanBoo1LevelCurrent&gt;=$B124,"-",IF(LanBoo1LevelDesired&lt;$B124,"-",$C124))</f>
        <v>-</v>
      </c>
      <c r="AB124" s="1" t="str">
        <f t="shared" ref="AB124" si="8654">IF(LanBoo1LevelCurrent&gt;=$B124,"-",IF(LanBoo1LevelDesired&lt;$B124,"-",$D124))</f>
        <v>-</v>
      </c>
      <c r="AC124" s="21" t="str">
        <f t="shared" ref="AC124" si="8655">IF(LanBoo1LevelCurrent&gt;=$B124,"-",IF(LanBoo1LevelDesired&lt;$B124,"-",$E124))</f>
        <v>-</v>
      </c>
      <c r="AD124" s="15" t="str">
        <f t="shared" ref="AD124" si="8656">IF(MarGog1LevelCurrent&gt;=$B124,"-",IF(MarGog1LevelDesired&lt;$B124,"-",$C124))</f>
        <v>-</v>
      </c>
      <c r="AE124" s="1" t="str">
        <f t="shared" ref="AE124" si="8657">IF(MarGog1LevelCurrent&gt;=$B124,"-",IF(MarGog1LevelDesired&lt;$B124,"-",$D124))</f>
        <v>-</v>
      </c>
      <c r="AF124" s="21" t="str">
        <f t="shared" ref="AF124" si="8658">IF(MarGog1LevelCurrent&gt;=$B124,"-",IF(MarGog1LevelDesired&lt;$B124,"-",$E124))</f>
        <v>-</v>
      </c>
      <c r="AG124" s="15" t="str">
        <f t="shared" ref="AG124" si="8659">IF(MarGlo1LevelCurrent&gt;=$B124,"-",IF(MarGlo1LevelDesired&lt;$B124,"-",$C124))</f>
        <v>-</v>
      </c>
      <c r="AH124" s="1" t="str">
        <f t="shared" ref="AH124" si="8660">IF(MarGlo1LevelCurrent&gt;=$B124,"-",IF(MarGlo1LevelDesired&lt;$B124,"-",$D124))</f>
        <v>-</v>
      </c>
      <c r="AI124" s="21" t="str">
        <f t="shared" ref="AI124" si="8661">IF(MarGlo1LevelCurrent&gt;=$B124,"-",IF(MarGlo1LevelDesired&lt;$B124,"-",$E124))</f>
        <v>-</v>
      </c>
      <c r="AJ124" s="15" t="str">
        <f t="shared" ref="AJ124" si="8662">IF(MarBel1LevelCurrent&gt;=$B124,"-",IF(MarBel1LevelDesired&lt;$B124,"-",$C124))</f>
        <v>-</v>
      </c>
      <c r="AK124" s="1" t="str">
        <f t="shared" ref="AK124" si="8663">IF(MarBel1LevelCurrent&gt;=$B124,"-",IF(MarBel1LevelDesired&lt;$B124,"-",$D124))</f>
        <v>-</v>
      </c>
      <c r="AL124" s="21" t="str">
        <f t="shared" ref="AL124" si="8664">IF(MarBel1LevelCurrent&gt;=$B124,"-",IF(MarBel1LevelDesired&lt;$B124,"-",$E124))</f>
        <v>-</v>
      </c>
      <c r="AM124" s="15" t="str">
        <f t="shared" ref="AM124" si="8665">IF(MarBoo1LevelCurrent&gt;=$B124,"-",IF(MarBoo1LevelDesired&lt;$B124,"-",$C124))</f>
        <v>-</v>
      </c>
      <c r="AN124" s="1" t="str">
        <f t="shared" ref="AN124" si="8666">IF(MarBoo1LevelCurrent&gt;=$B124,"-",IF(MarBoo1LevelDesired&lt;$B124,"-",$D124))</f>
        <v>-</v>
      </c>
      <c r="AO124" s="21" t="str">
        <f t="shared" ref="AO124" si="8667">IF(MarBoo1LevelCurrent&gt;=$B124,"-",IF(MarBoo1LevelDesired&lt;$B124,"-",$E124))</f>
        <v>-</v>
      </c>
      <c r="AP124" s="15" t="str">
        <f t="shared" ref="AP124" si="8668">IF(InfGog2LevelCurrent&gt;=$B124,"-",IF(InfGog2LevelDesired&lt;$B124,"-",$C124))</f>
        <v>-</v>
      </c>
      <c r="AQ124" s="1" t="str">
        <f t="shared" ref="AQ124" si="8669">IF(InfGog2LevelCurrent&gt;=$B124,"-",IF(InfGog2LevelDesired&lt;$B124,"-",$D124))</f>
        <v>-</v>
      </c>
      <c r="AR124" s="21" t="str">
        <f t="shared" ref="AR124" si="8670">IF(InfGog2LevelCurrent&gt;=$B124,"-",IF(InfGog2LevelDesired&lt;$B124,"-",$E124))</f>
        <v>-</v>
      </c>
      <c r="AS124" s="15" t="str">
        <f t="shared" ref="AS124" si="8671">IF(InfGlo2LevelCurrent&gt;=$B124,"-",IF(InfGlo2LevelDesired&lt;$B124,"-",$C124))</f>
        <v>-</v>
      </c>
      <c r="AT124" s="1" t="str">
        <f t="shared" ref="AT124" si="8672">IF(InfGlo2LevelCurrent&gt;=$B124,"-",IF(InfGlo2LevelDesired&lt;$B124,"-",$D124))</f>
        <v>-</v>
      </c>
      <c r="AU124" s="21" t="str">
        <f t="shared" ref="AU124" si="8673">IF(InfGlo2LevelCurrent&gt;=$B124,"-",IF(InfGlo2LevelDesired&lt;$B124,"-",$E124))</f>
        <v>-</v>
      </c>
      <c r="AV124" s="15" t="str">
        <f t="shared" ref="AV124" si="8674">IF(InfBel2LevelCurrent&gt;=$B124,"-",IF(InfBel2LevelDesired&lt;$B124,"-",$C124))</f>
        <v>-</v>
      </c>
      <c r="AW124" s="1" t="str">
        <f t="shared" ref="AW124" si="8675">IF(InfBel2LevelCurrent&gt;=$B124,"-",IF(InfBel2LevelDesired&lt;$B124,"-",$D124))</f>
        <v>-</v>
      </c>
      <c r="AX124" s="21" t="str">
        <f t="shared" ref="AX124" si="8676">IF(InfBel2LevelCurrent&gt;=$B124,"-",IF(InfBel2LevelDesired&lt;$B124,"-",$E124))</f>
        <v>-</v>
      </c>
      <c r="AY124" s="15" t="str">
        <f t="shared" ref="AY124" si="8677">IF(InfBoo2LevelCurrent&gt;=$B124,"-",IF(InfBoo2LevelDesired&lt;$B124,"-",$C124))</f>
        <v>-</v>
      </c>
      <c r="AZ124" s="1" t="str">
        <f t="shared" ref="AZ124" si="8678">IF(InfBoo2LevelCurrent&gt;=$B124,"-",IF(InfBoo2LevelDesired&lt;$B124,"-",$D124))</f>
        <v>-</v>
      </c>
      <c r="BA124" s="21" t="str">
        <f t="shared" ref="BA124" si="8679">IF(InfBoo2LevelCurrent&gt;=$B124,"-",IF(InfBoo2LevelDesired&lt;$B124,"-",$E124))</f>
        <v>-</v>
      </c>
      <c r="BB124" s="15" t="str">
        <f t="shared" ref="BB124" si="8680">IF(LanGog2LevelCurrent&gt;=$B124,"-",IF(LanGog2LevelDesired&lt;$B124,"-",$C124))</f>
        <v>-</v>
      </c>
      <c r="BC124" s="1" t="str">
        <f t="shared" ref="BC124" si="8681">IF(LanGog2LevelCurrent&gt;=$B124,"-",IF(LanGog2LevelDesired&lt;$B124,"-",$D124))</f>
        <v>-</v>
      </c>
      <c r="BD124" s="21" t="str">
        <f t="shared" ref="BD124" si="8682">IF(LanGog2LevelCurrent&gt;=$B124,"-",IF(LanGog2LevelDesired&lt;$B124,"-",$E124))</f>
        <v>-</v>
      </c>
      <c r="BE124" s="15" t="str">
        <f t="shared" ref="BE124" si="8683">IF(LanGlo2LevelCurrent&gt;=$B124,"-",IF(LanGlo2LevelDesired&lt;$B124,"-",$C124))</f>
        <v>-</v>
      </c>
      <c r="BF124" s="1" t="str">
        <f t="shared" ref="BF124" si="8684">IF(LanGlo2LevelCurrent&gt;=$B124,"-",IF(LanGlo2LevelDesired&lt;$B124,"-",$D124))</f>
        <v>-</v>
      </c>
      <c r="BG124" s="21" t="str">
        <f t="shared" ref="BG124" si="8685">IF(LanGlo2LevelCurrent&gt;=$B124,"-",IF(LanGlo2LevelDesired&lt;$B124,"-",$E124))</f>
        <v>-</v>
      </c>
      <c r="BH124" s="15" t="str">
        <f t="shared" ref="BH124" si="8686">IF(LanBel2LevelCurrent&gt;=$B124,"-",IF(LanBel2LevelDesired&lt;$B124,"-",$C124))</f>
        <v>-</v>
      </c>
      <c r="BI124" s="1" t="str">
        <f t="shared" ref="BI124" si="8687">IF(LanBel2LevelCurrent&gt;=$B124,"-",IF(LanBel2LevelDesired&lt;$B124,"-",$D124))</f>
        <v>-</v>
      </c>
      <c r="BJ124" s="21" t="str">
        <f t="shared" ref="BJ124" si="8688">IF(LanBel2LevelCurrent&gt;=$B124,"-",IF(LanBel2LevelDesired&lt;$B124,"-",$E124))</f>
        <v>-</v>
      </c>
      <c r="BK124" s="15" t="str">
        <f t="shared" ref="BK124" si="8689">IF(LanBoo2LevelCurrent&gt;=$B124,"-",IF(LanBoo2LevelDesired&lt;$B124,"-",$C124))</f>
        <v>-</v>
      </c>
      <c r="BL124" s="1" t="str">
        <f t="shared" ref="BL124" si="8690">IF(LanBoo2LevelCurrent&gt;=$B124,"-",IF(LanBoo2LevelDesired&lt;$B124,"-",$D124))</f>
        <v>-</v>
      </c>
      <c r="BM124" s="21" t="str">
        <f t="shared" ref="BM124" si="8691">IF(LanBoo2LevelCurrent&gt;=$B124,"-",IF(LanBoo2LevelDesired&lt;$B124,"-",$E124))</f>
        <v>-</v>
      </c>
      <c r="BN124" s="15" t="str">
        <f t="shared" ref="BN124" si="8692">IF(MarGog2LevelCurrent&gt;=$B124,"-",IF(MarGog2LevelDesired&lt;$B124,"-",$C124))</f>
        <v>-</v>
      </c>
      <c r="BO124" s="1" t="str">
        <f t="shared" ref="BO124" si="8693">IF(MarGog2LevelCurrent&gt;=$B124,"-",IF(MarGog2LevelDesired&lt;$B124,"-",$D124))</f>
        <v>-</v>
      </c>
      <c r="BP124" s="21" t="str">
        <f t="shared" ref="BP124" si="8694">IF(MarGog2LevelCurrent&gt;=$B124,"-",IF(MarGog2LevelDesired&lt;$B124,"-",$E124))</f>
        <v>-</v>
      </c>
      <c r="BQ124" s="15" t="str">
        <f t="shared" ref="BQ124" si="8695">IF(MarGlo2LevelCurrent&gt;=$B124,"-",IF(MarGlo2LevelDesired&lt;$B124,"-",$C124))</f>
        <v>-</v>
      </c>
      <c r="BR124" s="1" t="str">
        <f t="shared" ref="BR124" si="8696">IF(MarGlo2LevelCurrent&gt;=$B124,"-",IF(MarGlo2LevelDesired&lt;$B124,"-",$D124))</f>
        <v>-</v>
      </c>
      <c r="BS124" s="21" t="str">
        <f t="shared" ref="BS124" si="8697">IF(MarGlo2LevelCurrent&gt;=$B124,"-",IF(MarGlo2LevelDesired&lt;$B124,"-",$E124))</f>
        <v>-</v>
      </c>
      <c r="BT124" s="15" t="str">
        <f t="shared" ref="BT124" si="8698">IF(MarBel2LevelCurrent&gt;=$B124,"-",IF(MarBel2LevelDesired&lt;$B124,"-",$C124))</f>
        <v>-</v>
      </c>
      <c r="BU124" s="1" t="str">
        <f t="shared" ref="BU124" si="8699">IF(MarBel2LevelCurrent&gt;=$B124,"-",IF(MarBel2LevelDesired&lt;$B124,"-",$D124))</f>
        <v>-</v>
      </c>
      <c r="BV124" s="21" t="str">
        <f t="shared" ref="BV124" si="8700">IF(MarBel2LevelCurrent&gt;=$B124,"-",IF(MarBel2LevelDesired&lt;$B124,"-",$E124))</f>
        <v>-</v>
      </c>
      <c r="BW124" s="15" t="str">
        <f t="shared" ref="BW124" si="8701">IF(MarBoo2LevelCurrent&gt;=$B124,"-",IF(MarBoo2LevelDesired&lt;$B124,"-",$C124))</f>
        <v>-</v>
      </c>
      <c r="BX124" s="1" t="str">
        <f t="shared" ref="BX124" si="8702">IF(MarBoo2LevelCurrent&gt;=$B124,"-",IF(MarBoo2LevelDesired&lt;$B124,"-",$D124))</f>
        <v>-</v>
      </c>
      <c r="BY124" s="21" t="str">
        <f t="shared" ref="BY124" si="8703">IF(MarBoo2LevelCurrent&gt;=$B124,"-",IF(MarBoo2LevelDesired&lt;$B124,"-",$E124))</f>
        <v>-</v>
      </c>
      <c r="BZ124" s="15" t="str">
        <f t="shared" si="7086"/>
        <v>-</v>
      </c>
      <c r="CA124" s="1" t="str" cm="1">
        <f t="array" ref="CA124">IF(InfGog3LevelCurrent&gt;=$B124,"-",IF(InfGog3LevelDesired&lt;$B124,"-",$D124))</f>
        <v>-</v>
      </c>
      <c r="CB124" s="21" t="str" cm="1">
        <f t="array" ref="CB124">IF(InfGog3LevelCurrent&gt;=$B124,"-",IF(InfGog3LevelDesired&lt;$B124,"-",$E124))</f>
        <v>-</v>
      </c>
      <c r="CC124" s="15" t="str">
        <f t="shared" si="7087"/>
        <v>-</v>
      </c>
      <c r="CD124" s="1" t="str">
        <f t="shared" si="7088"/>
        <v>-</v>
      </c>
      <c r="CE124" s="21" t="str">
        <f t="shared" si="7089"/>
        <v>-</v>
      </c>
      <c r="CF124" s="15" t="str">
        <f t="shared" si="7090"/>
        <v>-</v>
      </c>
      <c r="CG124" s="1" t="str">
        <f t="shared" si="7091"/>
        <v>-</v>
      </c>
      <c r="CH124" s="21" t="str">
        <f t="shared" si="7092"/>
        <v>-</v>
      </c>
      <c r="CI124" s="15" t="str">
        <f t="shared" si="7093"/>
        <v>-</v>
      </c>
      <c r="CJ124" s="1" t="str">
        <f t="shared" si="7094"/>
        <v>-</v>
      </c>
      <c r="CK124" s="21" t="str">
        <f t="shared" si="7095"/>
        <v>-</v>
      </c>
      <c r="CL124" s="15" t="str">
        <f t="shared" si="7096"/>
        <v>-</v>
      </c>
      <c r="CM124" s="1" t="str">
        <f t="shared" si="7097"/>
        <v>-</v>
      </c>
      <c r="CN124" s="21" t="str">
        <f t="shared" si="7098"/>
        <v>-</v>
      </c>
      <c r="CO124" s="15" t="str">
        <f t="shared" si="7099"/>
        <v>-</v>
      </c>
      <c r="CP124" s="1" t="str">
        <f t="shared" si="7100"/>
        <v>-</v>
      </c>
      <c r="CQ124" s="21" t="str">
        <f t="shared" si="7101"/>
        <v>-</v>
      </c>
      <c r="CR124" s="15" t="str">
        <f t="shared" si="7102"/>
        <v>-</v>
      </c>
      <c r="CS124" s="1" t="str">
        <f t="shared" si="7103"/>
        <v>-</v>
      </c>
      <c r="CT124" s="21" t="str">
        <f t="shared" si="7104"/>
        <v>-</v>
      </c>
      <c r="CU124" s="15" t="str">
        <f t="shared" si="7105"/>
        <v>-</v>
      </c>
      <c r="CV124" s="1" t="str">
        <f t="shared" si="7106"/>
        <v>-</v>
      </c>
      <c r="CW124" s="21" t="str">
        <f t="shared" si="7107"/>
        <v>-</v>
      </c>
      <c r="CX124" s="15" t="str">
        <f t="shared" si="7108"/>
        <v>-</v>
      </c>
      <c r="CY124" s="1" t="str">
        <f t="shared" si="7109"/>
        <v>-</v>
      </c>
      <c r="CZ124" s="21" t="str">
        <f t="shared" si="7110"/>
        <v>-</v>
      </c>
      <c r="DA124" s="15" t="str">
        <f t="shared" si="7111"/>
        <v>-</v>
      </c>
      <c r="DB124" s="1" t="str">
        <f t="shared" si="7112"/>
        <v>-</v>
      </c>
      <c r="DC124" s="21" t="str">
        <f t="shared" si="7113"/>
        <v>-</v>
      </c>
      <c r="DD124" s="15" t="str">
        <f t="shared" si="7114"/>
        <v>-</v>
      </c>
      <c r="DE124" s="1" t="str">
        <f t="shared" si="7115"/>
        <v>-</v>
      </c>
      <c r="DF124" s="21" t="str">
        <f t="shared" si="7116"/>
        <v>-</v>
      </c>
      <c r="DG124" s="15" t="str">
        <f t="shared" si="7117"/>
        <v>-</v>
      </c>
      <c r="DH124" s="1" t="str">
        <f t="shared" si="7118"/>
        <v>-</v>
      </c>
      <c r="DI124" s="21" t="str">
        <f t="shared" si="7119"/>
        <v>-</v>
      </c>
    </row>
    <row r="125" spans="2:113" x14ac:dyDescent="0.3">
      <c r="B125" s="1">
        <v>120</v>
      </c>
      <c r="C125" s="67">
        <v>0</v>
      </c>
      <c r="D125" s="88">
        <v>3</v>
      </c>
      <c r="E125" s="68">
        <v>10</v>
      </c>
      <c r="F125" s="15" t="str">
        <f t="shared" ref="F125" si="8704">IF(InfGog1LevelCurrent&gt;=$B125,"-",IF(InfGog1LevelDesired&lt;$B125,"-",$C125))</f>
        <v>-</v>
      </c>
      <c r="G125" s="1" t="str">
        <f t="shared" ref="G125" si="8705">IF(InfGog1LevelCurrent&gt;=$B125,"-",IF(InfGog1LevelDesired&lt;$B125,"-",$D125))</f>
        <v>-</v>
      </c>
      <c r="H125" s="21" t="str">
        <f t="shared" ref="H125" si="8706">IF(InfGog1LevelCurrent&gt;=$B125,"-",IF(InfGog1LevelDesired&lt;$B125,"-",$E125))</f>
        <v>-</v>
      </c>
      <c r="I125" s="15" t="str">
        <f t="shared" ref="I125" si="8707">IF(InfGlo1LevelCurrent&gt;=$B125,"-",IF(InfGlo1LevelDesired&lt;$B125,"-",$C125))</f>
        <v>-</v>
      </c>
      <c r="J125" s="1" t="str">
        <f t="shared" ref="J125" si="8708">IF(InfGlo1LevelCurrent&gt;=$B125,"-",IF(InfGlo1LevelDesired&lt;$B125,"-",$D125))</f>
        <v>-</v>
      </c>
      <c r="K125" s="21" t="str">
        <f t="shared" ref="K125" si="8709">IF(InfGlo1LevelCurrent&gt;=$B125,"-",IF(InfGlo1LevelDesired&lt;$B125,"-",$E125))</f>
        <v>-</v>
      </c>
      <c r="L125" s="15" t="str">
        <f t="shared" ref="L125" si="8710">IF(InfBel1LevelCurrent&gt;=$B125,"-",IF(InfBel1LevelDesired&lt;$B125,"-",$C125))</f>
        <v>-</v>
      </c>
      <c r="M125" s="1" t="str">
        <f t="shared" ref="M125" si="8711">IF(InfBel1LevelCurrent&gt;=$B125,"-",IF(InfBel1LevelDesired&lt;$B125,"-",$D125))</f>
        <v>-</v>
      </c>
      <c r="N125" s="21" t="str">
        <f t="shared" ref="N125" si="8712">IF(InfBel1LevelCurrent&gt;=$B125,"-",IF(InfBel1LevelDesired&lt;$B125,"-",$E125))</f>
        <v>-</v>
      </c>
      <c r="O125" s="15" t="str">
        <f t="shared" ref="O125" si="8713">IF(InfBoo1LevelCurrent&gt;=$B125,"-",IF(InfBoo1LevelDesired&lt;$B125,"-",$C125))</f>
        <v>-</v>
      </c>
      <c r="P125" s="1" t="str">
        <f t="shared" ref="P125" si="8714">IF(InfBoo1LevelCurrent&gt;=$B125,"-",IF(InfBoo1LevelDesired&lt;$B125,"-",$D125))</f>
        <v>-</v>
      </c>
      <c r="Q125" s="21" t="str">
        <f t="shared" ref="Q125" si="8715">IF(InfBoo1LevelCurrent&gt;=$B125,"-",IF(InfBoo1LevelDesired&lt;$B125,"-",$E125))</f>
        <v>-</v>
      </c>
      <c r="R125" s="15" t="str">
        <f t="shared" ref="R125" si="8716">IF(LanGog1LevelCurrent&gt;=$B125,"-",IF(LanGog1LevelDesired&lt;$B125,"-",$C125))</f>
        <v>-</v>
      </c>
      <c r="S125" s="1" t="str">
        <f t="shared" ref="S125" si="8717">IF(LanGog1LevelCurrent&gt;=$B125,"-",IF(LanGog1LevelDesired&lt;$B125,"-",$D125))</f>
        <v>-</v>
      </c>
      <c r="T125" s="21" t="str">
        <f t="shared" ref="T125" si="8718">IF(LanGog1LevelCurrent&gt;=$B125,"-",IF(LanGog1LevelDesired&lt;$B125,"-",$E125))</f>
        <v>-</v>
      </c>
      <c r="U125" s="15" t="str">
        <f t="shared" ref="U125" si="8719">IF(LanGlo1LevelCurrent&gt;=$B125,"-",IF(LanGlo1LevelDesired&lt;$B125,"-",$C125))</f>
        <v>-</v>
      </c>
      <c r="V125" s="1" t="str">
        <f t="shared" ref="V125" si="8720">IF(LanGlo1LevelCurrent&gt;=$B125,"-",IF(LanGlo1LevelDesired&lt;$B125,"-",$D125))</f>
        <v>-</v>
      </c>
      <c r="W125" s="21" t="str">
        <f t="shared" ref="W125" si="8721">IF(LanGlo1LevelCurrent&gt;=$B125,"-",IF(LanGlo1LevelDesired&lt;$B125,"-",$E125))</f>
        <v>-</v>
      </c>
      <c r="X125" s="15" t="str">
        <f t="shared" ref="X125" si="8722">IF(LanBel1LevelCurrent&gt;=$B125,"-",IF(LanBel1LevelDesired&lt;$B125,"-",$C125))</f>
        <v>-</v>
      </c>
      <c r="Y125" s="1" t="str">
        <f t="shared" ref="Y125" si="8723">IF(LanBel1LevelCurrent&gt;=$B125,"-",IF(LanBel1LevelDesired&lt;$B125,"-",$D125))</f>
        <v>-</v>
      </c>
      <c r="Z125" s="21" t="str">
        <f t="shared" ref="Z125" si="8724">IF(LanBel1LevelCurrent&gt;=$B125,"-",IF(LanBel1LevelDesired&lt;$B125,"-",$E125))</f>
        <v>-</v>
      </c>
      <c r="AA125" s="15" t="str">
        <f t="shared" ref="AA125" si="8725">IF(LanBoo1LevelCurrent&gt;=$B125,"-",IF(LanBoo1LevelDesired&lt;$B125,"-",$C125))</f>
        <v>-</v>
      </c>
      <c r="AB125" s="1" t="str">
        <f t="shared" ref="AB125" si="8726">IF(LanBoo1LevelCurrent&gt;=$B125,"-",IF(LanBoo1LevelDesired&lt;$B125,"-",$D125))</f>
        <v>-</v>
      </c>
      <c r="AC125" s="21" t="str">
        <f t="shared" ref="AC125" si="8727">IF(LanBoo1LevelCurrent&gt;=$B125,"-",IF(LanBoo1LevelDesired&lt;$B125,"-",$E125))</f>
        <v>-</v>
      </c>
      <c r="AD125" s="15" t="str">
        <f t="shared" ref="AD125" si="8728">IF(MarGog1LevelCurrent&gt;=$B125,"-",IF(MarGog1LevelDesired&lt;$B125,"-",$C125))</f>
        <v>-</v>
      </c>
      <c r="AE125" s="1" t="str">
        <f t="shared" ref="AE125" si="8729">IF(MarGog1LevelCurrent&gt;=$B125,"-",IF(MarGog1LevelDesired&lt;$B125,"-",$D125))</f>
        <v>-</v>
      </c>
      <c r="AF125" s="21" t="str">
        <f t="shared" ref="AF125" si="8730">IF(MarGog1LevelCurrent&gt;=$B125,"-",IF(MarGog1LevelDesired&lt;$B125,"-",$E125))</f>
        <v>-</v>
      </c>
      <c r="AG125" s="15" t="str">
        <f t="shared" ref="AG125" si="8731">IF(MarGlo1LevelCurrent&gt;=$B125,"-",IF(MarGlo1LevelDesired&lt;$B125,"-",$C125))</f>
        <v>-</v>
      </c>
      <c r="AH125" s="1" t="str">
        <f t="shared" ref="AH125" si="8732">IF(MarGlo1LevelCurrent&gt;=$B125,"-",IF(MarGlo1LevelDesired&lt;$B125,"-",$D125))</f>
        <v>-</v>
      </c>
      <c r="AI125" s="21" t="str">
        <f t="shared" ref="AI125" si="8733">IF(MarGlo1LevelCurrent&gt;=$B125,"-",IF(MarGlo1LevelDesired&lt;$B125,"-",$E125))</f>
        <v>-</v>
      </c>
      <c r="AJ125" s="15" t="str">
        <f t="shared" ref="AJ125" si="8734">IF(MarBel1LevelCurrent&gt;=$B125,"-",IF(MarBel1LevelDesired&lt;$B125,"-",$C125))</f>
        <v>-</v>
      </c>
      <c r="AK125" s="1" t="str">
        <f t="shared" ref="AK125" si="8735">IF(MarBel1LevelCurrent&gt;=$B125,"-",IF(MarBel1LevelDesired&lt;$B125,"-",$D125))</f>
        <v>-</v>
      </c>
      <c r="AL125" s="21" t="str">
        <f t="shared" ref="AL125" si="8736">IF(MarBel1LevelCurrent&gt;=$B125,"-",IF(MarBel1LevelDesired&lt;$B125,"-",$E125))</f>
        <v>-</v>
      </c>
      <c r="AM125" s="15" t="str">
        <f t="shared" ref="AM125" si="8737">IF(MarBoo1LevelCurrent&gt;=$B125,"-",IF(MarBoo1LevelDesired&lt;$B125,"-",$C125))</f>
        <v>-</v>
      </c>
      <c r="AN125" s="1" t="str">
        <f t="shared" ref="AN125" si="8738">IF(MarBoo1LevelCurrent&gt;=$B125,"-",IF(MarBoo1LevelDesired&lt;$B125,"-",$D125))</f>
        <v>-</v>
      </c>
      <c r="AO125" s="21" t="str">
        <f t="shared" ref="AO125" si="8739">IF(MarBoo1LevelCurrent&gt;=$B125,"-",IF(MarBoo1LevelDesired&lt;$B125,"-",$E125))</f>
        <v>-</v>
      </c>
      <c r="AP125" s="15" t="str">
        <f t="shared" ref="AP125" si="8740">IF(InfGog2LevelCurrent&gt;=$B125,"-",IF(InfGog2LevelDesired&lt;$B125,"-",$C125))</f>
        <v>-</v>
      </c>
      <c r="AQ125" s="1" t="str">
        <f t="shared" ref="AQ125" si="8741">IF(InfGog2LevelCurrent&gt;=$B125,"-",IF(InfGog2LevelDesired&lt;$B125,"-",$D125))</f>
        <v>-</v>
      </c>
      <c r="AR125" s="21" t="str">
        <f t="shared" ref="AR125" si="8742">IF(InfGog2LevelCurrent&gt;=$B125,"-",IF(InfGog2LevelDesired&lt;$B125,"-",$E125))</f>
        <v>-</v>
      </c>
      <c r="AS125" s="15" t="str">
        <f t="shared" ref="AS125" si="8743">IF(InfGlo2LevelCurrent&gt;=$B125,"-",IF(InfGlo2LevelDesired&lt;$B125,"-",$C125))</f>
        <v>-</v>
      </c>
      <c r="AT125" s="1" t="str">
        <f t="shared" ref="AT125" si="8744">IF(InfGlo2LevelCurrent&gt;=$B125,"-",IF(InfGlo2LevelDesired&lt;$B125,"-",$D125))</f>
        <v>-</v>
      </c>
      <c r="AU125" s="21" t="str">
        <f t="shared" ref="AU125" si="8745">IF(InfGlo2LevelCurrent&gt;=$B125,"-",IF(InfGlo2LevelDesired&lt;$B125,"-",$E125))</f>
        <v>-</v>
      </c>
      <c r="AV125" s="15" t="str">
        <f t="shared" ref="AV125" si="8746">IF(InfBel2LevelCurrent&gt;=$B125,"-",IF(InfBel2LevelDesired&lt;$B125,"-",$C125))</f>
        <v>-</v>
      </c>
      <c r="AW125" s="1" t="str">
        <f t="shared" ref="AW125" si="8747">IF(InfBel2LevelCurrent&gt;=$B125,"-",IF(InfBel2LevelDesired&lt;$B125,"-",$D125))</f>
        <v>-</v>
      </c>
      <c r="AX125" s="21" t="str">
        <f t="shared" ref="AX125" si="8748">IF(InfBel2LevelCurrent&gt;=$B125,"-",IF(InfBel2LevelDesired&lt;$B125,"-",$E125))</f>
        <v>-</v>
      </c>
      <c r="AY125" s="15" t="str">
        <f t="shared" ref="AY125" si="8749">IF(InfBoo2LevelCurrent&gt;=$B125,"-",IF(InfBoo2LevelDesired&lt;$B125,"-",$C125))</f>
        <v>-</v>
      </c>
      <c r="AZ125" s="1" t="str">
        <f t="shared" ref="AZ125" si="8750">IF(InfBoo2LevelCurrent&gt;=$B125,"-",IF(InfBoo2LevelDesired&lt;$B125,"-",$D125))</f>
        <v>-</v>
      </c>
      <c r="BA125" s="21" t="str">
        <f t="shared" ref="BA125" si="8751">IF(InfBoo2LevelCurrent&gt;=$B125,"-",IF(InfBoo2LevelDesired&lt;$B125,"-",$E125))</f>
        <v>-</v>
      </c>
      <c r="BB125" s="15" t="str">
        <f t="shared" ref="BB125" si="8752">IF(LanGog2LevelCurrent&gt;=$B125,"-",IF(LanGog2LevelDesired&lt;$B125,"-",$C125))</f>
        <v>-</v>
      </c>
      <c r="BC125" s="1" t="str">
        <f t="shared" ref="BC125" si="8753">IF(LanGog2LevelCurrent&gt;=$B125,"-",IF(LanGog2LevelDesired&lt;$B125,"-",$D125))</f>
        <v>-</v>
      </c>
      <c r="BD125" s="21" t="str">
        <f t="shared" ref="BD125" si="8754">IF(LanGog2LevelCurrent&gt;=$B125,"-",IF(LanGog2LevelDesired&lt;$B125,"-",$E125))</f>
        <v>-</v>
      </c>
      <c r="BE125" s="15" t="str">
        <f t="shared" ref="BE125" si="8755">IF(LanGlo2LevelCurrent&gt;=$B125,"-",IF(LanGlo2LevelDesired&lt;$B125,"-",$C125))</f>
        <v>-</v>
      </c>
      <c r="BF125" s="1" t="str">
        <f t="shared" ref="BF125" si="8756">IF(LanGlo2LevelCurrent&gt;=$B125,"-",IF(LanGlo2LevelDesired&lt;$B125,"-",$D125))</f>
        <v>-</v>
      </c>
      <c r="BG125" s="21" t="str">
        <f t="shared" ref="BG125" si="8757">IF(LanGlo2LevelCurrent&gt;=$B125,"-",IF(LanGlo2LevelDesired&lt;$B125,"-",$E125))</f>
        <v>-</v>
      </c>
      <c r="BH125" s="15" t="str">
        <f t="shared" ref="BH125" si="8758">IF(LanBel2LevelCurrent&gt;=$B125,"-",IF(LanBel2LevelDesired&lt;$B125,"-",$C125))</f>
        <v>-</v>
      </c>
      <c r="BI125" s="1" t="str">
        <f t="shared" ref="BI125" si="8759">IF(LanBel2LevelCurrent&gt;=$B125,"-",IF(LanBel2LevelDesired&lt;$B125,"-",$D125))</f>
        <v>-</v>
      </c>
      <c r="BJ125" s="21" t="str">
        <f t="shared" ref="BJ125" si="8760">IF(LanBel2LevelCurrent&gt;=$B125,"-",IF(LanBel2LevelDesired&lt;$B125,"-",$E125))</f>
        <v>-</v>
      </c>
      <c r="BK125" s="15" t="str">
        <f t="shared" ref="BK125" si="8761">IF(LanBoo2LevelCurrent&gt;=$B125,"-",IF(LanBoo2LevelDesired&lt;$B125,"-",$C125))</f>
        <v>-</v>
      </c>
      <c r="BL125" s="1" t="str">
        <f t="shared" ref="BL125" si="8762">IF(LanBoo2LevelCurrent&gt;=$B125,"-",IF(LanBoo2LevelDesired&lt;$B125,"-",$D125))</f>
        <v>-</v>
      </c>
      <c r="BM125" s="21" t="str">
        <f t="shared" ref="BM125" si="8763">IF(LanBoo2LevelCurrent&gt;=$B125,"-",IF(LanBoo2LevelDesired&lt;$B125,"-",$E125))</f>
        <v>-</v>
      </c>
      <c r="BN125" s="15" t="str">
        <f t="shared" ref="BN125" si="8764">IF(MarGog2LevelCurrent&gt;=$B125,"-",IF(MarGog2LevelDesired&lt;$B125,"-",$C125))</f>
        <v>-</v>
      </c>
      <c r="BO125" s="1" t="str">
        <f t="shared" ref="BO125" si="8765">IF(MarGog2LevelCurrent&gt;=$B125,"-",IF(MarGog2LevelDesired&lt;$B125,"-",$D125))</f>
        <v>-</v>
      </c>
      <c r="BP125" s="21" t="str">
        <f t="shared" ref="BP125" si="8766">IF(MarGog2LevelCurrent&gt;=$B125,"-",IF(MarGog2LevelDesired&lt;$B125,"-",$E125))</f>
        <v>-</v>
      </c>
      <c r="BQ125" s="15" t="str">
        <f t="shared" ref="BQ125" si="8767">IF(MarGlo2LevelCurrent&gt;=$B125,"-",IF(MarGlo2LevelDesired&lt;$B125,"-",$C125))</f>
        <v>-</v>
      </c>
      <c r="BR125" s="1" t="str">
        <f t="shared" ref="BR125" si="8768">IF(MarGlo2LevelCurrent&gt;=$B125,"-",IF(MarGlo2LevelDesired&lt;$B125,"-",$D125))</f>
        <v>-</v>
      </c>
      <c r="BS125" s="21" t="str">
        <f t="shared" ref="BS125" si="8769">IF(MarGlo2LevelCurrent&gt;=$B125,"-",IF(MarGlo2LevelDesired&lt;$B125,"-",$E125))</f>
        <v>-</v>
      </c>
      <c r="BT125" s="15" t="str">
        <f t="shared" ref="BT125" si="8770">IF(MarBel2LevelCurrent&gt;=$B125,"-",IF(MarBel2LevelDesired&lt;$B125,"-",$C125))</f>
        <v>-</v>
      </c>
      <c r="BU125" s="1" t="str">
        <f t="shared" ref="BU125" si="8771">IF(MarBel2LevelCurrent&gt;=$B125,"-",IF(MarBel2LevelDesired&lt;$B125,"-",$D125))</f>
        <v>-</v>
      </c>
      <c r="BV125" s="21" t="str">
        <f t="shared" ref="BV125" si="8772">IF(MarBel2LevelCurrent&gt;=$B125,"-",IF(MarBel2LevelDesired&lt;$B125,"-",$E125))</f>
        <v>-</v>
      </c>
      <c r="BW125" s="15" t="str">
        <f t="shared" ref="BW125" si="8773">IF(MarBoo2LevelCurrent&gt;=$B125,"-",IF(MarBoo2LevelDesired&lt;$B125,"-",$C125))</f>
        <v>-</v>
      </c>
      <c r="BX125" s="1" t="str">
        <f t="shared" ref="BX125" si="8774">IF(MarBoo2LevelCurrent&gt;=$B125,"-",IF(MarBoo2LevelDesired&lt;$B125,"-",$D125))</f>
        <v>-</v>
      </c>
      <c r="BY125" s="21" t="str">
        <f t="shared" ref="BY125" si="8775">IF(MarBoo2LevelCurrent&gt;=$B125,"-",IF(MarBoo2LevelDesired&lt;$B125,"-",$E125))</f>
        <v>-</v>
      </c>
      <c r="BZ125" s="15" t="str">
        <f t="shared" si="7086"/>
        <v>-</v>
      </c>
      <c r="CA125" s="1" t="str" cm="1">
        <f t="array" ref="CA125">IF(InfGog3LevelCurrent&gt;=$B125,"-",IF(InfGog3LevelDesired&lt;$B125,"-",$D125))</f>
        <v>-</v>
      </c>
      <c r="CB125" s="21" t="str" cm="1">
        <f t="array" ref="CB125">IF(InfGog3LevelCurrent&gt;=$B125,"-",IF(InfGog3LevelDesired&lt;$B125,"-",$E125))</f>
        <v>-</v>
      </c>
      <c r="CC125" s="15" t="str">
        <f t="shared" si="7087"/>
        <v>-</v>
      </c>
      <c r="CD125" s="1" t="str">
        <f t="shared" si="7088"/>
        <v>-</v>
      </c>
      <c r="CE125" s="21" t="str">
        <f t="shared" si="7089"/>
        <v>-</v>
      </c>
      <c r="CF125" s="15" t="str">
        <f t="shared" si="7090"/>
        <v>-</v>
      </c>
      <c r="CG125" s="1" t="str">
        <f t="shared" si="7091"/>
        <v>-</v>
      </c>
      <c r="CH125" s="21" t="str">
        <f t="shared" si="7092"/>
        <v>-</v>
      </c>
      <c r="CI125" s="15" t="str">
        <f t="shared" si="7093"/>
        <v>-</v>
      </c>
      <c r="CJ125" s="1" t="str">
        <f t="shared" si="7094"/>
        <v>-</v>
      </c>
      <c r="CK125" s="21" t="str">
        <f t="shared" si="7095"/>
        <v>-</v>
      </c>
      <c r="CL125" s="15" t="str">
        <f t="shared" si="7096"/>
        <v>-</v>
      </c>
      <c r="CM125" s="1" t="str">
        <f t="shared" si="7097"/>
        <v>-</v>
      </c>
      <c r="CN125" s="21" t="str">
        <f t="shared" si="7098"/>
        <v>-</v>
      </c>
      <c r="CO125" s="15" t="str">
        <f t="shared" si="7099"/>
        <v>-</v>
      </c>
      <c r="CP125" s="1" t="str">
        <f t="shared" si="7100"/>
        <v>-</v>
      </c>
      <c r="CQ125" s="21" t="str">
        <f t="shared" si="7101"/>
        <v>-</v>
      </c>
      <c r="CR125" s="15" t="str">
        <f t="shared" si="7102"/>
        <v>-</v>
      </c>
      <c r="CS125" s="1" t="str">
        <f t="shared" si="7103"/>
        <v>-</v>
      </c>
      <c r="CT125" s="21" t="str">
        <f t="shared" si="7104"/>
        <v>-</v>
      </c>
      <c r="CU125" s="15" t="str">
        <f t="shared" si="7105"/>
        <v>-</v>
      </c>
      <c r="CV125" s="1" t="str">
        <f t="shared" si="7106"/>
        <v>-</v>
      </c>
      <c r="CW125" s="21" t="str">
        <f t="shared" si="7107"/>
        <v>-</v>
      </c>
      <c r="CX125" s="15" t="str">
        <f t="shared" si="7108"/>
        <v>-</v>
      </c>
      <c r="CY125" s="1" t="str">
        <f t="shared" si="7109"/>
        <v>-</v>
      </c>
      <c r="CZ125" s="21" t="str">
        <f t="shared" si="7110"/>
        <v>-</v>
      </c>
      <c r="DA125" s="15" t="str">
        <f t="shared" si="7111"/>
        <v>-</v>
      </c>
      <c r="DB125" s="1" t="str">
        <f t="shared" si="7112"/>
        <v>-</v>
      </c>
      <c r="DC125" s="21" t="str">
        <f t="shared" si="7113"/>
        <v>-</v>
      </c>
      <c r="DD125" s="15" t="str">
        <f t="shared" si="7114"/>
        <v>-</v>
      </c>
      <c r="DE125" s="1" t="str">
        <f t="shared" si="7115"/>
        <v>-</v>
      </c>
      <c r="DF125" s="21" t="str">
        <f t="shared" si="7116"/>
        <v>-</v>
      </c>
      <c r="DG125" s="15" t="str">
        <f t="shared" si="7117"/>
        <v>-</v>
      </c>
      <c r="DH125" s="1" t="str">
        <f t="shared" si="7118"/>
        <v>-</v>
      </c>
      <c r="DI125" s="21" t="str">
        <f t="shared" si="7119"/>
        <v>-</v>
      </c>
    </row>
    <row r="126" spans="2:113" x14ac:dyDescent="0.3">
      <c r="B126" s="1">
        <v>121</v>
      </c>
      <c r="C126" s="67">
        <v>3500</v>
      </c>
      <c r="D126" s="88" t="s">
        <v>27</v>
      </c>
      <c r="E126" s="68" t="s">
        <v>27</v>
      </c>
      <c r="F126" s="15" t="str">
        <f t="shared" ref="F126" si="8776">IF(InfGog1LevelCurrent&gt;=$B126,"-",IF(InfGog1LevelDesired&lt;$B126,"-",$C126))</f>
        <v>-</v>
      </c>
      <c r="G126" s="1" t="str">
        <f t="shared" ref="G126" si="8777">IF(InfGog1LevelCurrent&gt;=$B126,"-",IF(InfGog1LevelDesired&lt;$B126,"-",$D126))</f>
        <v>-</v>
      </c>
      <c r="H126" s="21" t="str">
        <f t="shared" ref="H126" si="8778">IF(InfGog1LevelCurrent&gt;=$B126,"-",IF(InfGog1LevelDesired&lt;$B126,"-",$E126))</f>
        <v>-</v>
      </c>
      <c r="I126" s="15" t="str">
        <f t="shared" ref="I126" si="8779">IF(InfGlo1LevelCurrent&gt;=$B126,"-",IF(InfGlo1LevelDesired&lt;$B126,"-",$C126))</f>
        <v>-</v>
      </c>
      <c r="J126" s="1" t="str">
        <f t="shared" ref="J126" si="8780">IF(InfGlo1LevelCurrent&gt;=$B126,"-",IF(InfGlo1LevelDesired&lt;$B126,"-",$D126))</f>
        <v>-</v>
      </c>
      <c r="K126" s="21" t="str">
        <f t="shared" ref="K126" si="8781">IF(InfGlo1LevelCurrent&gt;=$B126,"-",IF(InfGlo1LevelDesired&lt;$B126,"-",$E126))</f>
        <v>-</v>
      </c>
      <c r="L126" s="15" t="str">
        <f t="shared" ref="L126" si="8782">IF(InfBel1LevelCurrent&gt;=$B126,"-",IF(InfBel1LevelDesired&lt;$B126,"-",$C126))</f>
        <v>-</v>
      </c>
      <c r="M126" s="1" t="str">
        <f t="shared" ref="M126" si="8783">IF(InfBel1LevelCurrent&gt;=$B126,"-",IF(InfBel1LevelDesired&lt;$B126,"-",$D126))</f>
        <v>-</v>
      </c>
      <c r="N126" s="21" t="str">
        <f t="shared" ref="N126" si="8784">IF(InfBel1LevelCurrent&gt;=$B126,"-",IF(InfBel1LevelDesired&lt;$B126,"-",$E126))</f>
        <v>-</v>
      </c>
      <c r="O126" s="15" t="str">
        <f t="shared" ref="O126" si="8785">IF(InfBoo1LevelCurrent&gt;=$B126,"-",IF(InfBoo1LevelDesired&lt;$B126,"-",$C126))</f>
        <v>-</v>
      </c>
      <c r="P126" s="1" t="str">
        <f t="shared" ref="P126" si="8786">IF(InfBoo1LevelCurrent&gt;=$B126,"-",IF(InfBoo1LevelDesired&lt;$B126,"-",$D126))</f>
        <v>-</v>
      </c>
      <c r="Q126" s="21" t="str">
        <f t="shared" ref="Q126" si="8787">IF(InfBoo1LevelCurrent&gt;=$B126,"-",IF(InfBoo1LevelDesired&lt;$B126,"-",$E126))</f>
        <v>-</v>
      </c>
      <c r="R126" s="15" t="str">
        <f t="shared" ref="R126" si="8788">IF(LanGog1LevelCurrent&gt;=$B126,"-",IF(LanGog1LevelDesired&lt;$B126,"-",$C126))</f>
        <v>-</v>
      </c>
      <c r="S126" s="1" t="str">
        <f t="shared" ref="S126" si="8789">IF(LanGog1LevelCurrent&gt;=$B126,"-",IF(LanGog1LevelDesired&lt;$B126,"-",$D126))</f>
        <v>-</v>
      </c>
      <c r="T126" s="21" t="str">
        <f t="shared" ref="T126" si="8790">IF(LanGog1LevelCurrent&gt;=$B126,"-",IF(LanGog1LevelDesired&lt;$B126,"-",$E126))</f>
        <v>-</v>
      </c>
      <c r="U126" s="15" t="str">
        <f t="shared" ref="U126" si="8791">IF(LanGlo1LevelCurrent&gt;=$B126,"-",IF(LanGlo1LevelDesired&lt;$B126,"-",$C126))</f>
        <v>-</v>
      </c>
      <c r="V126" s="1" t="str">
        <f t="shared" ref="V126" si="8792">IF(LanGlo1LevelCurrent&gt;=$B126,"-",IF(LanGlo1LevelDesired&lt;$B126,"-",$D126))</f>
        <v>-</v>
      </c>
      <c r="W126" s="21" t="str">
        <f t="shared" ref="W126" si="8793">IF(LanGlo1LevelCurrent&gt;=$B126,"-",IF(LanGlo1LevelDesired&lt;$B126,"-",$E126))</f>
        <v>-</v>
      </c>
      <c r="X126" s="15" t="str">
        <f t="shared" ref="X126" si="8794">IF(LanBel1LevelCurrent&gt;=$B126,"-",IF(LanBel1LevelDesired&lt;$B126,"-",$C126))</f>
        <v>-</v>
      </c>
      <c r="Y126" s="1" t="str">
        <f t="shared" ref="Y126" si="8795">IF(LanBel1LevelCurrent&gt;=$B126,"-",IF(LanBel1LevelDesired&lt;$B126,"-",$D126))</f>
        <v>-</v>
      </c>
      <c r="Z126" s="21" t="str">
        <f t="shared" ref="Z126" si="8796">IF(LanBel1LevelCurrent&gt;=$B126,"-",IF(LanBel1LevelDesired&lt;$B126,"-",$E126))</f>
        <v>-</v>
      </c>
      <c r="AA126" s="15" t="str">
        <f t="shared" ref="AA126" si="8797">IF(LanBoo1LevelCurrent&gt;=$B126,"-",IF(LanBoo1LevelDesired&lt;$B126,"-",$C126))</f>
        <v>-</v>
      </c>
      <c r="AB126" s="1" t="str">
        <f t="shared" ref="AB126" si="8798">IF(LanBoo1LevelCurrent&gt;=$B126,"-",IF(LanBoo1LevelDesired&lt;$B126,"-",$D126))</f>
        <v>-</v>
      </c>
      <c r="AC126" s="21" t="str">
        <f t="shared" ref="AC126" si="8799">IF(LanBoo1LevelCurrent&gt;=$B126,"-",IF(LanBoo1LevelDesired&lt;$B126,"-",$E126))</f>
        <v>-</v>
      </c>
      <c r="AD126" s="15" t="str">
        <f t="shared" ref="AD126" si="8800">IF(MarGog1LevelCurrent&gt;=$B126,"-",IF(MarGog1LevelDesired&lt;$B126,"-",$C126))</f>
        <v>-</v>
      </c>
      <c r="AE126" s="1" t="str">
        <f t="shared" ref="AE126" si="8801">IF(MarGog1LevelCurrent&gt;=$B126,"-",IF(MarGog1LevelDesired&lt;$B126,"-",$D126))</f>
        <v>-</v>
      </c>
      <c r="AF126" s="21" t="str">
        <f t="shared" ref="AF126" si="8802">IF(MarGog1LevelCurrent&gt;=$B126,"-",IF(MarGog1LevelDesired&lt;$B126,"-",$E126))</f>
        <v>-</v>
      </c>
      <c r="AG126" s="15" t="str">
        <f t="shared" ref="AG126" si="8803">IF(MarGlo1LevelCurrent&gt;=$B126,"-",IF(MarGlo1LevelDesired&lt;$B126,"-",$C126))</f>
        <v>-</v>
      </c>
      <c r="AH126" s="1" t="str">
        <f t="shared" ref="AH126" si="8804">IF(MarGlo1LevelCurrent&gt;=$B126,"-",IF(MarGlo1LevelDesired&lt;$B126,"-",$D126))</f>
        <v>-</v>
      </c>
      <c r="AI126" s="21" t="str">
        <f t="shared" ref="AI126" si="8805">IF(MarGlo1LevelCurrent&gt;=$B126,"-",IF(MarGlo1LevelDesired&lt;$B126,"-",$E126))</f>
        <v>-</v>
      </c>
      <c r="AJ126" s="15" t="str">
        <f t="shared" ref="AJ126" si="8806">IF(MarBel1LevelCurrent&gt;=$B126,"-",IF(MarBel1LevelDesired&lt;$B126,"-",$C126))</f>
        <v>-</v>
      </c>
      <c r="AK126" s="1" t="str">
        <f t="shared" ref="AK126" si="8807">IF(MarBel1LevelCurrent&gt;=$B126,"-",IF(MarBel1LevelDesired&lt;$B126,"-",$D126))</f>
        <v>-</v>
      </c>
      <c r="AL126" s="21" t="str">
        <f t="shared" ref="AL126" si="8808">IF(MarBel1LevelCurrent&gt;=$B126,"-",IF(MarBel1LevelDesired&lt;$B126,"-",$E126))</f>
        <v>-</v>
      </c>
      <c r="AM126" s="15" t="str">
        <f t="shared" ref="AM126" si="8809">IF(MarBoo1LevelCurrent&gt;=$B126,"-",IF(MarBoo1LevelDesired&lt;$B126,"-",$C126))</f>
        <v>-</v>
      </c>
      <c r="AN126" s="1" t="str">
        <f t="shared" ref="AN126" si="8810">IF(MarBoo1LevelCurrent&gt;=$B126,"-",IF(MarBoo1LevelDesired&lt;$B126,"-",$D126))</f>
        <v>-</v>
      </c>
      <c r="AO126" s="21" t="str">
        <f t="shared" ref="AO126" si="8811">IF(MarBoo1LevelCurrent&gt;=$B126,"-",IF(MarBoo1LevelDesired&lt;$B126,"-",$E126))</f>
        <v>-</v>
      </c>
      <c r="AP126" s="15" t="str">
        <f t="shared" ref="AP126" si="8812">IF(InfGog2LevelCurrent&gt;=$B126,"-",IF(InfGog2LevelDesired&lt;$B126,"-",$C126))</f>
        <v>-</v>
      </c>
      <c r="AQ126" s="1" t="str">
        <f t="shared" ref="AQ126" si="8813">IF(InfGog2LevelCurrent&gt;=$B126,"-",IF(InfGog2LevelDesired&lt;$B126,"-",$D126))</f>
        <v>-</v>
      </c>
      <c r="AR126" s="21" t="str">
        <f t="shared" ref="AR126" si="8814">IF(InfGog2LevelCurrent&gt;=$B126,"-",IF(InfGog2LevelDesired&lt;$B126,"-",$E126))</f>
        <v>-</v>
      </c>
      <c r="AS126" s="15" t="str">
        <f t="shared" ref="AS126" si="8815">IF(InfGlo2LevelCurrent&gt;=$B126,"-",IF(InfGlo2LevelDesired&lt;$B126,"-",$C126))</f>
        <v>-</v>
      </c>
      <c r="AT126" s="1" t="str">
        <f t="shared" ref="AT126" si="8816">IF(InfGlo2LevelCurrent&gt;=$B126,"-",IF(InfGlo2LevelDesired&lt;$B126,"-",$D126))</f>
        <v>-</v>
      </c>
      <c r="AU126" s="21" t="str">
        <f t="shared" ref="AU126" si="8817">IF(InfGlo2LevelCurrent&gt;=$B126,"-",IF(InfGlo2LevelDesired&lt;$B126,"-",$E126))</f>
        <v>-</v>
      </c>
      <c r="AV126" s="15" t="str">
        <f t="shared" ref="AV126" si="8818">IF(InfBel2LevelCurrent&gt;=$B126,"-",IF(InfBel2LevelDesired&lt;$B126,"-",$C126))</f>
        <v>-</v>
      </c>
      <c r="AW126" s="1" t="str">
        <f t="shared" ref="AW126" si="8819">IF(InfBel2LevelCurrent&gt;=$B126,"-",IF(InfBel2LevelDesired&lt;$B126,"-",$D126))</f>
        <v>-</v>
      </c>
      <c r="AX126" s="21" t="str">
        <f t="shared" ref="AX126" si="8820">IF(InfBel2LevelCurrent&gt;=$B126,"-",IF(InfBel2LevelDesired&lt;$B126,"-",$E126))</f>
        <v>-</v>
      </c>
      <c r="AY126" s="15" t="str">
        <f t="shared" ref="AY126" si="8821">IF(InfBoo2LevelCurrent&gt;=$B126,"-",IF(InfBoo2LevelDesired&lt;$B126,"-",$C126))</f>
        <v>-</v>
      </c>
      <c r="AZ126" s="1" t="str">
        <f t="shared" ref="AZ126" si="8822">IF(InfBoo2LevelCurrent&gt;=$B126,"-",IF(InfBoo2LevelDesired&lt;$B126,"-",$D126))</f>
        <v>-</v>
      </c>
      <c r="BA126" s="21" t="str">
        <f t="shared" ref="BA126" si="8823">IF(InfBoo2LevelCurrent&gt;=$B126,"-",IF(InfBoo2LevelDesired&lt;$B126,"-",$E126))</f>
        <v>-</v>
      </c>
      <c r="BB126" s="15" t="str">
        <f t="shared" ref="BB126" si="8824">IF(LanGog2LevelCurrent&gt;=$B126,"-",IF(LanGog2LevelDesired&lt;$B126,"-",$C126))</f>
        <v>-</v>
      </c>
      <c r="BC126" s="1" t="str">
        <f t="shared" ref="BC126" si="8825">IF(LanGog2LevelCurrent&gt;=$B126,"-",IF(LanGog2LevelDesired&lt;$B126,"-",$D126))</f>
        <v>-</v>
      </c>
      <c r="BD126" s="21" t="str">
        <f t="shared" ref="BD126" si="8826">IF(LanGog2LevelCurrent&gt;=$B126,"-",IF(LanGog2LevelDesired&lt;$B126,"-",$E126))</f>
        <v>-</v>
      </c>
      <c r="BE126" s="15" t="str">
        <f t="shared" ref="BE126" si="8827">IF(LanGlo2LevelCurrent&gt;=$B126,"-",IF(LanGlo2LevelDesired&lt;$B126,"-",$C126))</f>
        <v>-</v>
      </c>
      <c r="BF126" s="1" t="str">
        <f t="shared" ref="BF126" si="8828">IF(LanGlo2LevelCurrent&gt;=$B126,"-",IF(LanGlo2LevelDesired&lt;$B126,"-",$D126))</f>
        <v>-</v>
      </c>
      <c r="BG126" s="21" t="str">
        <f t="shared" ref="BG126" si="8829">IF(LanGlo2LevelCurrent&gt;=$B126,"-",IF(LanGlo2LevelDesired&lt;$B126,"-",$E126))</f>
        <v>-</v>
      </c>
      <c r="BH126" s="15" t="str">
        <f t="shared" ref="BH126" si="8830">IF(LanBel2LevelCurrent&gt;=$B126,"-",IF(LanBel2LevelDesired&lt;$B126,"-",$C126))</f>
        <v>-</v>
      </c>
      <c r="BI126" s="1" t="str">
        <f t="shared" ref="BI126" si="8831">IF(LanBel2LevelCurrent&gt;=$B126,"-",IF(LanBel2LevelDesired&lt;$B126,"-",$D126))</f>
        <v>-</v>
      </c>
      <c r="BJ126" s="21" t="str">
        <f t="shared" ref="BJ126" si="8832">IF(LanBel2LevelCurrent&gt;=$B126,"-",IF(LanBel2LevelDesired&lt;$B126,"-",$E126))</f>
        <v>-</v>
      </c>
      <c r="BK126" s="15" t="str">
        <f t="shared" ref="BK126" si="8833">IF(LanBoo2LevelCurrent&gt;=$B126,"-",IF(LanBoo2LevelDesired&lt;$B126,"-",$C126))</f>
        <v>-</v>
      </c>
      <c r="BL126" s="1" t="str">
        <f t="shared" ref="BL126" si="8834">IF(LanBoo2LevelCurrent&gt;=$B126,"-",IF(LanBoo2LevelDesired&lt;$B126,"-",$D126))</f>
        <v>-</v>
      </c>
      <c r="BM126" s="21" t="str">
        <f t="shared" ref="BM126" si="8835">IF(LanBoo2LevelCurrent&gt;=$B126,"-",IF(LanBoo2LevelDesired&lt;$B126,"-",$E126))</f>
        <v>-</v>
      </c>
      <c r="BN126" s="15" t="str">
        <f t="shared" ref="BN126" si="8836">IF(MarGog2LevelCurrent&gt;=$B126,"-",IF(MarGog2LevelDesired&lt;$B126,"-",$C126))</f>
        <v>-</v>
      </c>
      <c r="BO126" s="1" t="str">
        <f t="shared" ref="BO126" si="8837">IF(MarGog2LevelCurrent&gt;=$B126,"-",IF(MarGog2LevelDesired&lt;$B126,"-",$D126))</f>
        <v>-</v>
      </c>
      <c r="BP126" s="21" t="str">
        <f t="shared" ref="BP126" si="8838">IF(MarGog2LevelCurrent&gt;=$B126,"-",IF(MarGog2LevelDesired&lt;$B126,"-",$E126))</f>
        <v>-</v>
      </c>
      <c r="BQ126" s="15" t="str">
        <f t="shared" ref="BQ126" si="8839">IF(MarGlo2LevelCurrent&gt;=$B126,"-",IF(MarGlo2LevelDesired&lt;$B126,"-",$C126))</f>
        <v>-</v>
      </c>
      <c r="BR126" s="1" t="str">
        <f t="shared" ref="BR126" si="8840">IF(MarGlo2LevelCurrent&gt;=$B126,"-",IF(MarGlo2LevelDesired&lt;$B126,"-",$D126))</f>
        <v>-</v>
      </c>
      <c r="BS126" s="21" t="str">
        <f t="shared" ref="BS126" si="8841">IF(MarGlo2LevelCurrent&gt;=$B126,"-",IF(MarGlo2LevelDesired&lt;$B126,"-",$E126))</f>
        <v>-</v>
      </c>
      <c r="BT126" s="15" t="str">
        <f t="shared" ref="BT126" si="8842">IF(MarBel2LevelCurrent&gt;=$B126,"-",IF(MarBel2LevelDesired&lt;$B126,"-",$C126))</f>
        <v>-</v>
      </c>
      <c r="BU126" s="1" t="str">
        <f t="shared" ref="BU126" si="8843">IF(MarBel2LevelCurrent&gt;=$B126,"-",IF(MarBel2LevelDesired&lt;$B126,"-",$D126))</f>
        <v>-</v>
      </c>
      <c r="BV126" s="21" t="str">
        <f t="shared" ref="BV126" si="8844">IF(MarBel2LevelCurrent&gt;=$B126,"-",IF(MarBel2LevelDesired&lt;$B126,"-",$E126))</f>
        <v>-</v>
      </c>
      <c r="BW126" s="15" t="str">
        <f t="shared" ref="BW126" si="8845">IF(MarBoo2LevelCurrent&gt;=$B126,"-",IF(MarBoo2LevelDesired&lt;$B126,"-",$C126))</f>
        <v>-</v>
      </c>
      <c r="BX126" s="1" t="str">
        <f t="shared" ref="BX126" si="8846">IF(MarBoo2LevelCurrent&gt;=$B126,"-",IF(MarBoo2LevelDesired&lt;$B126,"-",$D126))</f>
        <v>-</v>
      </c>
      <c r="BY126" s="21" t="str">
        <f t="shared" ref="BY126" si="8847">IF(MarBoo2LevelCurrent&gt;=$B126,"-",IF(MarBoo2LevelDesired&lt;$B126,"-",$E126))</f>
        <v>-</v>
      </c>
      <c r="BZ126" s="15" t="str">
        <f t="shared" si="7086"/>
        <v>-</v>
      </c>
      <c r="CA126" s="1" t="str" cm="1">
        <f t="array" ref="CA126">IF(InfGog3LevelCurrent&gt;=$B126,"-",IF(InfGog3LevelDesired&lt;$B126,"-",$D126))</f>
        <v>-</v>
      </c>
      <c r="CB126" s="21" t="str" cm="1">
        <f t="array" ref="CB126">IF(InfGog3LevelCurrent&gt;=$B126,"-",IF(InfGog3LevelDesired&lt;$B126,"-",$E126))</f>
        <v>-</v>
      </c>
      <c r="CC126" s="15" t="str">
        <f t="shared" si="7087"/>
        <v>-</v>
      </c>
      <c r="CD126" s="1" t="str">
        <f t="shared" si="7088"/>
        <v>-</v>
      </c>
      <c r="CE126" s="21" t="str">
        <f t="shared" si="7089"/>
        <v>-</v>
      </c>
      <c r="CF126" s="15" t="str">
        <f t="shared" si="7090"/>
        <v>-</v>
      </c>
      <c r="CG126" s="1" t="str">
        <f t="shared" si="7091"/>
        <v>-</v>
      </c>
      <c r="CH126" s="21" t="str">
        <f t="shared" si="7092"/>
        <v>-</v>
      </c>
      <c r="CI126" s="15" t="str">
        <f t="shared" si="7093"/>
        <v>-</v>
      </c>
      <c r="CJ126" s="1" t="str">
        <f t="shared" si="7094"/>
        <v>-</v>
      </c>
      <c r="CK126" s="21" t="str">
        <f t="shared" si="7095"/>
        <v>-</v>
      </c>
      <c r="CL126" s="15" t="str">
        <f t="shared" si="7096"/>
        <v>-</v>
      </c>
      <c r="CM126" s="1" t="str">
        <f t="shared" si="7097"/>
        <v>-</v>
      </c>
      <c r="CN126" s="21" t="str">
        <f t="shared" si="7098"/>
        <v>-</v>
      </c>
      <c r="CO126" s="15" t="str">
        <f t="shared" si="7099"/>
        <v>-</v>
      </c>
      <c r="CP126" s="1" t="str">
        <f t="shared" si="7100"/>
        <v>-</v>
      </c>
      <c r="CQ126" s="21" t="str">
        <f t="shared" si="7101"/>
        <v>-</v>
      </c>
      <c r="CR126" s="15" t="str">
        <f t="shared" si="7102"/>
        <v>-</v>
      </c>
      <c r="CS126" s="1" t="str">
        <f t="shared" si="7103"/>
        <v>-</v>
      </c>
      <c r="CT126" s="21" t="str">
        <f t="shared" si="7104"/>
        <v>-</v>
      </c>
      <c r="CU126" s="15" t="str">
        <f t="shared" si="7105"/>
        <v>-</v>
      </c>
      <c r="CV126" s="1" t="str">
        <f t="shared" si="7106"/>
        <v>-</v>
      </c>
      <c r="CW126" s="21" t="str">
        <f t="shared" si="7107"/>
        <v>-</v>
      </c>
      <c r="CX126" s="15" t="str">
        <f t="shared" si="7108"/>
        <v>-</v>
      </c>
      <c r="CY126" s="1" t="str">
        <f t="shared" si="7109"/>
        <v>-</v>
      </c>
      <c r="CZ126" s="21" t="str">
        <f t="shared" si="7110"/>
        <v>-</v>
      </c>
      <c r="DA126" s="15" t="str">
        <f t="shared" si="7111"/>
        <v>-</v>
      </c>
      <c r="DB126" s="1" t="str">
        <f t="shared" si="7112"/>
        <v>-</v>
      </c>
      <c r="DC126" s="21" t="str">
        <f t="shared" si="7113"/>
        <v>-</v>
      </c>
      <c r="DD126" s="15" t="str">
        <f t="shared" si="7114"/>
        <v>-</v>
      </c>
      <c r="DE126" s="1" t="str">
        <f t="shared" si="7115"/>
        <v>-</v>
      </c>
      <c r="DF126" s="21" t="str">
        <f t="shared" si="7116"/>
        <v>-</v>
      </c>
      <c r="DG126" s="15" t="str">
        <f t="shared" si="7117"/>
        <v>-</v>
      </c>
      <c r="DH126" s="1" t="str">
        <f t="shared" si="7118"/>
        <v>-</v>
      </c>
      <c r="DI126" s="21" t="str">
        <f t="shared" si="7119"/>
        <v>-</v>
      </c>
    </row>
    <row r="127" spans="2:113" x14ac:dyDescent="0.3">
      <c r="B127" s="1">
        <v>122</v>
      </c>
      <c r="C127" s="67">
        <v>3550</v>
      </c>
      <c r="D127" s="88" t="s">
        <v>27</v>
      </c>
      <c r="E127" s="68" t="s">
        <v>27</v>
      </c>
      <c r="F127" s="15" t="str">
        <f t="shared" ref="F127" si="8848">IF(InfGog1LevelCurrent&gt;=$B127,"-",IF(InfGog1LevelDesired&lt;$B127,"-",$C127))</f>
        <v>-</v>
      </c>
      <c r="G127" s="1" t="str">
        <f t="shared" ref="G127" si="8849">IF(InfGog1LevelCurrent&gt;=$B127,"-",IF(InfGog1LevelDesired&lt;$B127,"-",$D127))</f>
        <v>-</v>
      </c>
      <c r="H127" s="21" t="str">
        <f t="shared" ref="H127" si="8850">IF(InfGog1LevelCurrent&gt;=$B127,"-",IF(InfGog1LevelDesired&lt;$B127,"-",$E127))</f>
        <v>-</v>
      </c>
      <c r="I127" s="15" t="str">
        <f t="shared" ref="I127" si="8851">IF(InfGlo1LevelCurrent&gt;=$B127,"-",IF(InfGlo1LevelDesired&lt;$B127,"-",$C127))</f>
        <v>-</v>
      </c>
      <c r="J127" s="1" t="str">
        <f t="shared" ref="J127" si="8852">IF(InfGlo1LevelCurrent&gt;=$B127,"-",IF(InfGlo1LevelDesired&lt;$B127,"-",$D127))</f>
        <v>-</v>
      </c>
      <c r="K127" s="21" t="str">
        <f t="shared" ref="K127" si="8853">IF(InfGlo1LevelCurrent&gt;=$B127,"-",IF(InfGlo1LevelDesired&lt;$B127,"-",$E127))</f>
        <v>-</v>
      </c>
      <c r="L127" s="15" t="str">
        <f t="shared" ref="L127" si="8854">IF(InfBel1LevelCurrent&gt;=$B127,"-",IF(InfBel1LevelDesired&lt;$B127,"-",$C127))</f>
        <v>-</v>
      </c>
      <c r="M127" s="1" t="str">
        <f t="shared" ref="M127" si="8855">IF(InfBel1LevelCurrent&gt;=$B127,"-",IF(InfBel1LevelDesired&lt;$B127,"-",$D127))</f>
        <v>-</v>
      </c>
      <c r="N127" s="21" t="str">
        <f t="shared" ref="N127" si="8856">IF(InfBel1LevelCurrent&gt;=$B127,"-",IF(InfBel1LevelDesired&lt;$B127,"-",$E127))</f>
        <v>-</v>
      </c>
      <c r="O127" s="15" t="str">
        <f t="shared" ref="O127" si="8857">IF(InfBoo1LevelCurrent&gt;=$B127,"-",IF(InfBoo1LevelDesired&lt;$B127,"-",$C127))</f>
        <v>-</v>
      </c>
      <c r="P127" s="1" t="str">
        <f t="shared" ref="P127" si="8858">IF(InfBoo1LevelCurrent&gt;=$B127,"-",IF(InfBoo1LevelDesired&lt;$B127,"-",$D127))</f>
        <v>-</v>
      </c>
      <c r="Q127" s="21" t="str">
        <f t="shared" ref="Q127" si="8859">IF(InfBoo1LevelCurrent&gt;=$B127,"-",IF(InfBoo1LevelDesired&lt;$B127,"-",$E127))</f>
        <v>-</v>
      </c>
      <c r="R127" s="15" t="str">
        <f t="shared" ref="R127" si="8860">IF(LanGog1LevelCurrent&gt;=$B127,"-",IF(LanGog1LevelDesired&lt;$B127,"-",$C127))</f>
        <v>-</v>
      </c>
      <c r="S127" s="1" t="str">
        <f t="shared" ref="S127" si="8861">IF(LanGog1LevelCurrent&gt;=$B127,"-",IF(LanGog1LevelDesired&lt;$B127,"-",$D127))</f>
        <v>-</v>
      </c>
      <c r="T127" s="21" t="str">
        <f t="shared" ref="T127" si="8862">IF(LanGog1LevelCurrent&gt;=$B127,"-",IF(LanGog1LevelDesired&lt;$B127,"-",$E127))</f>
        <v>-</v>
      </c>
      <c r="U127" s="15" t="str">
        <f t="shared" ref="U127" si="8863">IF(LanGlo1LevelCurrent&gt;=$B127,"-",IF(LanGlo1LevelDesired&lt;$B127,"-",$C127))</f>
        <v>-</v>
      </c>
      <c r="V127" s="1" t="str">
        <f t="shared" ref="V127" si="8864">IF(LanGlo1LevelCurrent&gt;=$B127,"-",IF(LanGlo1LevelDesired&lt;$B127,"-",$D127))</f>
        <v>-</v>
      </c>
      <c r="W127" s="21" t="str">
        <f t="shared" ref="W127" si="8865">IF(LanGlo1LevelCurrent&gt;=$B127,"-",IF(LanGlo1LevelDesired&lt;$B127,"-",$E127))</f>
        <v>-</v>
      </c>
      <c r="X127" s="15" t="str">
        <f t="shared" ref="X127" si="8866">IF(LanBel1LevelCurrent&gt;=$B127,"-",IF(LanBel1LevelDesired&lt;$B127,"-",$C127))</f>
        <v>-</v>
      </c>
      <c r="Y127" s="1" t="str">
        <f t="shared" ref="Y127" si="8867">IF(LanBel1LevelCurrent&gt;=$B127,"-",IF(LanBel1LevelDesired&lt;$B127,"-",$D127))</f>
        <v>-</v>
      </c>
      <c r="Z127" s="21" t="str">
        <f t="shared" ref="Z127" si="8868">IF(LanBel1LevelCurrent&gt;=$B127,"-",IF(LanBel1LevelDesired&lt;$B127,"-",$E127))</f>
        <v>-</v>
      </c>
      <c r="AA127" s="15" t="str">
        <f t="shared" ref="AA127" si="8869">IF(LanBoo1LevelCurrent&gt;=$B127,"-",IF(LanBoo1LevelDesired&lt;$B127,"-",$C127))</f>
        <v>-</v>
      </c>
      <c r="AB127" s="1" t="str">
        <f t="shared" ref="AB127" si="8870">IF(LanBoo1LevelCurrent&gt;=$B127,"-",IF(LanBoo1LevelDesired&lt;$B127,"-",$D127))</f>
        <v>-</v>
      </c>
      <c r="AC127" s="21" t="str">
        <f t="shared" ref="AC127" si="8871">IF(LanBoo1LevelCurrent&gt;=$B127,"-",IF(LanBoo1LevelDesired&lt;$B127,"-",$E127))</f>
        <v>-</v>
      </c>
      <c r="AD127" s="15" t="str">
        <f t="shared" ref="AD127" si="8872">IF(MarGog1LevelCurrent&gt;=$B127,"-",IF(MarGog1LevelDesired&lt;$B127,"-",$C127))</f>
        <v>-</v>
      </c>
      <c r="AE127" s="1" t="str">
        <f t="shared" ref="AE127" si="8873">IF(MarGog1LevelCurrent&gt;=$B127,"-",IF(MarGog1LevelDesired&lt;$B127,"-",$D127))</f>
        <v>-</v>
      </c>
      <c r="AF127" s="21" t="str">
        <f t="shared" ref="AF127" si="8874">IF(MarGog1LevelCurrent&gt;=$B127,"-",IF(MarGog1LevelDesired&lt;$B127,"-",$E127))</f>
        <v>-</v>
      </c>
      <c r="AG127" s="15" t="str">
        <f t="shared" ref="AG127" si="8875">IF(MarGlo1LevelCurrent&gt;=$B127,"-",IF(MarGlo1LevelDesired&lt;$B127,"-",$C127))</f>
        <v>-</v>
      </c>
      <c r="AH127" s="1" t="str">
        <f t="shared" ref="AH127" si="8876">IF(MarGlo1LevelCurrent&gt;=$B127,"-",IF(MarGlo1LevelDesired&lt;$B127,"-",$D127))</f>
        <v>-</v>
      </c>
      <c r="AI127" s="21" t="str">
        <f t="shared" ref="AI127" si="8877">IF(MarGlo1LevelCurrent&gt;=$B127,"-",IF(MarGlo1LevelDesired&lt;$B127,"-",$E127))</f>
        <v>-</v>
      </c>
      <c r="AJ127" s="15" t="str">
        <f t="shared" ref="AJ127" si="8878">IF(MarBel1LevelCurrent&gt;=$B127,"-",IF(MarBel1LevelDesired&lt;$B127,"-",$C127))</f>
        <v>-</v>
      </c>
      <c r="AK127" s="1" t="str">
        <f t="shared" ref="AK127" si="8879">IF(MarBel1LevelCurrent&gt;=$B127,"-",IF(MarBel1LevelDesired&lt;$B127,"-",$D127))</f>
        <v>-</v>
      </c>
      <c r="AL127" s="21" t="str">
        <f t="shared" ref="AL127" si="8880">IF(MarBel1LevelCurrent&gt;=$B127,"-",IF(MarBel1LevelDesired&lt;$B127,"-",$E127))</f>
        <v>-</v>
      </c>
      <c r="AM127" s="15" t="str">
        <f t="shared" ref="AM127" si="8881">IF(MarBoo1LevelCurrent&gt;=$B127,"-",IF(MarBoo1LevelDesired&lt;$B127,"-",$C127))</f>
        <v>-</v>
      </c>
      <c r="AN127" s="1" t="str">
        <f t="shared" ref="AN127" si="8882">IF(MarBoo1LevelCurrent&gt;=$B127,"-",IF(MarBoo1LevelDesired&lt;$B127,"-",$D127))</f>
        <v>-</v>
      </c>
      <c r="AO127" s="21" t="str">
        <f t="shared" ref="AO127" si="8883">IF(MarBoo1LevelCurrent&gt;=$B127,"-",IF(MarBoo1LevelDesired&lt;$B127,"-",$E127))</f>
        <v>-</v>
      </c>
      <c r="AP127" s="15" t="str">
        <f t="shared" ref="AP127" si="8884">IF(InfGog2LevelCurrent&gt;=$B127,"-",IF(InfGog2LevelDesired&lt;$B127,"-",$C127))</f>
        <v>-</v>
      </c>
      <c r="AQ127" s="1" t="str">
        <f t="shared" ref="AQ127" si="8885">IF(InfGog2LevelCurrent&gt;=$B127,"-",IF(InfGog2LevelDesired&lt;$B127,"-",$D127))</f>
        <v>-</v>
      </c>
      <c r="AR127" s="21" t="str">
        <f t="shared" ref="AR127" si="8886">IF(InfGog2LevelCurrent&gt;=$B127,"-",IF(InfGog2LevelDesired&lt;$B127,"-",$E127))</f>
        <v>-</v>
      </c>
      <c r="AS127" s="15" t="str">
        <f t="shared" ref="AS127" si="8887">IF(InfGlo2LevelCurrent&gt;=$B127,"-",IF(InfGlo2LevelDesired&lt;$B127,"-",$C127))</f>
        <v>-</v>
      </c>
      <c r="AT127" s="1" t="str">
        <f t="shared" ref="AT127" si="8888">IF(InfGlo2LevelCurrent&gt;=$B127,"-",IF(InfGlo2LevelDesired&lt;$B127,"-",$D127))</f>
        <v>-</v>
      </c>
      <c r="AU127" s="21" t="str">
        <f t="shared" ref="AU127" si="8889">IF(InfGlo2LevelCurrent&gt;=$B127,"-",IF(InfGlo2LevelDesired&lt;$B127,"-",$E127))</f>
        <v>-</v>
      </c>
      <c r="AV127" s="15" t="str">
        <f t="shared" ref="AV127" si="8890">IF(InfBel2LevelCurrent&gt;=$B127,"-",IF(InfBel2LevelDesired&lt;$B127,"-",$C127))</f>
        <v>-</v>
      </c>
      <c r="AW127" s="1" t="str">
        <f t="shared" ref="AW127" si="8891">IF(InfBel2LevelCurrent&gt;=$B127,"-",IF(InfBel2LevelDesired&lt;$B127,"-",$D127))</f>
        <v>-</v>
      </c>
      <c r="AX127" s="21" t="str">
        <f t="shared" ref="AX127" si="8892">IF(InfBel2LevelCurrent&gt;=$B127,"-",IF(InfBel2LevelDesired&lt;$B127,"-",$E127))</f>
        <v>-</v>
      </c>
      <c r="AY127" s="15" t="str">
        <f t="shared" ref="AY127" si="8893">IF(InfBoo2LevelCurrent&gt;=$B127,"-",IF(InfBoo2LevelDesired&lt;$B127,"-",$C127))</f>
        <v>-</v>
      </c>
      <c r="AZ127" s="1" t="str">
        <f t="shared" ref="AZ127" si="8894">IF(InfBoo2LevelCurrent&gt;=$B127,"-",IF(InfBoo2LevelDesired&lt;$B127,"-",$D127))</f>
        <v>-</v>
      </c>
      <c r="BA127" s="21" t="str">
        <f t="shared" ref="BA127" si="8895">IF(InfBoo2LevelCurrent&gt;=$B127,"-",IF(InfBoo2LevelDesired&lt;$B127,"-",$E127))</f>
        <v>-</v>
      </c>
      <c r="BB127" s="15" t="str">
        <f t="shared" ref="BB127" si="8896">IF(LanGog2LevelCurrent&gt;=$B127,"-",IF(LanGog2LevelDesired&lt;$B127,"-",$C127))</f>
        <v>-</v>
      </c>
      <c r="BC127" s="1" t="str">
        <f t="shared" ref="BC127" si="8897">IF(LanGog2LevelCurrent&gt;=$B127,"-",IF(LanGog2LevelDesired&lt;$B127,"-",$D127))</f>
        <v>-</v>
      </c>
      <c r="BD127" s="21" t="str">
        <f t="shared" ref="BD127" si="8898">IF(LanGog2LevelCurrent&gt;=$B127,"-",IF(LanGog2LevelDesired&lt;$B127,"-",$E127))</f>
        <v>-</v>
      </c>
      <c r="BE127" s="15" t="str">
        <f t="shared" ref="BE127" si="8899">IF(LanGlo2LevelCurrent&gt;=$B127,"-",IF(LanGlo2LevelDesired&lt;$B127,"-",$C127))</f>
        <v>-</v>
      </c>
      <c r="BF127" s="1" t="str">
        <f t="shared" ref="BF127" si="8900">IF(LanGlo2LevelCurrent&gt;=$B127,"-",IF(LanGlo2LevelDesired&lt;$B127,"-",$D127))</f>
        <v>-</v>
      </c>
      <c r="BG127" s="21" t="str">
        <f t="shared" ref="BG127" si="8901">IF(LanGlo2LevelCurrent&gt;=$B127,"-",IF(LanGlo2LevelDesired&lt;$B127,"-",$E127))</f>
        <v>-</v>
      </c>
      <c r="BH127" s="15" t="str">
        <f t="shared" ref="BH127" si="8902">IF(LanBel2LevelCurrent&gt;=$B127,"-",IF(LanBel2LevelDesired&lt;$B127,"-",$C127))</f>
        <v>-</v>
      </c>
      <c r="BI127" s="1" t="str">
        <f t="shared" ref="BI127" si="8903">IF(LanBel2LevelCurrent&gt;=$B127,"-",IF(LanBel2LevelDesired&lt;$B127,"-",$D127))</f>
        <v>-</v>
      </c>
      <c r="BJ127" s="21" t="str">
        <f t="shared" ref="BJ127" si="8904">IF(LanBel2LevelCurrent&gt;=$B127,"-",IF(LanBel2LevelDesired&lt;$B127,"-",$E127))</f>
        <v>-</v>
      </c>
      <c r="BK127" s="15" t="str">
        <f t="shared" ref="BK127" si="8905">IF(LanBoo2LevelCurrent&gt;=$B127,"-",IF(LanBoo2LevelDesired&lt;$B127,"-",$C127))</f>
        <v>-</v>
      </c>
      <c r="BL127" s="1" t="str">
        <f t="shared" ref="BL127" si="8906">IF(LanBoo2LevelCurrent&gt;=$B127,"-",IF(LanBoo2LevelDesired&lt;$B127,"-",$D127))</f>
        <v>-</v>
      </c>
      <c r="BM127" s="21" t="str">
        <f t="shared" ref="BM127" si="8907">IF(LanBoo2LevelCurrent&gt;=$B127,"-",IF(LanBoo2LevelDesired&lt;$B127,"-",$E127))</f>
        <v>-</v>
      </c>
      <c r="BN127" s="15" t="str">
        <f t="shared" ref="BN127" si="8908">IF(MarGog2LevelCurrent&gt;=$B127,"-",IF(MarGog2LevelDesired&lt;$B127,"-",$C127))</f>
        <v>-</v>
      </c>
      <c r="BO127" s="1" t="str">
        <f t="shared" ref="BO127" si="8909">IF(MarGog2LevelCurrent&gt;=$B127,"-",IF(MarGog2LevelDesired&lt;$B127,"-",$D127))</f>
        <v>-</v>
      </c>
      <c r="BP127" s="21" t="str">
        <f t="shared" ref="BP127" si="8910">IF(MarGog2LevelCurrent&gt;=$B127,"-",IF(MarGog2LevelDesired&lt;$B127,"-",$E127))</f>
        <v>-</v>
      </c>
      <c r="BQ127" s="15" t="str">
        <f t="shared" ref="BQ127" si="8911">IF(MarGlo2LevelCurrent&gt;=$B127,"-",IF(MarGlo2LevelDesired&lt;$B127,"-",$C127))</f>
        <v>-</v>
      </c>
      <c r="BR127" s="1" t="str">
        <f t="shared" ref="BR127" si="8912">IF(MarGlo2LevelCurrent&gt;=$B127,"-",IF(MarGlo2LevelDesired&lt;$B127,"-",$D127))</f>
        <v>-</v>
      </c>
      <c r="BS127" s="21" t="str">
        <f t="shared" ref="BS127" si="8913">IF(MarGlo2LevelCurrent&gt;=$B127,"-",IF(MarGlo2LevelDesired&lt;$B127,"-",$E127))</f>
        <v>-</v>
      </c>
      <c r="BT127" s="15" t="str">
        <f t="shared" ref="BT127" si="8914">IF(MarBel2LevelCurrent&gt;=$B127,"-",IF(MarBel2LevelDesired&lt;$B127,"-",$C127))</f>
        <v>-</v>
      </c>
      <c r="BU127" s="1" t="str">
        <f t="shared" ref="BU127" si="8915">IF(MarBel2LevelCurrent&gt;=$B127,"-",IF(MarBel2LevelDesired&lt;$B127,"-",$D127))</f>
        <v>-</v>
      </c>
      <c r="BV127" s="21" t="str">
        <f t="shared" ref="BV127" si="8916">IF(MarBel2LevelCurrent&gt;=$B127,"-",IF(MarBel2LevelDesired&lt;$B127,"-",$E127))</f>
        <v>-</v>
      </c>
      <c r="BW127" s="15" t="str">
        <f t="shared" ref="BW127" si="8917">IF(MarBoo2LevelCurrent&gt;=$B127,"-",IF(MarBoo2LevelDesired&lt;$B127,"-",$C127))</f>
        <v>-</v>
      </c>
      <c r="BX127" s="1" t="str">
        <f t="shared" ref="BX127" si="8918">IF(MarBoo2LevelCurrent&gt;=$B127,"-",IF(MarBoo2LevelDesired&lt;$B127,"-",$D127))</f>
        <v>-</v>
      </c>
      <c r="BY127" s="21" t="str">
        <f t="shared" ref="BY127" si="8919">IF(MarBoo2LevelCurrent&gt;=$B127,"-",IF(MarBoo2LevelDesired&lt;$B127,"-",$E127))</f>
        <v>-</v>
      </c>
      <c r="BZ127" s="15" t="str">
        <f t="shared" si="7086"/>
        <v>-</v>
      </c>
      <c r="CA127" s="1" t="str" cm="1">
        <f t="array" ref="CA127">IF(InfGog3LevelCurrent&gt;=$B127,"-",IF(InfGog3LevelDesired&lt;$B127,"-",$D127))</f>
        <v>-</v>
      </c>
      <c r="CB127" s="21" t="str" cm="1">
        <f t="array" ref="CB127">IF(InfGog3LevelCurrent&gt;=$B127,"-",IF(InfGog3LevelDesired&lt;$B127,"-",$E127))</f>
        <v>-</v>
      </c>
      <c r="CC127" s="15" t="str">
        <f t="shared" si="7087"/>
        <v>-</v>
      </c>
      <c r="CD127" s="1" t="str">
        <f t="shared" si="7088"/>
        <v>-</v>
      </c>
      <c r="CE127" s="21" t="str">
        <f t="shared" si="7089"/>
        <v>-</v>
      </c>
      <c r="CF127" s="15" t="str">
        <f t="shared" si="7090"/>
        <v>-</v>
      </c>
      <c r="CG127" s="1" t="str">
        <f t="shared" si="7091"/>
        <v>-</v>
      </c>
      <c r="CH127" s="21" t="str">
        <f t="shared" si="7092"/>
        <v>-</v>
      </c>
      <c r="CI127" s="15" t="str">
        <f t="shared" si="7093"/>
        <v>-</v>
      </c>
      <c r="CJ127" s="1" t="str">
        <f t="shared" si="7094"/>
        <v>-</v>
      </c>
      <c r="CK127" s="21" t="str">
        <f t="shared" si="7095"/>
        <v>-</v>
      </c>
      <c r="CL127" s="15" t="str">
        <f t="shared" si="7096"/>
        <v>-</v>
      </c>
      <c r="CM127" s="1" t="str">
        <f t="shared" si="7097"/>
        <v>-</v>
      </c>
      <c r="CN127" s="21" t="str">
        <f t="shared" si="7098"/>
        <v>-</v>
      </c>
      <c r="CO127" s="15" t="str">
        <f t="shared" si="7099"/>
        <v>-</v>
      </c>
      <c r="CP127" s="1" t="str">
        <f t="shared" si="7100"/>
        <v>-</v>
      </c>
      <c r="CQ127" s="21" t="str">
        <f t="shared" si="7101"/>
        <v>-</v>
      </c>
      <c r="CR127" s="15" t="str">
        <f t="shared" si="7102"/>
        <v>-</v>
      </c>
      <c r="CS127" s="1" t="str">
        <f t="shared" si="7103"/>
        <v>-</v>
      </c>
      <c r="CT127" s="21" t="str">
        <f t="shared" si="7104"/>
        <v>-</v>
      </c>
      <c r="CU127" s="15" t="str">
        <f t="shared" si="7105"/>
        <v>-</v>
      </c>
      <c r="CV127" s="1" t="str">
        <f t="shared" si="7106"/>
        <v>-</v>
      </c>
      <c r="CW127" s="21" t="str">
        <f t="shared" si="7107"/>
        <v>-</v>
      </c>
      <c r="CX127" s="15" t="str">
        <f t="shared" si="7108"/>
        <v>-</v>
      </c>
      <c r="CY127" s="1" t="str">
        <f t="shared" si="7109"/>
        <v>-</v>
      </c>
      <c r="CZ127" s="21" t="str">
        <f t="shared" si="7110"/>
        <v>-</v>
      </c>
      <c r="DA127" s="15" t="str">
        <f t="shared" si="7111"/>
        <v>-</v>
      </c>
      <c r="DB127" s="1" t="str">
        <f t="shared" si="7112"/>
        <v>-</v>
      </c>
      <c r="DC127" s="21" t="str">
        <f t="shared" si="7113"/>
        <v>-</v>
      </c>
      <c r="DD127" s="15" t="str">
        <f t="shared" si="7114"/>
        <v>-</v>
      </c>
      <c r="DE127" s="1" t="str">
        <f t="shared" si="7115"/>
        <v>-</v>
      </c>
      <c r="DF127" s="21" t="str">
        <f t="shared" si="7116"/>
        <v>-</v>
      </c>
      <c r="DG127" s="15" t="str">
        <f t="shared" si="7117"/>
        <v>-</v>
      </c>
      <c r="DH127" s="1" t="str">
        <f t="shared" si="7118"/>
        <v>-</v>
      </c>
      <c r="DI127" s="21" t="str">
        <f t="shared" si="7119"/>
        <v>-</v>
      </c>
    </row>
    <row r="128" spans="2:113" x14ac:dyDescent="0.3">
      <c r="B128" s="1">
        <v>123</v>
      </c>
      <c r="C128" s="67">
        <v>3600</v>
      </c>
      <c r="D128" s="88" t="s">
        <v>27</v>
      </c>
      <c r="E128" s="68" t="s">
        <v>27</v>
      </c>
      <c r="F128" s="15" t="str">
        <f t="shared" ref="F128" si="8920">IF(InfGog1LevelCurrent&gt;=$B128,"-",IF(InfGog1LevelDesired&lt;$B128,"-",$C128))</f>
        <v>-</v>
      </c>
      <c r="G128" s="1" t="str">
        <f t="shared" ref="G128" si="8921">IF(InfGog1LevelCurrent&gt;=$B128,"-",IF(InfGog1LevelDesired&lt;$B128,"-",$D128))</f>
        <v>-</v>
      </c>
      <c r="H128" s="21" t="str">
        <f t="shared" ref="H128" si="8922">IF(InfGog1LevelCurrent&gt;=$B128,"-",IF(InfGog1LevelDesired&lt;$B128,"-",$E128))</f>
        <v>-</v>
      </c>
      <c r="I128" s="15" t="str">
        <f t="shared" ref="I128" si="8923">IF(InfGlo1LevelCurrent&gt;=$B128,"-",IF(InfGlo1LevelDesired&lt;$B128,"-",$C128))</f>
        <v>-</v>
      </c>
      <c r="J128" s="1" t="str">
        <f t="shared" ref="J128" si="8924">IF(InfGlo1LevelCurrent&gt;=$B128,"-",IF(InfGlo1LevelDesired&lt;$B128,"-",$D128))</f>
        <v>-</v>
      </c>
      <c r="K128" s="21" t="str">
        <f t="shared" ref="K128" si="8925">IF(InfGlo1LevelCurrent&gt;=$B128,"-",IF(InfGlo1LevelDesired&lt;$B128,"-",$E128))</f>
        <v>-</v>
      </c>
      <c r="L128" s="15" t="str">
        <f t="shared" ref="L128" si="8926">IF(InfBel1LevelCurrent&gt;=$B128,"-",IF(InfBel1LevelDesired&lt;$B128,"-",$C128))</f>
        <v>-</v>
      </c>
      <c r="M128" s="1" t="str">
        <f t="shared" ref="M128" si="8927">IF(InfBel1LevelCurrent&gt;=$B128,"-",IF(InfBel1LevelDesired&lt;$B128,"-",$D128))</f>
        <v>-</v>
      </c>
      <c r="N128" s="21" t="str">
        <f t="shared" ref="N128" si="8928">IF(InfBel1LevelCurrent&gt;=$B128,"-",IF(InfBel1LevelDesired&lt;$B128,"-",$E128))</f>
        <v>-</v>
      </c>
      <c r="O128" s="15" t="str">
        <f t="shared" ref="O128" si="8929">IF(InfBoo1LevelCurrent&gt;=$B128,"-",IF(InfBoo1LevelDesired&lt;$B128,"-",$C128))</f>
        <v>-</v>
      </c>
      <c r="P128" s="1" t="str">
        <f t="shared" ref="P128" si="8930">IF(InfBoo1LevelCurrent&gt;=$B128,"-",IF(InfBoo1LevelDesired&lt;$B128,"-",$D128))</f>
        <v>-</v>
      </c>
      <c r="Q128" s="21" t="str">
        <f t="shared" ref="Q128" si="8931">IF(InfBoo1LevelCurrent&gt;=$B128,"-",IF(InfBoo1LevelDesired&lt;$B128,"-",$E128))</f>
        <v>-</v>
      </c>
      <c r="R128" s="15" t="str">
        <f t="shared" ref="R128" si="8932">IF(LanGog1LevelCurrent&gt;=$B128,"-",IF(LanGog1LevelDesired&lt;$B128,"-",$C128))</f>
        <v>-</v>
      </c>
      <c r="S128" s="1" t="str">
        <f t="shared" ref="S128" si="8933">IF(LanGog1LevelCurrent&gt;=$B128,"-",IF(LanGog1LevelDesired&lt;$B128,"-",$D128))</f>
        <v>-</v>
      </c>
      <c r="T128" s="21" t="str">
        <f t="shared" ref="T128" si="8934">IF(LanGog1LevelCurrent&gt;=$B128,"-",IF(LanGog1LevelDesired&lt;$B128,"-",$E128))</f>
        <v>-</v>
      </c>
      <c r="U128" s="15" t="str">
        <f t="shared" ref="U128" si="8935">IF(LanGlo1LevelCurrent&gt;=$B128,"-",IF(LanGlo1LevelDesired&lt;$B128,"-",$C128))</f>
        <v>-</v>
      </c>
      <c r="V128" s="1" t="str">
        <f t="shared" ref="V128" si="8936">IF(LanGlo1LevelCurrent&gt;=$B128,"-",IF(LanGlo1LevelDesired&lt;$B128,"-",$D128))</f>
        <v>-</v>
      </c>
      <c r="W128" s="21" t="str">
        <f t="shared" ref="W128" si="8937">IF(LanGlo1LevelCurrent&gt;=$B128,"-",IF(LanGlo1LevelDesired&lt;$B128,"-",$E128))</f>
        <v>-</v>
      </c>
      <c r="X128" s="15" t="str">
        <f t="shared" ref="X128" si="8938">IF(LanBel1LevelCurrent&gt;=$B128,"-",IF(LanBel1LevelDesired&lt;$B128,"-",$C128))</f>
        <v>-</v>
      </c>
      <c r="Y128" s="1" t="str">
        <f t="shared" ref="Y128" si="8939">IF(LanBel1LevelCurrent&gt;=$B128,"-",IF(LanBel1LevelDesired&lt;$B128,"-",$D128))</f>
        <v>-</v>
      </c>
      <c r="Z128" s="21" t="str">
        <f t="shared" ref="Z128" si="8940">IF(LanBel1LevelCurrent&gt;=$B128,"-",IF(LanBel1LevelDesired&lt;$B128,"-",$E128))</f>
        <v>-</v>
      </c>
      <c r="AA128" s="15" t="str">
        <f t="shared" ref="AA128" si="8941">IF(LanBoo1LevelCurrent&gt;=$B128,"-",IF(LanBoo1LevelDesired&lt;$B128,"-",$C128))</f>
        <v>-</v>
      </c>
      <c r="AB128" s="1" t="str">
        <f t="shared" ref="AB128" si="8942">IF(LanBoo1LevelCurrent&gt;=$B128,"-",IF(LanBoo1LevelDesired&lt;$B128,"-",$D128))</f>
        <v>-</v>
      </c>
      <c r="AC128" s="21" t="str">
        <f t="shared" ref="AC128" si="8943">IF(LanBoo1LevelCurrent&gt;=$B128,"-",IF(LanBoo1LevelDesired&lt;$B128,"-",$E128))</f>
        <v>-</v>
      </c>
      <c r="AD128" s="15" t="str">
        <f t="shared" ref="AD128" si="8944">IF(MarGog1LevelCurrent&gt;=$B128,"-",IF(MarGog1LevelDesired&lt;$B128,"-",$C128))</f>
        <v>-</v>
      </c>
      <c r="AE128" s="1" t="str">
        <f t="shared" ref="AE128" si="8945">IF(MarGog1LevelCurrent&gt;=$B128,"-",IF(MarGog1LevelDesired&lt;$B128,"-",$D128))</f>
        <v>-</v>
      </c>
      <c r="AF128" s="21" t="str">
        <f t="shared" ref="AF128" si="8946">IF(MarGog1LevelCurrent&gt;=$B128,"-",IF(MarGog1LevelDesired&lt;$B128,"-",$E128))</f>
        <v>-</v>
      </c>
      <c r="AG128" s="15" t="str">
        <f t="shared" ref="AG128" si="8947">IF(MarGlo1LevelCurrent&gt;=$B128,"-",IF(MarGlo1LevelDesired&lt;$B128,"-",$C128))</f>
        <v>-</v>
      </c>
      <c r="AH128" s="1" t="str">
        <f t="shared" ref="AH128" si="8948">IF(MarGlo1LevelCurrent&gt;=$B128,"-",IF(MarGlo1LevelDesired&lt;$B128,"-",$D128))</f>
        <v>-</v>
      </c>
      <c r="AI128" s="21" t="str">
        <f t="shared" ref="AI128" si="8949">IF(MarGlo1LevelCurrent&gt;=$B128,"-",IF(MarGlo1LevelDesired&lt;$B128,"-",$E128))</f>
        <v>-</v>
      </c>
      <c r="AJ128" s="15" t="str">
        <f t="shared" ref="AJ128" si="8950">IF(MarBel1LevelCurrent&gt;=$B128,"-",IF(MarBel1LevelDesired&lt;$B128,"-",$C128))</f>
        <v>-</v>
      </c>
      <c r="AK128" s="1" t="str">
        <f t="shared" ref="AK128" si="8951">IF(MarBel1LevelCurrent&gt;=$B128,"-",IF(MarBel1LevelDesired&lt;$B128,"-",$D128))</f>
        <v>-</v>
      </c>
      <c r="AL128" s="21" t="str">
        <f t="shared" ref="AL128" si="8952">IF(MarBel1LevelCurrent&gt;=$B128,"-",IF(MarBel1LevelDesired&lt;$B128,"-",$E128))</f>
        <v>-</v>
      </c>
      <c r="AM128" s="15" t="str">
        <f t="shared" ref="AM128" si="8953">IF(MarBoo1LevelCurrent&gt;=$B128,"-",IF(MarBoo1LevelDesired&lt;$B128,"-",$C128))</f>
        <v>-</v>
      </c>
      <c r="AN128" s="1" t="str">
        <f t="shared" ref="AN128" si="8954">IF(MarBoo1LevelCurrent&gt;=$B128,"-",IF(MarBoo1LevelDesired&lt;$B128,"-",$D128))</f>
        <v>-</v>
      </c>
      <c r="AO128" s="21" t="str">
        <f t="shared" ref="AO128" si="8955">IF(MarBoo1LevelCurrent&gt;=$B128,"-",IF(MarBoo1LevelDesired&lt;$B128,"-",$E128))</f>
        <v>-</v>
      </c>
      <c r="AP128" s="15" t="str">
        <f t="shared" ref="AP128" si="8956">IF(InfGog2LevelCurrent&gt;=$B128,"-",IF(InfGog2LevelDesired&lt;$B128,"-",$C128))</f>
        <v>-</v>
      </c>
      <c r="AQ128" s="1" t="str">
        <f t="shared" ref="AQ128" si="8957">IF(InfGog2LevelCurrent&gt;=$B128,"-",IF(InfGog2LevelDesired&lt;$B128,"-",$D128))</f>
        <v>-</v>
      </c>
      <c r="AR128" s="21" t="str">
        <f t="shared" ref="AR128" si="8958">IF(InfGog2LevelCurrent&gt;=$B128,"-",IF(InfGog2LevelDesired&lt;$B128,"-",$E128))</f>
        <v>-</v>
      </c>
      <c r="AS128" s="15" t="str">
        <f t="shared" ref="AS128" si="8959">IF(InfGlo2LevelCurrent&gt;=$B128,"-",IF(InfGlo2LevelDesired&lt;$B128,"-",$C128))</f>
        <v>-</v>
      </c>
      <c r="AT128" s="1" t="str">
        <f t="shared" ref="AT128" si="8960">IF(InfGlo2LevelCurrent&gt;=$B128,"-",IF(InfGlo2LevelDesired&lt;$B128,"-",$D128))</f>
        <v>-</v>
      </c>
      <c r="AU128" s="21" t="str">
        <f t="shared" ref="AU128" si="8961">IF(InfGlo2LevelCurrent&gt;=$B128,"-",IF(InfGlo2LevelDesired&lt;$B128,"-",$E128))</f>
        <v>-</v>
      </c>
      <c r="AV128" s="15" t="str">
        <f t="shared" ref="AV128" si="8962">IF(InfBel2LevelCurrent&gt;=$B128,"-",IF(InfBel2LevelDesired&lt;$B128,"-",$C128))</f>
        <v>-</v>
      </c>
      <c r="AW128" s="1" t="str">
        <f t="shared" ref="AW128" si="8963">IF(InfBel2LevelCurrent&gt;=$B128,"-",IF(InfBel2LevelDesired&lt;$B128,"-",$D128))</f>
        <v>-</v>
      </c>
      <c r="AX128" s="21" t="str">
        <f t="shared" ref="AX128" si="8964">IF(InfBel2LevelCurrent&gt;=$B128,"-",IF(InfBel2LevelDesired&lt;$B128,"-",$E128))</f>
        <v>-</v>
      </c>
      <c r="AY128" s="15" t="str">
        <f t="shared" ref="AY128" si="8965">IF(InfBoo2LevelCurrent&gt;=$B128,"-",IF(InfBoo2LevelDesired&lt;$B128,"-",$C128))</f>
        <v>-</v>
      </c>
      <c r="AZ128" s="1" t="str">
        <f t="shared" ref="AZ128" si="8966">IF(InfBoo2LevelCurrent&gt;=$B128,"-",IF(InfBoo2LevelDesired&lt;$B128,"-",$D128))</f>
        <v>-</v>
      </c>
      <c r="BA128" s="21" t="str">
        <f t="shared" ref="BA128" si="8967">IF(InfBoo2LevelCurrent&gt;=$B128,"-",IF(InfBoo2LevelDesired&lt;$B128,"-",$E128))</f>
        <v>-</v>
      </c>
      <c r="BB128" s="15" t="str">
        <f t="shared" ref="BB128" si="8968">IF(LanGog2LevelCurrent&gt;=$B128,"-",IF(LanGog2LevelDesired&lt;$B128,"-",$C128))</f>
        <v>-</v>
      </c>
      <c r="BC128" s="1" t="str">
        <f t="shared" ref="BC128" si="8969">IF(LanGog2LevelCurrent&gt;=$B128,"-",IF(LanGog2LevelDesired&lt;$B128,"-",$D128))</f>
        <v>-</v>
      </c>
      <c r="BD128" s="21" t="str">
        <f t="shared" ref="BD128" si="8970">IF(LanGog2LevelCurrent&gt;=$B128,"-",IF(LanGog2LevelDesired&lt;$B128,"-",$E128))</f>
        <v>-</v>
      </c>
      <c r="BE128" s="15" t="str">
        <f t="shared" ref="BE128" si="8971">IF(LanGlo2LevelCurrent&gt;=$B128,"-",IF(LanGlo2LevelDesired&lt;$B128,"-",$C128))</f>
        <v>-</v>
      </c>
      <c r="BF128" s="1" t="str">
        <f t="shared" ref="BF128" si="8972">IF(LanGlo2LevelCurrent&gt;=$B128,"-",IF(LanGlo2LevelDesired&lt;$B128,"-",$D128))</f>
        <v>-</v>
      </c>
      <c r="BG128" s="21" t="str">
        <f t="shared" ref="BG128" si="8973">IF(LanGlo2LevelCurrent&gt;=$B128,"-",IF(LanGlo2LevelDesired&lt;$B128,"-",$E128))</f>
        <v>-</v>
      </c>
      <c r="BH128" s="15" t="str">
        <f t="shared" ref="BH128" si="8974">IF(LanBel2LevelCurrent&gt;=$B128,"-",IF(LanBel2LevelDesired&lt;$B128,"-",$C128))</f>
        <v>-</v>
      </c>
      <c r="BI128" s="1" t="str">
        <f t="shared" ref="BI128" si="8975">IF(LanBel2LevelCurrent&gt;=$B128,"-",IF(LanBel2LevelDesired&lt;$B128,"-",$D128))</f>
        <v>-</v>
      </c>
      <c r="BJ128" s="21" t="str">
        <f t="shared" ref="BJ128" si="8976">IF(LanBel2LevelCurrent&gt;=$B128,"-",IF(LanBel2LevelDesired&lt;$B128,"-",$E128))</f>
        <v>-</v>
      </c>
      <c r="BK128" s="15" t="str">
        <f t="shared" ref="BK128" si="8977">IF(LanBoo2LevelCurrent&gt;=$B128,"-",IF(LanBoo2LevelDesired&lt;$B128,"-",$C128))</f>
        <v>-</v>
      </c>
      <c r="BL128" s="1" t="str">
        <f t="shared" ref="BL128" si="8978">IF(LanBoo2LevelCurrent&gt;=$B128,"-",IF(LanBoo2LevelDesired&lt;$B128,"-",$D128))</f>
        <v>-</v>
      </c>
      <c r="BM128" s="21" t="str">
        <f t="shared" ref="BM128" si="8979">IF(LanBoo2LevelCurrent&gt;=$B128,"-",IF(LanBoo2LevelDesired&lt;$B128,"-",$E128))</f>
        <v>-</v>
      </c>
      <c r="BN128" s="15" t="str">
        <f t="shared" ref="BN128" si="8980">IF(MarGog2LevelCurrent&gt;=$B128,"-",IF(MarGog2LevelDesired&lt;$B128,"-",$C128))</f>
        <v>-</v>
      </c>
      <c r="BO128" s="1" t="str">
        <f t="shared" ref="BO128" si="8981">IF(MarGog2LevelCurrent&gt;=$B128,"-",IF(MarGog2LevelDesired&lt;$B128,"-",$D128))</f>
        <v>-</v>
      </c>
      <c r="BP128" s="21" t="str">
        <f t="shared" ref="BP128" si="8982">IF(MarGog2LevelCurrent&gt;=$B128,"-",IF(MarGog2LevelDesired&lt;$B128,"-",$E128))</f>
        <v>-</v>
      </c>
      <c r="BQ128" s="15" t="str">
        <f t="shared" ref="BQ128" si="8983">IF(MarGlo2LevelCurrent&gt;=$B128,"-",IF(MarGlo2LevelDesired&lt;$B128,"-",$C128))</f>
        <v>-</v>
      </c>
      <c r="BR128" s="1" t="str">
        <f t="shared" ref="BR128" si="8984">IF(MarGlo2LevelCurrent&gt;=$B128,"-",IF(MarGlo2LevelDesired&lt;$B128,"-",$D128))</f>
        <v>-</v>
      </c>
      <c r="BS128" s="21" t="str">
        <f t="shared" ref="BS128" si="8985">IF(MarGlo2LevelCurrent&gt;=$B128,"-",IF(MarGlo2LevelDesired&lt;$B128,"-",$E128))</f>
        <v>-</v>
      </c>
      <c r="BT128" s="15" t="str">
        <f t="shared" ref="BT128" si="8986">IF(MarBel2LevelCurrent&gt;=$B128,"-",IF(MarBel2LevelDesired&lt;$B128,"-",$C128))</f>
        <v>-</v>
      </c>
      <c r="BU128" s="1" t="str">
        <f t="shared" ref="BU128" si="8987">IF(MarBel2LevelCurrent&gt;=$B128,"-",IF(MarBel2LevelDesired&lt;$B128,"-",$D128))</f>
        <v>-</v>
      </c>
      <c r="BV128" s="21" t="str">
        <f t="shared" ref="BV128" si="8988">IF(MarBel2LevelCurrent&gt;=$B128,"-",IF(MarBel2LevelDesired&lt;$B128,"-",$E128))</f>
        <v>-</v>
      </c>
      <c r="BW128" s="15" t="str">
        <f t="shared" ref="BW128" si="8989">IF(MarBoo2LevelCurrent&gt;=$B128,"-",IF(MarBoo2LevelDesired&lt;$B128,"-",$C128))</f>
        <v>-</v>
      </c>
      <c r="BX128" s="1" t="str">
        <f t="shared" ref="BX128" si="8990">IF(MarBoo2LevelCurrent&gt;=$B128,"-",IF(MarBoo2LevelDesired&lt;$B128,"-",$D128))</f>
        <v>-</v>
      </c>
      <c r="BY128" s="21" t="str">
        <f t="shared" ref="BY128" si="8991">IF(MarBoo2LevelCurrent&gt;=$B128,"-",IF(MarBoo2LevelDesired&lt;$B128,"-",$E128))</f>
        <v>-</v>
      </c>
      <c r="BZ128" s="15" t="str">
        <f t="shared" si="7086"/>
        <v>-</v>
      </c>
      <c r="CA128" s="1" t="str" cm="1">
        <f t="array" ref="CA128">IF(InfGog3LevelCurrent&gt;=$B128,"-",IF(InfGog3LevelDesired&lt;$B128,"-",$D128))</f>
        <v>-</v>
      </c>
      <c r="CB128" s="21" t="str" cm="1">
        <f t="array" ref="CB128">IF(InfGog3LevelCurrent&gt;=$B128,"-",IF(InfGog3LevelDesired&lt;$B128,"-",$E128))</f>
        <v>-</v>
      </c>
      <c r="CC128" s="15" t="str">
        <f t="shared" si="7087"/>
        <v>-</v>
      </c>
      <c r="CD128" s="1" t="str">
        <f t="shared" si="7088"/>
        <v>-</v>
      </c>
      <c r="CE128" s="21" t="str">
        <f t="shared" si="7089"/>
        <v>-</v>
      </c>
      <c r="CF128" s="15" t="str">
        <f t="shared" si="7090"/>
        <v>-</v>
      </c>
      <c r="CG128" s="1" t="str">
        <f t="shared" si="7091"/>
        <v>-</v>
      </c>
      <c r="CH128" s="21" t="str">
        <f t="shared" si="7092"/>
        <v>-</v>
      </c>
      <c r="CI128" s="15" t="str">
        <f t="shared" si="7093"/>
        <v>-</v>
      </c>
      <c r="CJ128" s="1" t="str">
        <f t="shared" si="7094"/>
        <v>-</v>
      </c>
      <c r="CK128" s="21" t="str">
        <f t="shared" si="7095"/>
        <v>-</v>
      </c>
      <c r="CL128" s="15" t="str">
        <f t="shared" si="7096"/>
        <v>-</v>
      </c>
      <c r="CM128" s="1" t="str">
        <f t="shared" si="7097"/>
        <v>-</v>
      </c>
      <c r="CN128" s="21" t="str">
        <f t="shared" si="7098"/>
        <v>-</v>
      </c>
      <c r="CO128" s="15" t="str">
        <f t="shared" si="7099"/>
        <v>-</v>
      </c>
      <c r="CP128" s="1" t="str">
        <f t="shared" si="7100"/>
        <v>-</v>
      </c>
      <c r="CQ128" s="21" t="str">
        <f t="shared" si="7101"/>
        <v>-</v>
      </c>
      <c r="CR128" s="15" t="str">
        <f t="shared" si="7102"/>
        <v>-</v>
      </c>
      <c r="CS128" s="1" t="str">
        <f t="shared" si="7103"/>
        <v>-</v>
      </c>
      <c r="CT128" s="21" t="str">
        <f t="shared" si="7104"/>
        <v>-</v>
      </c>
      <c r="CU128" s="15" t="str">
        <f t="shared" si="7105"/>
        <v>-</v>
      </c>
      <c r="CV128" s="1" t="str">
        <f t="shared" si="7106"/>
        <v>-</v>
      </c>
      <c r="CW128" s="21" t="str">
        <f t="shared" si="7107"/>
        <v>-</v>
      </c>
      <c r="CX128" s="15" t="str">
        <f t="shared" si="7108"/>
        <v>-</v>
      </c>
      <c r="CY128" s="1" t="str">
        <f t="shared" si="7109"/>
        <v>-</v>
      </c>
      <c r="CZ128" s="21" t="str">
        <f t="shared" si="7110"/>
        <v>-</v>
      </c>
      <c r="DA128" s="15" t="str">
        <f t="shared" si="7111"/>
        <v>-</v>
      </c>
      <c r="DB128" s="1" t="str">
        <f t="shared" si="7112"/>
        <v>-</v>
      </c>
      <c r="DC128" s="21" t="str">
        <f t="shared" si="7113"/>
        <v>-</v>
      </c>
      <c r="DD128" s="15" t="str">
        <f t="shared" si="7114"/>
        <v>-</v>
      </c>
      <c r="DE128" s="1" t="str">
        <f t="shared" si="7115"/>
        <v>-</v>
      </c>
      <c r="DF128" s="21" t="str">
        <f t="shared" si="7116"/>
        <v>-</v>
      </c>
      <c r="DG128" s="15" t="str">
        <f t="shared" si="7117"/>
        <v>-</v>
      </c>
      <c r="DH128" s="1" t="str">
        <f t="shared" si="7118"/>
        <v>-</v>
      </c>
      <c r="DI128" s="21" t="str">
        <f t="shared" si="7119"/>
        <v>-</v>
      </c>
    </row>
    <row r="129" spans="2:113" x14ac:dyDescent="0.3">
      <c r="B129" s="1">
        <v>124</v>
      </c>
      <c r="C129" s="67">
        <v>3650</v>
      </c>
      <c r="D129" s="88" t="s">
        <v>27</v>
      </c>
      <c r="E129" s="68" t="s">
        <v>27</v>
      </c>
      <c r="F129" s="15" t="str">
        <f t="shared" ref="F129" si="8992">IF(InfGog1LevelCurrent&gt;=$B129,"-",IF(InfGog1LevelDesired&lt;$B129,"-",$C129))</f>
        <v>-</v>
      </c>
      <c r="G129" s="1" t="str">
        <f t="shared" ref="G129" si="8993">IF(InfGog1LevelCurrent&gt;=$B129,"-",IF(InfGog1LevelDesired&lt;$B129,"-",$D129))</f>
        <v>-</v>
      </c>
      <c r="H129" s="21" t="str">
        <f t="shared" ref="H129" si="8994">IF(InfGog1LevelCurrent&gt;=$B129,"-",IF(InfGog1LevelDesired&lt;$B129,"-",$E129))</f>
        <v>-</v>
      </c>
      <c r="I129" s="15" t="str">
        <f t="shared" ref="I129" si="8995">IF(InfGlo1LevelCurrent&gt;=$B129,"-",IF(InfGlo1LevelDesired&lt;$B129,"-",$C129))</f>
        <v>-</v>
      </c>
      <c r="J129" s="1" t="str">
        <f t="shared" ref="J129" si="8996">IF(InfGlo1LevelCurrent&gt;=$B129,"-",IF(InfGlo1LevelDesired&lt;$B129,"-",$D129))</f>
        <v>-</v>
      </c>
      <c r="K129" s="21" t="str">
        <f t="shared" ref="K129" si="8997">IF(InfGlo1LevelCurrent&gt;=$B129,"-",IF(InfGlo1LevelDesired&lt;$B129,"-",$E129))</f>
        <v>-</v>
      </c>
      <c r="L129" s="15" t="str">
        <f t="shared" ref="L129" si="8998">IF(InfBel1LevelCurrent&gt;=$B129,"-",IF(InfBel1LevelDesired&lt;$B129,"-",$C129))</f>
        <v>-</v>
      </c>
      <c r="M129" s="1" t="str">
        <f t="shared" ref="M129" si="8999">IF(InfBel1LevelCurrent&gt;=$B129,"-",IF(InfBel1LevelDesired&lt;$B129,"-",$D129))</f>
        <v>-</v>
      </c>
      <c r="N129" s="21" t="str">
        <f t="shared" ref="N129" si="9000">IF(InfBel1LevelCurrent&gt;=$B129,"-",IF(InfBel1LevelDesired&lt;$B129,"-",$E129))</f>
        <v>-</v>
      </c>
      <c r="O129" s="15" t="str">
        <f t="shared" ref="O129" si="9001">IF(InfBoo1LevelCurrent&gt;=$B129,"-",IF(InfBoo1LevelDesired&lt;$B129,"-",$C129))</f>
        <v>-</v>
      </c>
      <c r="P129" s="1" t="str">
        <f t="shared" ref="P129" si="9002">IF(InfBoo1LevelCurrent&gt;=$B129,"-",IF(InfBoo1LevelDesired&lt;$B129,"-",$D129))</f>
        <v>-</v>
      </c>
      <c r="Q129" s="21" t="str">
        <f t="shared" ref="Q129" si="9003">IF(InfBoo1LevelCurrent&gt;=$B129,"-",IF(InfBoo1LevelDesired&lt;$B129,"-",$E129))</f>
        <v>-</v>
      </c>
      <c r="R129" s="15" t="str">
        <f t="shared" ref="R129" si="9004">IF(LanGog1LevelCurrent&gt;=$B129,"-",IF(LanGog1LevelDesired&lt;$B129,"-",$C129))</f>
        <v>-</v>
      </c>
      <c r="S129" s="1" t="str">
        <f t="shared" ref="S129" si="9005">IF(LanGog1LevelCurrent&gt;=$B129,"-",IF(LanGog1LevelDesired&lt;$B129,"-",$D129))</f>
        <v>-</v>
      </c>
      <c r="T129" s="21" t="str">
        <f t="shared" ref="T129" si="9006">IF(LanGog1LevelCurrent&gt;=$B129,"-",IF(LanGog1LevelDesired&lt;$B129,"-",$E129))</f>
        <v>-</v>
      </c>
      <c r="U129" s="15" t="str">
        <f t="shared" ref="U129" si="9007">IF(LanGlo1LevelCurrent&gt;=$B129,"-",IF(LanGlo1LevelDesired&lt;$B129,"-",$C129))</f>
        <v>-</v>
      </c>
      <c r="V129" s="1" t="str">
        <f t="shared" ref="V129" si="9008">IF(LanGlo1LevelCurrent&gt;=$B129,"-",IF(LanGlo1LevelDesired&lt;$B129,"-",$D129))</f>
        <v>-</v>
      </c>
      <c r="W129" s="21" t="str">
        <f t="shared" ref="W129" si="9009">IF(LanGlo1LevelCurrent&gt;=$B129,"-",IF(LanGlo1LevelDesired&lt;$B129,"-",$E129))</f>
        <v>-</v>
      </c>
      <c r="X129" s="15" t="str">
        <f t="shared" ref="X129" si="9010">IF(LanBel1LevelCurrent&gt;=$B129,"-",IF(LanBel1LevelDesired&lt;$B129,"-",$C129))</f>
        <v>-</v>
      </c>
      <c r="Y129" s="1" t="str">
        <f t="shared" ref="Y129" si="9011">IF(LanBel1LevelCurrent&gt;=$B129,"-",IF(LanBel1LevelDesired&lt;$B129,"-",$D129))</f>
        <v>-</v>
      </c>
      <c r="Z129" s="21" t="str">
        <f t="shared" ref="Z129" si="9012">IF(LanBel1LevelCurrent&gt;=$B129,"-",IF(LanBel1LevelDesired&lt;$B129,"-",$E129))</f>
        <v>-</v>
      </c>
      <c r="AA129" s="15" t="str">
        <f t="shared" ref="AA129" si="9013">IF(LanBoo1LevelCurrent&gt;=$B129,"-",IF(LanBoo1LevelDesired&lt;$B129,"-",$C129))</f>
        <v>-</v>
      </c>
      <c r="AB129" s="1" t="str">
        <f t="shared" ref="AB129" si="9014">IF(LanBoo1LevelCurrent&gt;=$B129,"-",IF(LanBoo1LevelDesired&lt;$B129,"-",$D129))</f>
        <v>-</v>
      </c>
      <c r="AC129" s="21" t="str">
        <f t="shared" ref="AC129" si="9015">IF(LanBoo1LevelCurrent&gt;=$B129,"-",IF(LanBoo1LevelDesired&lt;$B129,"-",$E129))</f>
        <v>-</v>
      </c>
      <c r="AD129" s="15" t="str">
        <f t="shared" ref="AD129" si="9016">IF(MarGog1LevelCurrent&gt;=$B129,"-",IF(MarGog1LevelDesired&lt;$B129,"-",$C129))</f>
        <v>-</v>
      </c>
      <c r="AE129" s="1" t="str">
        <f t="shared" ref="AE129" si="9017">IF(MarGog1LevelCurrent&gt;=$B129,"-",IF(MarGog1LevelDesired&lt;$B129,"-",$D129))</f>
        <v>-</v>
      </c>
      <c r="AF129" s="21" t="str">
        <f t="shared" ref="AF129" si="9018">IF(MarGog1LevelCurrent&gt;=$B129,"-",IF(MarGog1LevelDesired&lt;$B129,"-",$E129))</f>
        <v>-</v>
      </c>
      <c r="AG129" s="15" t="str">
        <f t="shared" ref="AG129" si="9019">IF(MarGlo1LevelCurrent&gt;=$B129,"-",IF(MarGlo1LevelDesired&lt;$B129,"-",$C129))</f>
        <v>-</v>
      </c>
      <c r="AH129" s="1" t="str">
        <f t="shared" ref="AH129" si="9020">IF(MarGlo1LevelCurrent&gt;=$B129,"-",IF(MarGlo1LevelDesired&lt;$B129,"-",$D129))</f>
        <v>-</v>
      </c>
      <c r="AI129" s="21" t="str">
        <f t="shared" ref="AI129" si="9021">IF(MarGlo1LevelCurrent&gt;=$B129,"-",IF(MarGlo1LevelDesired&lt;$B129,"-",$E129))</f>
        <v>-</v>
      </c>
      <c r="AJ129" s="15" t="str">
        <f t="shared" ref="AJ129" si="9022">IF(MarBel1LevelCurrent&gt;=$B129,"-",IF(MarBel1LevelDesired&lt;$B129,"-",$C129))</f>
        <v>-</v>
      </c>
      <c r="AK129" s="1" t="str">
        <f t="shared" ref="AK129" si="9023">IF(MarBel1LevelCurrent&gt;=$B129,"-",IF(MarBel1LevelDesired&lt;$B129,"-",$D129))</f>
        <v>-</v>
      </c>
      <c r="AL129" s="21" t="str">
        <f t="shared" ref="AL129" si="9024">IF(MarBel1LevelCurrent&gt;=$B129,"-",IF(MarBel1LevelDesired&lt;$B129,"-",$E129))</f>
        <v>-</v>
      </c>
      <c r="AM129" s="15" t="str">
        <f t="shared" ref="AM129" si="9025">IF(MarBoo1LevelCurrent&gt;=$B129,"-",IF(MarBoo1LevelDesired&lt;$B129,"-",$C129))</f>
        <v>-</v>
      </c>
      <c r="AN129" s="1" t="str">
        <f t="shared" ref="AN129" si="9026">IF(MarBoo1LevelCurrent&gt;=$B129,"-",IF(MarBoo1LevelDesired&lt;$B129,"-",$D129))</f>
        <v>-</v>
      </c>
      <c r="AO129" s="21" t="str">
        <f t="shared" ref="AO129" si="9027">IF(MarBoo1LevelCurrent&gt;=$B129,"-",IF(MarBoo1LevelDesired&lt;$B129,"-",$E129))</f>
        <v>-</v>
      </c>
      <c r="AP129" s="15" t="str">
        <f t="shared" ref="AP129" si="9028">IF(InfGog2LevelCurrent&gt;=$B129,"-",IF(InfGog2LevelDesired&lt;$B129,"-",$C129))</f>
        <v>-</v>
      </c>
      <c r="AQ129" s="1" t="str">
        <f t="shared" ref="AQ129" si="9029">IF(InfGog2LevelCurrent&gt;=$B129,"-",IF(InfGog2LevelDesired&lt;$B129,"-",$D129))</f>
        <v>-</v>
      </c>
      <c r="AR129" s="21" t="str">
        <f t="shared" ref="AR129" si="9030">IF(InfGog2LevelCurrent&gt;=$B129,"-",IF(InfGog2LevelDesired&lt;$B129,"-",$E129))</f>
        <v>-</v>
      </c>
      <c r="AS129" s="15" t="str">
        <f t="shared" ref="AS129" si="9031">IF(InfGlo2LevelCurrent&gt;=$B129,"-",IF(InfGlo2LevelDesired&lt;$B129,"-",$C129))</f>
        <v>-</v>
      </c>
      <c r="AT129" s="1" t="str">
        <f t="shared" ref="AT129" si="9032">IF(InfGlo2LevelCurrent&gt;=$B129,"-",IF(InfGlo2LevelDesired&lt;$B129,"-",$D129))</f>
        <v>-</v>
      </c>
      <c r="AU129" s="21" t="str">
        <f t="shared" ref="AU129" si="9033">IF(InfGlo2LevelCurrent&gt;=$B129,"-",IF(InfGlo2LevelDesired&lt;$B129,"-",$E129))</f>
        <v>-</v>
      </c>
      <c r="AV129" s="15" t="str">
        <f t="shared" ref="AV129" si="9034">IF(InfBel2LevelCurrent&gt;=$B129,"-",IF(InfBel2LevelDesired&lt;$B129,"-",$C129))</f>
        <v>-</v>
      </c>
      <c r="AW129" s="1" t="str">
        <f t="shared" ref="AW129" si="9035">IF(InfBel2LevelCurrent&gt;=$B129,"-",IF(InfBel2LevelDesired&lt;$B129,"-",$D129))</f>
        <v>-</v>
      </c>
      <c r="AX129" s="21" t="str">
        <f t="shared" ref="AX129" si="9036">IF(InfBel2LevelCurrent&gt;=$B129,"-",IF(InfBel2LevelDesired&lt;$B129,"-",$E129))</f>
        <v>-</v>
      </c>
      <c r="AY129" s="15" t="str">
        <f t="shared" ref="AY129" si="9037">IF(InfBoo2LevelCurrent&gt;=$B129,"-",IF(InfBoo2LevelDesired&lt;$B129,"-",$C129))</f>
        <v>-</v>
      </c>
      <c r="AZ129" s="1" t="str">
        <f t="shared" ref="AZ129" si="9038">IF(InfBoo2LevelCurrent&gt;=$B129,"-",IF(InfBoo2LevelDesired&lt;$B129,"-",$D129))</f>
        <v>-</v>
      </c>
      <c r="BA129" s="21" t="str">
        <f t="shared" ref="BA129" si="9039">IF(InfBoo2LevelCurrent&gt;=$B129,"-",IF(InfBoo2LevelDesired&lt;$B129,"-",$E129))</f>
        <v>-</v>
      </c>
      <c r="BB129" s="15" t="str">
        <f t="shared" ref="BB129" si="9040">IF(LanGog2LevelCurrent&gt;=$B129,"-",IF(LanGog2LevelDesired&lt;$B129,"-",$C129))</f>
        <v>-</v>
      </c>
      <c r="BC129" s="1" t="str">
        <f t="shared" ref="BC129" si="9041">IF(LanGog2LevelCurrent&gt;=$B129,"-",IF(LanGog2LevelDesired&lt;$B129,"-",$D129))</f>
        <v>-</v>
      </c>
      <c r="BD129" s="21" t="str">
        <f t="shared" ref="BD129" si="9042">IF(LanGog2LevelCurrent&gt;=$B129,"-",IF(LanGog2LevelDesired&lt;$B129,"-",$E129))</f>
        <v>-</v>
      </c>
      <c r="BE129" s="15" t="str">
        <f t="shared" ref="BE129" si="9043">IF(LanGlo2LevelCurrent&gt;=$B129,"-",IF(LanGlo2LevelDesired&lt;$B129,"-",$C129))</f>
        <v>-</v>
      </c>
      <c r="BF129" s="1" t="str">
        <f t="shared" ref="BF129" si="9044">IF(LanGlo2LevelCurrent&gt;=$B129,"-",IF(LanGlo2LevelDesired&lt;$B129,"-",$D129))</f>
        <v>-</v>
      </c>
      <c r="BG129" s="21" t="str">
        <f t="shared" ref="BG129" si="9045">IF(LanGlo2LevelCurrent&gt;=$B129,"-",IF(LanGlo2LevelDesired&lt;$B129,"-",$E129))</f>
        <v>-</v>
      </c>
      <c r="BH129" s="15" t="str">
        <f t="shared" ref="BH129" si="9046">IF(LanBel2LevelCurrent&gt;=$B129,"-",IF(LanBel2LevelDesired&lt;$B129,"-",$C129))</f>
        <v>-</v>
      </c>
      <c r="BI129" s="1" t="str">
        <f t="shared" ref="BI129" si="9047">IF(LanBel2LevelCurrent&gt;=$B129,"-",IF(LanBel2LevelDesired&lt;$B129,"-",$D129))</f>
        <v>-</v>
      </c>
      <c r="BJ129" s="21" t="str">
        <f t="shared" ref="BJ129" si="9048">IF(LanBel2LevelCurrent&gt;=$B129,"-",IF(LanBel2LevelDesired&lt;$B129,"-",$E129))</f>
        <v>-</v>
      </c>
      <c r="BK129" s="15" t="str">
        <f t="shared" ref="BK129" si="9049">IF(LanBoo2LevelCurrent&gt;=$B129,"-",IF(LanBoo2LevelDesired&lt;$B129,"-",$C129))</f>
        <v>-</v>
      </c>
      <c r="BL129" s="1" t="str">
        <f t="shared" ref="BL129" si="9050">IF(LanBoo2LevelCurrent&gt;=$B129,"-",IF(LanBoo2LevelDesired&lt;$B129,"-",$D129))</f>
        <v>-</v>
      </c>
      <c r="BM129" s="21" t="str">
        <f t="shared" ref="BM129" si="9051">IF(LanBoo2LevelCurrent&gt;=$B129,"-",IF(LanBoo2LevelDesired&lt;$B129,"-",$E129))</f>
        <v>-</v>
      </c>
      <c r="BN129" s="15" t="str">
        <f t="shared" ref="BN129" si="9052">IF(MarGog2LevelCurrent&gt;=$B129,"-",IF(MarGog2LevelDesired&lt;$B129,"-",$C129))</f>
        <v>-</v>
      </c>
      <c r="BO129" s="1" t="str">
        <f t="shared" ref="BO129" si="9053">IF(MarGog2LevelCurrent&gt;=$B129,"-",IF(MarGog2LevelDesired&lt;$B129,"-",$D129))</f>
        <v>-</v>
      </c>
      <c r="BP129" s="21" t="str">
        <f t="shared" ref="BP129" si="9054">IF(MarGog2LevelCurrent&gt;=$B129,"-",IF(MarGog2LevelDesired&lt;$B129,"-",$E129))</f>
        <v>-</v>
      </c>
      <c r="BQ129" s="15" t="str">
        <f t="shared" ref="BQ129" si="9055">IF(MarGlo2LevelCurrent&gt;=$B129,"-",IF(MarGlo2LevelDesired&lt;$B129,"-",$C129))</f>
        <v>-</v>
      </c>
      <c r="BR129" s="1" t="str">
        <f t="shared" ref="BR129" si="9056">IF(MarGlo2LevelCurrent&gt;=$B129,"-",IF(MarGlo2LevelDesired&lt;$B129,"-",$D129))</f>
        <v>-</v>
      </c>
      <c r="BS129" s="21" t="str">
        <f t="shared" ref="BS129" si="9057">IF(MarGlo2LevelCurrent&gt;=$B129,"-",IF(MarGlo2LevelDesired&lt;$B129,"-",$E129))</f>
        <v>-</v>
      </c>
      <c r="BT129" s="15" t="str">
        <f t="shared" ref="BT129" si="9058">IF(MarBel2LevelCurrent&gt;=$B129,"-",IF(MarBel2LevelDesired&lt;$B129,"-",$C129))</f>
        <v>-</v>
      </c>
      <c r="BU129" s="1" t="str">
        <f t="shared" ref="BU129" si="9059">IF(MarBel2LevelCurrent&gt;=$B129,"-",IF(MarBel2LevelDesired&lt;$B129,"-",$D129))</f>
        <v>-</v>
      </c>
      <c r="BV129" s="21" t="str">
        <f t="shared" ref="BV129" si="9060">IF(MarBel2LevelCurrent&gt;=$B129,"-",IF(MarBel2LevelDesired&lt;$B129,"-",$E129))</f>
        <v>-</v>
      </c>
      <c r="BW129" s="15" t="str">
        <f t="shared" ref="BW129" si="9061">IF(MarBoo2LevelCurrent&gt;=$B129,"-",IF(MarBoo2LevelDesired&lt;$B129,"-",$C129))</f>
        <v>-</v>
      </c>
      <c r="BX129" s="1" t="str">
        <f t="shared" ref="BX129" si="9062">IF(MarBoo2LevelCurrent&gt;=$B129,"-",IF(MarBoo2LevelDesired&lt;$B129,"-",$D129))</f>
        <v>-</v>
      </c>
      <c r="BY129" s="21" t="str">
        <f t="shared" ref="BY129" si="9063">IF(MarBoo2LevelCurrent&gt;=$B129,"-",IF(MarBoo2LevelDesired&lt;$B129,"-",$E129))</f>
        <v>-</v>
      </c>
      <c r="BZ129" s="15" t="str">
        <f t="shared" si="7086"/>
        <v>-</v>
      </c>
      <c r="CA129" s="1" t="str" cm="1">
        <f t="array" ref="CA129">IF(InfGog3LevelCurrent&gt;=$B129,"-",IF(InfGog3LevelDesired&lt;$B129,"-",$D129))</f>
        <v>-</v>
      </c>
      <c r="CB129" s="21" t="str" cm="1">
        <f t="array" ref="CB129">IF(InfGog3LevelCurrent&gt;=$B129,"-",IF(InfGog3LevelDesired&lt;$B129,"-",$E129))</f>
        <v>-</v>
      </c>
      <c r="CC129" s="15" t="str">
        <f t="shared" si="7087"/>
        <v>-</v>
      </c>
      <c r="CD129" s="1" t="str">
        <f t="shared" si="7088"/>
        <v>-</v>
      </c>
      <c r="CE129" s="21" t="str">
        <f t="shared" si="7089"/>
        <v>-</v>
      </c>
      <c r="CF129" s="15" t="str">
        <f t="shared" si="7090"/>
        <v>-</v>
      </c>
      <c r="CG129" s="1" t="str">
        <f t="shared" si="7091"/>
        <v>-</v>
      </c>
      <c r="CH129" s="21" t="str">
        <f t="shared" si="7092"/>
        <v>-</v>
      </c>
      <c r="CI129" s="15" t="str">
        <f t="shared" si="7093"/>
        <v>-</v>
      </c>
      <c r="CJ129" s="1" t="str">
        <f t="shared" si="7094"/>
        <v>-</v>
      </c>
      <c r="CK129" s="21" t="str">
        <f t="shared" si="7095"/>
        <v>-</v>
      </c>
      <c r="CL129" s="15" t="str">
        <f t="shared" si="7096"/>
        <v>-</v>
      </c>
      <c r="CM129" s="1" t="str">
        <f t="shared" si="7097"/>
        <v>-</v>
      </c>
      <c r="CN129" s="21" t="str">
        <f t="shared" si="7098"/>
        <v>-</v>
      </c>
      <c r="CO129" s="15" t="str">
        <f t="shared" si="7099"/>
        <v>-</v>
      </c>
      <c r="CP129" s="1" t="str">
        <f t="shared" si="7100"/>
        <v>-</v>
      </c>
      <c r="CQ129" s="21" t="str">
        <f t="shared" si="7101"/>
        <v>-</v>
      </c>
      <c r="CR129" s="15" t="str">
        <f t="shared" si="7102"/>
        <v>-</v>
      </c>
      <c r="CS129" s="1" t="str">
        <f t="shared" si="7103"/>
        <v>-</v>
      </c>
      <c r="CT129" s="21" t="str">
        <f t="shared" si="7104"/>
        <v>-</v>
      </c>
      <c r="CU129" s="15" t="str">
        <f t="shared" si="7105"/>
        <v>-</v>
      </c>
      <c r="CV129" s="1" t="str">
        <f t="shared" si="7106"/>
        <v>-</v>
      </c>
      <c r="CW129" s="21" t="str">
        <f t="shared" si="7107"/>
        <v>-</v>
      </c>
      <c r="CX129" s="15" t="str">
        <f t="shared" si="7108"/>
        <v>-</v>
      </c>
      <c r="CY129" s="1" t="str">
        <f t="shared" si="7109"/>
        <v>-</v>
      </c>
      <c r="CZ129" s="21" t="str">
        <f t="shared" si="7110"/>
        <v>-</v>
      </c>
      <c r="DA129" s="15" t="str">
        <f t="shared" si="7111"/>
        <v>-</v>
      </c>
      <c r="DB129" s="1" t="str">
        <f t="shared" si="7112"/>
        <v>-</v>
      </c>
      <c r="DC129" s="21" t="str">
        <f t="shared" si="7113"/>
        <v>-</v>
      </c>
      <c r="DD129" s="15" t="str">
        <f t="shared" si="7114"/>
        <v>-</v>
      </c>
      <c r="DE129" s="1" t="str">
        <f t="shared" si="7115"/>
        <v>-</v>
      </c>
      <c r="DF129" s="21" t="str">
        <f t="shared" si="7116"/>
        <v>-</v>
      </c>
      <c r="DG129" s="15" t="str">
        <f t="shared" si="7117"/>
        <v>-</v>
      </c>
      <c r="DH129" s="1" t="str">
        <f t="shared" si="7118"/>
        <v>-</v>
      </c>
      <c r="DI129" s="21" t="str">
        <f t="shared" si="7119"/>
        <v>-</v>
      </c>
    </row>
    <row r="130" spans="2:113" x14ac:dyDescent="0.3">
      <c r="B130" s="1">
        <v>125</v>
      </c>
      <c r="C130" s="67">
        <v>3700</v>
      </c>
      <c r="D130" s="88" t="s">
        <v>27</v>
      </c>
      <c r="E130" s="68" t="s">
        <v>27</v>
      </c>
      <c r="F130" s="15" t="str">
        <f t="shared" ref="F130" si="9064">IF(InfGog1LevelCurrent&gt;=$B130,"-",IF(InfGog1LevelDesired&lt;$B130,"-",$C130))</f>
        <v>-</v>
      </c>
      <c r="G130" s="1" t="str">
        <f t="shared" ref="G130" si="9065">IF(InfGog1LevelCurrent&gt;=$B130,"-",IF(InfGog1LevelDesired&lt;$B130,"-",$D130))</f>
        <v>-</v>
      </c>
      <c r="H130" s="21" t="str">
        <f t="shared" ref="H130" si="9066">IF(InfGog1LevelCurrent&gt;=$B130,"-",IF(InfGog1LevelDesired&lt;$B130,"-",$E130))</f>
        <v>-</v>
      </c>
      <c r="I130" s="15" t="str">
        <f t="shared" ref="I130" si="9067">IF(InfGlo1LevelCurrent&gt;=$B130,"-",IF(InfGlo1LevelDesired&lt;$B130,"-",$C130))</f>
        <v>-</v>
      </c>
      <c r="J130" s="1" t="str">
        <f t="shared" ref="J130" si="9068">IF(InfGlo1LevelCurrent&gt;=$B130,"-",IF(InfGlo1LevelDesired&lt;$B130,"-",$D130))</f>
        <v>-</v>
      </c>
      <c r="K130" s="21" t="str">
        <f t="shared" ref="K130" si="9069">IF(InfGlo1LevelCurrent&gt;=$B130,"-",IF(InfGlo1LevelDesired&lt;$B130,"-",$E130))</f>
        <v>-</v>
      </c>
      <c r="L130" s="15" t="str">
        <f t="shared" ref="L130" si="9070">IF(InfBel1LevelCurrent&gt;=$B130,"-",IF(InfBel1LevelDesired&lt;$B130,"-",$C130))</f>
        <v>-</v>
      </c>
      <c r="M130" s="1" t="str">
        <f t="shared" ref="M130" si="9071">IF(InfBel1LevelCurrent&gt;=$B130,"-",IF(InfBel1LevelDesired&lt;$B130,"-",$D130))</f>
        <v>-</v>
      </c>
      <c r="N130" s="21" t="str">
        <f t="shared" ref="N130" si="9072">IF(InfBel1LevelCurrent&gt;=$B130,"-",IF(InfBel1LevelDesired&lt;$B130,"-",$E130))</f>
        <v>-</v>
      </c>
      <c r="O130" s="15" t="str">
        <f t="shared" ref="O130" si="9073">IF(InfBoo1LevelCurrent&gt;=$B130,"-",IF(InfBoo1LevelDesired&lt;$B130,"-",$C130))</f>
        <v>-</v>
      </c>
      <c r="P130" s="1" t="str">
        <f t="shared" ref="P130" si="9074">IF(InfBoo1LevelCurrent&gt;=$B130,"-",IF(InfBoo1LevelDesired&lt;$B130,"-",$D130))</f>
        <v>-</v>
      </c>
      <c r="Q130" s="21" t="str">
        <f t="shared" ref="Q130" si="9075">IF(InfBoo1LevelCurrent&gt;=$B130,"-",IF(InfBoo1LevelDesired&lt;$B130,"-",$E130))</f>
        <v>-</v>
      </c>
      <c r="R130" s="15" t="str">
        <f t="shared" ref="R130" si="9076">IF(LanGog1LevelCurrent&gt;=$B130,"-",IF(LanGog1LevelDesired&lt;$B130,"-",$C130))</f>
        <v>-</v>
      </c>
      <c r="S130" s="1" t="str">
        <f t="shared" ref="S130" si="9077">IF(LanGog1LevelCurrent&gt;=$B130,"-",IF(LanGog1LevelDesired&lt;$B130,"-",$D130))</f>
        <v>-</v>
      </c>
      <c r="T130" s="21" t="str">
        <f t="shared" ref="T130" si="9078">IF(LanGog1LevelCurrent&gt;=$B130,"-",IF(LanGog1LevelDesired&lt;$B130,"-",$E130))</f>
        <v>-</v>
      </c>
      <c r="U130" s="15" t="str">
        <f t="shared" ref="U130" si="9079">IF(LanGlo1LevelCurrent&gt;=$B130,"-",IF(LanGlo1LevelDesired&lt;$B130,"-",$C130))</f>
        <v>-</v>
      </c>
      <c r="V130" s="1" t="str">
        <f t="shared" ref="V130" si="9080">IF(LanGlo1LevelCurrent&gt;=$B130,"-",IF(LanGlo1LevelDesired&lt;$B130,"-",$D130))</f>
        <v>-</v>
      </c>
      <c r="W130" s="21" t="str">
        <f t="shared" ref="W130" si="9081">IF(LanGlo1LevelCurrent&gt;=$B130,"-",IF(LanGlo1LevelDesired&lt;$B130,"-",$E130))</f>
        <v>-</v>
      </c>
      <c r="X130" s="15" t="str">
        <f t="shared" ref="X130" si="9082">IF(LanBel1LevelCurrent&gt;=$B130,"-",IF(LanBel1LevelDesired&lt;$B130,"-",$C130))</f>
        <v>-</v>
      </c>
      <c r="Y130" s="1" t="str">
        <f t="shared" ref="Y130" si="9083">IF(LanBel1LevelCurrent&gt;=$B130,"-",IF(LanBel1LevelDesired&lt;$B130,"-",$D130))</f>
        <v>-</v>
      </c>
      <c r="Z130" s="21" t="str">
        <f t="shared" ref="Z130" si="9084">IF(LanBel1LevelCurrent&gt;=$B130,"-",IF(LanBel1LevelDesired&lt;$B130,"-",$E130))</f>
        <v>-</v>
      </c>
      <c r="AA130" s="15" t="str">
        <f t="shared" ref="AA130" si="9085">IF(LanBoo1LevelCurrent&gt;=$B130,"-",IF(LanBoo1LevelDesired&lt;$B130,"-",$C130))</f>
        <v>-</v>
      </c>
      <c r="AB130" s="1" t="str">
        <f t="shared" ref="AB130" si="9086">IF(LanBoo1LevelCurrent&gt;=$B130,"-",IF(LanBoo1LevelDesired&lt;$B130,"-",$D130))</f>
        <v>-</v>
      </c>
      <c r="AC130" s="21" t="str">
        <f t="shared" ref="AC130" si="9087">IF(LanBoo1LevelCurrent&gt;=$B130,"-",IF(LanBoo1LevelDesired&lt;$B130,"-",$E130))</f>
        <v>-</v>
      </c>
      <c r="AD130" s="15" t="str">
        <f t="shared" ref="AD130" si="9088">IF(MarGog1LevelCurrent&gt;=$B130,"-",IF(MarGog1LevelDesired&lt;$B130,"-",$C130))</f>
        <v>-</v>
      </c>
      <c r="AE130" s="1" t="str">
        <f t="shared" ref="AE130" si="9089">IF(MarGog1LevelCurrent&gt;=$B130,"-",IF(MarGog1LevelDesired&lt;$B130,"-",$D130))</f>
        <v>-</v>
      </c>
      <c r="AF130" s="21" t="str">
        <f t="shared" ref="AF130" si="9090">IF(MarGog1LevelCurrent&gt;=$B130,"-",IF(MarGog1LevelDesired&lt;$B130,"-",$E130))</f>
        <v>-</v>
      </c>
      <c r="AG130" s="15" t="str">
        <f t="shared" ref="AG130" si="9091">IF(MarGlo1LevelCurrent&gt;=$B130,"-",IF(MarGlo1LevelDesired&lt;$B130,"-",$C130))</f>
        <v>-</v>
      </c>
      <c r="AH130" s="1" t="str">
        <f t="shared" ref="AH130" si="9092">IF(MarGlo1LevelCurrent&gt;=$B130,"-",IF(MarGlo1LevelDesired&lt;$B130,"-",$D130))</f>
        <v>-</v>
      </c>
      <c r="AI130" s="21" t="str">
        <f t="shared" ref="AI130" si="9093">IF(MarGlo1LevelCurrent&gt;=$B130,"-",IF(MarGlo1LevelDesired&lt;$B130,"-",$E130))</f>
        <v>-</v>
      </c>
      <c r="AJ130" s="15" t="str">
        <f t="shared" ref="AJ130" si="9094">IF(MarBel1LevelCurrent&gt;=$B130,"-",IF(MarBel1LevelDesired&lt;$B130,"-",$C130))</f>
        <v>-</v>
      </c>
      <c r="AK130" s="1" t="str">
        <f t="shared" ref="AK130" si="9095">IF(MarBel1LevelCurrent&gt;=$B130,"-",IF(MarBel1LevelDesired&lt;$B130,"-",$D130))</f>
        <v>-</v>
      </c>
      <c r="AL130" s="21" t="str">
        <f t="shared" ref="AL130" si="9096">IF(MarBel1LevelCurrent&gt;=$B130,"-",IF(MarBel1LevelDesired&lt;$B130,"-",$E130))</f>
        <v>-</v>
      </c>
      <c r="AM130" s="15" t="str">
        <f t="shared" ref="AM130" si="9097">IF(MarBoo1LevelCurrent&gt;=$B130,"-",IF(MarBoo1LevelDesired&lt;$B130,"-",$C130))</f>
        <v>-</v>
      </c>
      <c r="AN130" s="1" t="str">
        <f t="shared" ref="AN130" si="9098">IF(MarBoo1LevelCurrent&gt;=$B130,"-",IF(MarBoo1LevelDesired&lt;$B130,"-",$D130))</f>
        <v>-</v>
      </c>
      <c r="AO130" s="21" t="str">
        <f t="shared" ref="AO130" si="9099">IF(MarBoo1LevelCurrent&gt;=$B130,"-",IF(MarBoo1LevelDesired&lt;$B130,"-",$E130))</f>
        <v>-</v>
      </c>
      <c r="AP130" s="15" t="str">
        <f t="shared" ref="AP130" si="9100">IF(InfGog2LevelCurrent&gt;=$B130,"-",IF(InfGog2LevelDesired&lt;$B130,"-",$C130))</f>
        <v>-</v>
      </c>
      <c r="AQ130" s="1" t="str">
        <f t="shared" ref="AQ130" si="9101">IF(InfGog2LevelCurrent&gt;=$B130,"-",IF(InfGog2LevelDesired&lt;$B130,"-",$D130))</f>
        <v>-</v>
      </c>
      <c r="AR130" s="21" t="str">
        <f t="shared" ref="AR130" si="9102">IF(InfGog2LevelCurrent&gt;=$B130,"-",IF(InfGog2LevelDesired&lt;$B130,"-",$E130))</f>
        <v>-</v>
      </c>
      <c r="AS130" s="15" t="str">
        <f t="shared" ref="AS130" si="9103">IF(InfGlo2LevelCurrent&gt;=$B130,"-",IF(InfGlo2LevelDesired&lt;$B130,"-",$C130))</f>
        <v>-</v>
      </c>
      <c r="AT130" s="1" t="str">
        <f t="shared" ref="AT130" si="9104">IF(InfGlo2LevelCurrent&gt;=$B130,"-",IF(InfGlo2LevelDesired&lt;$B130,"-",$D130))</f>
        <v>-</v>
      </c>
      <c r="AU130" s="21" t="str">
        <f t="shared" ref="AU130" si="9105">IF(InfGlo2LevelCurrent&gt;=$B130,"-",IF(InfGlo2LevelDesired&lt;$B130,"-",$E130))</f>
        <v>-</v>
      </c>
      <c r="AV130" s="15" t="str">
        <f t="shared" ref="AV130" si="9106">IF(InfBel2LevelCurrent&gt;=$B130,"-",IF(InfBel2LevelDesired&lt;$B130,"-",$C130))</f>
        <v>-</v>
      </c>
      <c r="AW130" s="1" t="str">
        <f t="shared" ref="AW130" si="9107">IF(InfBel2LevelCurrent&gt;=$B130,"-",IF(InfBel2LevelDesired&lt;$B130,"-",$D130))</f>
        <v>-</v>
      </c>
      <c r="AX130" s="21" t="str">
        <f t="shared" ref="AX130" si="9108">IF(InfBel2LevelCurrent&gt;=$B130,"-",IF(InfBel2LevelDesired&lt;$B130,"-",$E130))</f>
        <v>-</v>
      </c>
      <c r="AY130" s="15" t="str">
        <f t="shared" ref="AY130" si="9109">IF(InfBoo2LevelCurrent&gt;=$B130,"-",IF(InfBoo2LevelDesired&lt;$B130,"-",$C130))</f>
        <v>-</v>
      </c>
      <c r="AZ130" s="1" t="str">
        <f t="shared" ref="AZ130" si="9110">IF(InfBoo2LevelCurrent&gt;=$B130,"-",IF(InfBoo2LevelDesired&lt;$B130,"-",$D130))</f>
        <v>-</v>
      </c>
      <c r="BA130" s="21" t="str">
        <f t="shared" ref="BA130" si="9111">IF(InfBoo2LevelCurrent&gt;=$B130,"-",IF(InfBoo2LevelDesired&lt;$B130,"-",$E130))</f>
        <v>-</v>
      </c>
      <c r="BB130" s="15" t="str">
        <f t="shared" ref="BB130" si="9112">IF(LanGog2LevelCurrent&gt;=$B130,"-",IF(LanGog2LevelDesired&lt;$B130,"-",$C130))</f>
        <v>-</v>
      </c>
      <c r="BC130" s="1" t="str">
        <f t="shared" ref="BC130" si="9113">IF(LanGog2LevelCurrent&gt;=$B130,"-",IF(LanGog2LevelDesired&lt;$B130,"-",$D130))</f>
        <v>-</v>
      </c>
      <c r="BD130" s="21" t="str">
        <f t="shared" ref="BD130" si="9114">IF(LanGog2LevelCurrent&gt;=$B130,"-",IF(LanGog2LevelDesired&lt;$B130,"-",$E130))</f>
        <v>-</v>
      </c>
      <c r="BE130" s="15" t="str">
        <f t="shared" ref="BE130" si="9115">IF(LanGlo2LevelCurrent&gt;=$B130,"-",IF(LanGlo2LevelDesired&lt;$B130,"-",$C130))</f>
        <v>-</v>
      </c>
      <c r="BF130" s="1" t="str">
        <f t="shared" ref="BF130" si="9116">IF(LanGlo2LevelCurrent&gt;=$B130,"-",IF(LanGlo2LevelDesired&lt;$B130,"-",$D130))</f>
        <v>-</v>
      </c>
      <c r="BG130" s="21" t="str">
        <f t="shared" ref="BG130" si="9117">IF(LanGlo2LevelCurrent&gt;=$B130,"-",IF(LanGlo2LevelDesired&lt;$B130,"-",$E130))</f>
        <v>-</v>
      </c>
      <c r="BH130" s="15" t="str">
        <f t="shared" ref="BH130" si="9118">IF(LanBel2LevelCurrent&gt;=$B130,"-",IF(LanBel2LevelDesired&lt;$B130,"-",$C130))</f>
        <v>-</v>
      </c>
      <c r="BI130" s="1" t="str">
        <f t="shared" ref="BI130" si="9119">IF(LanBel2LevelCurrent&gt;=$B130,"-",IF(LanBel2LevelDesired&lt;$B130,"-",$D130))</f>
        <v>-</v>
      </c>
      <c r="BJ130" s="21" t="str">
        <f t="shared" ref="BJ130" si="9120">IF(LanBel2LevelCurrent&gt;=$B130,"-",IF(LanBel2LevelDesired&lt;$B130,"-",$E130))</f>
        <v>-</v>
      </c>
      <c r="BK130" s="15" t="str">
        <f t="shared" ref="BK130" si="9121">IF(LanBoo2LevelCurrent&gt;=$B130,"-",IF(LanBoo2LevelDesired&lt;$B130,"-",$C130))</f>
        <v>-</v>
      </c>
      <c r="BL130" s="1" t="str">
        <f t="shared" ref="BL130" si="9122">IF(LanBoo2LevelCurrent&gt;=$B130,"-",IF(LanBoo2LevelDesired&lt;$B130,"-",$D130))</f>
        <v>-</v>
      </c>
      <c r="BM130" s="21" t="str">
        <f t="shared" ref="BM130" si="9123">IF(LanBoo2LevelCurrent&gt;=$B130,"-",IF(LanBoo2LevelDesired&lt;$B130,"-",$E130))</f>
        <v>-</v>
      </c>
      <c r="BN130" s="15" t="str">
        <f t="shared" ref="BN130" si="9124">IF(MarGog2LevelCurrent&gt;=$B130,"-",IF(MarGog2LevelDesired&lt;$B130,"-",$C130))</f>
        <v>-</v>
      </c>
      <c r="BO130" s="1" t="str">
        <f t="shared" ref="BO130" si="9125">IF(MarGog2LevelCurrent&gt;=$B130,"-",IF(MarGog2LevelDesired&lt;$B130,"-",$D130))</f>
        <v>-</v>
      </c>
      <c r="BP130" s="21" t="str">
        <f t="shared" ref="BP130" si="9126">IF(MarGog2LevelCurrent&gt;=$B130,"-",IF(MarGog2LevelDesired&lt;$B130,"-",$E130))</f>
        <v>-</v>
      </c>
      <c r="BQ130" s="15" t="str">
        <f t="shared" ref="BQ130" si="9127">IF(MarGlo2LevelCurrent&gt;=$B130,"-",IF(MarGlo2LevelDesired&lt;$B130,"-",$C130))</f>
        <v>-</v>
      </c>
      <c r="BR130" s="1" t="str">
        <f t="shared" ref="BR130" si="9128">IF(MarGlo2LevelCurrent&gt;=$B130,"-",IF(MarGlo2LevelDesired&lt;$B130,"-",$D130))</f>
        <v>-</v>
      </c>
      <c r="BS130" s="21" t="str">
        <f t="shared" ref="BS130" si="9129">IF(MarGlo2LevelCurrent&gt;=$B130,"-",IF(MarGlo2LevelDesired&lt;$B130,"-",$E130))</f>
        <v>-</v>
      </c>
      <c r="BT130" s="15" t="str">
        <f t="shared" ref="BT130" si="9130">IF(MarBel2LevelCurrent&gt;=$B130,"-",IF(MarBel2LevelDesired&lt;$B130,"-",$C130))</f>
        <v>-</v>
      </c>
      <c r="BU130" s="1" t="str">
        <f t="shared" ref="BU130" si="9131">IF(MarBel2LevelCurrent&gt;=$B130,"-",IF(MarBel2LevelDesired&lt;$B130,"-",$D130))</f>
        <v>-</v>
      </c>
      <c r="BV130" s="21" t="str">
        <f t="shared" ref="BV130" si="9132">IF(MarBel2LevelCurrent&gt;=$B130,"-",IF(MarBel2LevelDesired&lt;$B130,"-",$E130))</f>
        <v>-</v>
      </c>
      <c r="BW130" s="15" t="str">
        <f t="shared" ref="BW130" si="9133">IF(MarBoo2LevelCurrent&gt;=$B130,"-",IF(MarBoo2LevelDesired&lt;$B130,"-",$C130))</f>
        <v>-</v>
      </c>
      <c r="BX130" s="1" t="str">
        <f t="shared" ref="BX130" si="9134">IF(MarBoo2LevelCurrent&gt;=$B130,"-",IF(MarBoo2LevelDesired&lt;$B130,"-",$D130))</f>
        <v>-</v>
      </c>
      <c r="BY130" s="21" t="str">
        <f t="shared" ref="BY130" si="9135">IF(MarBoo2LevelCurrent&gt;=$B130,"-",IF(MarBoo2LevelDesired&lt;$B130,"-",$E130))</f>
        <v>-</v>
      </c>
      <c r="BZ130" s="15" t="str">
        <f t="shared" si="7086"/>
        <v>-</v>
      </c>
      <c r="CA130" s="1" t="str" cm="1">
        <f t="array" ref="CA130">IF(InfGog3LevelCurrent&gt;=$B130,"-",IF(InfGog3LevelDesired&lt;$B130,"-",$D130))</f>
        <v>-</v>
      </c>
      <c r="CB130" s="21" t="str" cm="1">
        <f t="array" ref="CB130">IF(InfGog3LevelCurrent&gt;=$B130,"-",IF(InfGog3LevelDesired&lt;$B130,"-",$E130))</f>
        <v>-</v>
      </c>
      <c r="CC130" s="15" t="str">
        <f t="shared" si="7087"/>
        <v>-</v>
      </c>
      <c r="CD130" s="1" t="str">
        <f t="shared" si="7088"/>
        <v>-</v>
      </c>
      <c r="CE130" s="21" t="str">
        <f t="shared" si="7089"/>
        <v>-</v>
      </c>
      <c r="CF130" s="15" t="str">
        <f t="shared" si="7090"/>
        <v>-</v>
      </c>
      <c r="CG130" s="1" t="str">
        <f t="shared" si="7091"/>
        <v>-</v>
      </c>
      <c r="CH130" s="21" t="str">
        <f t="shared" si="7092"/>
        <v>-</v>
      </c>
      <c r="CI130" s="15" t="str">
        <f t="shared" si="7093"/>
        <v>-</v>
      </c>
      <c r="CJ130" s="1" t="str">
        <f t="shared" si="7094"/>
        <v>-</v>
      </c>
      <c r="CK130" s="21" t="str">
        <f t="shared" si="7095"/>
        <v>-</v>
      </c>
      <c r="CL130" s="15" t="str">
        <f t="shared" si="7096"/>
        <v>-</v>
      </c>
      <c r="CM130" s="1" t="str">
        <f t="shared" si="7097"/>
        <v>-</v>
      </c>
      <c r="CN130" s="21" t="str">
        <f t="shared" si="7098"/>
        <v>-</v>
      </c>
      <c r="CO130" s="15" t="str">
        <f t="shared" si="7099"/>
        <v>-</v>
      </c>
      <c r="CP130" s="1" t="str">
        <f t="shared" si="7100"/>
        <v>-</v>
      </c>
      <c r="CQ130" s="21" t="str">
        <f t="shared" si="7101"/>
        <v>-</v>
      </c>
      <c r="CR130" s="15" t="str">
        <f t="shared" si="7102"/>
        <v>-</v>
      </c>
      <c r="CS130" s="1" t="str">
        <f t="shared" si="7103"/>
        <v>-</v>
      </c>
      <c r="CT130" s="21" t="str">
        <f t="shared" si="7104"/>
        <v>-</v>
      </c>
      <c r="CU130" s="15" t="str">
        <f t="shared" si="7105"/>
        <v>-</v>
      </c>
      <c r="CV130" s="1" t="str">
        <f t="shared" si="7106"/>
        <v>-</v>
      </c>
      <c r="CW130" s="21" t="str">
        <f t="shared" si="7107"/>
        <v>-</v>
      </c>
      <c r="CX130" s="15" t="str">
        <f t="shared" si="7108"/>
        <v>-</v>
      </c>
      <c r="CY130" s="1" t="str">
        <f t="shared" si="7109"/>
        <v>-</v>
      </c>
      <c r="CZ130" s="21" t="str">
        <f t="shared" si="7110"/>
        <v>-</v>
      </c>
      <c r="DA130" s="15" t="str">
        <f t="shared" si="7111"/>
        <v>-</v>
      </c>
      <c r="DB130" s="1" t="str">
        <f t="shared" si="7112"/>
        <v>-</v>
      </c>
      <c r="DC130" s="21" t="str">
        <f t="shared" si="7113"/>
        <v>-</v>
      </c>
      <c r="DD130" s="15" t="str">
        <f t="shared" si="7114"/>
        <v>-</v>
      </c>
      <c r="DE130" s="1" t="str">
        <f t="shared" si="7115"/>
        <v>-</v>
      </c>
      <c r="DF130" s="21" t="str">
        <f t="shared" si="7116"/>
        <v>-</v>
      </c>
      <c r="DG130" s="15" t="str">
        <f t="shared" si="7117"/>
        <v>-</v>
      </c>
      <c r="DH130" s="1" t="str">
        <f t="shared" si="7118"/>
        <v>-</v>
      </c>
      <c r="DI130" s="21" t="str">
        <f t="shared" si="7119"/>
        <v>-</v>
      </c>
    </row>
    <row r="131" spans="2:113" x14ac:dyDescent="0.3">
      <c r="B131" s="1">
        <v>126</v>
      </c>
      <c r="C131" s="67">
        <v>3750</v>
      </c>
      <c r="D131" s="88" t="s">
        <v>27</v>
      </c>
      <c r="E131" s="68" t="s">
        <v>27</v>
      </c>
      <c r="F131" s="15" t="str">
        <f t="shared" ref="F131" si="9136">IF(InfGog1LevelCurrent&gt;=$B131,"-",IF(InfGog1LevelDesired&lt;$B131,"-",$C131))</f>
        <v>-</v>
      </c>
      <c r="G131" s="1" t="str">
        <f t="shared" ref="G131" si="9137">IF(InfGog1LevelCurrent&gt;=$B131,"-",IF(InfGog1LevelDesired&lt;$B131,"-",$D131))</f>
        <v>-</v>
      </c>
      <c r="H131" s="21" t="str">
        <f t="shared" ref="H131" si="9138">IF(InfGog1LevelCurrent&gt;=$B131,"-",IF(InfGog1LevelDesired&lt;$B131,"-",$E131))</f>
        <v>-</v>
      </c>
      <c r="I131" s="15" t="str">
        <f t="shared" ref="I131" si="9139">IF(InfGlo1LevelCurrent&gt;=$B131,"-",IF(InfGlo1LevelDesired&lt;$B131,"-",$C131))</f>
        <v>-</v>
      </c>
      <c r="J131" s="1" t="str">
        <f t="shared" ref="J131" si="9140">IF(InfGlo1LevelCurrent&gt;=$B131,"-",IF(InfGlo1LevelDesired&lt;$B131,"-",$D131))</f>
        <v>-</v>
      </c>
      <c r="K131" s="21" t="str">
        <f t="shared" ref="K131" si="9141">IF(InfGlo1LevelCurrent&gt;=$B131,"-",IF(InfGlo1LevelDesired&lt;$B131,"-",$E131))</f>
        <v>-</v>
      </c>
      <c r="L131" s="15" t="str">
        <f t="shared" ref="L131" si="9142">IF(InfBel1LevelCurrent&gt;=$B131,"-",IF(InfBel1LevelDesired&lt;$B131,"-",$C131))</f>
        <v>-</v>
      </c>
      <c r="M131" s="1" t="str">
        <f t="shared" ref="M131" si="9143">IF(InfBel1LevelCurrent&gt;=$B131,"-",IF(InfBel1LevelDesired&lt;$B131,"-",$D131))</f>
        <v>-</v>
      </c>
      <c r="N131" s="21" t="str">
        <f t="shared" ref="N131" si="9144">IF(InfBel1LevelCurrent&gt;=$B131,"-",IF(InfBel1LevelDesired&lt;$B131,"-",$E131))</f>
        <v>-</v>
      </c>
      <c r="O131" s="15" t="str">
        <f t="shared" ref="O131" si="9145">IF(InfBoo1LevelCurrent&gt;=$B131,"-",IF(InfBoo1LevelDesired&lt;$B131,"-",$C131))</f>
        <v>-</v>
      </c>
      <c r="P131" s="1" t="str">
        <f t="shared" ref="P131" si="9146">IF(InfBoo1LevelCurrent&gt;=$B131,"-",IF(InfBoo1LevelDesired&lt;$B131,"-",$D131))</f>
        <v>-</v>
      </c>
      <c r="Q131" s="21" t="str">
        <f t="shared" ref="Q131" si="9147">IF(InfBoo1LevelCurrent&gt;=$B131,"-",IF(InfBoo1LevelDesired&lt;$B131,"-",$E131))</f>
        <v>-</v>
      </c>
      <c r="R131" s="15" t="str">
        <f t="shared" ref="R131" si="9148">IF(LanGog1LevelCurrent&gt;=$B131,"-",IF(LanGog1LevelDesired&lt;$B131,"-",$C131))</f>
        <v>-</v>
      </c>
      <c r="S131" s="1" t="str">
        <f t="shared" ref="S131" si="9149">IF(LanGog1LevelCurrent&gt;=$B131,"-",IF(LanGog1LevelDesired&lt;$B131,"-",$D131))</f>
        <v>-</v>
      </c>
      <c r="T131" s="21" t="str">
        <f t="shared" ref="T131" si="9150">IF(LanGog1LevelCurrent&gt;=$B131,"-",IF(LanGog1LevelDesired&lt;$B131,"-",$E131))</f>
        <v>-</v>
      </c>
      <c r="U131" s="15" t="str">
        <f t="shared" ref="U131" si="9151">IF(LanGlo1LevelCurrent&gt;=$B131,"-",IF(LanGlo1LevelDesired&lt;$B131,"-",$C131))</f>
        <v>-</v>
      </c>
      <c r="V131" s="1" t="str">
        <f t="shared" ref="V131" si="9152">IF(LanGlo1LevelCurrent&gt;=$B131,"-",IF(LanGlo1LevelDesired&lt;$B131,"-",$D131))</f>
        <v>-</v>
      </c>
      <c r="W131" s="21" t="str">
        <f t="shared" ref="W131" si="9153">IF(LanGlo1LevelCurrent&gt;=$B131,"-",IF(LanGlo1LevelDesired&lt;$B131,"-",$E131))</f>
        <v>-</v>
      </c>
      <c r="X131" s="15" t="str">
        <f t="shared" ref="X131" si="9154">IF(LanBel1LevelCurrent&gt;=$B131,"-",IF(LanBel1LevelDesired&lt;$B131,"-",$C131))</f>
        <v>-</v>
      </c>
      <c r="Y131" s="1" t="str">
        <f t="shared" ref="Y131" si="9155">IF(LanBel1LevelCurrent&gt;=$B131,"-",IF(LanBel1LevelDesired&lt;$B131,"-",$D131))</f>
        <v>-</v>
      </c>
      <c r="Z131" s="21" t="str">
        <f t="shared" ref="Z131" si="9156">IF(LanBel1LevelCurrent&gt;=$B131,"-",IF(LanBel1LevelDesired&lt;$B131,"-",$E131))</f>
        <v>-</v>
      </c>
      <c r="AA131" s="15" t="str">
        <f t="shared" ref="AA131" si="9157">IF(LanBoo1LevelCurrent&gt;=$B131,"-",IF(LanBoo1LevelDesired&lt;$B131,"-",$C131))</f>
        <v>-</v>
      </c>
      <c r="AB131" s="1" t="str">
        <f t="shared" ref="AB131" si="9158">IF(LanBoo1LevelCurrent&gt;=$B131,"-",IF(LanBoo1LevelDesired&lt;$B131,"-",$D131))</f>
        <v>-</v>
      </c>
      <c r="AC131" s="21" t="str">
        <f t="shared" ref="AC131" si="9159">IF(LanBoo1LevelCurrent&gt;=$B131,"-",IF(LanBoo1LevelDesired&lt;$B131,"-",$E131))</f>
        <v>-</v>
      </c>
      <c r="AD131" s="15" t="str">
        <f t="shared" ref="AD131" si="9160">IF(MarGog1LevelCurrent&gt;=$B131,"-",IF(MarGog1LevelDesired&lt;$B131,"-",$C131))</f>
        <v>-</v>
      </c>
      <c r="AE131" s="1" t="str">
        <f t="shared" ref="AE131" si="9161">IF(MarGog1LevelCurrent&gt;=$B131,"-",IF(MarGog1LevelDesired&lt;$B131,"-",$D131))</f>
        <v>-</v>
      </c>
      <c r="AF131" s="21" t="str">
        <f t="shared" ref="AF131" si="9162">IF(MarGog1LevelCurrent&gt;=$B131,"-",IF(MarGog1LevelDesired&lt;$B131,"-",$E131))</f>
        <v>-</v>
      </c>
      <c r="AG131" s="15" t="str">
        <f t="shared" ref="AG131" si="9163">IF(MarGlo1LevelCurrent&gt;=$B131,"-",IF(MarGlo1LevelDesired&lt;$B131,"-",$C131))</f>
        <v>-</v>
      </c>
      <c r="AH131" s="1" t="str">
        <f t="shared" ref="AH131" si="9164">IF(MarGlo1LevelCurrent&gt;=$B131,"-",IF(MarGlo1LevelDesired&lt;$B131,"-",$D131))</f>
        <v>-</v>
      </c>
      <c r="AI131" s="21" t="str">
        <f t="shared" ref="AI131" si="9165">IF(MarGlo1LevelCurrent&gt;=$B131,"-",IF(MarGlo1LevelDesired&lt;$B131,"-",$E131))</f>
        <v>-</v>
      </c>
      <c r="AJ131" s="15" t="str">
        <f t="shared" ref="AJ131" si="9166">IF(MarBel1LevelCurrent&gt;=$B131,"-",IF(MarBel1LevelDesired&lt;$B131,"-",$C131))</f>
        <v>-</v>
      </c>
      <c r="AK131" s="1" t="str">
        <f t="shared" ref="AK131" si="9167">IF(MarBel1LevelCurrent&gt;=$B131,"-",IF(MarBel1LevelDesired&lt;$B131,"-",$D131))</f>
        <v>-</v>
      </c>
      <c r="AL131" s="21" t="str">
        <f t="shared" ref="AL131" si="9168">IF(MarBel1LevelCurrent&gt;=$B131,"-",IF(MarBel1LevelDesired&lt;$B131,"-",$E131))</f>
        <v>-</v>
      </c>
      <c r="AM131" s="15" t="str">
        <f t="shared" ref="AM131" si="9169">IF(MarBoo1LevelCurrent&gt;=$B131,"-",IF(MarBoo1LevelDesired&lt;$B131,"-",$C131))</f>
        <v>-</v>
      </c>
      <c r="AN131" s="1" t="str">
        <f t="shared" ref="AN131" si="9170">IF(MarBoo1LevelCurrent&gt;=$B131,"-",IF(MarBoo1LevelDesired&lt;$B131,"-",$D131))</f>
        <v>-</v>
      </c>
      <c r="AO131" s="21" t="str">
        <f t="shared" ref="AO131" si="9171">IF(MarBoo1LevelCurrent&gt;=$B131,"-",IF(MarBoo1LevelDesired&lt;$B131,"-",$E131))</f>
        <v>-</v>
      </c>
      <c r="AP131" s="15" t="str">
        <f t="shared" ref="AP131" si="9172">IF(InfGog2LevelCurrent&gt;=$B131,"-",IF(InfGog2LevelDesired&lt;$B131,"-",$C131))</f>
        <v>-</v>
      </c>
      <c r="AQ131" s="1" t="str">
        <f t="shared" ref="AQ131" si="9173">IF(InfGog2LevelCurrent&gt;=$B131,"-",IF(InfGog2LevelDesired&lt;$B131,"-",$D131))</f>
        <v>-</v>
      </c>
      <c r="AR131" s="21" t="str">
        <f t="shared" ref="AR131" si="9174">IF(InfGog2LevelCurrent&gt;=$B131,"-",IF(InfGog2LevelDesired&lt;$B131,"-",$E131))</f>
        <v>-</v>
      </c>
      <c r="AS131" s="15" t="str">
        <f t="shared" ref="AS131" si="9175">IF(InfGlo2LevelCurrent&gt;=$B131,"-",IF(InfGlo2LevelDesired&lt;$B131,"-",$C131))</f>
        <v>-</v>
      </c>
      <c r="AT131" s="1" t="str">
        <f t="shared" ref="AT131" si="9176">IF(InfGlo2LevelCurrent&gt;=$B131,"-",IF(InfGlo2LevelDesired&lt;$B131,"-",$D131))</f>
        <v>-</v>
      </c>
      <c r="AU131" s="21" t="str">
        <f t="shared" ref="AU131" si="9177">IF(InfGlo2LevelCurrent&gt;=$B131,"-",IF(InfGlo2LevelDesired&lt;$B131,"-",$E131))</f>
        <v>-</v>
      </c>
      <c r="AV131" s="15" t="str">
        <f t="shared" ref="AV131" si="9178">IF(InfBel2LevelCurrent&gt;=$B131,"-",IF(InfBel2LevelDesired&lt;$B131,"-",$C131))</f>
        <v>-</v>
      </c>
      <c r="AW131" s="1" t="str">
        <f t="shared" ref="AW131" si="9179">IF(InfBel2LevelCurrent&gt;=$B131,"-",IF(InfBel2LevelDesired&lt;$B131,"-",$D131))</f>
        <v>-</v>
      </c>
      <c r="AX131" s="21" t="str">
        <f t="shared" ref="AX131" si="9180">IF(InfBel2LevelCurrent&gt;=$B131,"-",IF(InfBel2LevelDesired&lt;$B131,"-",$E131))</f>
        <v>-</v>
      </c>
      <c r="AY131" s="15" t="str">
        <f t="shared" ref="AY131" si="9181">IF(InfBoo2LevelCurrent&gt;=$B131,"-",IF(InfBoo2LevelDesired&lt;$B131,"-",$C131))</f>
        <v>-</v>
      </c>
      <c r="AZ131" s="1" t="str">
        <f t="shared" ref="AZ131" si="9182">IF(InfBoo2LevelCurrent&gt;=$B131,"-",IF(InfBoo2LevelDesired&lt;$B131,"-",$D131))</f>
        <v>-</v>
      </c>
      <c r="BA131" s="21" t="str">
        <f t="shared" ref="BA131" si="9183">IF(InfBoo2LevelCurrent&gt;=$B131,"-",IF(InfBoo2LevelDesired&lt;$B131,"-",$E131))</f>
        <v>-</v>
      </c>
      <c r="BB131" s="15" t="str">
        <f t="shared" ref="BB131" si="9184">IF(LanGog2LevelCurrent&gt;=$B131,"-",IF(LanGog2LevelDesired&lt;$B131,"-",$C131))</f>
        <v>-</v>
      </c>
      <c r="BC131" s="1" t="str">
        <f t="shared" ref="BC131" si="9185">IF(LanGog2LevelCurrent&gt;=$B131,"-",IF(LanGog2LevelDesired&lt;$B131,"-",$D131))</f>
        <v>-</v>
      </c>
      <c r="BD131" s="21" t="str">
        <f t="shared" ref="BD131" si="9186">IF(LanGog2LevelCurrent&gt;=$B131,"-",IF(LanGog2LevelDesired&lt;$B131,"-",$E131))</f>
        <v>-</v>
      </c>
      <c r="BE131" s="15" t="str">
        <f t="shared" ref="BE131" si="9187">IF(LanGlo2LevelCurrent&gt;=$B131,"-",IF(LanGlo2LevelDesired&lt;$B131,"-",$C131))</f>
        <v>-</v>
      </c>
      <c r="BF131" s="1" t="str">
        <f t="shared" ref="BF131" si="9188">IF(LanGlo2LevelCurrent&gt;=$B131,"-",IF(LanGlo2LevelDesired&lt;$B131,"-",$D131))</f>
        <v>-</v>
      </c>
      <c r="BG131" s="21" t="str">
        <f t="shared" ref="BG131" si="9189">IF(LanGlo2LevelCurrent&gt;=$B131,"-",IF(LanGlo2LevelDesired&lt;$B131,"-",$E131))</f>
        <v>-</v>
      </c>
      <c r="BH131" s="15" t="str">
        <f t="shared" ref="BH131" si="9190">IF(LanBel2LevelCurrent&gt;=$B131,"-",IF(LanBel2LevelDesired&lt;$B131,"-",$C131))</f>
        <v>-</v>
      </c>
      <c r="BI131" s="1" t="str">
        <f t="shared" ref="BI131" si="9191">IF(LanBel2LevelCurrent&gt;=$B131,"-",IF(LanBel2LevelDesired&lt;$B131,"-",$D131))</f>
        <v>-</v>
      </c>
      <c r="BJ131" s="21" t="str">
        <f t="shared" ref="BJ131" si="9192">IF(LanBel2LevelCurrent&gt;=$B131,"-",IF(LanBel2LevelDesired&lt;$B131,"-",$E131))</f>
        <v>-</v>
      </c>
      <c r="BK131" s="15" t="str">
        <f t="shared" ref="BK131" si="9193">IF(LanBoo2LevelCurrent&gt;=$B131,"-",IF(LanBoo2LevelDesired&lt;$B131,"-",$C131))</f>
        <v>-</v>
      </c>
      <c r="BL131" s="1" t="str">
        <f t="shared" ref="BL131" si="9194">IF(LanBoo2LevelCurrent&gt;=$B131,"-",IF(LanBoo2LevelDesired&lt;$B131,"-",$D131))</f>
        <v>-</v>
      </c>
      <c r="BM131" s="21" t="str">
        <f t="shared" ref="BM131" si="9195">IF(LanBoo2LevelCurrent&gt;=$B131,"-",IF(LanBoo2LevelDesired&lt;$B131,"-",$E131))</f>
        <v>-</v>
      </c>
      <c r="BN131" s="15" t="str">
        <f t="shared" ref="BN131" si="9196">IF(MarGog2LevelCurrent&gt;=$B131,"-",IF(MarGog2LevelDesired&lt;$B131,"-",$C131))</f>
        <v>-</v>
      </c>
      <c r="BO131" s="1" t="str">
        <f t="shared" ref="BO131" si="9197">IF(MarGog2LevelCurrent&gt;=$B131,"-",IF(MarGog2LevelDesired&lt;$B131,"-",$D131))</f>
        <v>-</v>
      </c>
      <c r="BP131" s="21" t="str">
        <f t="shared" ref="BP131" si="9198">IF(MarGog2LevelCurrent&gt;=$B131,"-",IF(MarGog2LevelDesired&lt;$B131,"-",$E131))</f>
        <v>-</v>
      </c>
      <c r="BQ131" s="15" t="str">
        <f t="shared" ref="BQ131" si="9199">IF(MarGlo2LevelCurrent&gt;=$B131,"-",IF(MarGlo2LevelDesired&lt;$B131,"-",$C131))</f>
        <v>-</v>
      </c>
      <c r="BR131" s="1" t="str">
        <f t="shared" ref="BR131" si="9200">IF(MarGlo2LevelCurrent&gt;=$B131,"-",IF(MarGlo2LevelDesired&lt;$B131,"-",$D131))</f>
        <v>-</v>
      </c>
      <c r="BS131" s="21" t="str">
        <f t="shared" ref="BS131" si="9201">IF(MarGlo2LevelCurrent&gt;=$B131,"-",IF(MarGlo2LevelDesired&lt;$B131,"-",$E131))</f>
        <v>-</v>
      </c>
      <c r="BT131" s="15" t="str">
        <f t="shared" ref="BT131" si="9202">IF(MarBel2LevelCurrent&gt;=$B131,"-",IF(MarBel2LevelDesired&lt;$B131,"-",$C131))</f>
        <v>-</v>
      </c>
      <c r="BU131" s="1" t="str">
        <f t="shared" ref="BU131" si="9203">IF(MarBel2LevelCurrent&gt;=$B131,"-",IF(MarBel2LevelDesired&lt;$B131,"-",$D131))</f>
        <v>-</v>
      </c>
      <c r="BV131" s="21" t="str">
        <f t="shared" ref="BV131" si="9204">IF(MarBel2LevelCurrent&gt;=$B131,"-",IF(MarBel2LevelDesired&lt;$B131,"-",$E131))</f>
        <v>-</v>
      </c>
      <c r="BW131" s="15" t="str">
        <f t="shared" ref="BW131" si="9205">IF(MarBoo2LevelCurrent&gt;=$B131,"-",IF(MarBoo2LevelDesired&lt;$B131,"-",$C131))</f>
        <v>-</v>
      </c>
      <c r="BX131" s="1" t="str">
        <f t="shared" ref="BX131" si="9206">IF(MarBoo2LevelCurrent&gt;=$B131,"-",IF(MarBoo2LevelDesired&lt;$B131,"-",$D131))</f>
        <v>-</v>
      </c>
      <c r="BY131" s="21" t="str">
        <f t="shared" ref="BY131" si="9207">IF(MarBoo2LevelCurrent&gt;=$B131,"-",IF(MarBoo2LevelDesired&lt;$B131,"-",$E131))</f>
        <v>-</v>
      </c>
      <c r="BZ131" s="15" t="str">
        <f t="shared" si="7086"/>
        <v>-</v>
      </c>
      <c r="CA131" s="1" t="str" cm="1">
        <f t="array" ref="CA131">IF(InfGog3LevelCurrent&gt;=$B131,"-",IF(InfGog3LevelDesired&lt;$B131,"-",$D131))</f>
        <v>-</v>
      </c>
      <c r="CB131" s="21" t="str" cm="1">
        <f t="array" ref="CB131">IF(InfGog3LevelCurrent&gt;=$B131,"-",IF(InfGog3LevelDesired&lt;$B131,"-",$E131))</f>
        <v>-</v>
      </c>
      <c r="CC131" s="15" t="str">
        <f t="shared" si="7087"/>
        <v>-</v>
      </c>
      <c r="CD131" s="1" t="str">
        <f t="shared" si="7088"/>
        <v>-</v>
      </c>
      <c r="CE131" s="21" t="str">
        <f t="shared" si="7089"/>
        <v>-</v>
      </c>
      <c r="CF131" s="15" t="str">
        <f t="shared" si="7090"/>
        <v>-</v>
      </c>
      <c r="CG131" s="1" t="str">
        <f t="shared" si="7091"/>
        <v>-</v>
      </c>
      <c r="CH131" s="21" t="str">
        <f t="shared" si="7092"/>
        <v>-</v>
      </c>
      <c r="CI131" s="15" t="str">
        <f t="shared" si="7093"/>
        <v>-</v>
      </c>
      <c r="CJ131" s="1" t="str">
        <f t="shared" si="7094"/>
        <v>-</v>
      </c>
      <c r="CK131" s="21" t="str">
        <f t="shared" si="7095"/>
        <v>-</v>
      </c>
      <c r="CL131" s="15" t="str">
        <f t="shared" si="7096"/>
        <v>-</v>
      </c>
      <c r="CM131" s="1" t="str">
        <f t="shared" si="7097"/>
        <v>-</v>
      </c>
      <c r="CN131" s="21" t="str">
        <f t="shared" si="7098"/>
        <v>-</v>
      </c>
      <c r="CO131" s="15" t="str">
        <f t="shared" si="7099"/>
        <v>-</v>
      </c>
      <c r="CP131" s="1" t="str">
        <f t="shared" si="7100"/>
        <v>-</v>
      </c>
      <c r="CQ131" s="21" t="str">
        <f t="shared" si="7101"/>
        <v>-</v>
      </c>
      <c r="CR131" s="15" t="str">
        <f t="shared" si="7102"/>
        <v>-</v>
      </c>
      <c r="CS131" s="1" t="str">
        <f t="shared" si="7103"/>
        <v>-</v>
      </c>
      <c r="CT131" s="21" t="str">
        <f t="shared" si="7104"/>
        <v>-</v>
      </c>
      <c r="CU131" s="15" t="str">
        <f t="shared" si="7105"/>
        <v>-</v>
      </c>
      <c r="CV131" s="1" t="str">
        <f t="shared" si="7106"/>
        <v>-</v>
      </c>
      <c r="CW131" s="21" t="str">
        <f t="shared" si="7107"/>
        <v>-</v>
      </c>
      <c r="CX131" s="15" t="str">
        <f t="shared" si="7108"/>
        <v>-</v>
      </c>
      <c r="CY131" s="1" t="str">
        <f t="shared" si="7109"/>
        <v>-</v>
      </c>
      <c r="CZ131" s="21" t="str">
        <f t="shared" si="7110"/>
        <v>-</v>
      </c>
      <c r="DA131" s="15" t="str">
        <f t="shared" si="7111"/>
        <v>-</v>
      </c>
      <c r="DB131" s="1" t="str">
        <f t="shared" si="7112"/>
        <v>-</v>
      </c>
      <c r="DC131" s="21" t="str">
        <f t="shared" si="7113"/>
        <v>-</v>
      </c>
      <c r="DD131" s="15" t="str">
        <f t="shared" si="7114"/>
        <v>-</v>
      </c>
      <c r="DE131" s="1" t="str">
        <f t="shared" si="7115"/>
        <v>-</v>
      </c>
      <c r="DF131" s="21" t="str">
        <f t="shared" si="7116"/>
        <v>-</v>
      </c>
      <c r="DG131" s="15" t="str">
        <f t="shared" si="7117"/>
        <v>-</v>
      </c>
      <c r="DH131" s="1" t="str">
        <f t="shared" si="7118"/>
        <v>-</v>
      </c>
      <c r="DI131" s="21" t="str">
        <f t="shared" si="7119"/>
        <v>-</v>
      </c>
    </row>
    <row r="132" spans="2:113" x14ac:dyDescent="0.3">
      <c r="B132" s="1">
        <v>127</v>
      </c>
      <c r="C132" s="67">
        <v>3800</v>
      </c>
      <c r="D132" s="88" t="s">
        <v>27</v>
      </c>
      <c r="E132" s="68" t="s">
        <v>27</v>
      </c>
      <c r="F132" s="15" t="str">
        <f t="shared" ref="F132" si="9208">IF(InfGog1LevelCurrent&gt;=$B132,"-",IF(InfGog1LevelDesired&lt;$B132,"-",$C132))</f>
        <v>-</v>
      </c>
      <c r="G132" s="1" t="str">
        <f t="shared" ref="G132" si="9209">IF(InfGog1LevelCurrent&gt;=$B132,"-",IF(InfGog1LevelDesired&lt;$B132,"-",$D132))</f>
        <v>-</v>
      </c>
      <c r="H132" s="21" t="str">
        <f t="shared" ref="H132" si="9210">IF(InfGog1LevelCurrent&gt;=$B132,"-",IF(InfGog1LevelDesired&lt;$B132,"-",$E132))</f>
        <v>-</v>
      </c>
      <c r="I132" s="15" t="str">
        <f t="shared" ref="I132" si="9211">IF(InfGlo1LevelCurrent&gt;=$B132,"-",IF(InfGlo1LevelDesired&lt;$B132,"-",$C132))</f>
        <v>-</v>
      </c>
      <c r="J132" s="1" t="str">
        <f t="shared" ref="J132" si="9212">IF(InfGlo1LevelCurrent&gt;=$B132,"-",IF(InfGlo1LevelDesired&lt;$B132,"-",$D132))</f>
        <v>-</v>
      </c>
      <c r="K132" s="21" t="str">
        <f t="shared" ref="K132" si="9213">IF(InfGlo1LevelCurrent&gt;=$B132,"-",IF(InfGlo1LevelDesired&lt;$B132,"-",$E132))</f>
        <v>-</v>
      </c>
      <c r="L132" s="15" t="str">
        <f t="shared" ref="L132" si="9214">IF(InfBel1LevelCurrent&gt;=$B132,"-",IF(InfBel1LevelDesired&lt;$B132,"-",$C132))</f>
        <v>-</v>
      </c>
      <c r="M132" s="1" t="str">
        <f t="shared" ref="M132" si="9215">IF(InfBel1LevelCurrent&gt;=$B132,"-",IF(InfBel1LevelDesired&lt;$B132,"-",$D132))</f>
        <v>-</v>
      </c>
      <c r="N132" s="21" t="str">
        <f t="shared" ref="N132" si="9216">IF(InfBel1LevelCurrent&gt;=$B132,"-",IF(InfBel1LevelDesired&lt;$B132,"-",$E132))</f>
        <v>-</v>
      </c>
      <c r="O132" s="15" t="str">
        <f t="shared" ref="O132" si="9217">IF(InfBoo1LevelCurrent&gt;=$B132,"-",IF(InfBoo1LevelDesired&lt;$B132,"-",$C132))</f>
        <v>-</v>
      </c>
      <c r="P132" s="1" t="str">
        <f t="shared" ref="P132" si="9218">IF(InfBoo1LevelCurrent&gt;=$B132,"-",IF(InfBoo1LevelDesired&lt;$B132,"-",$D132))</f>
        <v>-</v>
      </c>
      <c r="Q132" s="21" t="str">
        <f t="shared" ref="Q132" si="9219">IF(InfBoo1LevelCurrent&gt;=$B132,"-",IF(InfBoo1LevelDesired&lt;$B132,"-",$E132))</f>
        <v>-</v>
      </c>
      <c r="R132" s="15" t="str">
        <f t="shared" ref="R132" si="9220">IF(LanGog1LevelCurrent&gt;=$B132,"-",IF(LanGog1LevelDesired&lt;$B132,"-",$C132))</f>
        <v>-</v>
      </c>
      <c r="S132" s="1" t="str">
        <f t="shared" ref="S132" si="9221">IF(LanGog1LevelCurrent&gt;=$B132,"-",IF(LanGog1LevelDesired&lt;$B132,"-",$D132))</f>
        <v>-</v>
      </c>
      <c r="T132" s="21" t="str">
        <f t="shared" ref="T132" si="9222">IF(LanGog1LevelCurrent&gt;=$B132,"-",IF(LanGog1LevelDesired&lt;$B132,"-",$E132))</f>
        <v>-</v>
      </c>
      <c r="U132" s="15" t="str">
        <f t="shared" ref="U132" si="9223">IF(LanGlo1LevelCurrent&gt;=$B132,"-",IF(LanGlo1LevelDesired&lt;$B132,"-",$C132))</f>
        <v>-</v>
      </c>
      <c r="V132" s="1" t="str">
        <f t="shared" ref="V132" si="9224">IF(LanGlo1LevelCurrent&gt;=$B132,"-",IF(LanGlo1LevelDesired&lt;$B132,"-",$D132))</f>
        <v>-</v>
      </c>
      <c r="W132" s="21" t="str">
        <f t="shared" ref="W132" si="9225">IF(LanGlo1LevelCurrent&gt;=$B132,"-",IF(LanGlo1LevelDesired&lt;$B132,"-",$E132))</f>
        <v>-</v>
      </c>
      <c r="X132" s="15" t="str">
        <f t="shared" ref="X132" si="9226">IF(LanBel1LevelCurrent&gt;=$B132,"-",IF(LanBel1LevelDesired&lt;$B132,"-",$C132))</f>
        <v>-</v>
      </c>
      <c r="Y132" s="1" t="str">
        <f t="shared" ref="Y132" si="9227">IF(LanBel1LevelCurrent&gt;=$B132,"-",IF(LanBel1LevelDesired&lt;$B132,"-",$D132))</f>
        <v>-</v>
      </c>
      <c r="Z132" s="21" t="str">
        <f t="shared" ref="Z132" si="9228">IF(LanBel1LevelCurrent&gt;=$B132,"-",IF(LanBel1LevelDesired&lt;$B132,"-",$E132))</f>
        <v>-</v>
      </c>
      <c r="AA132" s="15" t="str">
        <f t="shared" ref="AA132" si="9229">IF(LanBoo1LevelCurrent&gt;=$B132,"-",IF(LanBoo1LevelDesired&lt;$B132,"-",$C132))</f>
        <v>-</v>
      </c>
      <c r="AB132" s="1" t="str">
        <f t="shared" ref="AB132" si="9230">IF(LanBoo1LevelCurrent&gt;=$B132,"-",IF(LanBoo1LevelDesired&lt;$B132,"-",$D132))</f>
        <v>-</v>
      </c>
      <c r="AC132" s="21" t="str">
        <f t="shared" ref="AC132" si="9231">IF(LanBoo1LevelCurrent&gt;=$B132,"-",IF(LanBoo1LevelDesired&lt;$B132,"-",$E132))</f>
        <v>-</v>
      </c>
      <c r="AD132" s="15" t="str">
        <f t="shared" ref="AD132" si="9232">IF(MarGog1LevelCurrent&gt;=$B132,"-",IF(MarGog1LevelDesired&lt;$B132,"-",$C132))</f>
        <v>-</v>
      </c>
      <c r="AE132" s="1" t="str">
        <f t="shared" ref="AE132" si="9233">IF(MarGog1LevelCurrent&gt;=$B132,"-",IF(MarGog1LevelDesired&lt;$B132,"-",$D132))</f>
        <v>-</v>
      </c>
      <c r="AF132" s="21" t="str">
        <f t="shared" ref="AF132" si="9234">IF(MarGog1LevelCurrent&gt;=$B132,"-",IF(MarGog1LevelDesired&lt;$B132,"-",$E132))</f>
        <v>-</v>
      </c>
      <c r="AG132" s="15" t="str">
        <f t="shared" ref="AG132" si="9235">IF(MarGlo1LevelCurrent&gt;=$B132,"-",IF(MarGlo1LevelDesired&lt;$B132,"-",$C132))</f>
        <v>-</v>
      </c>
      <c r="AH132" s="1" t="str">
        <f t="shared" ref="AH132" si="9236">IF(MarGlo1LevelCurrent&gt;=$B132,"-",IF(MarGlo1LevelDesired&lt;$B132,"-",$D132))</f>
        <v>-</v>
      </c>
      <c r="AI132" s="21" t="str">
        <f t="shared" ref="AI132" si="9237">IF(MarGlo1LevelCurrent&gt;=$B132,"-",IF(MarGlo1LevelDesired&lt;$B132,"-",$E132))</f>
        <v>-</v>
      </c>
      <c r="AJ132" s="15" t="str">
        <f t="shared" ref="AJ132" si="9238">IF(MarBel1LevelCurrent&gt;=$B132,"-",IF(MarBel1LevelDesired&lt;$B132,"-",$C132))</f>
        <v>-</v>
      </c>
      <c r="AK132" s="1" t="str">
        <f t="shared" ref="AK132" si="9239">IF(MarBel1LevelCurrent&gt;=$B132,"-",IF(MarBel1LevelDesired&lt;$B132,"-",$D132))</f>
        <v>-</v>
      </c>
      <c r="AL132" s="21" t="str">
        <f t="shared" ref="AL132" si="9240">IF(MarBel1LevelCurrent&gt;=$B132,"-",IF(MarBel1LevelDesired&lt;$B132,"-",$E132))</f>
        <v>-</v>
      </c>
      <c r="AM132" s="15" t="str">
        <f t="shared" ref="AM132" si="9241">IF(MarBoo1LevelCurrent&gt;=$B132,"-",IF(MarBoo1LevelDesired&lt;$B132,"-",$C132))</f>
        <v>-</v>
      </c>
      <c r="AN132" s="1" t="str">
        <f t="shared" ref="AN132" si="9242">IF(MarBoo1LevelCurrent&gt;=$B132,"-",IF(MarBoo1LevelDesired&lt;$B132,"-",$D132))</f>
        <v>-</v>
      </c>
      <c r="AO132" s="21" t="str">
        <f t="shared" ref="AO132" si="9243">IF(MarBoo1LevelCurrent&gt;=$B132,"-",IF(MarBoo1LevelDesired&lt;$B132,"-",$E132))</f>
        <v>-</v>
      </c>
      <c r="AP132" s="15" t="str">
        <f t="shared" ref="AP132" si="9244">IF(InfGog2LevelCurrent&gt;=$B132,"-",IF(InfGog2LevelDesired&lt;$B132,"-",$C132))</f>
        <v>-</v>
      </c>
      <c r="AQ132" s="1" t="str">
        <f t="shared" ref="AQ132" si="9245">IF(InfGog2LevelCurrent&gt;=$B132,"-",IF(InfGog2LevelDesired&lt;$B132,"-",$D132))</f>
        <v>-</v>
      </c>
      <c r="AR132" s="21" t="str">
        <f t="shared" ref="AR132" si="9246">IF(InfGog2LevelCurrent&gt;=$B132,"-",IF(InfGog2LevelDesired&lt;$B132,"-",$E132))</f>
        <v>-</v>
      </c>
      <c r="AS132" s="15" t="str">
        <f t="shared" ref="AS132" si="9247">IF(InfGlo2LevelCurrent&gt;=$B132,"-",IF(InfGlo2LevelDesired&lt;$B132,"-",$C132))</f>
        <v>-</v>
      </c>
      <c r="AT132" s="1" t="str">
        <f t="shared" ref="AT132" si="9248">IF(InfGlo2LevelCurrent&gt;=$B132,"-",IF(InfGlo2LevelDesired&lt;$B132,"-",$D132))</f>
        <v>-</v>
      </c>
      <c r="AU132" s="21" t="str">
        <f t="shared" ref="AU132" si="9249">IF(InfGlo2LevelCurrent&gt;=$B132,"-",IF(InfGlo2LevelDesired&lt;$B132,"-",$E132))</f>
        <v>-</v>
      </c>
      <c r="AV132" s="15" t="str">
        <f t="shared" ref="AV132" si="9250">IF(InfBel2LevelCurrent&gt;=$B132,"-",IF(InfBel2LevelDesired&lt;$B132,"-",$C132))</f>
        <v>-</v>
      </c>
      <c r="AW132" s="1" t="str">
        <f t="shared" ref="AW132" si="9251">IF(InfBel2LevelCurrent&gt;=$B132,"-",IF(InfBel2LevelDesired&lt;$B132,"-",$D132))</f>
        <v>-</v>
      </c>
      <c r="AX132" s="21" t="str">
        <f t="shared" ref="AX132" si="9252">IF(InfBel2LevelCurrent&gt;=$B132,"-",IF(InfBel2LevelDesired&lt;$B132,"-",$E132))</f>
        <v>-</v>
      </c>
      <c r="AY132" s="15" t="str">
        <f t="shared" ref="AY132" si="9253">IF(InfBoo2LevelCurrent&gt;=$B132,"-",IF(InfBoo2LevelDesired&lt;$B132,"-",$C132))</f>
        <v>-</v>
      </c>
      <c r="AZ132" s="1" t="str">
        <f t="shared" ref="AZ132" si="9254">IF(InfBoo2LevelCurrent&gt;=$B132,"-",IF(InfBoo2LevelDesired&lt;$B132,"-",$D132))</f>
        <v>-</v>
      </c>
      <c r="BA132" s="21" t="str">
        <f t="shared" ref="BA132" si="9255">IF(InfBoo2LevelCurrent&gt;=$B132,"-",IF(InfBoo2LevelDesired&lt;$B132,"-",$E132))</f>
        <v>-</v>
      </c>
      <c r="BB132" s="15" t="str">
        <f t="shared" ref="BB132" si="9256">IF(LanGog2LevelCurrent&gt;=$B132,"-",IF(LanGog2LevelDesired&lt;$B132,"-",$C132))</f>
        <v>-</v>
      </c>
      <c r="BC132" s="1" t="str">
        <f t="shared" ref="BC132" si="9257">IF(LanGog2LevelCurrent&gt;=$B132,"-",IF(LanGog2LevelDesired&lt;$B132,"-",$D132))</f>
        <v>-</v>
      </c>
      <c r="BD132" s="21" t="str">
        <f t="shared" ref="BD132" si="9258">IF(LanGog2LevelCurrent&gt;=$B132,"-",IF(LanGog2LevelDesired&lt;$B132,"-",$E132))</f>
        <v>-</v>
      </c>
      <c r="BE132" s="15" t="str">
        <f t="shared" ref="BE132" si="9259">IF(LanGlo2LevelCurrent&gt;=$B132,"-",IF(LanGlo2LevelDesired&lt;$B132,"-",$C132))</f>
        <v>-</v>
      </c>
      <c r="BF132" s="1" t="str">
        <f t="shared" ref="BF132" si="9260">IF(LanGlo2LevelCurrent&gt;=$B132,"-",IF(LanGlo2LevelDesired&lt;$B132,"-",$D132))</f>
        <v>-</v>
      </c>
      <c r="BG132" s="21" t="str">
        <f t="shared" ref="BG132" si="9261">IF(LanGlo2LevelCurrent&gt;=$B132,"-",IF(LanGlo2LevelDesired&lt;$B132,"-",$E132))</f>
        <v>-</v>
      </c>
      <c r="BH132" s="15" t="str">
        <f t="shared" ref="BH132" si="9262">IF(LanBel2LevelCurrent&gt;=$B132,"-",IF(LanBel2LevelDesired&lt;$B132,"-",$C132))</f>
        <v>-</v>
      </c>
      <c r="BI132" s="1" t="str">
        <f t="shared" ref="BI132" si="9263">IF(LanBel2LevelCurrent&gt;=$B132,"-",IF(LanBel2LevelDesired&lt;$B132,"-",$D132))</f>
        <v>-</v>
      </c>
      <c r="BJ132" s="21" t="str">
        <f t="shared" ref="BJ132" si="9264">IF(LanBel2LevelCurrent&gt;=$B132,"-",IF(LanBel2LevelDesired&lt;$B132,"-",$E132))</f>
        <v>-</v>
      </c>
      <c r="BK132" s="15" t="str">
        <f t="shared" ref="BK132" si="9265">IF(LanBoo2LevelCurrent&gt;=$B132,"-",IF(LanBoo2LevelDesired&lt;$B132,"-",$C132))</f>
        <v>-</v>
      </c>
      <c r="BL132" s="1" t="str">
        <f t="shared" ref="BL132" si="9266">IF(LanBoo2LevelCurrent&gt;=$B132,"-",IF(LanBoo2LevelDesired&lt;$B132,"-",$D132))</f>
        <v>-</v>
      </c>
      <c r="BM132" s="21" t="str">
        <f t="shared" ref="BM132" si="9267">IF(LanBoo2LevelCurrent&gt;=$B132,"-",IF(LanBoo2LevelDesired&lt;$B132,"-",$E132))</f>
        <v>-</v>
      </c>
      <c r="BN132" s="15" t="str">
        <f t="shared" ref="BN132" si="9268">IF(MarGog2LevelCurrent&gt;=$B132,"-",IF(MarGog2LevelDesired&lt;$B132,"-",$C132))</f>
        <v>-</v>
      </c>
      <c r="BO132" s="1" t="str">
        <f t="shared" ref="BO132" si="9269">IF(MarGog2LevelCurrent&gt;=$B132,"-",IF(MarGog2LevelDesired&lt;$B132,"-",$D132))</f>
        <v>-</v>
      </c>
      <c r="BP132" s="21" t="str">
        <f t="shared" ref="BP132" si="9270">IF(MarGog2LevelCurrent&gt;=$B132,"-",IF(MarGog2LevelDesired&lt;$B132,"-",$E132))</f>
        <v>-</v>
      </c>
      <c r="BQ132" s="15" t="str">
        <f t="shared" ref="BQ132" si="9271">IF(MarGlo2LevelCurrent&gt;=$B132,"-",IF(MarGlo2LevelDesired&lt;$B132,"-",$C132))</f>
        <v>-</v>
      </c>
      <c r="BR132" s="1" t="str">
        <f t="shared" ref="BR132" si="9272">IF(MarGlo2LevelCurrent&gt;=$B132,"-",IF(MarGlo2LevelDesired&lt;$B132,"-",$D132))</f>
        <v>-</v>
      </c>
      <c r="BS132" s="21" t="str">
        <f t="shared" ref="BS132" si="9273">IF(MarGlo2LevelCurrent&gt;=$B132,"-",IF(MarGlo2LevelDesired&lt;$B132,"-",$E132))</f>
        <v>-</v>
      </c>
      <c r="BT132" s="15" t="str">
        <f t="shared" ref="BT132" si="9274">IF(MarBel2LevelCurrent&gt;=$B132,"-",IF(MarBel2LevelDesired&lt;$B132,"-",$C132))</f>
        <v>-</v>
      </c>
      <c r="BU132" s="1" t="str">
        <f t="shared" ref="BU132" si="9275">IF(MarBel2LevelCurrent&gt;=$B132,"-",IF(MarBel2LevelDesired&lt;$B132,"-",$D132))</f>
        <v>-</v>
      </c>
      <c r="BV132" s="21" t="str">
        <f t="shared" ref="BV132" si="9276">IF(MarBel2LevelCurrent&gt;=$B132,"-",IF(MarBel2LevelDesired&lt;$B132,"-",$E132))</f>
        <v>-</v>
      </c>
      <c r="BW132" s="15" t="str">
        <f t="shared" ref="BW132" si="9277">IF(MarBoo2LevelCurrent&gt;=$B132,"-",IF(MarBoo2LevelDesired&lt;$B132,"-",$C132))</f>
        <v>-</v>
      </c>
      <c r="BX132" s="1" t="str">
        <f t="shared" ref="BX132" si="9278">IF(MarBoo2LevelCurrent&gt;=$B132,"-",IF(MarBoo2LevelDesired&lt;$B132,"-",$D132))</f>
        <v>-</v>
      </c>
      <c r="BY132" s="21" t="str">
        <f t="shared" ref="BY132" si="9279">IF(MarBoo2LevelCurrent&gt;=$B132,"-",IF(MarBoo2LevelDesired&lt;$B132,"-",$E132))</f>
        <v>-</v>
      </c>
      <c r="BZ132" s="15" t="str">
        <f t="shared" si="7086"/>
        <v>-</v>
      </c>
      <c r="CA132" s="1" t="str" cm="1">
        <f t="array" ref="CA132">IF(InfGog3LevelCurrent&gt;=$B132,"-",IF(InfGog3LevelDesired&lt;$B132,"-",$D132))</f>
        <v>-</v>
      </c>
      <c r="CB132" s="21" t="str" cm="1">
        <f t="array" ref="CB132">IF(InfGog3LevelCurrent&gt;=$B132,"-",IF(InfGog3LevelDesired&lt;$B132,"-",$E132))</f>
        <v>-</v>
      </c>
      <c r="CC132" s="15" t="str">
        <f t="shared" si="7087"/>
        <v>-</v>
      </c>
      <c r="CD132" s="1" t="str">
        <f t="shared" si="7088"/>
        <v>-</v>
      </c>
      <c r="CE132" s="21" t="str">
        <f t="shared" si="7089"/>
        <v>-</v>
      </c>
      <c r="CF132" s="15" t="str">
        <f t="shared" si="7090"/>
        <v>-</v>
      </c>
      <c r="CG132" s="1" t="str">
        <f t="shared" si="7091"/>
        <v>-</v>
      </c>
      <c r="CH132" s="21" t="str">
        <f t="shared" si="7092"/>
        <v>-</v>
      </c>
      <c r="CI132" s="15" t="str">
        <f t="shared" si="7093"/>
        <v>-</v>
      </c>
      <c r="CJ132" s="1" t="str">
        <f t="shared" si="7094"/>
        <v>-</v>
      </c>
      <c r="CK132" s="21" t="str">
        <f t="shared" si="7095"/>
        <v>-</v>
      </c>
      <c r="CL132" s="15" t="str">
        <f t="shared" si="7096"/>
        <v>-</v>
      </c>
      <c r="CM132" s="1" t="str">
        <f t="shared" si="7097"/>
        <v>-</v>
      </c>
      <c r="CN132" s="21" t="str">
        <f t="shared" si="7098"/>
        <v>-</v>
      </c>
      <c r="CO132" s="15" t="str">
        <f t="shared" si="7099"/>
        <v>-</v>
      </c>
      <c r="CP132" s="1" t="str">
        <f t="shared" si="7100"/>
        <v>-</v>
      </c>
      <c r="CQ132" s="21" t="str">
        <f t="shared" si="7101"/>
        <v>-</v>
      </c>
      <c r="CR132" s="15" t="str">
        <f t="shared" si="7102"/>
        <v>-</v>
      </c>
      <c r="CS132" s="1" t="str">
        <f t="shared" si="7103"/>
        <v>-</v>
      </c>
      <c r="CT132" s="21" t="str">
        <f t="shared" si="7104"/>
        <v>-</v>
      </c>
      <c r="CU132" s="15" t="str">
        <f t="shared" si="7105"/>
        <v>-</v>
      </c>
      <c r="CV132" s="1" t="str">
        <f t="shared" si="7106"/>
        <v>-</v>
      </c>
      <c r="CW132" s="21" t="str">
        <f t="shared" si="7107"/>
        <v>-</v>
      </c>
      <c r="CX132" s="15" t="str">
        <f t="shared" si="7108"/>
        <v>-</v>
      </c>
      <c r="CY132" s="1" t="str">
        <f t="shared" si="7109"/>
        <v>-</v>
      </c>
      <c r="CZ132" s="21" t="str">
        <f t="shared" si="7110"/>
        <v>-</v>
      </c>
      <c r="DA132" s="15" t="str">
        <f t="shared" si="7111"/>
        <v>-</v>
      </c>
      <c r="DB132" s="1" t="str">
        <f t="shared" si="7112"/>
        <v>-</v>
      </c>
      <c r="DC132" s="21" t="str">
        <f t="shared" si="7113"/>
        <v>-</v>
      </c>
      <c r="DD132" s="15" t="str">
        <f t="shared" si="7114"/>
        <v>-</v>
      </c>
      <c r="DE132" s="1" t="str">
        <f t="shared" si="7115"/>
        <v>-</v>
      </c>
      <c r="DF132" s="21" t="str">
        <f t="shared" si="7116"/>
        <v>-</v>
      </c>
      <c r="DG132" s="15" t="str">
        <f t="shared" si="7117"/>
        <v>-</v>
      </c>
      <c r="DH132" s="1" t="str">
        <f t="shared" si="7118"/>
        <v>-</v>
      </c>
      <c r="DI132" s="21" t="str">
        <f t="shared" si="7119"/>
        <v>-</v>
      </c>
    </row>
    <row r="133" spans="2:113" x14ac:dyDescent="0.3">
      <c r="B133" s="1">
        <v>128</v>
      </c>
      <c r="C133" s="67">
        <v>3850</v>
      </c>
      <c r="D133" s="88" t="s">
        <v>27</v>
      </c>
      <c r="E133" s="68" t="s">
        <v>27</v>
      </c>
      <c r="F133" s="15" t="str">
        <f t="shared" ref="F133" si="9280">IF(InfGog1LevelCurrent&gt;=$B133,"-",IF(InfGog1LevelDesired&lt;$B133,"-",$C133))</f>
        <v>-</v>
      </c>
      <c r="G133" s="1" t="str">
        <f t="shared" ref="G133" si="9281">IF(InfGog1LevelCurrent&gt;=$B133,"-",IF(InfGog1LevelDesired&lt;$B133,"-",$D133))</f>
        <v>-</v>
      </c>
      <c r="H133" s="21" t="str">
        <f t="shared" ref="H133" si="9282">IF(InfGog1LevelCurrent&gt;=$B133,"-",IF(InfGog1LevelDesired&lt;$B133,"-",$E133))</f>
        <v>-</v>
      </c>
      <c r="I133" s="15" t="str">
        <f t="shared" ref="I133" si="9283">IF(InfGlo1LevelCurrent&gt;=$B133,"-",IF(InfGlo1LevelDesired&lt;$B133,"-",$C133))</f>
        <v>-</v>
      </c>
      <c r="J133" s="1" t="str">
        <f t="shared" ref="J133" si="9284">IF(InfGlo1LevelCurrent&gt;=$B133,"-",IF(InfGlo1LevelDesired&lt;$B133,"-",$D133))</f>
        <v>-</v>
      </c>
      <c r="K133" s="21" t="str">
        <f t="shared" ref="K133" si="9285">IF(InfGlo1LevelCurrent&gt;=$B133,"-",IF(InfGlo1LevelDesired&lt;$B133,"-",$E133))</f>
        <v>-</v>
      </c>
      <c r="L133" s="15" t="str">
        <f t="shared" ref="L133" si="9286">IF(InfBel1LevelCurrent&gt;=$B133,"-",IF(InfBel1LevelDesired&lt;$B133,"-",$C133))</f>
        <v>-</v>
      </c>
      <c r="M133" s="1" t="str">
        <f t="shared" ref="M133" si="9287">IF(InfBel1LevelCurrent&gt;=$B133,"-",IF(InfBel1LevelDesired&lt;$B133,"-",$D133))</f>
        <v>-</v>
      </c>
      <c r="N133" s="21" t="str">
        <f t="shared" ref="N133" si="9288">IF(InfBel1LevelCurrent&gt;=$B133,"-",IF(InfBel1LevelDesired&lt;$B133,"-",$E133))</f>
        <v>-</v>
      </c>
      <c r="O133" s="15" t="str">
        <f t="shared" ref="O133" si="9289">IF(InfBoo1LevelCurrent&gt;=$B133,"-",IF(InfBoo1LevelDesired&lt;$B133,"-",$C133))</f>
        <v>-</v>
      </c>
      <c r="P133" s="1" t="str">
        <f t="shared" ref="P133" si="9290">IF(InfBoo1LevelCurrent&gt;=$B133,"-",IF(InfBoo1LevelDesired&lt;$B133,"-",$D133))</f>
        <v>-</v>
      </c>
      <c r="Q133" s="21" t="str">
        <f t="shared" ref="Q133" si="9291">IF(InfBoo1LevelCurrent&gt;=$B133,"-",IF(InfBoo1LevelDesired&lt;$B133,"-",$E133))</f>
        <v>-</v>
      </c>
      <c r="R133" s="15" t="str">
        <f t="shared" ref="R133" si="9292">IF(LanGog1LevelCurrent&gt;=$B133,"-",IF(LanGog1LevelDesired&lt;$B133,"-",$C133))</f>
        <v>-</v>
      </c>
      <c r="S133" s="1" t="str">
        <f t="shared" ref="S133" si="9293">IF(LanGog1LevelCurrent&gt;=$B133,"-",IF(LanGog1LevelDesired&lt;$B133,"-",$D133))</f>
        <v>-</v>
      </c>
      <c r="T133" s="21" t="str">
        <f t="shared" ref="T133" si="9294">IF(LanGog1LevelCurrent&gt;=$B133,"-",IF(LanGog1LevelDesired&lt;$B133,"-",$E133))</f>
        <v>-</v>
      </c>
      <c r="U133" s="15" t="str">
        <f t="shared" ref="U133" si="9295">IF(LanGlo1LevelCurrent&gt;=$B133,"-",IF(LanGlo1LevelDesired&lt;$B133,"-",$C133))</f>
        <v>-</v>
      </c>
      <c r="V133" s="1" t="str">
        <f t="shared" ref="V133" si="9296">IF(LanGlo1LevelCurrent&gt;=$B133,"-",IF(LanGlo1LevelDesired&lt;$B133,"-",$D133))</f>
        <v>-</v>
      </c>
      <c r="W133" s="21" t="str">
        <f t="shared" ref="W133" si="9297">IF(LanGlo1LevelCurrent&gt;=$B133,"-",IF(LanGlo1LevelDesired&lt;$B133,"-",$E133))</f>
        <v>-</v>
      </c>
      <c r="X133" s="15" t="str">
        <f t="shared" ref="X133" si="9298">IF(LanBel1LevelCurrent&gt;=$B133,"-",IF(LanBel1LevelDesired&lt;$B133,"-",$C133))</f>
        <v>-</v>
      </c>
      <c r="Y133" s="1" t="str">
        <f t="shared" ref="Y133" si="9299">IF(LanBel1LevelCurrent&gt;=$B133,"-",IF(LanBel1LevelDesired&lt;$B133,"-",$D133))</f>
        <v>-</v>
      </c>
      <c r="Z133" s="21" t="str">
        <f t="shared" ref="Z133" si="9300">IF(LanBel1LevelCurrent&gt;=$B133,"-",IF(LanBel1LevelDesired&lt;$B133,"-",$E133))</f>
        <v>-</v>
      </c>
      <c r="AA133" s="15" t="str">
        <f t="shared" ref="AA133" si="9301">IF(LanBoo1LevelCurrent&gt;=$B133,"-",IF(LanBoo1LevelDesired&lt;$B133,"-",$C133))</f>
        <v>-</v>
      </c>
      <c r="AB133" s="1" t="str">
        <f t="shared" ref="AB133" si="9302">IF(LanBoo1LevelCurrent&gt;=$B133,"-",IF(LanBoo1LevelDesired&lt;$B133,"-",$D133))</f>
        <v>-</v>
      </c>
      <c r="AC133" s="21" t="str">
        <f t="shared" ref="AC133" si="9303">IF(LanBoo1LevelCurrent&gt;=$B133,"-",IF(LanBoo1LevelDesired&lt;$B133,"-",$E133))</f>
        <v>-</v>
      </c>
      <c r="AD133" s="15" t="str">
        <f t="shared" ref="AD133" si="9304">IF(MarGog1LevelCurrent&gt;=$B133,"-",IF(MarGog1LevelDesired&lt;$B133,"-",$C133))</f>
        <v>-</v>
      </c>
      <c r="AE133" s="1" t="str">
        <f t="shared" ref="AE133" si="9305">IF(MarGog1LevelCurrent&gt;=$B133,"-",IF(MarGog1LevelDesired&lt;$B133,"-",$D133))</f>
        <v>-</v>
      </c>
      <c r="AF133" s="21" t="str">
        <f t="shared" ref="AF133" si="9306">IF(MarGog1LevelCurrent&gt;=$B133,"-",IF(MarGog1LevelDesired&lt;$B133,"-",$E133))</f>
        <v>-</v>
      </c>
      <c r="AG133" s="15" t="str">
        <f t="shared" ref="AG133" si="9307">IF(MarGlo1LevelCurrent&gt;=$B133,"-",IF(MarGlo1LevelDesired&lt;$B133,"-",$C133))</f>
        <v>-</v>
      </c>
      <c r="AH133" s="1" t="str">
        <f t="shared" ref="AH133" si="9308">IF(MarGlo1LevelCurrent&gt;=$B133,"-",IF(MarGlo1LevelDesired&lt;$B133,"-",$D133))</f>
        <v>-</v>
      </c>
      <c r="AI133" s="21" t="str">
        <f t="shared" ref="AI133" si="9309">IF(MarGlo1LevelCurrent&gt;=$B133,"-",IF(MarGlo1LevelDesired&lt;$B133,"-",$E133))</f>
        <v>-</v>
      </c>
      <c r="AJ133" s="15" t="str">
        <f t="shared" ref="AJ133" si="9310">IF(MarBel1LevelCurrent&gt;=$B133,"-",IF(MarBel1LevelDesired&lt;$B133,"-",$C133))</f>
        <v>-</v>
      </c>
      <c r="AK133" s="1" t="str">
        <f t="shared" ref="AK133" si="9311">IF(MarBel1LevelCurrent&gt;=$B133,"-",IF(MarBel1LevelDesired&lt;$B133,"-",$D133))</f>
        <v>-</v>
      </c>
      <c r="AL133" s="21" t="str">
        <f t="shared" ref="AL133" si="9312">IF(MarBel1LevelCurrent&gt;=$B133,"-",IF(MarBel1LevelDesired&lt;$B133,"-",$E133))</f>
        <v>-</v>
      </c>
      <c r="AM133" s="15" t="str">
        <f t="shared" ref="AM133" si="9313">IF(MarBoo1LevelCurrent&gt;=$B133,"-",IF(MarBoo1LevelDesired&lt;$B133,"-",$C133))</f>
        <v>-</v>
      </c>
      <c r="AN133" s="1" t="str">
        <f t="shared" ref="AN133" si="9314">IF(MarBoo1LevelCurrent&gt;=$B133,"-",IF(MarBoo1LevelDesired&lt;$B133,"-",$D133))</f>
        <v>-</v>
      </c>
      <c r="AO133" s="21" t="str">
        <f t="shared" ref="AO133" si="9315">IF(MarBoo1LevelCurrent&gt;=$B133,"-",IF(MarBoo1LevelDesired&lt;$B133,"-",$E133))</f>
        <v>-</v>
      </c>
      <c r="AP133" s="15" t="str">
        <f t="shared" ref="AP133" si="9316">IF(InfGog2LevelCurrent&gt;=$B133,"-",IF(InfGog2LevelDesired&lt;$B133,"-",$C133))</f>
        <v>-</v>
      </c>
      <c r="AQ133" s="1" t="str">
        <f t="shared" ref="AQ133" si="9317">IF(InfGog2LevelCurrent&gt;=$B133,"-",IF(InfGog2LevelDesired&lt;$B133,"-",$D133))</f>
        <v>-</v>
      </c>
      <c r="AR133" s="21" t="str">
        <f t="shared" ref="AR133" si="9318">IF(InfGog2LevelCurrent&gt;=$B133,"-",IF(InfGog2LevelDesired&lt;$B133,"-",$E133))</f>
        <v>-</v>
      </c>
      <c r="AS133" s="15" t="str">
        <f t="shared" ref="AS133" si="9319">IF(InfGlo2LevelCurrent&gt;=$B133,"-",IF(InfGlo2LevelDesired&lt;$B133,"-",$C133))</f>
        <v>-</v>
      </c>
      <c r="AT133" s="1" t="str">
        <f t="shared" ref="AT133" si="9320">IF(InfGlo2LevelCurrent&gt;=$B133,"-",IF(InfGlo2LevelDesired&lt;$B133,"-",$D133))</f>
        <v>-</v>
      </c>
      <c r="AU133" s="21" t="str">
        <f t="shared" ref="AU133" si="9321">IF(InfGlo2LevelCurrent&gt;=$B133,"-",IF(InfGlo2LevelDesired&lt;$B133,"-",$E133))</f>
        <v>-</v>
      </c>
      <c r="AV133" s="15" t="str">
        <f t="shared" ref="AV133" si="9322">IF(InfBel2LevelCurrent&gt;=$B133,"-",IF(InfBel2LevelDesired&lt;$B133,"-",$C133))</f>
        <v>-</v>
      </c>
      <c r="AW133" s="1" t="str">
        <f t="shared" ref="AW133" si="9323">IF(InfBel2LevelCurrent&gt;=$B133,"-",IF(InfBel2LevelDesired&lt;$B133,"-",$D133))</f>
        <v>-</v>
      </c>
      <c r="AX133" s="21" t="str">
        <f t="shared" ref="AX133" si="9324">IF(InfBel2LevelCurrent&gt;=$B133,"-",IF(InfBel2LevelDesired&lt;$B133,"-",$E133))</f>
        <v>-</v>
      </c>
      <c r="AY133" s="15" t="str">
        <f t="shared" ref="AY133" si="9325">IF(InfBoo2LevelCurrent&gt;=$B133,"-",IF(InfBoo2LevelDesired&lt;$B133,"-",$C133))</f>
        <v>-</v>
      </c>
      <c r="AZ133" s="1" t="str">
        <f t="shared" ref="AZ133" si="9326">IF(InfBoo2LevelCurrent&gt;=$B133,"-",IF(InfBoo2LevelDesired&lt;$B133,"-",$D133))</f>
        <v>-</v>
      </c>
      <c r="BA133" s="21" t="str">
        <f t="shared" ref="BA133" si="9327">IF(InfBoo2LevelCurrent&gt;=$B133,"-",IF(InfBoo2LevelDesired&lt;$B133,"-",$E133))</f>
        <v>-</v>
      </c>
      <c r="BB133" s="15" t="str">
        <f t="shared" ref="BB133" si="9328">IF(LanGog2LevelCurrent&gt;=$B133,"-",IF(LanGog2LevelDesired&lt;$B133,"-",$C133))</f>
        <v>-</v>
      </c>
      <c r="BC133" s="1" t="str">
        <f t="shared" ref="BC133" si="9329">IF(LanGog2LevelCurrent&gt;=$B133,"-",IF(LanGog2LevelDesired&lt;$B133,"-",$D133))</f>
        <v>-</v>
      </c>
      <c r="BD133" s="21" t="str">
        <f t="shared" ref="BD133" si="9330">IF(LanGog2LevelCurrent&gt;=$B133,"-",IF(LanGog2LevelDesired&lt;$B133,"-",$E133))</f>
        <v>-</v>
      </c>
      <c r="BE133" s="15" t="str">
        <f t="shared" ref="BE133" si="9331">IF(LanGlo2LevelCurrent&gt;=$B133,"-",IF(LanGlo2LevelDesired&lt;$B133,"-",$C133))</f>
        <v>-</v>
      </c>
      <c r="BF133" s="1" t="str">
        <f t="shared" ref="BF133" si="9332">IF(LanGlo2LevelCurrent&gt;=$B133,"-",IF(LanGlo2LevelDesired&lt;$B133,"-",$D133))</f>
        <v>-</v>
      </c>
      <c r="BG133" s="21" t="str">
        <f t="shared" ref="BG133" si="9333">IF(LanGlo2LevelCurrent&gt;=$B133,"-",IF(LanGlo2LevelDesired&lt;$B133,"-",$E133))</f>
        <v>-</v>
      </c>
      <c r="BH133" s="15" t="str">
        <f t="shared" ref="BH133" si="9334">IF(LanBel2LevelCurrent&gt;=$B133,"-",IF(LanBel2LevelDesired&lt;$B133,"-",$C133))</f>
        <v>-</v>
      </c>
      <c r="BI133" s="1" t="str">
        <f t="shared" ref="BI133" si="9335">IF(LanBel2LevelCurrent&gt;=$B133,"-",IF(LanBel2LevelDesired&lt;$B133,"-",$D133))</f>
        <v>-</v>
      </c>
      <c r="BJ133" s="21" t="str">
        <f t="shared" ref="BJ133" si="9336">IF(LanBel2LevelCurrent&gt;=$B133,"-",IF(LanBel2LevelDesired&lt;$B133,"-",$E133))</f>
        <v>-</v>
      </c>
      <c r="BK133" s="15" t="str">
        <f t="shared" ref="BK133" si="9337">IF(LanBoo2LevelCurrent&gt;=$B133,"-",IF(LanBoo2LevelDesired&lt;$B133,"-",$C133))</f>
        <v>-</v>
      </c>
      <c r="BL133" s="1" t="str">
        <f t="shared" ref="BL133" si="9338">IF(LanBoo2LevelCurrent&gt;=$B133,"-",IF(LanBoo2LevelDesired&lt;$B133,"-",$D133))</f>
        <v>-</v>
      </c>
      <c r="BM133" s="21" t="str">
        <f t="shared" ref="BM133" si="9339">IF(LanBoo2LevelCurrent&gt;=$B133,"-",IF(LanBoo2LevelDesired&lt;$B133,"-",$E133))</f>
        <v>-</v>
      </c>
      <c r="BN133" s="15" t="str">
        <f t="shared" ref="BN133" si="9340">IF(MarGog2LevelCurrent&gt;=$B133,"-",IF(MarGog2LevelDesired&lt;$B133,"-",$C133))</f>
        <v>-</v>
      </c>
      <c r="BO133" s="1" t="str">
        <f t="shared" ref="BO133" si="9341">IF(MarGog2LevelCurrent&gt;=$B133,"-",IF(MarGog2LevelDesired&lt;$B133,"-",$D133))</f>
        <v>-</v>
      </c>
      <c r="BP133" s="21" t="str">
        <f t="shared" ref="BP133" si="9342">IF(MarGog2LevelCurrent&gt;=$B133,"-",IF(MarGog2LevelDesired&lt;$B133,"-",$E133))</f>
        <v>-</v>
      </c>
      <c r="BQ133" s="15" t="str">
        <f t="shared" ref="BQ133" si="9343">IF(MarGlo2LevelCurrent&gt;=$B133,"-",IF(MarGlo2LevelDesired&lt;$B133,"-",$C133))</f>
        <v>-</v>
      </c>
      <c r="BR133" s="1" t="str">
        <f t="shared" ref="BR133" si="9344">IF(MarGlo2LevelCurrent&gt;=$B133,"-",IF(MarGlo2LevelDesired&lt;$B133,"-",$D133))</f>
        <v>-</v>
      </c>
      <c r="BS133" s="21" t="str">
        <f t="shared" ref="BS133" si="9345">IF(MarGlo2LevelCurrent&gt;=$B133,"-",IF(MarGlo2LevelDesired&lt;$B133,"-",$E133))</f>
        <v>-</v>
      </c>
      <c r="BT133" s="15" t="str">
        <f t="shared" ref="BT133" si="9346">IF(MarBel2LevelCurrent&gt;=$B133,"-",IF(MarBel2LevelDesired&lt;$B133,"-",$C133))</f>
        <v>-</v>
      </c>
      <c r="BU133" s="1" t="str">
        <f t="shared" ref="BU133" si="9347">IF(MarBel2LevelCurrent&gt;=$B133,"-",IF(MarBel2LevelDesired&lt;$B133,"-",$D133))</f>
        <v>-</v>
      </c>
      <c r="BV133" s="21" t="str">
        <f t="shared" ref="BV133" si="9348">IF(MarBel2LevelCurrent&gt;=$B133,"-",IF(MarBel2LevelDesired&lt;$B133,"-",$E133))</f>
        <v>-</v>
      </c>
      <c r="BW133" s="15" t="str">
        <f t="shared" ref="BW133" si="9349">IF(MarBoo2LevelCurrent&gt;=$B133,"-",IF(MarBoo2LevelDesired&lt;$B133,"-",$C133))</f>
        <v>-</v>
      </c>
      <c r="BX133" s="1" t="str">
        <f t="shared" ref="BX133" si="9350">IF(MarBoo2LevelCurrent&gt;=$B133,"-",IF(MarBoo2LevelDesired&lt;$B133,"-",$D133))</f>
        <v>-</v>
      </c>
      <c r="BY133" s="21" t="str">
        <f t="shared" ref="BY133" si="9351">IF(MarBoo2LevelCurrent&gt;=$B133,"-",IF(MarBoo2LevelDesired&lt;$B133,"-",$E133))</f>
        <v>-</v>
      </c>
      <c r="BZ133" s="15" t="str">
        <f t="shared" si="7086"/>
        <v>-</v>
      </c>
      <c r="CA133" s="1" t="str" cm="1">
        <f t="array" ref="CA133">IF(InfGog3LevelCurrent&gt;=$B133,"-",IF(InfGog3LevelDesired&lt;$B133,"-",$D133))</f>
        <v>-</v>
      </c>
      <c r="CB133" s="21" t="str" cm="1">
        <f t="array" ref="CB133">IF(InfGog3LevelCurrent&gt;=$B133,"-",IF(InfGog3LevelDesired&lt;$B133,"-",$E133))</f>
        <v>-</v>
      </c>
      <c r="CC133" s="15" t="str">
        <f t="shared" si="7087"/>
        <v>-</v>
      </c>
      <c r="CD133" s="1" t="str">
        <f t="shared" si="7088"/>
        <v>-</v>
      </c>
      <c r="CE133" s="21" t="str">
        <f t="shared" si="7089"/>
        <v>-</v>
      </c>
      <c r="CF133" s="15" t="str">
        <f t="shared" si="7090"/>
        <v>-</v>
      </c>
      <c r="CG133" s="1" t="str">
        <f t="shared" si="7091"/>
        <v>-</v>
      </c>
      <c r="CH133" s="21" t="str">
        <f t="shared" si="7092"/>
        <v>-</v>
      </c>
      <c r="CI133" s="15" t="str">
        <f t="shared" si="7093"/>
        <v>-</v>
      </c>
      <c r="CJ133" s="1" t="str">
        <f t="shared" si="7094"/>
        <v>-</v>
      </c>
      <c r="CK133" s="21" t="str">
        <f t="shared" si="7095"/>
        <v>-</v>
      </c>
      <c r="CL133" s="15" t="str">
        <f t="shared" si="7096"/>
        <v>-</v>
      </c>
      <c r="CM133" s="1" t="str">
        <f t="shared" si="7097"/>
        <v>-</v>
      </c>
      <c r="CN133" s="21" t="str">
        <f t="shared" si="7098"/>
        <v>-</v>
      </c>
      <c r="CO133" s="15" t="str">
        <f t="shared" si="7099"/>
        <v>-</v>
      </c>
      <c r="CP133" s="1" t="str">
        <f t="shared" si="7100"/>
        <v>-</v>
      </c>
      <c r="CQ133" s="21" t="str">
        <f t="shared" si="7101"/>
        <v>-</v>
      </c>
      <c r="CR133" s="15" t="str">
        <f t="shared" si="7102"/>
        <v>-</v>
      </c>
      <c r="CS133" s="1" t="str">
        <f t="shared" si="7103"/>
        <v>-</v>
      </c>
      <c r="CT133" s="21" t="str">
        <f t="shared" si="7104"/>
        <v>-</v>
      </c>
      <c r="CU133" s="15" t="str">
        <f t="shared" si="7105"/>
        <v>-</v>
      </c>
      <c r="CV133" s="1" t="str">
        <f t="shared" si="7106"/>
        <v>-</v>
      </c>
      <c r="CW133" s="21" t="str">
        <f t="shared" si="7107"/>
        <v>-</v>
      </c>
      <c r="CX133" s="15" t="str">
        <f t="shared" si="7108"/>
        <v>-</v>
      </c>
      <c r="CY133" s="1" t="str">
        <f t="shared" si="7109"/>
        <v>-</v>
      </c>
      <c r="CZ133" s="21" t="str">
        <f t="shared" si="7110"/>
        <v>-</v>
      </c>
      <c r="DA133" s="15" t="str">
        <f t="shared" si="7111"/>
        <v>-</v>
      </c>
      <c r="DB133" s="1" t="str">
        <f t="shared" si="7112"/>
        <v>-</v>
      </c>
      <c r="DC133" s="21" t="str">
        <f t="shared" si="7113"/>
        <v>-</v>
      </c>
      <c r="DD133" s="15" t="str">
        <f t="shared" si="7114"/>
        <v>-</v>
      </c>
      <c r="DE133" s="1" t="str">
        <f t="shared" si="7115"/>
        <v>-</v>
      </c>
      <c r="DF133" s="21" t="str">
        <f t="shared" si="7116"/>
        <v>-</v>
      </c>
      <c r="DG133" s="15" t="str">
        <f t="shared" si="7117"/>
        <v>-</v>
      </c>
      <c r="DH133" s="1" t="str">
        <f t="shared" si="7118"/>
        <v>-</v>
      </c>
      <c r="DI133" s="21" t="str">
        <f t="shared" si="7119"/>
        <v>-</v>
      </c>
    </row>
    <row r="134" spans="2:113" x14ac:dyDescent="0.3">
      <c r="B134" s="1">
        <v>129</v>
      </c>
      <c r="C134" s="67">
        <v>3900</v>
      </c>
      <c r="D134" s="88" t="s">
        <v>27</v>
      </c>
      <c r="E134" s="68" t="s">
        <v>27</v>
      </c>
      <c r="F134" s="15" t="str">
        <f t="shared" ref="F134" si="9352">IF(InfGog1LevelCurrent&gt;=$B134,"-",IF(InfGog1LevelDesired&lt;$B134,"-",$C134))</f>
        <v>-</v>
      </c>
      <c r="G134" s="1" t="str">
        <f t="shared" ref="G134" si="9353">IF(InfGog1LevelCurrent&gt;=$B134,"-",IF(InfGog1LevelDesired&lt;$B134,"-",$D134))</f>
        <v>-</v>
      </c>
      <c r="H134" s="21" t="str">
        <f t="shared" ref="H134" si="9354">IF(InfGog1LevelCurrent&gt;=$B134,"-",IF(InfGog1LevelDesired&lt;$B134,"-",$E134))</f>
        <v>-</v>
      </c>
      <c r="I134" s="15" t="str">
        <f t="shared" ref="I134" si="9355">IF(InfGlo1LevelCurrent&gt;=$B134,"-",IF(InfGlo1LevelDesired&lt;$B134,"-",$C134))</f>
        <v>-</v>
      </c>
      <c r="J134" s="1" t="str">
        <f t="shared" ref="J134" si="9356">IF(InfGlo1LevelCurrent&gt;=$B134,"-",IF(InfGlo1LevelDesired&lt;$B134,"-",$D134))</f>
        <v>-</v>
      </c>
      <c r="K134" s="21" t="str">
        <f t="shared" ref="K134" si="9357">IF(InfGlo1LevelCurrent&gt;=$B134,"-",IF(InfGlo1LevelDesired&lt;$B134,"-",$E134))</f>
        <v>-</v>
      </c>
      <c r="L134" s="15" t="str">
        <f t="shared" ref="L134" si="9358">IF(InfBel1LevelCurrent&gt;=$B134,"-",IF(InfBel1LevelDesired&lt;$B134,"-",$C134))</f>
        <v>-</v>
      </c>
      <c r="M134" s="1" t="str">
        <f t="shared" ref="M134" si="9359">IF(InfBel1LevelCurrent&gt;=$B134,"-",IF(InfBel1LevelDesired&lt;$B134,"-",$D134))</f>
        <v>-</v>
      </c>
      <c r="N134" s="21" t="str">
        <f t="shared" ref="N134" si="9360">IF(InfBel1LevelCurrent&gt;=$B134,"-",IF(InfBel1LevelDesired&lt;$B134,"-",$E134))</f>
        <v>-</v>
      </c>
      <c r="O134" s="15" t="str">
        <f t="shared" ref="O134" si="9361">IF(InfBoo1LevelCurrent&gt;=$B134,"-",IF(InfBoo1LevelDesired&lt;$B134,"-",$C134))</f>
        <v>-</v>
      </c>
      <c r="P134" s="1" t="str">
        <f t="shared" ref="P134" si="9362">IF(InfBoo1LevelCurrent&gt;=$B134,"-",IF(InfBoo1LevelDesired&lt;$B134,"-",$D134))</f>
        <v>-</v>
      </c>
      <c r="Q134" s="21" t="str">
        <f t="shared" ref="Q134" si="9363">IF(InfBoo1LevelCurrent&gt;=$B134,"-",IF(InfBoo1LevelDesired&lt;$B134,"-",$E134))</f>
        <v>-</v>
      </c>
      <c r="R134" s="15" t="str">
        <f t="shared" ref="R134" si="9364">IF(LanGog1LevelCurrent&gt;=$B134,"-",IF(LanGog1LevelDesired&lt;$B134,"-",$C134))</f>
        <v>-</v>
      </c>
      <c r="S134" s="1" t="str">
        <f t="shared" ref="S134" si="9365">IF(LanGog1LevelCurrent&gt;=$B134,"-",IF(LanGog1LevelDesired&lt;$B134,"-",$D134))</f>
        <v>-</v>
      </c>
      <c r="T134" s="21" t="str">
        <f t="shared" ref="T134" si="9366">IF(LanGog1LevelCurrent&gt;=$B134,"-",IF(LanGog1LevelDesired&lt;$B134,"-",$E134))</f>
        <v>-</v>
      </c>
      <c r="U134" s="15" t="str">
        <f t="shared" ref="U134" si="9367">IF(LanGlo1LevelCurrent&gt;=$B134,"-",IF(LanGlo1LevelDesired&lt;$B134,"-",$C134))</f>
        <v>-</v>
      </c>
      <c r="V134" s="1" t="str">
        <f t="shared" ref="V134" si="9368">IF(LanGlo1LevelCurrent&gt;=$B134,"-",IF(LanGlo1LevelDesired&lt;$B134,"-",$D134))</f>
        <v>-</v>
      </c>
      <c r="W134" s="21" t="str">
        <f t="shared" ref="W134" si="9369">IF(LanGlo1LevelCurrent&gt;=$B134,"-",IF(LanGlo1LevelDesired&lt;$B134,"-",$E134))</f>
        <v>-</v>
      </c>
      <c r="X134" s="15" t="str">
        <f t="shared" ref="X134" si="9370">IF(LanBel1LevelCurrent&gt;=$B134,"-",IF(LanBel1LevelDesired&lt;$B134,"-",$C134))</f>
        <v>-</v>
      </c>
      <c r="Y134" s="1" t="str">
        <f t="shared" ref="Y134" si="9371">IF(LanBel1LevelCurrent&gt;=$B134,"-",IF(LanBel1LevelDesired&lt;$B134,"-",$D134))</f>
        <v>-</v>
      </c>
      <c r="Z134" s="21" t="str">
        <f t="shared" ref="Z134" si="9372">IF(LanBel1LevelCurrent&gt;=$B134,"-",IF(LanBel1LevelDesired&lt;$B134,"-",$E134))</f>
        <v>-</v>
      </c>
      <c r="AA134" s="15" t="str">
        <f t="shared" ref="AA134" si="9373">IF(LanBoo1LevelCurrent&gt;=$B134,"-",IF(LanBoo1LevelDesired&lt;$B134,"-",$C134))</f>
        <v>-</v>
      </c>
      <c r="AB134" s="1" t="str">
        <f t="shared" ref="AB134" si="9374">IF(LanBoo1LevelCurrent&gt;=$B134,"-",IF(LanBoo1LevelDesired&lt;$B134,"-",$D134))</f>
        <v>-</v>
      </c>
      <c r="AC134" s="21" t="str">
        <f t="shared" ref="AC134" si="9375">IF(LanBoo1LevelCurrent&gt;=$B134,"-",IF(LanBoo1LevelDesired&lt;$B134,"-",$E134))</f>
        <v>-</v>
      </c>
      <c r="AD134" s="15" t="str">
        <f t="shared" ref="AD134" si="9376">IF(MarGog1LevelCurrent&gt;=$B134,"-",IF(MarGog1LevelDesired&lt;$B134,"-",$C134))</f>
        <v>-</v>
      </c>
      <c r="AE134" s="1" t="str">
        <f t="shared" ref="AE134" si="9377">IF(MarGog1LevelCurrent&gt;=$B134,"-",IF(MarGog1LevelDesired&lt;$B134,"-",$D134))</f>
        <v>-</v>
      </c>
      <c r="AF134" s="21" t="str">
        <f t="shared" ref="AF134" si="9378">IF(MarGog1LevelCurrent&gt;=$B134,"-",IF(MarGog1LevelDesired&lt;$B134,"-",$E134))</f>
        <v>-</v>
      </c>
      <c r="AG134" s="15" t="str">
        <f t="shared" ref="AG134" si="9379">IF(MarGlo1LevelCurrent&gt;=$B134,"-",IF(MarGlo1LevelDesired&lt;$B134,"-",$C134))</f>
        <v>-</v>
      </c>
      <c r="AH134" s="1" t="str">
        <f t="shared" ref="AH134" si="9380">IF(MarGlo1LevelCurrent&gt;=$B134,"-",IF(MarGlo1LevelDesired&lt;$B134,"-",$D134))</f>
        <v>-</v>
      </c>
      <c r="AI134" s="21" t="str">
        <f t="shared" ref="AI134" si="9381">IF(MarGlo1LevelCurrent&gt;=$B134,"-",IF(MarGlo1LevelDesired&lt;$B134,"-",$E134))</f>
        <v>-</v>
      </c>
      <c r="AJ134" s="15" t="str">
        <f t="shared" ref="AJ134" si="9382">IF(MarBel1LevelCurrent&gt;=$B134,"-",IF(MarBel1LevelDesired&lt;$B134,"-",$C134))</f>
        <v>-</v>
      </c>
      <c r="AK134" s="1" t="str">
        <f t="shared" ref="AK134" si="9383">IF(MarBel1LevelCurrent&gt;=$B134,"-",IF(MarBel1LevelDesired&lt;$B134,"-",$D134))</f>
        <v>-</v>
      </c>
      <c r="AL134" s="21" t="str">
        <f t="shared" ref="AL134" si="9384">IF(MarBel1LevelCurrent&gt;=$B134,"-",IF(MarBel1LevelDesired&lt;$B134,"-",$E134))</f>
        <v>-</v>
      </c>
      <c r="AM134" s="15" t="str">
        <f t="shared" ref="AM134" si="9385">IF(MarBoo1LevelCurrent&gt;=$B134,"-",IF(MarBoo1LevelDesired&lt;$B134,"-",$C134))</f>
        <v>-</v>
      </c>
      <c r="AN134" s="1" t="str">
        <f t="shared" ref="AN134" si="9386">IF(MarBoo1LevelCurrent&gt;=$B134,"-",IF(MarBoo1LevelDesired&lt;$B134,"-",$D134))</f>
        <v>-</v>
      </c>
      <c r="AO134" s="21" t="str">
        <f t="shared" ref="AO134" si="9387">IF(MarBoo1LevelCurrent&gt;=$B134,"-",IF(MarBoo1LevelDesired&lt;$B134,"-",$E134))</f>
        <v>-</v>
      </c>
      <c r="AP134" s="15" t="str">
        <f t="shared" ref="AP134" si="9388">IF(InfGog2LevelCurrent&gt;=$B134,"-",IF(InfGog2LevelDesired&lt;$B134,"-",$C134))</f>
        <v>-</v>
      </c>
      <c r="AQ134" s="1" t="str">
        <f t="shared" ref="AQ134" si="9389">IF(InfGog2LevelCurrent&gt;=$B134,"-",IF(InfGog2LevelDesired&lt;$B134,"-",$D134))</f>
        <v>-</v>
      </c>
      <c r="AR134" s="21" t="str">
        <f t="shared" ref="AR134" si="9390">IF(InfGog2LevelCurrent&gt;=$B134,"-",IF(InfGog2LevelDesired&lt;$B134,"-",$E134))</f>
        <v>-</v>
      </c>
      <c r="AS134" s="15" t="str">
        <f t="shared" ref="AS134" si="9391">IF(InfGlo2LevelCurrent&gt;=$B134,"-",IF(InfGlo2LevelDesired&lt;$B134,"-",$C134))</f>
        <v>-</v>
      </c>
      <c r="AT134" s="1" t="str">
        <f t="shared" ref="AT134" si="9392">IF(InfGlo2LevelCurrent&gt;=$B134,"-",IF(InfGlo2LevelDesired&lt;$B134,"-",$D134))</f>
        <v>-</v>
      </c>
      <c r="AU134" s="21" t="str">
        <f t="shared" ref="AU134" si="9393">IF(InfGlo2LevelCurrent&gt;=$B134,"-",IF(InfGlo2LevelDesired&lt;$B134,"-",$E134))</f>
        <v>-</v>
      </c>
      <c r="AV134" s="15" t="str">
        <f t="shared" ref="AV134" si="9394">IF(InfBel2LevelCurrent&gt;=$B134,"-",IF(InfBel2LevelDesired&lt;$B134,"-",$C134))</f>
        <v>-</v>
      </c>
      <c r="AW134" s="1" t="str">
        <f t="shared" ref="AW134" si="9395">IF(InfBel2LevelCurrent&gt;=$B134,"-",IF(InfBel2LevelDesired&lt;$B134,"-",$D134))</f>
        <v>-</v>
      </c>
      <c r="AX134" s="21" t="str">
        <f t="shared" ref="AX134" si="9396">IF(InfBel2LevelCurrent&gt;=$B134,"-",IF(InfBel2LevelDesired&lt;$B134,"-",$E134))</f>
        <v>-</v>
      </c>
      <c r="AY134" s="15" t="str">
        <f t="shared" ref="AY134" si="9397">IF(InfBoo2LevelCurrent&gt;=$B134,"-",IF(InfBoo2LevelDesired&lt;$B134,"-",$C134))</f>
        <v>-</v>
      </c>
      <c r="AZ134" s="1" t="str">
        <f t="shared" ref="AZ134" si="9398">IF(InfBoo2LevelCurrent&gt;=$B134,"-",IF(InfBoo2LevelDesired&lt;$B134,"-",$D134))</f>
        <v>-</v>
      </c>
      <c r="BA134" s="21" t="str">
        <f t="shared" ref="BA134" si="9399">IF(InfBoo2LevelCurrent&gt;=$B134,"-",IF(InfBoo2LevelDesired&lt;$B134,"-",$E134))</f>
        <v>-</v>
      </c>
      <c r="BB134" s="15" t="str">
        <f t="shared" ref="BB134" si="9400">IF(LanGog2LevelCurrent&gt;=$B134,"-",IF(LanGog2LevelDesired&lt;$B134,"-",$C134))</f>
        <v>-</v>
      </c>
      <c r="BC134" s="1" t="str">
        <f t="shared" ref="BC134" si="9401">IF(LanGog2LevelCurrent&gt;=$B134,"-",IF(LanGog2LevelDesired&lt;$B134,"-",$D134))</f>
        <v>-</v>
      </c>
      <c r="BD134" s="21" t="str">
        <f t="shared" ref="BD134" si="9402">IF(LanGog2LevelCurrent&gt;=$B134,"-",IF(LanGog2LevelDesired&lt;$B134,"-",$E134))</f>
        <v>-</v>
      </c>
      <c r="BE134" s="15" t="str">
        <f t="shared" ref="BE134" si="9403">IF(LanGlo2LevelCurrent&gt;=$B134,"-",IF(LanGlo2LevelDesired&lt;$B134,"-",$C134))</f>
        <v>-</v>
      </c>
      <c r="BF134" s="1" t="str">
        <f t="shared" ref="BF134" si="9404">IF(LanGlo2LevelCurrent&gt;=$B134,"-",IF(LanGlo2LevelDesired&lt;$B134,"-",$D134))</f>
        <v>-</v>
      </c>
      <c r="BG134" s="21" t="str">
        <f t="shared" ref="BG134" si="9405">IF(LanGlo2LevelCurrent&gt;=$B134,"-",IF(LanGlo2LevelDesired&lt;$B134,"-",$E134))</f>
        <v>-</v>
      </c>
      <c r="BH134" s="15" t="str">
        <f t="shared" ref="BH134" si="9406">IF(LanBel2LevelCurrent&gt;=$B134,"-",IF(LanBel2LevelDesired&lt;$B134,"-",$C134))</f>
        <v>-</v>
      </c>
      <c r="BI134" s="1" t="str">
        <f t="shared" ref="BI134" si="9407">IF(LanBel2LevelCurrent&gt;=$B134,"-",IF(LanBel2LevelDesired&lt;$B134,"-",$D134))</f>
        <v>-</v>
      </c>
      <c r="BJ134" s="21" t="str">
        <f t="shared" ref="BJ134" si="9408">IF(LanBel2LevelCurrent&gt;=$B134,"-",IF(LanBel2LevelDesired&lt;$B134,"-",$E134))</f>
        <v>-</v>
      </c>
      <c r="BK134" s="15" t="str">
        <f t="shared" ref="BK134" si="9409">IF(LanBoo2LevelCurrent&gt;=$B134,"-",IF(LanBoo2LevelDesired&lt;$B134,"-",$C134))</f>
        <v>-</v>
      </c>
      <c r="BL134" s="1" t="str">
        <f t="shared" ref="BL134" si="9410">IF(LanBoo2LevelCurrent&gt;=$B134,"-",IF(LanBoo2LevelDesired&lt;$B134,"-",$D134))</f>
        <v>-</v>
      </c>
      <c r="BM134" s="21" t="str">
        <f t="shared" ref="BM134" si="9411">IF(LanBoo2LevelCurrent&gt;=$B134,"-",IF(LanBoo2LevelDesired&lt;$B134,"-",$E134))</f>
        <v>-</v>
      </c>
      <c r="BN134" s="15" t="str">
        <f t="shared" ref="BN134" si="9412">IF(MarGog2LevelCurrent&gt;=$B134,"-",IF(MarGog2LevelDesired&lt;$B134,"-",$C134))</f>
        <v>-</v>
      </c>
      <c r="BO134" s="1" t="str">
        <f t="shared" ref="BO134" si="9413">IF(MarGog2LevelCurrent&gt;=$B134,"-",IF(MarGog2LevelDesired&lt;$B134,"-",$D134))</f>
        <v>-</v>
      </c>
      <c r="BP134" s="21" t="str">
        <f t="shared" ref="BP134" si="9414">IF(MarGog2LevelCurrent&gt;=$B134,"-",IF(MarGog2LevelDesired&lt;$B134,"-",$E134))</f>
        <v>-</v>
      </c>
      <c r="BQ134" s="15" t="str">
        <f t="shared" ref="BQ134" si="9415">IF(MarGlo2LevelCurrent&gt;=$B134,"-",IF(MarGlo2LevelDesired&lt;$B134,"-",$C134))</f>
        <v>-</v>
      </c>
      <c r="BR134" s="1" t="str">
        <f t="shared" ref="BR134" si="9416">IF(MarGlo2LevelCurrent&gt;=$B134,"-",IF(MarGlo2LevelDesired&lt;$B134,"-",$D134))</f>
        <v>-</v>
      </c>
      <c r="BS134" s="21" t="str">
        <f t="shared" ref="BS134" si="9417">IF(MarGlo2LevelCurrent&gt;=$B134,"-",IF(MarGlo2LevelDesired&lt;$B134,"-",$E134))</f>
        <v>-</v>
      </c>
      <c r="BT134" s="15" t="str">
        <f t="shared" ref="BT134" si="9418">IF(MarBel2LevelCurrent&gt;=$B134,"-",IF(MarBel2LevelDesired&lt;$B134,"-",$C134))</f>
        <v>-</v>
      </c>
      <c r="BU134" s="1" t="str">
        <f t="shared" ref="BU134" si="9419">IF(MarBel2LevelCurrent&gt;=$B134,"-",IF(MarBel2LevelDesired&lt;$B134,"-",$D134))</f>
        <v>-</v>
      </c>
      <c r="BV134" s="21" t="str">
        <f t="shared" ref="BV134" si="9420">IF(MarBel2LevelCurrent&gt;=$B134,"-",IF(MarBel2LevelDesired&lt;$B134,"-",$E134))</f>
        <v>-</v>
      </c>
      <c r="BW134" s="15" t="str">
        <f t="shared" ref="BW134" si="9421">IF(MarBoo2LevelCurrent&gt;=$B134,"-",IF(MarBoo2LevelDesired&lt;$B134,"-",$C134))</f>
        <v>-</v>
      </c>
      <c r="BX134" s="1" t="str">
        <f t="shared" ref="BX134" si="9422">IF(MarBoo2LevelCurrent&gt;=$B134,"-",IF(MarBoo2LevelDesired&lt;$B134,"-",$D134))</f>
        <v>-</v>
      </c>
      <c r="BY134" s="21" t="str">
        <f t="shared" ref="BY134" si="9423">IF(MarBoo2LevelCurrent&gt;=$B134,"-",IF(MarBoo2LevelDesired&lt;$B134,"-",$E134))</f>
        <v>-</v>
      </c>
      <c r="BZ134" s="15" t="str">
        <f t="shared" ref="BZ134:BZ165" si="9424">IF(InfGog3LevelCurrent&gt;=$B134,"-",IF(InfGog3LevelDesired&lt;$B134,"-",$C134))</f>
        <v>-</v>
      </c>
      <c r="CA134" s="1" t="str" cm="1">
        <f t="array" ref="CA134">IF(InfGog3LevelCurrent&gt;=$B134,"-",IF(InfGog3LevelDesired&lt;$B134,"-",$D134))</f>
        <v>-</v>
      </c>
      <c r="CB134" s="21" t="str" cm="1">
        <f t="array" ref="CB134">IF(InfGog3LevelCurrent&gt;=$B134,"-",IF(InfGog3LevelDesired&lt;$B134,"-",$E134))</f>
        <v>-</v>
      </c>
      <c r="CC134" s="15" t="str">
        <f t="shared" ref="CC134:CC165" si="9425">IF(InfGlo3LevelCurrent&gt;=$B134,"-",IF(InfGlo3LevelDesired&lt;$B134,"-",$C134))</f>
        <v>-</v>
      </c>
      <c r="CD134" s="1" t="str">
        <f t="shared" ref="CD134:CD165" si="9426">IF(InfGlo3LevelCurrent&gt;=$B134,"-",IF(InfGlo3LevelDesired&lt;$B134,"-",$D134))</f>
        <v>-</v>
      </c>
      <c r="CE134" s="21" t="str">
        <f t="shared" ref="CE134:CE165" si="9427">IF(InfGlo3LevelCurrent&gt;=$B134,"-",IF(InfGlo3LevelDesired&lt;$B134,"-",$E134))</f>
        <v>-</v>
      </c>
      <c r="CF134" s="15" t="str">
        <f t="shared" ref="CF134:CF165" si="9428">IF(InfBel3LevelCurrent&gt;=$B134,"-",IF(InfBel3LevelDesired&lt;$B134,"-",$C134))</f>
        <v>-</v>
      </c>
      <c r="CG134" s="1" t="str">
        <f t="shared" ref="CG134:CG165" si="9429">IF(InfBel3LevelCurrent&gt;=$B134,"-",IF(InfBel3LevelDesired&lt;$B134,"-",$D134))</f>
        <v>-</v>
      </c>
      <c r="CH134" s="21" t="str">
        <f t="shared" ref="CH134:CH165" si="9430">IF(InfBel3LevelCurrent&gt;=$B134,"-",IF(InfBel3LevelDesired&lt;$B134,"-",$E134))</f>
        <v>-</v>
      </c>
      <c r="CI134" s="15" t="str">
        <f t="shared" ref="CI134:CI165" si="9431">IF(InfBoo3LevelCurrent&gt;=$B134,"-",IF(InfBoo3LevelDesired&lt;$B134,"-",$C134))</f>
        <v>-</v>
      </c>
      <c r="CJ134" s="1" t="str">
        <f t="shared" ref="CJ134:CJ165" si="9432">IF(InfBoo3LevelCurrent&gt;=$B134,"-",IF(InfBoo3LevelDesired&lt;$B134,"-",$D134))</f>
        <v>-</v>
      </c>
      <c r="CK134" s="21" t="str">
        <f t="shared" ref="CK134:CK165" si="9433">IF(InfBoo3LevelCurrent&gt;=$B134,"-",IF(InfBoo3LevelDesired&lt;$B134,"-",$E134))</f>
        <v>-</v>
      </c>
      <c r="CL134" s="15" t="str">
        <f t="shared" ref="CL134:CL165" si="9434">IF(LanGog3LevelCurrent&gt;=$B134,"-",IF(LanGog3LevelDesired&lt;$B134,"-",$C134))</f>
        <v>-</v>
      </c>
      <c r="CM134" s="1" t="str">
        <f t="shared" ref="CM134:CM165" si="9435">IF(LanGog3LevelCurrent&gt;=$B134,"-",IF(LanGog3LevelDesired&lt;$B134,"-",$D134))</f>
        <v>-</v>
      </c>
      <c r="CN134" s="21" t="str">
        <f t="shared" ref="CN134:CN165" si="9436">IF(LanGog3LevelCurrent&gt;=$B134,"-",IF(LanGog3LevelDesired&lt;$B134,"-",$E134))</f>
        <v>-</v>
      </c>
      <c r="CO134" s="15" t="str">
        <f t="shared" ref="CO134:CO165" si="9437">IF(LanGlo3LevelCurrent&gt;=$B134,"-",IF(LanGlo3LevelDesired&lt;$B134,"-",$C134))</f>
        <v>-</v>
      </c>
      <c r="CP134" s="1" t="str">
        <f t="shared" ref="CP134:CP165" si="9438">IF(LanGlo3LevelCurrent&gt;=$B134,"-",IF(LanGlo3LevelDesired&lt;$B134,"-",$D134))</f>
        <v>-</v>
      </c>
      <c r="CQ134" s="21" t="str">
        <f t="shared" ref="CQ134:CQ165" si="9439">IF(LanGlo3LevelCurrent&gt;=$B134,"-",IF(LanGlo3LevelDesired&lt;$B134,"-",$E134))</f>
        <v>-</v>
      </c>
      <c r="CR134" s="15" t="str">
        <f t="shared" ref="CR134:CR165" si="9440">IF(LanBel3LevelCurrent&gt;=$B134,"-",IF(LanBel3LevelDesired&lt;$B134,"-",$C134))</f>
        <v>-</v>
      </c>
      <c r="CS134" s="1" t="str">
        <f t="shared" ref="CS134:CS165" si="9441">IF(LanBel3LevelCurrent&gt;=$B134,"-",IF(LanBel3LevelDesired&lt;$B134,"-",$D134))</f>
        <v>-</v>
      </c>
      <c r="CT134" s="21" t="str">
        <f t="shared" ref="CT134:CT165" si="9442">IF(LanBel3LevelCurrent&gt;=$B134,"-",IF(LanBel3LevelDesired&lt;$B134,"-",$E134))</f>
        <v>-</v>
      </c>
      <c r="CU134" s="15" t="str">
        <f t="shared" ref="CU134:CU165" si="9443">IF(LanBoo3LevelCurrent&gt;=$B134,"-",IF(LanBoo3LevelDesired&lt;$B134,"-",$C134))</f>
        <v>-</v>
      </c>
      <c r="CV134" s="1" t="str">
        <f t="shared" ref="CV134:CV165" si="9444">IF(LanBoo3LevelCurrent&gt;=$B134,"-",IF(LanBoo3LevelDesired&lt;$B134,"-",$D134))</f>
        <v>-</v>
      </c>
      <c r="CW134" s="21" t="str">
        <f t="shared" ref="CW134:CW165" si="9445">IF(LanBoo3LevelCurrent&gt;=$B134,"-",IF(LanBoo3LevelDesired&lt;$B134,"-",$E134))</f>
        <v>-</v>
      </c>
      <c r="CX134" s="15" t="str">
        <f t="shared" ref="CX134:CX165" si="9446">IF(MarGog3LevelCurrent&gt;=$B134,"-",IF(MarGog3LevelDesired&lt;$B134,"-",$C134))</f>
        <v>-</v>
      </c>
      <c r="CY134" s="1" t="str">
        <f t="shared" ref="CY134:CY165" si="9447">IF(MarGog3LevelCurrent&gt;=$B134,"-",IF(MarGog3LevelDesired&lt;$B134,"-",$D134))</f>
        <v>-</v>
      </c>
      <c r="CZ134" s="21" t="str">
        <f t="shared" ref="CZ134:CZ165" si="9448">IF(MarGog3LevelCurrent&gt;=$B134,"-",IF(MarGog3LevelDesired&lt;$B134,"-",$E134))</f>
        <v>-</v>
      </c>
      <c r="DA134" s="15" t="str">
        <f t="shared" ref="DA134:DA165" si="9449">IF(MarGlo3LevelCurrent&gt;=$B134,"-",IF(MarGlo3LevelDesired&lt;$B134,"-",$C134))</f>
        <v>-</v>
      </c>
      <c r="DB134" s="1" t="str">
        <f t="shared" ref="DB134:DB165" si="9450">IF(MarGlo3LevelCurrent&gt;=$B134,"-",IF(MarGlo3LevelDesired&lt;$B134,"-",$D134))</f>
        <v>-</v>
      </c>
      <c r="DC134" s="21" t="str">
        <f t="shared" ref="DC134:DC165" si="9451">IF(MarGlo3LevelCurrent&gt;=$B134,"-",IF(MarGlo3LevelDesired&lt;$B134,"-",$E134))</f>
        <v>-</v>
      </c>
      <c r="DD134" s="15" t="str">
        <f t="shared" ref="DD134:DD165" si="9452">IF(MarBel3LevelCurrent&gt;=$B134,"-",IF(MarBel3LevelDesired&lt;$B134,"-",$C134))</f>
        <v>-</v>
      </c>
      <c r="DE134" s="1" t="str">
        <f t="shared" ref="DE134:DE165" si="9453">IF(MarBel3LevelCurrent&gt;=$B134,"-",IF(MarBel3LevelDesired&lt;$B134,"-",$D134))</f>
        <v>-</v>
      </c>
      <c r="DF134" s="21" t="str">
        <f t="shared" ref="DF134:DF165" si="9454">IF(MarBel3LevelCurrent&gt;=$B134,"-",IF(MarBel3LevelDesired&lt;$B134,"-",$E134))</f>
        <v>-</v>
      </c>
      <c r="DG134" s="15" t="str">
        <f t="shared" ref="DG134:DG165" si="9455">IF(MarBoo3LevelCurrent&gt;=$B134,"-",IF(MarBoo3LevelDesired&lt;$B134,"-",$C134))</f>
        <v>-</v>
      </c>
      <c r="DH134" s="1" t="str">
        <f t="shared" ref="DH134:DH165" si="9456">IF(MarBoo3LevelCurrent&gt;=$B134,"-",IF(MarBoo3LevelDesired&lt;$B134,"-",$D134))</f>
        <v>-</v>
      </c>
      <c r="DI134" s="21" t="str">
        <f t="shared" ref="DI134:DI165" si="9457">IF(MarBoo3LevelCurrent&gt;=$B134,"-",IF(MarBoo3LevelDesired&lt;$B134,"-",$E134))</f>
        <v>-</v>
      </c>
    </row>
    <row r="135" spans="2:113" x14ac:dyDescent="0.3">
      <c r="B135" s="1">
        <v>130</v>
      </c>
      <c r="C135" s="67">
        <v>3950</v>
      </c>
      <c r="D135" s="88" t="s">
        <v>27</v>
      </c>
      <c r="E135" s="68" t="s">
        <v>27</v>
      </c>
      <c r="F135" s="15" t="str">
        <f t="shared" ref="F135" si="9458">IF(InfGog1LevelCurrent&gt;=$B135,"-",IF(InfGog1LevelDesired&lt;$B135,"-",$C135))</f>
        <v>-</v>
      </c>
      <c r="G135" s="1" t="str">
        <f t="shared" ref="G135" si="9459">IF(InfGog1LevelCurrent&gt;=$B135,"-",IF(InfGog1LevelDesired&lt;$B135,"-",$D135))</f>
        <v>-</v>
      </c>
      <c r="H135" s="21" t="str">
        <f t="shared" ref="H135" si="9460">IF(InfGog1LevelCurrent&gt;=$B135,"-",IF(InfGog1LevelDesired&lt;$B135,"-",$E135))</f>
        <v>-</v>
      </c>
      <c r="I135" s="15" t="str">
        <f t="shared" ref="I135" si="9461">IF(InfGlo1LevelCurrent&gt;=$B135,"-",IF(InfGlo1LevelDesired&lt;$B135,"-",$C135))</f>
        <v>-</v>
      </c>
      <c r="J135" s="1" t="str">
        <f t="shared" ref="J135" si="9462">IF(InfGlo1LevelCurrent&gt;=$B135,"-",IF(InfGlo1LevelDesired&lt;$B135,"-",$D135))</f>
        <v>-</v>
      </c>
      <c r="K135" s="21" t="str">
        <f t="shared" ref="K135" si="9463">IF(InfGlo1LevelCurrent&gt;=$B135,"-",IF(InfGlo1LevelDesired&lt;$B135,"-",$E135))</f>
        <v>-</v>
      </c>
      <c r="L135" s="15" t="str">
        <f t="shared" ref="L135" si="9464">IF(InfBel1LevelCurrent&gt;=$B135,"-",IF(InfBel1LevelDesired&lt;$B135,"-",$C135))</f>
        <v>-</v>
      </c>
      <c r="M135" s="1" t="str">
        <f t="shared" ref="M135" si="9465">IF(InfBel1LevelCurrent&gt;=$B135,"-",IF(InfBel1LevelDesired&lt;$B135,"-",$D135))</f>
        <v>-</v>
      </c>
      <c r="N135" s="21" t="str">
        <f t="shared" ref="N135" si="9466">IF(InfBel1LevelCurrent&gt;=$B135,"-",IF(InfBel1LevelDesired&lt;$B135,"-",$E135))</f>
        <v>-</v>
      </c>
      <c r="O135" s="15" t="str">
        <f t="shared" ref="O135" si="9467">IF(InfBoo1LevelCurrent&gt;=$B135,"-",IF(InfBoo1LevelDesired&lt;$B135,"-",$C135))</f>
        <v>-</v>
      </c>
      <c r="P135" s="1" t="str">
        <f t="shared" ref="P135" si="9468">IF(InfBoo1LevelCurrent&gt;=$B135,"-",IF(InfBoo1LevelDesired&lt;$B135,"-",$D135))</f>
        <v>-</v>
      </c>
      <c r="Q135" s="21" t="str">
        <f t="shared" ref="Q135" si="9469">IF(InfBoo1LevelCurrent&gt;=$B135,"-",IF(InfBoo1LevelDesired&lt;$B135,"-",$E135))</f>
        <v>-</v>
      </c>
      <c r="R135" s="15" t="str">
        <f t="shared" ref="R135" si="9470">IF(LanGog1LevelCurrent&gt;=$B135,"-",IF(LanGog1LevelDesired&lt;$B135,"-",$C135))</f>
        <v>-</v>
      </c>
      <c r="S135" s="1" t="str">
        <f t="shared" ref="S135" si="9471">IF(LanGog1LevelCurrent&gt;=$B135,"-",IF(LanGog1LevelDesired&lt;$B135,"-",$D135))</f>
        <v>-</v>
      </c>
      <c r="T135" s="21" t="str">
        <f t="shared" ref="T135" si="9472">IF(LanGog1LevelCurrent&gt;=$B135,"-",IF(LanGog1LevelDesired&lt;$B135,"-",$E135))</f>
        <v>-</v>
      </c>
      <c r="U135" s="15" t="str">
        <f t="shared" ref="U135" si="9473">IF(LanGlo1LevelCurrent&gt;=$B135,"-",IF(LanGlo1LevelDesired&lt;$B135,"-",$C135))</f>
        <v>-</v>
      </c>
      <c r="V135" s="1" t="str">
        <f t="shared" ref="V135" si="9474">IF(LanGlo1LevelCurrent&gt;=$B135,"-",IF(LanGlo1LevelDesired&lt;$B135,"-",$D135))</f>
        <v>-</v>
      </c>
      <c r="W135" s="21" t="str">
        <f t="shared" ref="W135" si="9475">IF(LanGlo1LevelCurrent&gt;=$B135,"-",IF(LanGlo1LevelDesired&lt;$B135,"-",$E135))</f>
        <v>-</v>
      </c>
      <c r="X135" s="15" t="str">
        <f t="shared" ref="X135" si="9476">IF(LanBel1LevelCurrent&gt;=$B135,"-",IF(LanBel1LevelDesired&lt;$B135,"-",$C135))</f>
        <v>-</v>
      </c>
      <c r="Y135" s="1" t="str">
        <f t="shared" ref="Y135" si="9477">IF(LanBel1LevelCurrent&gt;=$B135,"-",IF(LanBel1LevelDesired&lt;$B135,"-",$D135))</f>
        <v>-</v>
      </c>
      <c r="Z135" s="21" t="str">
        <f t="shared" ref="Z135" si="9478">IF(LanBel1LevelCurrent&gt;=$B135,"-",IF(LanBel1LevelDesired&lt;$B135,"-",$E135))</f>
        <v>-</v>
      </c>
      <c r="AA135" s="15" t="str">
        <f t="shared" ref="AA135" si="9479">IF(LanBoo1LevelCurrent&gt;=$B135,"-",IF(LanBoo1LevelDesired&lt;$B135,"-",$C135))</f>
        <v>-</v>
      </c>
      <c r="AB135" s="1" t="str">
        <f t="shared" ref="AB135" si="9480">IF(LanBoo1LevelCurrent&gt;=$B135,"-",IF(LanBoo1LevelDesired&lt;$B135,"-",$D135))</f>
        <v>-</v>
      </c>
      <c r="AC135" s="21" t="str">
        <f t="shared" ref="AC135" si="9481">IF(LanBoo1LevelCurrent&gt;=$B135,"-",IF(LanBoo1LevelDesired&lt;$B135,"-",$E135))</f>
        <v>-</v>
      </c>
      <c r="AD135" s="15" t="str">
        <f t="shared" ref="AD135" si="9482">IF(MarGog1LevelCurrent&gt;=$B135,"-",IF(MarGog1LevelDesired&lt;$B135,"-",$C135))</f>
        <v>-</v>
      </c>
      <c r="AE135" s="1" t="str">
        <f t="shared" ref="AE135" si="9483">IF(MarGog1LevelCurrent&gt;=$B135,"-",IF(MarGog1LevelDesired&lt;$B135,"-",$D135))</f>
        <v>-</v>
      </c>
      <c r="AF135" s="21" t="str">
        <f t="shared" ref="AF135" si="9484">IF(MarGog1LevelCurrent&gt;=$B135,"-",IF(MarGog1LevelDesired&lt;$B135,"-",$E135))</f>
        <v>-</v>
      </c>
      <c r="AG135" s="15" t="str">
        <f t="shared" ref="AG135" si="9485">IF(MarGlo1LevelCurrent&gt;=$B135,"-",IF(MarGlo1LevelDesired&lt;$B135,"-",$C135))</f>
        <v>-</v>
      </c>
      <c r="AH135" s="1" t="str">
        <f t="shared" ref="AH135" si="9486">IF(MarGlo1LevelCurrent&gt;=$B135,"-",IF(MarGlo1LevelDesired&lt;$B135,"-",$D135))</f>
        <v>-</v>
      </c>
      <c r="AI135" s="21" t="str">
        <f t="shared" ref="AI135" si="9487">IF(MarGlo1LevelCurrent&gt;=$B135,"-",IF(MarGlo1LevelDesired&lt;$B135,"-",$E135))</f>
        <v>-</v>
      </c>
      <c r="AJ135" s="15" t="str">
        <f t="shared" ref="AJ135" si="9488">IF(MarBel1LevelCurrent&gt;=$B135,"-",IF(MarBel1LevelDesired&lt;$B135,"-",$C135))</f>
        <v>-</v>
      </c>
      <c r="AK135" s="1" t="str">
        <f t="shared" ref="AK135" si="9489">IF(MarBel1LevelCurrent&gt;=$B135,"-",IF(MarBel1LevelDesired&lt;$B135,"-",$D135))</f>
        <v>-</v>
      </c>
      <c r="AL135" s="21" t="str">
        <f t="shared" ref="AL135" si="9490">IF(MarBel1LevelCurrent&gt;=$B135,"-",IF(MarBel1LevelDesired&lt;$B135,"-",$E135))</f>
        <v>-</v>
      </c>
      <c r="AM135" s="15" t="str">
        <f t="shared" ref="AM135" si="9491">IF(MarBoo1LevelCurrent&gt;=$B135,"-",IF(MarBoo1LevelDesired&lt;$B135,"-",$C135))</f>
        <v>-</v>
      </c>
      <c r="AN135" s="1" t="str">
        <f t="shared" ref="AN135" si="9492">IF(MarBoo1LevelCurrent&gt;=$B135,"-",IF(MarBoo1LevelDesired&lt;$B135,"-",$D135))</f>
        <v>-</v>
      </c>
      <c r="AO135" s="21" t="str">
        <f t="shared" ref="AO135" si="9493">IF(MarBoo1LevelCurrent&gt;=$B135,"-",IF(MarBoo1LevelDesired&lt;$B135,"-",$E135))</f>
        <v>-</v>
      </c>
      <c r="AP135" s="15" t="str">
        <f t="shared" ref="AP135" si="9494">IF(InfGog2LevelCurrent&gt;=$B135,"-",IF(InfGog2LevelDesired&lt;$B135,"-",$C135))</f>
        <v>-</v>
      </c>
      <c r="AQ135" s="1" t="str">
        <f t="shared" ref="AQ135" si="9495">IF(InfGog2LevelCurrent&gt;=$B135,"-",IF(InfGog2LevelDesired&lt;$B135,"-",$D135))</f>
        <v>-</v>
      </c>
      <c r="AR135" s="21" t="str">
        <f t="shared" ref="AR135" si="9496">IF(InfGog2LevelCurrent&gt;=$B135,"-",IF(InfGog2LevelDesired&lt;$B135,"-",$E135))</f>
        <v>-</v>
      </c>
      <c r="AS135" s="15" t="str">
        <f t="shared" ref="AS135" si="9497">IF(InfGlo2LevelCurrent&gt;=$B135,"-",IF(InfGlo2LevelDesired&lt;$B135,"-",$C135))</f>
        <v>-</v>
      </c>
      <c r="AT135" s="1" t="str">
        <f t="shared" ref="AT135" si="9498">IF(InfGlo2LevelCurrent&gt;=$B135,"-",IF(InfGlo2LevelDesired&lt;$B135,"-",$D135))</f>
        <v>-</v>
      </c>
      <c r="AU135" s="21" t="str">
        <f t="shared" ref="AU135" si="9499">IF(InfGlo2LevelCurrent&gt;=$B135,"-",IF(InfGlo2LevelDesired&lt;$B135,"-",$E135))</f>
        <v>-</v>
      </c>
      <c r="AV135" s="15" t="str">
        <f t="shared" ref="AV135" si="9500">IF(InfBel2LevelCurrent&gt;=$B135,"-",IF(InfBel2LevelDesired&lt;$B135,"-",$C135))</f>
        <v>-</v>
      </c>
      <c r="AW135" s="1" t="str">
        <f t="shared" ref="AW135" si="9501">IF(InfBel2LevelCurrent&gt;=$B135,"-",IF(InfBel2LevelDesired&lt;$B135,"-",$D135))</f>
        <v>-</v>
      </c>
      <c r="AX135" s="21" t="str">
        <f t="shared" ref="AX135" si="9502">IF(InfBel2LevelCurrent&gt;=$B135,"-",IF(InfBel2LevelDesired&lt;$B135,"-",$E135))</f>
        <v>-</v>
      </c>
      <c r="AY135" s="15" t="str">
        <f t="shared" ref="AY135" si="9503">IF(InfBoo2LevelCurrent&gt;=$B135,"-",IF(InfBoo2LevelDesired&lt;$B135,"-",$C135))</f>
        <v>-</v>
      </c>
      <c r="AZ135" s="1" t="str">
        <f t="shared" ref="AZ135" si="9504">IF(InfBoo2LevelCurrent&gt;=$B135,"-",IF(InfBoo2LevelDesired&lt;$B135,"-",$D135))</f>
        <v>-</v>
      </c>
      <c r="BA135" s="21" t="str">
        <f t="shared" ref="BA135" si="9505">IF(InfBoo2LevelCurrent&gt;=$B135,"-",IF(InfBoo2LevelDesired&lt;$B135,"-",$E135))</f>
        <v>-</v>
      </c>
      <c r="BB135" s="15" t="str">
        <f t="shared" ref="BB135" si="9506">IF(LanGog2LevelCurrent&gt;=$B135,"-",IF(LanGog2LevelDesired&lt;$B135,"-",$C135))</f>
        <v>-</v>
      </c>
      <c r="BC135" s="1" t="str">
        <f t="shared" ref="BC135" si="9507">IF(LanGog2LevelCurrent&gt;=$B135,"-",IF(LanGog2LevelDesired&lt;$B135,"-",$D135))</f>
        <v>-</v>
      </c>
      <c r="BD135" s="21" t="str">
        <f t="shared" ref="BD135" si="9508">IF(LanGog2LevelCurrent&gt;=$B135,"-",IF(LanGog2LevelDesired&lt;$B135,"-",$E135))</f>
        <v>-</v>
      </c>
      <c r="BE135" s="15" t="str">
        <f t="shared" ref="BE135" si="9509">IF(LanGlo2LevelCurrent&gt;=$B135,"-",IF(LanGlo2LevelDesired&lt;$B135,"-",$C135))</f>
        <v>-</v>
      </c>
      <c r="BF135" s="1" t="str">
        <f t="shared" ref="BF135" si="9510">IF(LanGlo2LevelCurrent&gt;=$B135,"-",IF(LanGlo2LevelDesired&lt;$B135,"-",$D135))</f>
        <v>-</v>
      </c>
      <c r="BG135" s="21" t="str">
        <f t="shared" ref="BG135" si="9511">IF(LanGlo2LevelCurrent&gt;=$B135,"-",IF(LanGlo2LevelDesired&lt;$B135,"-",$E135))</f>
        <v>-</v>
      </c>
      <c r="BH135" s="15" t="str">
        <f t="shared" ref="BH135" si="9512">IF(LanBel2LevelCurrent&gt;=$B135,"-",IF(LanBel2LevelDesired&lt;$B135,"-",$C135))</f>
        <v>-</v>
      </c>
      <c r="BI135" s="1" t="str">
        <f t="shared" ref="BI135" si="9513">IF(LanBel2LevelCurrent&gt;=$B135,"-",IF(LanBel2LevelDesired&lt;$B135,"-",$D135))</f>
        <v>-</v>
      </c>
      <c r="BJ135" s="21" t="str">
        <f t="shared" ref="BJ135" si="9514">IF(LanBel2LevelCurrent&gt;=$B135,"-",IF(LanBel2LevelDesired&lt;$B135,"-",$E135))</f>
        <v>-</v>
      </c>
      <c r="BK135" s="15" t="str">
        <f t="shared" ref="BK135" si="9515">IF(LanBoo2LevelCurrent&gt;=$B135,"-",IF(LanBoo2LevelDesired&lt;$B135,"-",$C135))</f>
        <v>-</v>
      </c>
      <c r="BL135" s="1" t="str">
        <f t="shared" ref="BL135" si="9516">IF(LanBoo2LevelCurrent&gt;=$B135,"-",IF(LanBoo2LevelDesired&lt;$B135,"-",$D135))</f>
        <v>-</v>
      </c>
      <c r="BM135" s="21" t="str">
        <f t="shared" ref="BM135" si="9517">IF(LanBoo2LevelCurrent&gt;=$B135,"-",IF(LanBoo2LevelDesired&lt;$B135,"-",$E135))</f>
        <v>-</v>
      </c>
      <c r="BN135" s="15" t="str">
        <f t="shared" ref="BN135" si="9518">IF(MarGog2LevelCurrent&gt;=$B135,"-",IF(MarGog2LevelDesired&lt;$B135,"-",$C135))</f>
        <v>-</v>
      </c>
      <c r="BO135" s="1" t="str">
        <f t="shared" ref="BO135" si="9519">IF(MarGog2LevelCurrent&gt;=$B135,"-",IF(MarGog2LevelDesired&lt;$B135,"-",$D135))</f>
        <v>-</v>
      </c>
      <c r="BP135" s="21" t="str">
        <f t="shared" ref="BP135" si="9520">IF(MarGog2LevelCurrent&gt;=$B135,"-",IF(MarGog2LevelDesired&lt;$B135,"-",$E135))</f>
        <v>-</v>
      </c>
      <c r="BQ135" s="15" t="str">
        <f t="shared" ref="BQ135" si="9521">IF(MarGlo2LevelCurrent&gt;=$B135,"-",IF(MarGlo2LevelDesired&lt;$B135,"-",$C135))</f>
        <v>-</v>
      </c>
      <c r="BR135" s="1" t="str">
        <f t="shared" ref="BR135" si="9522">IF(MarGlo2LevelCurrent&gt;=$B135,"-",IF(MarGlo2LevelDesired&lt;$B135,"-",$D135))</f>
        <v>-</v>
      </c>
      <c r="BS135" s="21" t="str">
        <f t="shared" ref="BS135" si="9523">IF(MarGlo2LevelCurrent&gt;=$B135,"-",IF(MarGlo2LevelDesired&lt;$B135,"-",$E135))</f>
        <v>-</v>
      </c>
      <c r="BT135" s="15" t="str">
        <f t="shared" ref="BT135" si="9524">IF(MarBel2LevelCurrent&gt;=$B135,"-",IF(MarBel2LevelDesired&lt;$B135,"-",$C135))</f>
        <v>-</v>
      </c>
      <c r="BU135" s="1" t="str">
        <f t="shared" ref="BU135" si="9525">IF(MarBel2LevelCurrent&gt;=$B135,"-",IF(MarBel2LevelDesired&lt;$B135,"-",$D135))</f>
        <v>-</v>
      </c>
      <c r="BV135" s="21" t="str">
        <f t="shared" ref="BV135" si="9526">IF(MarBel2LevelCurrent&gt;=$B135,"-",IF(MarBel2LevelDesired&lt;$B135,"-",$E135))</f>
        <v>-</v>
      </c>
      <c r="BW135" s="15" t="str">
        <f t="shared" ref="BW135" si="9527">IF(MarBoo2LevelCurrent&gt;=$B135,"-",IF(MarBoo2LevelDesired&lt;$B135,"-",$C135))</f>
        <v>-</v>
      </c>
      <c r="BX135" s="1" t="str">
        <f t="shared" ref="BX135" si="9528">IF(MarBoo2LevelCurrent&gt;=$B135,"-",IF(MarBoo2LevelDesired&lt;$B135,"-",$D135))</f>
        <v>-</v>
      </c>
      <c r="BY135" s="21" t="str">
        <f t="shared" ref="BY135" si="9529">IF(MarBoo2LevelCurrent&gt;=$B135,"-",IF(MarBoo2LevelDesired&lt;$B135,"-",$E135))</f>
        <v>-</v>
      </c>
      <c r="BZ135" s="15" t="str">
        <f t="shared" si="9424"/>
        <v>-</v>
      </c>
      <c r="CA135" s="1" t="str" cm="1">
        <f t="array" ref="CA135">IF(InfGog3LevelCurrent&gt;=$B135,"-",IF(InfGog3LevelDesired&lt;$B135,"-",$D135))</f>
        <v>-</v>
      </c>
      <c r="CB135" s="21" t="str" cm="1">
        <f t="array" ref="CB135">IF(InfGog3LevelCurrent&gt;=$B135,"-",IF(InfGog3LevelDesired&lt;$B135,"-",$E135))</f>
        <v>-</v>
      </c>
      <c r="CC135" s="15" t="str">
        <f t="shared" si="9425"/>
        <v>-</v>
      </c>
      <c r="CD135" s="1" t="str">
        <f t="shared" si="9426"/>
        <v>-</v>
      </c>
      <c r="CE135" s="21" t="str">
        <f t="shared" si="9427"/>
        <v>-</v>
      </c>
      <c r="CF135" s="15" t="str">
        <f t="shared" si="9428"/>
        <v>-</v>
      </c>
      <c r="CG135" s="1" t="str">
        <f t="shared" si="9429"/>
        <v>-</v>
      </c>
      <c r="CH135" s="21" t="str">
        <f t="shared" si="9430"/>
        <v>-</v>
      </c>
      <c r="CI135" s="15" t="str">
        <f t="shared" si="9431"/>
        <v>-</v>
      </c>
      <c r="CJ135" s="1" t="str">
        <f t="shared" si="9432"/>
        <v>-</v>
      </c>
      <c r="CK135" s="21" t="str">
        <f t="shared" si="9433"/>
        <v>-</v>
      </c>
      <c r="CL135" s="15" t="str">
        <f t="shared" si="9434"/>
        <v>-</v>
      </c>
      <c r="CM135" s="1" t="str">
        <f t="shared" si="9435"/>
        <v>-</v>
      </c>
      <c r="CN135" s="21" t="str">
        <f t="shared" si="9436"/>
        <v>-</v>
      </c>
      <c r="CO135" s="15" t="str">
        <f t="shared" si="9437"/>
        <v>-</v>
      </c>
      <c r="CP135" s="1" t="str">
        <f t="shared" si="9438"/>
        <v>-</v>
      </c>
      <c r="CQ135" s="21" t="str">
        <f t="shared" si="9439"/>
        <v>-</v>
      </c>
      <c r="CR135" s="15" t="str">
        <f t="shared" si="9440"/>
        <v>-</v>
      </c>
      <c r="CS135" s="1" t="str">
        <f t="shared" si="9441"/>
        <v>-</v>
      </c>
      <c r="CT135" s="21" t="str">
        <f t="shared" si="9442"/>
        <v>-</v>
      </c>
      <c r="CU135" s="15" t="str">
        <f t="shared" si="9443"/>
        <v>-</v>
      </c>
      <c r="CV135" s="1" t="str">
        <f t="shared" si="9444"/>
        <v>-</v>
      </c>
      <c r="CW135" s="21" t="str">
        <f t="shared" si="9445"/>
        <v>-</v>
      </c>
      <c r="CX135" s="15" t="str">
        <f t="shared" si="9446"/>
        <v>-</v>
      </c>
      <c r="CY135" s="1" t="str">
        <f t="shared" si="9447"/>
        <v>-</v>
      </c>
      <c r="CZ135" s="21" t="str">
        <f t="shared" si="9448"/>
        <v>-</v>
      </c>
      <c r="DA135" s="15" t="str">
        <f t="shared" si="9449"/>
        <v>-</v>
      </c>
      <c r="DB135" s="1" t="str">
        <f t="shared" si="9450"/>
        <v>-</v>
      </c>
      <c r="DC135" s="21" t="str">
        <f t="shared" si="9451"/>
        <v>-</v>
      </c>
      <c r="DD135" s="15" t="str">
        <f t="shared" si="9452"/>
        <v>-</v>
      </c>
      <c r="DE135" s="1" t="str">
        <f t="shared" si="9453"/>
        <v>-</v>
      </c>
      <c r="DF135" s="21" t="str">
        <f t="shared" si="9454"/>
        <v>-</v>
      </c>
      <c r="DG135" s="15" t="str">
        <f t="shared" si="9455"/>
        <v>-</v>
      </c>
      <c r="DH135" s="1" t="str">
        <f t="shared" si="9456"/>
        <v>-</v>
      </c>
      <c r="DI135" s="21" t="str">
        <f t="shared" si="9457"/>
        <v>-</v>
      </c>
    </row>
    <row r="136" spans="2:113" x14ac:dyDescent="0.3">
      <c r="B136" s="1">
        <v>131</v>
      </c>
      <c r="C136" s="67">
        <v>4000</v>
      </c>
      <c r="D136" s="88" t="s">
        <v>27</v>
      </c>
      <c r="E136" s="68" t="s">
        <v>27</v>
      </c>
      <c r="F136" s="15" t="str">
        <f t="shared" ref="F136" si="9530">IF(InfGog1LevelCurrent&gt;=$B136,"-",IF(InfGog1LevelDesired&lt;$B136,"-",$C136))</f>
        <v>-</v>
      </c>
      <c r="G136" s="1" t="str">
        <f t="shared" ref="G136" si="9531">IF(InfGog1LevelCurrent&gt;=$B136,"-",IF(InfGog1LevelDesired&lt;$B136,"-",$D136))</f>
        <v>-</v>
      </c>
      <c r="H136" s="21" t="str">
        <f t="shared" ref="H136" si="9532">IF(InfGog1LevelCurrent&gt;=$B136,"-",IF(InfGog1LevelDesired&lt;$B136,"-",$E136))</f>
        <v>-</v>
      </c>
      <c r="I136" s="15" t="str">
        <f t="shared" ref="I136" si="9533">IF(InfGlo1LevelCurrent&gt;=$B136,"-",IF(InfGlo1LevelDesired&lt;$B136,"-",$C136))</f>
        <v>-</v>
      </c>
      <c r="J136" s="1" t="str">
        <f t="shared" ref="J136" si="9534">IF(InfGlo1LevelCurrent&gt;=$B136,"-",IF(InfGlo1LevelDesired&lt;$B136,"-",$D136))</f>
        <v>-</v>
      </c>
      <c r="K136" s="21" t="str">
        <f t="shared" ref="K136" si="9535">IF(InfGlo1LevelCurrent&gt;=$B136,"-",IF(InfGlo1LevelDesired&lt;$B136,"-",$E136))</f>
        <v>-</v>
      </c>
      <c r="L136" s="15" t="str">
        <f t="shared" ref="L136" si="9536">IF(InfBel1LevelCurrent&gt;=$B136,"-",IF(InfBel1LevelDesired&lt;$B136,"-",$C136))</f>
        <v>-</v>
      </c>
      <c r="M136" s="1" t="str">
        <f t="shared" ref="M136" si="9537">IF(InfBel1LevelCurrent&gt;=$B136,"-",IF(InfBel1LevelDesired&lt;$B136,"-",$D136))</f>
        <v>-</v>
      </c>
      <c r="N136" s="21" t="str">
        <f t="shared" ref="N136" si="9538">IF(InfBel1LevelCurrent&gt;=$B136,"-",IF(InfBel1LevelDesired&lt;$B136,"-",$E136))</f>
        <v>-</v>
      </c>
      <c r="O136" s="15" t="str">
        <f t="shared" ref="O136" si="9539">IF(InfBoo1LevelCurrent&gt;=$B136,"-",IF(InfBoo1LevelDesired&lt;$B136,"-",$C136))</f>
        <v>-</v>
      </c>
      <c r="P136" s="1" t="str">
        <f t="shared" ref="P136" si="9540">IF(InfBoo1LevelCurrent&gt;=$B136,"-",IF(InfBoo1LevelDesired&lt;$B136,"-",$D136))</f>
        <v>-</v>
      </c>
      <c r="Q136" s="21" t="str">
        <f t="shared" ref="Q136" si="9541">IF(InfBoo1LevelCurrent&gt;=$B136,"-",IF(InfBoo1LevelDesired&lt;$B136,"-",$E136))</f>
        <v>-</v>
      </c>
      <c r="R136" s="15" t="str">
        <f t="shared" ref="R136" si="9542">IF(LanGog1LevelCurrent&gt;=$B136,"-",IF(LanGog1LevelDesired&lt;$B136,"-",$C136))</f>
        <v>-</v>
      </c>
      <c r="S136" s="1" t="str">
        <f t="shared" ref="S136" si="9543">IF(LanGog1LevelCurrent&gt;=$B136,"-",IF(LanGog1LevelDesired&lt;$B136,"-",$D136))</f>
        <v>-</v>
      </c>
      <c r="T136" s="21" t="str">
        <f t="shared" ref="T136" si="9544">IF(LanGog1LevelCurrent&gt;=$B136,"-",IF(LanGog1LevelDesired&lt;$B136,"-",$E136))</f>
        <v>-</v>
      </c>
      <c r="U136" s="15" t="str">
        <f t="shared" ref="U136" si="9545">IF(LanGlo1LevelCurrent&gt;=$B136,"-",IF(LanGlo1LevelDesired&lt;$B136,"-",$C136))</f>
        <v>-</v>
      </c>
      <c r="V136" s="1" t="str">
        <f t="shared" ref="V136" si="9546">IF(LanGlo1LevelCurrent&gt;=$B136,"-",IF(LanGlo1LevelDesired&lt;$B136,"-",$D136))</f>
        <v>-</v>
      </c>
      <c r="W136" s="21" t="str">
        <f t="shared" ref="W136" si="9547">IF(LanGlo1LevelCurrent&gt;=$B136,"-",IF(LanGlo1LevelDesired&lt;$B136,"-",$E136))</f>
        <v>-</v>
      </c>
      <c r="X136" s="15" t="str">
        <f t="shared" ref="X136" si="9548">IF(LanBel1LevelCurrent&gt;=$B136,"-",IF(LanBel1LevelDesired&lt;$B136,"-",$C136))</f>
        <v>-</v>
      </c>
      <c r="Y136" s="1" t="str">
        <f t="shared" ref="Y136" si="9549">IF(LanBel1LevelCurrent&gt;=$B136,"-",IF(LanBel1LevelDesired&lt;$B136,"-",$D136))</f>
        <v>-</v>
      </c>
      <c r="Z136" s="21" t="str">
        <f t="shared" ref="Z136" si="9550">IF(LanBel1LevelCurrent&gt;=$B136,"-",IF(LanBel1LevelDesired&lt;$B136,"-",$E136))</f>
        <v>-</v>
      </c>
      <c r="AA136" s="15" t="str">
        <f t="shared" ref="AA136" si="9551">IF(LanBoo1LevelCurrent&gt;=$B136,"-",IF(LanBoo1LevelDesired&lt;$B136,"-",$C136))</f>
        <v>-</v>
      </c>
      <c r="AB136" s="1" t="str">
        <f t="shared" ref="AB136" si="9552">IF(LanBoo1LevelCurrent&gt;=$B136,"-",IF(LanBoo1LevelDesired&lt;$B136,"-",$D136))</f>
        <v>-</v>
      </c>
      <c r="AC136" s="21" t="str">
        <f t="shared" ref="AC136" si="9553">IF(LanBoo1LevelCurrent&gt;=$B136,"-",IF(LanBoo1LevelDesired&lt;$B136,"-",$E136))</f>
        <v>-</v>
      </c>
      <c r="AD136" s="15" t="str">
        <f t="shared" ref="AD136" si="9554">IF(MarGog1LevelCurrent&gt;=$B136,"-",IF(MarGog1LevelDesired&lt;$B136,"-",$C136))</f>
        <v>-</v>
      </c>
      <c r="AE136" s="1" t="str">
        <f t="shared" ref="AE136" si="9555">IF(MarGog1LevelCurrent&gt;=$B136,"-",IF(MarGog1LevelDesired&lt;$B136,"-",$D136))</f>
        <v>-</v>
      </c>
      <c r="AF136" s="21" t="str">
        <f t="shared" ref="AF136" si="9556">IF(MarGog1LevelCurrent&gt;=$B136,"-",IF(MarGog1LevelDesired&lt;$B136,"-",$E136))</f>
        <v>-</v>
      </c>
      <c r="AG136" s="15" t="str">
        <f t="shared" ref="AG136" si="9557">IF(MarGlo1LevelCurrent&gt;=$B136,"-",IF(MarGlo1LevelDesired&lt;$B136,"-",$C136))</f>
        <v>-</v>
      </c>
      <c r="AH136" s="1" t="str">
        <f t="shared" ref="AH136" si="9558">IF(MarGlo1LevelCurrent&gt;=$B136,"-",IF(MarGlo1LevelDesired&lt;$B136,"-",$D136))</f>
        <v>-</v>
      </c>
      <c r="AI136" s="21" t="str">
        <f t="shared" ref="AI136" si="9559">IF(MarGlo1LevelCurrent&gt;=$B136,"-",IF(MarGlo1LevelDesired&lt;$B136,"-",$E136))</f>
        <v>-</v>
      </c>
      <c r="AJ136" s="15" t="str">
        <f t="shared" ref="AJ136" si="9560">IF(MarBel1LevelCurrent&gt;=$B136,"-",IF(MarBel1LevelDesired&lt;$B136,"-",$C136))</f>
        <v>-</v>
      </c>
      <c r="AK136" s="1" t="str">
        <f t="shared" ref="AK136" si="9561">IF(MarBel1LevelCurrent&gt;=$B136,"-",IF(MarBel1LevelDesired&lt;$B136,"-",$D136))</f>
        <v>-</v>
      </c>
      <c r="AL136" s="21" t="str">
        <f t="shared" ref="AL136" si="9562">IF(MarBel1LevelCurrent&gt;=$B136,"-",IF(MarBel1LevelDesired&lt;$B136,"-",$E136))</f>
        <v>-</v>
      </c>
      <c r="AM136" s="15" t="str">
        <f t="shared" ref="AM136" si="9563">IF(MarBoo1LevelCurrent&gt;=$B136,"-",IF(MarBoo1LevelDesired&lt;$B136,"-",$C136))</f>
        <v>-</v>
      </c>
      <c r="AN136" s="1" t="str">
        <f t="shared" ref="AN136" si="9564">IF(MarBoo1LevelCurrent&gt;=$B136,"-",IF(MarBoo1LevelDesired&lt;$B136,"-",$D136))</f>
        <v>-</v>
      </c>
      <c r="AO136" s="21" t="str">
        <f t="shared" ref="AO136" si="9565">IF(MarBoo1LevelCurrent&gt;=$B136,"-",IF(MarBoo1LevelDesired&lt;$B136,"-",$E136))</f>
        <v>-</v>
      </c>
      <c r="AP136" s="15" t="str">
        <f t="shared" ref="AP136" si="9566">IF(InfGog2LevelCurrent&gt;=$B136,"-",IF(InfGog2LevelDesired&lt;$B136,"-",$C136))</f>
        <v>-</v>
      </c>
      <c r="AQ136" s="1" t="str">
        <f t="shared" ref="AQ136" si="9567">IF(InfGog2LevelCurrent&gt;=$B136,"-",IF(InfGog2LevelDesired&lt;$B136,"-",$D136))</f>
        <v>-</v>
      </c>
      <c r="AR136" s="21" t="str">
        <f t="shared" ref="AR136" si="9568">IF(InfGog2LevelCurrent&gt;=$B136,"-",IF(InfGog2LevelDesired&lt;$B136,"-",$E136))</f>
        <v>-</v>
      </c>
      <c r="AS136" s="15" t="str">
        <f t="shared" ref="AS136" si="9569">IF(InfGlo2LevelCurrent&gt;=$B136,"-",IF(InfGlo2LevelDesired&lt;$B136,"-",$C136))</f>
        <v>-</v>
      </c>
      <c r="AT136" s="1" t="str">
        <f t="shared" ref="AT136" si="9570">IF(InfGlo2LevelCurrent&gt;=$B136,"-",IF(InfGlo2LevelDesired&lt;$B136,"-",$D136))</f>
        <v>-</v>
      </c>
      <c r="AU136" s="21" t="str">
        <f t="shared" ref="AU136" si="9571">IF(InfGlo2LevelCurrent&gt;=$B136,"-",IF(InfGlo2LevelDesired&lt;$B136,"-",$E136))</f>
        <v>-</v>
      </c>
      <c r="AV136" s="15" t="str">
        <f t="shared" ref="AV136" si="9572">IF(InfBel2LevelCurrent&gt;=$B136,"-",IF(InfBel2LevelDesired&lt;$B136,"-",$C136))</f>
        <v>-</v>
      </c>
      <c r="AW136" s="1" t="str">
        <f t="shared" ref="AW136" si="9573">IF(InfBel2LevelCurrent&gt;=$B136,"-",IF(InfBel2LevelDesired&lt;$B136,"-",$D136))</f>
        <v>-</v>
      </c>
      <c r="AX136" s="21" t="str">
        <f t="shared" ref="AX136" si="9574">IF(InfBel2LevelCurrent&gt;=$B136,"-",IF(InfBel2LevelDesired&lt;$B136,"-",$E136))</f>
        <v>-</v>
      </c>
      <c r="AY136" s="15" t="str">
        <f t="shared" ref="AY136" si="9575">IF(InfBoo2LevelCurrent&gt;=$B136,"-",IF(InfBoo2LevelDesired&lt;$B136,"-",$C136))</f>
        <v>-</v>
      </c>
      <c r="AZ136" s="1" t="str">
        <f t="shared" ref="AZ136" si="9576">IF(InfBoo2LevelCurrent&gt;=$B136,"-",IF(InfBoo2LevelDesired&lt;$B136,"-",$D136))</f>
        <v>-</v>
      </c>
      <c r="BA136" s="21" t="str">
        <f t="shared" ref="BA136" si="9577">IF(InfBoo2LevelCurrent&gt;=$B136,"-",IF(InfBoo2LevelDesired&lt;$B136,"-",$E136))</f>
        <v>-</v>
      </c>
      <c r="BB136" s="15" t="str">
        <f t="shared" ref="BB136" si="9578">IF(LanGog2LevelCurrent&gt;=$B136,"-",IF(LanGog2LevelDesired&lt;$B136,"-",$C136))</f>
        <v>-</v>
      </c>
      <c r="BC136" s="1" t="str">
        <f t="shared" ref="BC136" si="9579">IF(LanGog2LevelCurrent&gt;=$B136,"-",IF(LanGog2LevelDesired&lt;$B136,"-",$D136))</f>
        <v>-</v>
      </c>
      <c r="BD136" s="21" t="str">
        <f t="shared" ref="BD136" si="9580">IF(LanGog2LevelCurrent&gt;=$B136,"-",IF(LanGog2LevelDesired&lt;$B136,"-",$E136))</f>
        <v>-</v>
      </c>
      <c r="BE136" s="15" t="str">
        <f t="shared" ref="BE136" si="9581">IF(LanGlo2LevelCurrent&gt;=$B136,"-",IF(LanGlo2LevelDesired&lt;$B136,"-",$C136))</f>
        <v>-</v>
      </c>
      <c r="BF136" s="1" t="str">
        <f t="shared" ref="BF136" si="9582">IF(LanGlo2LevelCurrent&gt;=$B136,"-",IF(LanGlo2LevelDesired&lt;$B136,"-",$D136))</f>
        <v>-</v>
      </c>
      <c r="BG136" s="21" t="str">
        <f t="shared" ref="BG136" si="9583">IF(LanGlo2LevelCurrent&gt;=$B136,"-",IF(LanGlo2LevelDesired&lt;$B136,"-",$E136))</f>
        <v>-</v>
      </c>
      <c r="BH136" s="15" t="str">
        <f t="shared" ref="BH136" si="9584">IF(LanBel2LevelCurrent&gt;=$B136,"-",IF(LanBel2LevelDesired&lt;$B136,"-",$C136))</f>
        <v>-</v>
      </c>
      <c r="BI136" s="1" t="str">
        <f t="shared" ref="BI136" si="9585">IF(LanBel2LevelCurrent&gt;=$B136,"-",IF(LanBel2LevelDesired&lt;$B136,"-",$D136))</f>
        <v>-</v>
      </c>
      <c r="BJ136" s="21" t="str">
        <f t="shared" ref="BJ136" si="9586">IF(LanBel2LevelCurrent&gt;=$B136,"-",IF(LanBel2LevelDesired&lt;$B136,"-",$E136))</f>
        <v>-</v>
      </c>
      <c r="BK136" s="15" t="str">
        <f t="shared" ref="BK136" si="9587">IF(LanBoo2LevelCurrent&gt;=$B136,"-",IF(LanBoo2LevelDesired&lt;$B136,"-",$C136))</f>
        <v>-</v>
      </c>
      <c r="BL136" s="1" t="str">
        <f t="shared" ref="BL136" si="9588">IF(LanBoo2LevelCurrent&gt;=$B136,"-",IF(LanBoo2LevelDesired&lt;$B136,"-",$D136))</f>
        <v>-</v>
      </c>
      <c r="BM136" s="21" t="str">
        <f t="shared" ref="BM136" si="9589">IF(LanBoo2LevelCurrent&gt;=$B136,"-",IF(LanBoo2LevelDesired&lt;$B136,"-",$E136))</f>
        <v>-</v>
      </c>
      <c r="BN136" s="15" t="str">
        <f t="shared" ref="BN136" si="9590">IF(MarGog2LevelCurrent&gt;=$B136,"-",IF(MarGog2LevelDesired&lt;$B136,"-",$C136))</f>
        <v>-</v>
      </c>
      <c r="BO136" s="1" t="str">
        <f t="shared" ref="BO136" si="9591">IF(MarGog2LevelCurrent&gt;=$B136,"-",IF(MarGog2LevelDesired&lt;$B136,"-",$D136))</f>
        <v>-</v>
      </c>
      <c r="BP136" s="21" t="str">
        <f t="shared" ref="BP136" si="9592">IF(MarGog2LevelCurrent&gt;=$B136,"-",IF(MarGog2LevelDesired&lt;$B136,"-",$E136))</f>
        <v>-</v>
      </c>
      <c r="BQ136" s="15" t="str">
        <f t="shared" ref="BQ136" si="9593">IF(MarGlo2LevelCurrent&gt;=$B136,"-",IF(MarGlo2LevelDesired&lt;$B136,"-",$C136))</f>
        <v>-</v>
      </c>
      <c r="BR136" s="1" t="str">
        <f t="shared" ref="BR136" si="9594">IF(MarGlo2LevelCurrent&gt;=$B136,"-",IF(MarGlo2LevelDesired&lt;$B136,"-",$D136))</f>
        <v>-</v>
      </c>
      <c r="BS136" s="21" t="str">
        <f t="shared" ref="BS136" si="9595">IF(MarGlo2LevelCurrent&gt;=$B136,"-",IF(MarGlo2LevelDesired&lt;$B136,"-",$E136))</f>
        <v>-</v>
      </c>
      <c r="BT136" s="15" t="str">
        <f t="shared" ref="BT136" si="9596">IF(MarBel2LevelCurrent&gt;=$B136,"-",IF(MarBel2LevelDesired&lt;$B136,"-",$C136))</f>
        <v>-</v>
      </c>
      <c r="BU136" s="1" t="str">
        <f t="shared" ref="BU136" si="9597">IF(MarBel2LevelCurrent&gt;=$B136,"-",IF(MarBel2LevelDesired&lt;$B136,"-",$D136))</f>
        <v>-</v>
      </c>
      <c r="BV136" s="21" t="str">
        <f t="shared" ref="BV136" si="9598">IF(MarBel2LevelCurrent&gt;=$B136,"-",IF(MarBel2LevelDesired&lt;$B136,"-",$E136))</f>
        <v>-</v>
      </c>
      <c r="BW136" s="15" t="str">
        <f t="shared" ref="BW136" si="9599">IF(MarBoo2LevelCurrent&gt;=$B136,"-",IF(MarBoo2LevelDesired&lt;$B136,"-",$C136))</f>
        <v>-</v>
      </c>
      <c r="BX136" s="1" t="str">
        <f t="shared" ref="BX136" si="9600">IF(MarBoo2LevelCurrent&gt;=$B136,"-",IF(MarBoo2LevelDesired&lt;$B136,"-",$D136))</f>
        <v>-</v>
      </c>
      <c r="BY136" s="21" t="str">
        <f t="shared" ref="BY136" si="9601">IF(MarBoo2LevelCurrent&gt;=$B136,"-",IF(MarBoo2LevelDesired&lt;$B136,"-",$E136))</f>
        <v>-</v>
      </c>
      <c r="BZ136" s="15" t="str">
        <f t="shared" si="9424"/>
        <v>-</v>
      </c>
      <c r="CA136" s="1" t="str" cm="1">
        <f t="array" ref="CA136">IF(InfGog3LevelCurrent&gt;=$B136,"-",IF(InfGog3LevelDesired&lt;$B136,"-",$D136))</f>
        <v>-</v>
      </c>
      <c r="CB136" s="21" t="str" cm="1">
        <f t="array" ref="CB136">IF(InfGog3LevelCurrent&gt;=$B136,"-",IF(InfGog3LevelDesired&lt;$B136,"-",$E136))</f>
        <v>-</v>
      </c>
      <c r="CC136" s="15" t="str">
        <f t="shared" si="9425"/>
        <v>-</v>
      </c>
      <c r="CD136" s="1" t="str">
        <f t="shared" si="9426"/>
        <v>-</v>
      </c>
      <c r="CE136" s="21" t="str">
        <f t="shared" si="9427"/>
        <v>-</v>
      </c>
      <c r="CF136" s="15" t="str">
        <f t="shared" si="9428"/>
        <v>-</v>
      </c>
      <c r="CG136" s="1" t="str">
        <f t="shared" si="9429"/>
        <v>-</v>
      </c>
      <c r="CH136" s="21" t="str">
        <f t="shared" si="9430"/>
        <v>-</v>
      </c>
      <c r="CI136" s="15" t="str">
        <f t="shared" si="9431"/>
        <v>-</v>
      </c>
      <c r="CJ136" s="1" t="str">
        <f t="shared" si="9432"/>
        <v>-</v>
      </c>
      <c r="CK136" s="21" t="str">
        <f t="shared" si="9433"/>
        <v>-</v>
      </c>
      <c r="CL136" s="15" t="str">
        <f t="shared" si="9434"/>
        <v>-</v>
      </c>
      <c r="CM136" s="1" t="str">
        <f t="shared" si="9435"/>
        <v>-</v>
      </c>
      <c r="CN136" s="21" t="str">
        <f t="shared" si="9436"/>
        <v>-</v>
      </c>
      <c r="CO136" s="15" t="str">
        <f t="shared" si="9437"/>
        <v>-</v>
      </c>
      <c r="CP136" s="1" t="str">
        <f t="shared" si="9438"/>
        <v>-</v>
      </c>
      <c r="CQ136" s="21" t="str">
        <f t="shared" si="9439"/>
        <v>-</v>
      </c>
      <c r="CR136" s="15" t="str">
        <f t="shared" si="9440"/>
        <v>-</v>
      </c>
      <c r="CS136" s="1" t="str">
        <f t="shared" si="9441"/>
        <v>-</v>
      </c>
      <c r="CT136" s="21" t="str">
        <f t="shared" si="9442"/>
        <v>-</v>
      </c>
      <c r="CU136" s="15" t="str">
        <f t="shared" si="9443"/>
        <v>-</v>
      </c>
      <c r="CV136" s="1" t="str">
        <f t="shared" si="9444"/>
        <v>-</v>
      </c>
      <c r="CW136" s="21" t="str">
        <f t="shared" si="9445"/>
        <v>-</v>
      </c>
      <c r="CX136" s="15" t="str">
        <f t="shared" si="9446"/>
        <v>-</v>
      </c>
      <c r="CY136" s="1" t="str">
        <f t="shared" si="9447"/>
        <v>-</v>
      </c>
      <c r="CZ136" s="21" t="str">
        <f t="shared" si="9448"/>
        <v>-</v>
      </c>
      <c r="DA136" s="15" t="str">
        <f t="shared" si="9449"/>
        <v>-</v>
      </c>
      <c r="DB136" s="1" t="str">
        <f t="shared" si="9450"/>
        <v>-</v>
      </c>
      <c r="DC136" s="21" t="str">
        <f t="shared" si="9451"/>
        <v>-</v>
      </c>
      <c r="DD136" s="15" t="str">
        <f t="shared" si="9452"/>
        <v>-</v>
      </c>
      <c r="DE136" s="1" t="str">
        <f t="shared" si="9453"/>
        <v>-</v>
      </c>
      <c r="DF136" s="21" t="str">
        <f t="shared" si="9454"/>
        <v>-</v>
      </c>
      <c r="DG136" s="15" t="str">
        <f t="shared" si="9455"/>
        <v>-</v>
      </c>
      <c r="DH136" s="1" t="str">
        <f t="shared" si="9456"/>
        <v>-</v>
      </c>
      <c r="DI136" s="21" t="str">
        <f t="shared" si="9457"/>
        <v>-</v>
      </c>
    </row>
    <row r="137" spans="2:113" x14ac:dyDescent="0.3">
      <c r="B137" s="1">
        <v>132</v>
      </c>
      <c r="C137" s="67">
        <v>4050</v>
      </c>
      <c r="D137" s="88" t="s">
        <v>27</v>
      </c>
      <c r="E137" s="68" t="s">
        <v>27</v>
      </c>
      <c r="F137" s="15" t="str">
        <f t="shared" ref="F137" si="9602">IF(InfGog1LevelCurrent&gt;=$B137,"-",IF(InfGog1LevelDesired&lt;$B137,"-",$C137))</f>
        <v>-</v>
      </c>
      <c r="G137" s="1" t="str">
        <f t="shared" ref="G137" si="9603">IF(InfGog1LevelCurrent&gt;=$B137,"-",IF(InfGog1LevelDesired&lt;$B137,"-",$D137))</f>
        <v>-</v>
      </c>
      <c r="H137" s="21" t="str">
        <f t="shared" ref="H137" si="9604">IF(InfGog1LevelCurrent&gt;=$B137,"-",IF(InfGog1LevelDesired&lt;$B137,"-",$E137))</f>
        <v>-</v>
      </c>
      <c r="I137" s="15" t="str">
        <f t="shared" ref="I137" si="9605">IF(InfGlo1LevelCurrent&gt;=$B137,"-",IF(InfGlo1LevelDesired&lt;$B137,"-",$C137))</f>
        <v>-</v>
      </c>
      <c r="J137" s="1" t="str">
        <f t="shared" ref="J137" si="9606">IF(InfGlo1LevelCurrent&gt;=$B137,"-",IF(InfGlo1LevelDesired&lt;$B137,"-",$D137))</f>
        <v>-</v>
      </c>
      <c r="K137" s="21" t="str">
        <f t="shared" ref="K137" si="9607">IF(InfGlo1LevelCurrent&gt;=$B137,"-",IF(InfGlo1LevelDesired&lt;$B137,"-",$E137))</f>
        <v>-</v>
      </c>
      <c r="L137" s="15" t="str">
        <f t="shared" ref="L137" si="9608">IF(InfBel1LevelCurrent&gt;=$B137,"-",IF(InfBel1LevelDesired&lt;$B137,"-",$C137))</f>
        <v>-</v>
      </c>
      <c r="M137" s="1" t="str">
        <f t="shared" ref="M137" si="9609">IF(InfBel1LevelCurrent&gt;=$B137,"-",IF(InfBel1LevelDesired&lt;$B137,"-",$D137))</f>
        <v>-</v>
      </c>
      <c r="N137" s="21" t="str">
        <f t="shared" ref="N137" si="9610">IF(InfBel1LevelCurrent&gt;=$B137,"-",IF(InfBel1LevelDesired&lt;$B137,"-",$E137))</f>
        <v>-</v>
      </c>
      <c r="O137" s="15" t="str">
        <f t="shared" ref="O137" si="9611">IF(InfBoo1LevelCurrent&gt;=$B137,"-",IF(InfBoo1LevelDesired&lt;$B137,"-",$C137))</f>
        <v>-</v>
      </c>
      <c r="P137" s="1" t="str">
        <f t="shared" ref="P137" si="9612">IF(InfBoo1LevelCurrent&gt;=$B137,"-",IF(InfBoo1LevelDesired&lt;$B137,"-",$D137))</f>
        <v>-</v>
      </c>
      <c r="Q137" s="21" t="str">
        <f t="shared" ref="Q137" si="9613">IF(InfBoo1LevelCurrent&gt;=$B137,"-",IF(InfBoo1LevelDesired&lt;$B137,"-",$E137))</f>
        <v>-</v>
      </c>
      <c r="R137" s="15" t="str">
        <f t="shared" ref="R137" si="9614">IF(LanGog1LevelCurrent&gt;=$B137,"-",IF(LanGog1LevelDesired&lt;$B137,"-",$C137))</f>
        <v>-</v>
      </c>
      <c r="S137" s="1" t="str">
        <f t="shared" ref="S137" si="9615">IF(LanGog1LevelCurrent&gt;=$B137,"-",IF(LanGog1LevelDesired&lt;$B137,"-",$D137))</f>
        <v>-</v>
      </c>
      <c r="T137" s="21" t="str">
        <f t="shared" ref="T137" si="9616">IF(LanGog1LevelCurrent&gt;=$B137,"-",IF(LanGog1LevelDesired&lt;$B137,"-",$E137))</f>
        <v>-</v>
      </c>
      <c r="U137" s="15" t="str">
        <f t="shared" ref="U137" si="9617">IF(LanGlo1LevelCurrent&gt;=$B137,"-",IF(LanGlo1LevelDesired&lt;$B137,"-",$C137))</f>
        <v>-</v>
      </c>
      <c r="V137" s="1" t="str">
        <f t="shared" ref="V137" si="9618">IF(LanGlo1LevelCurrent&gt;=$B137,"-",IF(LanGlo1LevelDesired&lt;$B137,"-",$D137))</f>
        <v>-</v>
      </c>
      <c r="W137" s="21" t="str">
        <f t="shared" ref="W137" si="9619">IF(LanGlo1LevelCurrent&gt;=$B137,"-",IF(LanGlo1LevelDesired&lt;$B137,"-",$E137))</f>
        <v>-</v>
      </c>
      <c r="X137" s="15" t="str">
        <f t="shared" ref="X137" si="9620">IF(LanBel1LevelCurrent&gt;=$B137,"-",IF(LanBel1LevelDesired&lt;$B137,"-",$C137))</f>
        <v>-</v>
      </c>
      <c r="Y137" s="1" t="str">
        <f t="shared" ref="Y137" si="9621">IF(LanBel1LevelCurrent&gt;=$B137,"-",IF(LanBel1LevelDesired&lt;$B137,"-",$D137))</f>
        <v>-</v>
      </c>
      <c r="Z137" s="21" t="str">
        <f t="shared" ref="Z137" si="9622">IF(LanBel1LevelCurrent&gt;=$B137,"-",IF(LanBel1LevelDesired&lt;$B137,"-",$E137))</f>
        <v>-</v>
      </c>
      <c r="AA137" s="15" t="str">
        <f t="shared" ref="AA137" si="9623">IF(LanBoo1LevelCurrent&gt;=$B137,"-",IF(LanBoo1LevelDesired&lt;$B137,"-",$C137))</f>
        <v>-</v>
      </c>
      <c r="AB137" s="1" t="str">
        <f t="shared" ref="AB137" si="9624">IF(LanBoo1LevelCurrent&gt;=$B137,"-",IF(LanBoo1LevelDesired&lt;$B137,"-",$D137))</f>
        <v>-</v>
      </c>
      <c r="AC137" s="21" t="str">
        <f t="shared" ref="AC137" si="9625">IF(LanBoo1LevelCurrent&gt;=$B137,"-",IF(LanBoo1LevelDesired&lt;$B137,"-",$E137))</f>
        <v>-</v>
      </c>
      <c r="AD137" s="15" t="str">
        <f t="shared" ref="AD137" si="9626">IF(MarGog1LevelCurrent&gt;=$B137,"-",IF(MarGog1LevelDesired&lt;$B137,"-",$C137))</f>
        <v>-</v>
      </c>
      <c r="AE137" s="1" t="str">
        <f t="shared" ref="AE137" si="9627">IF(MarGog1LevelCurrent&gt;=$B137,"-",IF(MarGog1LevelDesired&lt;$B137,"-",$D137))</f>
        <v>-</v>
      </c>
      <c r="AF137" s="21" t="str">
        <f t="shared" ref="AF137" si="9628">IF(MarGog1LevelCurrent&gt;=$B137,"-",IF(MarGog1LevelDesired&lt;$B137,"-",$E137))</f>
        <v>-</v>
      </c>
      <c r="AG137" s="15" t="str">
        <f t="shared" ref="AG137" si="9629">IF(MarGlo1LevelCurrent&gt;=$B137,"-",IF(MarGlo1LevelDesired&lt;$B137,"-",$C137))</f>
        <v>-</v>
      </c>
      <c r="AH137" s="1" t="str">
        <f t="shared" ref="AH137" si="9630">IF(MarGlo1LevelCurrent&gt;=$B137,"-",IF(MarGlo1LevelDesired&lt;$B137,"-",$D137))</f>
        <v>-</v>
      </c>
      <c r="AI137" s="21" t="str">
        <f t="shared" ref="AI137" si="9631">IF(MarGlo1LevelCurrent&gt;=$B137,"-",IF(MarGlo1LevelDesired&lt;$B137,"-",$E137))</f>
        <v>-</v>
      </c>
      <c r="AJ137" s="15" t="str">
        <f t="shared" ref="AJ137" si="9632">IF(MarBel1LevelCurrent&gt;=$B137,"-",IF(MarBel1LevelDesired&lt;$B137,"-",$C137))</f>
        <v>-</v>
      </c>
      <c r="AK137" s="1" t="str">
        <f t="shared" ref="AK137" si="9633">IF(MarBel1LevelCurrent&gt;=$B137,"-",IF(MarBel1LevelDesired&lt;$B137,"-",$D137))</f>
        <v>-</v>
      </c>
      <c r="AL137" s="21" t="str">
        <f t="shared" ref="AL137" si="9634">IF(MarBel1LevelCurrent&gt;=$B137,"-",IF(MarBel1LevelDesired&lt;$B137,"-",$E137))</f>
        <v>-</v>
      </c>
      <c r="AM137" s="15" t="str">
        <f t="shared" ref="AM137" si="9635">IF(MarBoo1LevelCurrent&gt;=$B137,"-",IF(MarBoo1LevelDesired&lt;$B137,"-",$C137))</f>
        <v>-</v>
      </c>
      <c r="AN137" s="1" t="str">
        <f t="shared" ref="AN137" si="9636">IF(MarBoo1LevelCurrent&gt;=$B137,"-",IF(MarBoo1LevelDesired&lt;$B137,"-",$D137))</f>
        <v>-</v>
      </c>
      <c r="AO137" s="21" t="str">
        <f t="shared" ref="AO137" si="9637">IF(MarBoo1LevelCurrent&gt;=$B137,"-",IF(MarBoo1LevelDesired&lt;$B137,"-",$E137))</f>
        <v>-</v>
      </c>
      <c r="AP137" s="15" t="str">
        <f t="shared" ref="AP137" si="9638">IF(InfGog2LevelCurrent&gt;=$B137,"-",IF(InfGog2LevelDesired&lt;$B137,"-",$C137))</f>
        <v>-</v>
      </c>
      <c r="AQ137" s="1" t="str">
        <f t="shared" ref="AQ137" si="9639">IF(InfGog2LevelCurrent&gt;=$B137,"-",IF(InfGog2LevelDesired&lt;$B137,"-",$D137))</f>
        <v>-</v>
      </c>
      <c r="AR137" s="21" t="str">
        <f t="shared" ref="AR137" si="9640">IF(InfGog2LevelCurrent&gt;=$B137,"-",IF(InfGog2LevelDesired&lt;$B137,"-",$E137))</f>
        <v>-</v>
      </c>
      <c r="AS137" s="15" t="str">
        <f t="shared" ref="AS137" si="9641">IF(InfGlo2LevelCurrent&gt;=$B137,"-",IF(InfGlo2LevelDesired&lt;$B137,"-",$C137))</f>
        <v>-</v>
      </c>
      <c r="AT137" s="1" t="str">
        <f t="shared" ref="AT137" si="9642">IF(InfGlo2LevelCurrent&gt;=$B137,"-",IF(InfGlo2LevelDesired&lt;$B137,"-",$D137))</f>
        <v>-</v>
      </c>
      <c r="AU137" s="21" t="str">
        <f t="shared" ref="AU137" si="9643">IF(InfGlo2LevelCurrent&gt;=$B137,"-",IF(InfGlo2LevelDesired&lt;$B137,"-",$E137))</f>
        <v>-</v>
      </c>
      <c r="AV137" s="15" t="str">
        <f t="shared" ref="AV137" si="9644">IF(InfBel2LevelCurrent&gt;=$B137,"-",IF(InfBel2LevelDesired&lt;$B137,"-",$C137))</f>
        <v>-</v>
      </c>
      <c r="AW137" s="1" t="str">
        <f t="shared" ref="AW137" si="9645">IF(InfBel2LevelCurrent&gt;=$B137,"-",IF(InfBel2LevelDesired&lt;$B137,"-",$D137))</f>
        <v>-</v>
      </c>
      <c r="AX137" s="21" t="str">
        <f t="shared" ref="AX137" si="9646">IF(InfBel2LevelCurrent&gt;=$B137,"-",IF(InfBel2LevelDesired&lt;$B137,"-",$E137))</f>
        <v>-</v>
      </c>
      <c r="AY137" s="15" t="str">
        <f t="shared" ref="AY137" si="9647">IF(InfBoo2LevelCurrent&gt;=$B137,"-",IF(InfBoo2LevelDesired&lt;$B137,"-",$C137))</f>
        <v>-</v>
      </c>
      <c r="AZ137" s="1" t="str">
        <f t="shared" ref="AZ137" si="9648">IF(InfBoo2LevelCurrent&gt;=$B137,"-",IF(InfBoo2LevelDesired&lt;$B137,"-",$D137))</f>
        <v>-</v>
      </c>
      <c r="BA137" s="21" t="str">
        <f t="shared" ref="BA137" si="9649">IF(InfBoo2LevelCurrent&gt;=$B137,"-",IF(InfBoo2LevelDesired&lt;$B137,"-",$E137))</f>
        <v>-</v>
      </c>
      <c r="BB137" s="15" t="str">
        <f t="shared" ref="BB137" si="9650">IF(LanGog2LevelCurrent&gt;=$B137,"-",IF(LanGog2LevelDesired&lt;$B137,"-",$C137))</f>
        <v>-</v>
      </c>
      <c r="BC137" s="1" t="str">
        <f t="shared" ref="BC137" si="9651">IF(LanGog2LevelCurrent&gt;=$B137,"-",IF(LanGog2LevelDesired&lt;$B137,"-",$D137))</f>
        <v>-</v>
      </c>
      <c r="BD137" s="21" t="str">
        <f t="shared" ref="BD137" si="9652">IF(LanGog2LevelCurrent&gt;=$B137,"-",IF(LanGog2LevelDesired&lt;$B137,"-",$E137))</f>
        <v>-</v>
      </c>
      <c r="BE137" s="15" t="str">
        <f t="shared" ref="BE137" si="9653">IF(LanGlo2LevelCurrent&gt;=$B137,"-",IF(LanGlo2LevelDesired&lt;$B137,"-",$C137))</f>
        <v>-</v>
      </c>
      <c r="BF137" s="1" t="str">
        <f t="shared" ref="BF137" si="9654">IF(LanGlo2LevelCurrent&gt;=$B137,"-",IF(LanGlo2LevelDesired&lt;$B137,"-",$D137))</f>
        <v>-</v>
      </c>
      <c r="BG137" s="21" t="str">
        <f t="shared" ref="BG137" si="9655">IF(LanGlo2LevelCurrent&gt;=$B137,"-",IF(LanGlo2LevelDesired&lt;$B137,"-",$E137))</f>
        <v>-</v>
      </c>
      <c r="BH137" s="15" t="str">
        <f t="shared" ref="BH137" si="9656">IF(LanBel2LevelCurrent&gt;=$B137,"-",IF(LanBel2LevelDesired&lt;$B137,"-",$C137))</f>
        <v>-</v>
      </c>
      <c r="BI137" s="1" t="str">
        <f t="shared" ref="BI137" si="9657">IF(LanBel2LevelCurrent&gt;=$B137,"-",IF(LanBel2LevelDesired&lt;$B137,"-",$D137))</f>
        <v>-</v>
      </c>
      <c r="BJ137" s="21" t="str">
        <f t="shared" ref="BJ137" si="9658">IF(LanBel2LevelCurrent&gt;=$B137,"-",IF(LanBel2LevelDesired&lt;$B137,"-",$E137))</f>
        <v>-</v>
      </c>
      <c r="BK137" s="15" t="str">
        <f t="shared" ref="BK137" si="9659">IF(LanBoo2LevelCurrent&gt;=$B137,"-",IF(LanBoo2LevelDesired&lt;$B137,"-",$C137))</f>
        <v>-</v>
      </c>
      <c r="BL137" s="1" t="str">
        <f t="shared" ref="BL137" si="9660">IF(LanBoo2LevelCurrent&gt;=$B137,"-",IF(LanBoo2LevelDesired&lt;$B137,"-",$D137))</f>
        <v>-</v>
      </c>
      <c r="BM137" s="21" t="str">
        <f t="shared" ref="BM137" si="9661">IF(LanBoo2LevelCurrent&gt;=$B137,"-",IF(LanBoo2LevelDesired&lt;$B137,"-",$E137))</f>
        <v>-</v>
      </c>
      <c r="BN137" s="15" t="str">
        <f t="shared" ref="BN137" si="9662">IF(MarGog2LevelCurrent&gt;=$B137,"-",IF(MarGog2LevelDesired&lt;$B137,"-",$C137))</f>
        <v>-</v>
      </c>
      <c r="BO137" s="1" t="str">
        <f t="shared" ref="BO137" si="9663">IF(MarGog2LevelCurrent&gt;=$B137,"-",IF(MarGog2LevelDesired&lt;$B137,"-",$D137))</f>
        <v>-</v>
      </c>
      <c r="BP137" s="21" t="str">
        <f t="shared" ref="BP137" si="9664">IF(MarGog2LevelCurrent&gt;=$B137,"-",IF(MarGog2LevelDesired&lt;$B137,"-",$E137))</f>
        <v>-</v>
      </c>
      <c r="BQ137" s="15" t="str">
        <f t="shared" ref="BQ137" si="9665">IF(MarGlo2LevelCurrent&gt;=$B137,"-",IF(MarGlo2LevelDesired&lt;$B137,"-",$C137))</f>
        <v>-</v>
      </c>
      <c r="BR137" s="1" t="str">
        <f t="shared" ref="BR137" si="9666">IF(MarGlo2LevelCurrent&gt;=$B137,"-",IF(MarGlo2LevelDesired&lt;$B137,"-",$D137))</f>
        <v>-</v>
      </c>
      <c r="BS137" s="21" t="str">
        <f t="shared" ref="BS137" si="9667">IF(MarGlo2LevelCurrent&gt;=$B137,"-",IF(MarGlo2LevelDesired&lt;$B137,"-",$E137))</f>
        <v>-</v>
      </c>
      <c r="BT137" s="15" t="str">
        <f t="shared" ref="BT137" si="9668">IF(MarBel2LevelCurrent&gt;=$B137,"-",IF(MarBel2LevelDesired&lt;$B137,"-",$C137))</f>
        <v>-</v>
      </c>
      <c r="BU137" s="1" t="str">
        <f t="shared" ref="BU137" si="9669">IF(MarBel2LevelCurrent&gt;=$B137,"-",IF(MarBel2LevelDesired&lt;$B137,"-",$D137))</f>
        <v>-</v>
      </c>
      <c r="BV137" s="21" t="str">
        <f t="shared" ref="BV137" si="9670">IF(MarBel2LevelCurrent&gt;=$B137,"-",IF(MarBel2LevelDesired&lt;$B137,"-",$E137))</f>
        <v>-</v>
      </c>
      <c r="BW137" s="15" t="str">
        <f t="shared" ref="BW137" si="9671">IF(MarBoo2LevelCurrent&gt;=$B137,"-",IF(MarBoo2LevelDesired&lt;$B137,"-",$C137))</f>
        <v>-</v>
      </c>
      <c r="BX137" s="1" t="str">
        <f t="shared" ref="BX137" si="9672">IF(MarBoo2LevelCurrent&gt;=$B137,"-",IF(MarBoo2LevelDesired&lt;$B137,"-",$D137))</f>
        <v>-</v>
      </c>
      <c r="BY137" s="21" t="str">
        <f t="shared" ref="BY137" si="9673">IF(MarBoo2LevelCurrent&gt;=$B137,"-",IF(MarBoo2LevelDesired&lt;$B137,"-",$E137))</f>
        <v>-</v>
      </c>
      <c r="BZ137" s="15" t="str">
        <f t="shared" si="9424"/>
        <v>-</v>
      </c>
      <c r="CA137" s="1" t="str" cm="1">
        <f t="array" ref="CA137">IF(InfGog3LevelCurrent&gt;=$B137,"-",IF(InfGog3LevelDesired&lt;$B137,"-",$D137))</f>
        <v>-</v>
      </c>
      <c r="CB137" s="21" t="str" cm="1">
        <f t="array" ref="CB137">IF(InfGog3LevelCurrent&gt;=$B137,"-",IF(InfGog3LevelDesired&lt;$B137,"-",$E137))</f>
        <v>-</v>
      </c>
      <c r="CC137" s="15" t="str">
        <f t="shared" si="9425"/>
        <v>-</v>
      </c>
      <c r="CD137" s="1" t="str">
        <f t="shared" si="9426"/>
        <v>-</v>
      </c>
      <c r="CE137" s="21" t="str">
        <f t="shared" si="9427"/>
        <v>-</v>
      </c>
      <c r="CF137" s="15" t="str">
        <f t="shared" si="9428"/>
        <v>-</v>
      </c>
      <c r="CG137" s="1" t="str">
        <f t="shared" si="9429"/>
        <v>-</v>
      </c>
      <c r="CH137" s="21" t="str">
        <f t="shared" si="9430"/>
        <v>-</v>
      </c>
      <c r="CI137" s="15" t="str">
        <f t="shared" si="9431"/>
        <v>-</v>
      </c>
      <c r="CJ137" s="1" t="str">
        <f t="shared" si="9432"/>
        <v>-</v>
      </c>
      <c r="CK137" s="21" t="str">
        <f t="shared" si="9433"/>
        <v>-</v>
      </c>
      <c r="CL137" s="15" t="str">
        <f t="shared" si="9434"/>
        <v>-</v>
      </c>
      <c r="CM137" s="1" t="str">
        <f t="shared" si="9435"/>
        <v>-</v>
      </c>
      <c r="CN137" s="21" t="str">
        <f t="shared" si="9436"/>
        <v>-</v>
      </c>
      <c r="CO137" s="15" t="str">
        <f t="shared" si="9437"/>
        <v>-</v>
      </c>
      <c r="CP137" s="1" t="str">
        <f t="shared" si="9438"/>
        <v>-</v>
      </c>
      <c r="CQ137" s="21" t="str">
        <f t="shared" si="9439"/>
        <v>-</v>
      </c>
      <c r="CR137" s="15" t="str">
        <f t="shared" si="9440"/>
        <v>-</v>
      </c>
      <c r="CS137" s="1" t="str">
        <f t="shared" si="9441"/>
        <v>-</v>
      </c>
      <c r="CT137" s="21" t="str">
        <f t="shared" si="9442"/>
        <v>-</v>
      </c>
      <c r="CU137" s="15" t="str">
        <f t="shared" si="9443"/>
        <v>-</v>
      </c>
      <c r="CV137" s="1" t="str">
        <f t="shared" si="9444"/>
        <v>-</v>
      </c>
      <c r="CW137" s="21" t="str">
        <f t="shared" si="9445"/>
        <v>-</v>
      </c>
      <c r="CX137" s="15" t="str">
        <f t="shared" si="9446"/>
        <v>-</v>
      </c>
      <c r="CY137" s="1" t="str">
        <f t="shared" si="9447"/>
        <v>-</v>
      </c>
      <c r="CZ137" s="21" t="str">
        <f t="shared" si="9448"/>
        <v>-</v>
      </c>
      <c r="DA137" s="15" t="str">
        <f t="shared" si="9449"/>
        <v>-</v>
      </c>
      <c r="DB137" s="1" t="str">
        <f t="shared" si="9450"/>
        <v>-</v>
      </c>
      <c r="DC137" s="21" t="str">
        <f t="shared" si="9451"/>
        <v>-</v>
      </c>
      <c r="DD137" s="15" t="str">
        <f t="shared" si="9452"/>
        <v>-</v>
      </c>
      <c r="DE137" s="1" t="str">
        <f t="shared" si="9453"/>
        <v>-</v>
      </c>
      <c r="DF137" s="21" t="str">
        <f t="shared" si="9454"/>
        <v>-</v>
      </c>
      <c r="DG137" s="15" t="str">
        <f t="shared" si="9455"/>
        <v>-</v>
      </c>
      <c r="DH137" s="1" t="str">
        <f t="shared" si="9456"/>
        <v>-</v>
      </c>
      <c r="DI137" s="21" t="str">
        <f t="shared" si="9457"/>
        <v>-</v>
      </c>
    </row>
    <row r="138" spans="2:113" x14ac:dyDescent="0.3">
      <c r="B138" s="1">
        <v>133</v>
      </c>
      <c r="C138" s="67">
        <v>4100</v>
      </c>
      <c r="D138" s="88" t="s">
        <v>27</v>
      </c>
      <c r="E138" s="68" t="s">
        <v>27</v>
      </c>
      <c r="F138" s="15" t="str">
        <f t="shared" ref="F138" si="9674">IF(InfGog1LevelCurrent&gt;=$B138,"-",IF(InfGog1LevelDesired&lt;$B138,"-",$C138))</f>
        <v>-</v>
      </c>
      <c r="G138" s="1" t="str">
        <f t="shared" ref="G138" si="9675">IF(InfGog1LevelCurrent&gt;=$B138,"-",IF(InfGog1LevelDesired&lt;$B138,"-",$D138))</f>
        <v>-</v>
      </c>
      <c r="H138" s="21" t="str">
        <f t="shared" ref="H138" si="9676">IF(InfGog1LevelCurrent&gt;=$B138,"-",IF(InfGog1LevelDesired&lt;$B138,"-",$E138))</f>
        <v>-</v>
      </c>
      <c r="I138" s="15" t="str">
        <f t="shared" ref="I138" si="9677">IF(InfGlo1LevelCurrent&gt;=$B138,"-",IF(InfGlo1LevelDesired&lt;$B138,"-",$C138))</f>
        <v>-</v>
      </c>
      <c r="J138" s="1" t="str">
        <f t="shared" ref="J138" si="9678">IF(InfGlo1LevelCurrent&gt;=$B138,"-",IF(InfGlo1LevelDesired&lt;$B138,"-",$D138))</f>
        <v>-</v>
      </c>
      <c r="K138" s="21" t="str">
        <f t="shared" ref="K138" si="9679">IF(InfGlo1LevelCurrent&gt;=$B138,"-",IF(InfGlo1LevelDesired&lt;$B138,"-",$E138))</f>
        <v>-</v>
      </c>
      <c r="L138" s="15" t="str">
        <f t="shared" ref="L138" si="9680">IF(InfBel1LevelCurrent&gt;=$B138,"-",IF(InfBel1LevelDesired&lt;$B138,"-",$C138))</f>
        <v>-</v>
      </c>
      <c r="M138" s="1" t="str">
        <f t="shared" ref="M138" si="9681">IF(InfBel1LevelCurrent&gt;=$B138,"-",IF(InfBel1LevelDesired&lt;$B138,"-",$D138))</f>
        <v>-</v>
      </c>
      <c r="N138" s="21" t="str">
        <f t="shared" ref="N138" si="9682">IF(InfBel1LevelCurrent&gt;=$B138,"-",IF(InfBel1LevelDesired&lt;$B138,"-",$E138))</f>
        <v>-</v>
      </c>
      <c r="O138" s="15" t="str">
        <f t="shared" ref="O138" si="9683">IF(InfBoo1LevelCurrent&gt;=$B138,"-",IF(InfBoo1LevelDesired&lt;$B138,"-",$C138))</f>
        <v>-</v>
      </c>
      <c r="P138" s="1" t="str">
        <f t="shared" ref="P138" si="9684">IF(InfBoo1LevelCurrent&gt;=$B138,"-",IF(InfBoo1LevelDesired&lt;$B138,"-",$D138))</f>
        <v>-</v>
      </c>
      <c r="Q138" s="21" t="str">
        <f t="shared" ref="Q138" si="9685">IF(InfBoo1LevelCurrent&gt;=$B138,"-",IF(InfBoo1LevelDesired&lt;$B138,"-",$E138))</f>
        <v>-</v>
      </c>
      <c r="R138" s="15" t="str">
        <f t="shared" ref="R138" si="9686">IF(LanGog1LevelCurrent&gt;=$B138,"-",IF(LanGog1LevelDesired&lt;$B138,"-",$C138))</f>
        <v>-</v>
      </c>
      <c r="S138" s="1" t="str">
        <f t="shared" ref="S138" si="9687">IF(LanGog1LevelCurrent&gt;=$B138,"-",IF(LanGog1LevelDesired&lt;$B138,"-",$D138))</f>
        <v>-</v>
      </c>
      <c r="T138" s="21" t="str">
        <f t="shared" ref="T138" si="9688">IF(LanGog1LevelCurrent&gt;=$B138,"-",IF(LanGog1LevelDesired&lt;$B138,"-",$E138))</f>
        <v>-</v>
      </c>
      <c r="U138" s="15" t="str">
        <f t="shared" ref="U138" si="9689">IF(LanGlo1LevelCurrent&gt;=$B138,"-",IF(LanGlo1LevelDesired&lt;$B138,"-",$C138))</f>
        <v>-</v>
      </c>
      <c r="V138" s="1" t="str">
        <f t="shared" ref="V138" si="9690">IF(LanGlo1LevelCurrent&gt;=$B138,"-",IF(LanGlo1LevelDesired&lt;$B138,"-",$D138))</f>
        <v>-</v>
      </c>
      <c r="W138" s="21" t="str">
        <f t="shared" ref="W138" si="9691">IF(LanGlo1LevelCurrent&gt;=$B138,"-",IF(LanGlo1LevelDesired&lt;$B138,"-",$E138))</f>
        <v>-</v>
      </c>
      <c r="X138" s="15" t="str">
        <f t="shared" ref="X138" si="9692">IF(LanBel1LevelCurrent&gt;=$B138,"-",IF(LanBel1LevelDesired&lt;$B138,"-",$C138))</f>
        <v>-</v>
      </c>
      <c r="Y138" s="1" t="str">
        <f t="shared" ref="Y138" si="9693">IF(LanBel1LevelCurrent&gt;=$B138,"-",IF(LanBel1LevelDesired&lt;$B138,"-",$D138))</f>
        <v>-</v>
      </c>
      <c r="Z138" s="21" t="str">
        <f t="shared" ref="Z138" si="9694">IF(LanBel1LevelCurrent&gt;=$B138,"-",IF(LanBel1LevelDesired&lt;$B138,"-",$E138))</f>
        <v>-</v>
      </c>
      <c r="AA138" s="15" t="str">
        <f t="shared" ref="AA138" si="9695">IF(LanBoo1LevelCurrent&gt;=$B138,"-",IF(LanBoo1LevelDesired&lt;$B138,"-",$C138))</f>
        <v>-</v>
      </c>
      <c r="AB138" s="1" t="str">
        <f t="shared" ref="AB138" si="9696">IF(LanBoo1LevelCurrent&gt;=$B138,"-",IF(LanBoo1LevelDesired&lt;$B138,"-",$D138))</f>
        <v>-</v>
      </c>
      <c r="AC138" s="21" t="str">
        <f t="shared" ref="AC138" si="9697">IF(LanBoo1LevelCurrent&gt;=$B138,"-",IF(LanBoo1LevelDesired&lt;$B138,"-",$E138))</f>
        <v>-</v>
      </c>
      <c r="AD138" s="15" t="str">
        <f t="shared" ref="AD138" si="9698">IF(MarGog1LevelCurrent&gt;=$B138,"-",IF(MarGog1LevelDesired&lt;$B138,"-",$C138))</f>
        <v>-</v>
      </c>
      <c r="AE138" s="1" t="str">
        <f t="shared" ref="AE138" si="9699">IF(MarGog1LevelCurrent&gt;=$B138,"-",IF(MarGog1LevelDesired&lt;$B138,"-",$D138))</f>
        <v>-</v>
      </c>
      <c r="AF138" s="21" t="str">
        <f t="shared" ref="AF138" si="9700">IF(MarGog1LevelCurrent&gt;=$B138,"-",IF(MarGog1LevelDesired&lt;$B138,"-",$E138))</f>
        <v>-</v>
      </c>
      <c r="AG138" s="15" t="str">
        <f t="shared" ref="AG138" si="9701">IF(MarGlo1LevelCurrent&gt;=$B138,"-",IF(MarGlo1LevelDesired&lt;$B138,"-",$C138))</f>
        <v>-</v>
      </c>
      <c r="AH138" s="1" t="str">
        <f t="shared" ref="AH138" si="9702">IF(MarGlo1LevelCurrent&gt;=$B138,"-",IF(MarGlo1LevelDesired&lt;$B138,"-",$D138))</f>
        <v>-</v>
      </c>
      <c r="AI138" s="21" t="str">
        <f t="shared" ref="AI138" si="9703">IF(MarGlo1LevelCurrent&gt;=$B138,"-",IF(MarGlo1LevelDesired&lt;$B138,"-",$E138))</f>
        <v>-</v>
      </c>
      <c r="AJ138" s="15" t="str">
        <f t="shared" ref="AJ138" si="9704">IF(MarBel1LevelCurrent&gt;=$B138,"-",IF(MarBel1LevelDesired&lt;$B138,"-",$C138))</f>
        <v>-</v>
      </c>
      <c r="AK138" s="1" t="str">
        <f t="shared" ref="AK138" si="9705">IF(MarBel1LevelCurrent&gt;=$B138,"-",IF(MarBel1LevelDesired&lt;$B138,"-",$D138))</f>
        <v>-</v>
      </c>
      <c r="AL138" s="21" t="str">
        <f t="shared" ref="AL138" si="9706">IF(MarBel1LevelCurrent&gt;=$B138,"-",IF(MarBel1LevelDesired&lt;$B138,"-",$E138))</f>
        <v>-</v>
      </c>
      <c r="AM138" s="15" t="str">
        <f t="shared" ref="AM138" si="9707">IF(MarBoo1LevelCurrent&gt;=$B138,"-",IF(MarBoo1LevelDesired&lt;$B138,"-",$C138))</f>
        <v>-</v>
      </c>
      <c r="AN138" s="1" t="str">
        <f t="shared" ref="AN138" si="9708">IF(MarBoo1LevelCurrent&gt;=$B138,"-",IF(MarBoo1LevelDesired&lt;$B138,"-",$D138))</f>
        <v>-</v>
      </c>
      <c r="AO138" s="21" t="str">
        <f t="shared" ref="AO138" si="9709">IF(MarBoo1LevelCurrent&gt;=$B138,"-",IF(MarBoo1LevelDesired&lt;$B138,"-",$E138))</f>
        <v>-</v>
      </c>
      <c r="AP138" s="15" t="str">
        <f t="shared" ref="AP138" si="9710">IF(InfGog2LevelCurrent&gt;=$B138,"-",IF(InfGog2LevelDesired&lt;$B138,"-",$C138))</f>
        <v>-</v>
      </c>
      <c r="AQ138" s="1" t="str">
        <f t="shared" ref="AQ138" si="9711">IF(InfGog2LevelCurrent&gt;=$B138,"-",IF(InfGog2LevelDesired&lt;$B138,"-",$D138))</f>
        <v>-</v>
      </c>
      <c r="AR138" s="21" t="str">
        <f t="shared" ref="AR138" si="9712">IF(InfGog2LevelCurrent&gt;=$B138,"-",IF(InfGog2LevelDesired&lt;$B138,"-",$E138))</f>
        <v>-</v>
      </c>
      <c r="AS138" s="15" t="str">
        <f t="shared" ref="AS138" si="9713">IF(InfGlo2LevelCurrent&gt;=$B138,"-",IF(InfGlo2LevelDesired&lt;$B138,"-",$C138))</f>
        <v>-</v>
      </c>
      <c r="AT138" s="1" t="str">
        <f t="shared" ref="AT138" si="9714">IF(InfGlo2LevelCurrent&gt;=$B138,"-",IF(InfGlo2LevelDesired&lt;$B138,"-",$D138))</f>
        <v>-</v>
      </c>
      <c r="AU138" s="21" t="str">
        <f t="shared" ref="AU138" si="9715">IF(InfGlo2LevelCurrent&gt;=$B138,"-",IF(InfGlo2LevelDesired&lt;$B138,"-",$E138))</f>
        <v>-</v>
      </c>
      <c r="AV138" s="15" t="str">
        <f t="shared" ref="AV138" si="9716">IF(InfBel2LevelCurrent&gt;=$B138,"-",IF(InfBel2LevelDesired&lt;$B138,"-",$C138))</f>
        <v>-</v>
      </c>
      <c r="AW138" s="1" t="str">
        <f t="shared" ref="AW138" si="9717">IF(InfBel2LevelCurrent&gt;=$B138,"-",IF(InfBel2LevelDesired&lt;$B138,"-",$D138))</f>
        <v>-</v>
      </c>
      <c r="AX138" s="21" t="str">
        <f t="shared" ref="AX138" si="9718">IF(InfBel2LevelCurrent&gt;=$B138,"-",IF(InfBel2LevelDesired&lt;$B138,"-",$E138))</f>
        <v>-</v>
      </c>
      <c r="AY138" s="15" t="str">
        <f t="shared" ref="AY138" si="9719">IF(InfBoo2LevelCurrent&gt;=$B138,"-",IF(InfBoo2LevelDesired&lt;$B138,"-",$C138))</f>
        <v>-</v>
      </c>
      <c r="AZ138" s="1" t="str">
        <f t="shared" ref="AZ138" si="9720">IF(InfBoo2LevelCurrent&gt;=$B138,"-",IF(InfBoo2LevelDesired&lt;$B138,"-",$D138))</f>
        <v>-</v>
      </c>
      <c r="BA138" s="21" t="str">
        <f t="shared" ref="BA138" si="9721">IF(InfBoo2LevelCurrent&gt;=$B138,"-",IF(InfBoo2LevelDesired&lt;$B138,"-",$E138))</f>
        <v>-</v>
      </c>
      <c r="BB138" s="15" t="str">
        <f t="shared" ref="BB138" si="9722">IF(LanGog2LevelCurrent&gt;=$B138,"-",IF(LanGog2LevelDesired&lt;$B138,"-",$C138))</f>
        <v>-</v>
      </c>
      <c r="BC138" s="1" t="str">
        <f t="shared" ref="BC138" si="9723">IF(LanGog2LevelCurrent&gt;=$B138,"-",IF(LanGog2LevelDesired&lt;$B138,"-",$D138))</f>
        <v>-</v>
      </c>
      <c r="BD138" s="21" t="str">
        <f t="shared" ref="BD138" si="9724">IF(LanGog2LevelCurrent&gt;=$B138,"-",IF(LanGog2LevelDesired&lt;$B138,"-",$E138))</f>
        <v>-</v>
      </c>
      <c r="BE138" s="15" t="str">
        <f t="shared" ref="BE138" si="9725">IF(LanGlo2LevelCurrent&gt;=$B138,"-",IF(LanGlo2LevelDesired&lt;$B138,"-",$C138))</f>
        <v>-</v>
      </c>
      <c r="BF138" s="1" t="str">
        <f t="shared" ref="BF138" si="9726">IF(LanGlo2LevelCurrent&gt;=$B138,"-",IF(LanGlo2LevelDesired&lt;$B138,"-",$D138))</f>
        <v>-</v>
      </c>
      <c r="BG138" s="21" t="str">
        <f t="shared" ref="BG138" si="9727">IF(LanGlo2LevelCurrent&gt;=$B138,"-",IF(LanGlo2LevelDesired&lt;$B138,"-",$E138))</f>
        <v>-</v>
      </c>
      <c r="BH138" s="15" t="str">
        <f t="shared" ref="BH138" si="9728">IF(LanBel2LevelCurrent&gt;=$B138,"-",IF(LanBel2LevelDesired&lt;$B138,"-",$C138))</f>
        <v>-</v>
      </c>
      <c r="BI138" s="1" t="str">
        <f t="shared" ref="BI138" si="9729">IF(LanBel2LevelCurrent&gt;=$B138,"-",IF(LanBel2LevelDesired&lt;$B138,"-",$D138))</f>
        <v>-</v>
      </c>
      <c r="BJ138" s="21" t="str">
        <f t="shared" ref="BJ138" si="9730">IF(LanBel2LevelCurrent&gt;=$B138,"-",IF(LanBel2LevelDesired&lt;$B138,"-",$E138))</f>
        <v>-</v>
      </c>
      <c r="BK138" s="15" t="str">
        <f t="shared" ref="BK138" si="9731">IF(LanBoo2LevelCurrent&gt;=$B138,"-",IF(LanBoo2LevelDesired&lt;$B138,"-",$C138))</f>
        <v>-</v>
      </c>
      <c r="BL138" s="1" t="str">
        <f t="shared" ref="BL138" si="9732">IF(LanBoo2LevelCurrent&gt;=$B138,"-",IF(LanBoo2LevelDesired&lt;$B138,"-",$D138))</f>
        <v>-</v>
      </c>
      <c r="BM138" s="21" t="str">
        <f t="shared" ref="BM138" si="9733">IF(LanBoo2LevelCurrent&gt;=$B138,"-",IF(LanBoo2LevelDesired&lt;$B138,"-",$E138))</f>
        <v>-</v>
      </c>
      <c r="BN138" s="15" t="str">
        <f t="shared" ref="BN138" si="9734">IF(MarGog2LevelCurrent&gt;=$B138,"-",IF(MarGog2LevelDesired&lt;$B138,"-",$C138))</f>
        <v>-</v>
      </c>
      <c r="BO138" s="1" t="str">
        <f t="shared" ref="BO138" si="9735">IF(MarGog2LevelCurrent&gt;=$B138,"-",IF(MarGog2LevelDesired&lt;$B138,"-",$D138))</f>
        <v>-</v>
      </c>
      <c r="BP138" s="21" t="str">
        <f t="shared" ref="BP138" si="9736">IF(MarGog2LevelCurrent&gt;=$B138,"-",IF(MarGog2LevelDesired&lt;$B138,"-",$E138))</f>
        <v>-</v>
      </c>
      <c r="BQ138" s="15" t="str">
        <f t="shared" ref="BQ138" si="9737">IF(MarGlo2LevelCurrent&gt;=$B138,"-",IF(MarGlo2LevelDesired&lt;$B138,"-",$C138))</f>
        <v>-</v>
      </c>
      <c r="BR138" s="1" t="str">
        <f t="shared" ref="BR138" si="9738">IF(MarGlo2LevelCurrent&gt;=$B138,"-",IF(MarGlo2LevelDesired&lt;$B138,"-",$D138))</f>
        <v>-</v>
      </c>
      <c r="BS138" s="21" t="str">
        <f t="shared" ref="BS138" si="9739">IF(MarGlo2LevelCurrent&gt;=$B138,"-",IF(MarGlo2LevelDesired&lt;$B138,"-",$E138))</f>
        <v>-</v>
      </c>
      <c r="BT138" s="15" t="str">
        <f t="shared" ref="BT138" si="9740">IF(MarBel2LevelCurrent&gt;=$B138,"-",IF(MarBel2LevelDesired&lt;$B138,"-",$C138))</f>
        <v>-</v>
      </c>
      <c r="BU138" s="1" t="str">
        <f t="shared" ref="BU138" si="9741">IF(MarBel2LevelCurrent&gt;=$B138,"-",IF(MarBel2LevelDesired&lt;$B138,"-",$D138))</f>
        <v>-</v>
      </c>
      <c r="BV138" s="21" t="str">
        <f t="shared" ref="BV138" si="9742">IF(MarBel2LevelCurrent&gt;=$B138,"-",IF(MarBel2LevelDesired&lt;$B138,"-",$E138))</f>
        <v>-</v>
      </c>
      <c r="BW138" s="15" t="str">
        <f t="shared" ref="BW138" si="9743">IF(MarBoo2LevelCurrent&gt;=$B138,"-",IF(MarBoo2LevelDesired&lt;$B138,"-",$C138))</f>
        <v>-</v>
      </c>
      <c r="BX138" s="1" t="str">
        <f t="shared" ref="BX138" si="9744">IF(MarBoo2LevelCurrent&gt;=$B138,"-",IF(MarBoo2LevelDesired&lt;$B138,"-",$D138))</f>
        <v>-</v>
      </c>
      <c r="BY138" s="21" t="str">
        <f t="shared" ref="BY138" si="9745">IF(MarBoo2LevelCurrent&gt;=$B138,"-",IF(MarBoo2LevelDesired&lt;$B138,"-",$E138))</f>
        <v>-</v>
      </c>
      <c r="BZ138" s="15" t="str">
        <f t="shared" si="9424"/>
        <v>-</v>
      </c>
      <c r="CA138" s="1" t="str" cm="1">
        <f t="array" ref="CA138">IF(InfGog3LevelCurrent&gt;=$B138,"-",IF(InfGog3LevelDesired&lt;$B138,"-",$D138))</f>
        <v>-</v>
      </c>
      <c r="CB138" s="21" t="str" cm="1">
        <f t="array" ref="CB138">IF(InfGog3LevelCurrent&gt;=$B138,"-",IF(InfGog3LevelDesired&lt;$B138,"-",$E138))</f>
        <v>-</v>
      </c>
      <c r="CC138" s="15" t="str">
        <f t="shared" si="9425"/>
        <v>-</v>
      </c>
      <c r="CD138" s="1" t="str">
        <f t="shared" si="9426"/>
        <v>-</v>
      </c>
      <c r="CE138" s="21" t="str">
        <f t="shared" si="9427"/>
        <v>-</v>
      </c>
      <c r="CF138" s="15" t="str">
        <f t="shared" si="9428"/>
        <v>-</v>
      </c>
      <c r="CG138" s="1" t="str">
        <f t="shared" si="9429"/>
        <v>-</v>
      </c>
      <c r="CH138" s="21" t="str">
        <f t="shared" si="9430"/>
        <v>-</v>
      </c>
      <c r="CI138" s="15" t="str">
        <f t="shared" si="9431"/>
        <v>-</v>
      </c>
      <c r="CJ138" s="1" t="str">
        <f t="shared" si="9432"/>
        <v>-</v>
      </c>
      <c r="CK138" s="21" t="str">
        <f t="shared" si="9433"/>
        <v>-</v>
      </c>
      <c r="CL138" s="15" t="str">
        <f t="shared" si="9434"/>
        <v>-</v>
      </c>
      <c r="CM138" s="1" t="str">
        <f t="shared" si="9435"/>
        <v>-</v>
      </c>
      <c r="CN138" s="21" t="str">
        <f t="shared" si="9436"/>
        <v>-</v>
      </c>
      <c r="CO138" s="15" t="str">
        <f t="shared" si="9437"/>
        <v>-</v>
      </c>
      <c r="CP138" s="1" t="str">
        <f t="shared" si="9438"/>
        <v>-</v>
      </c>
      <c r="CQ138" s="21" t="str">
        <f t="shared" si="9439"/>
        <v>-</v>
      </c>
      <c r="CR138" s="15" t="str">
        <f t="shared" si="9440"/>
        <v>-</v>
      </c>
      <c r="CS138" s="1" t="str">
        <f t="shared" si="9441"/>
        <v>-</v>
      </c>
      <c r="CT138" s="21" t="str">
        <f t="shared" si="9442"/>
        <v>-</v>
      </c>
      <c r="CU138" s="15" t="str">
        <f t="shared" si="9443"/>
        <v>-</v>
      </c>
      <c r="CV138" s="1" t="str">
        <f t="shared" si="9444"/>
        <v>-</v>
      </c>
      <c r="CW138" s="21" t="str">
        <f t="shared" si="9445"/>
        <v>-</v>
      </c>
      <c r="CX138" s="15" t="str">
        <f t="shared" si="9446"/>
        <v>-</v>
      </c>
      <c r="CY138" s="1" t="str">
        <f t="shared" si="9447"/>
        <v>-</v>
      </c>
      <c r="CZ138" s="21" t="str">
        <f t="shared" si="9448"/>
        <v>-</v>
      </c>
      <c r="DA138" s="15" t="str">
        <f t="shared" si="9449"/>
        <v>-</v>
      </c>
      <c r="DB138" s="1" t="str">
        <f t="shared" si="9450"/>
        <v>-</v>
      </c>
      <c r="DC138" s="21" t="str">
        <f t="shared" si="9451"/>
        <v>-</v>
      </c>
      <c r="DD138" s="15" t="str">
        <f t="shared" si="9452"/>
        <v>-</v>
      </c>
      <c r="DE138" s="1" t="str">
        <f t="shared" si="9453"/>
        <v>-</v>
      </c>
      <c r="DF138" s="21" t="str">
        <f t="shared" si="9454"/>
        <v>-</v>
      </c>
      <c r="DG138" s="15" t="str">
        <f t="shared" si="9455"/>
        <v>-</v>
      </c>
      <c r="DH138" s="1" t="str">
        <f t="shared" si="9456"/>
        <v>-</v>
      </c>
      <c r="DI138" s="21" t="str">
        <f t="shared" si="9457"/>
        <v>-</v>
      </c>
    </row>
    <row r="139" spans="2:113" x14ac:dyDescent="0.3">
      <c r="B139" s="1">
        <v>134</v>
      </c>
      <c r="C139" s="67">
        <v>4150</v>
      </c>
      <c r="D139" s="88" t="s">
        <v>27</v>
      </c>
      <c r="E139" s="68" t="s">
        <v>27</v>
      </c>
      <c r="F139" s="15" t="str">
        <f t="shared" ref="F139" si="9746">IF(InfGog1LevelCurrent&gt;=$B139,"-",IF(InfGog1LevelDesired&lt;$B139,"-",$C139))</f>
        <v>-</v>
      </c>
      <c r="G139" s="1" t="str">
        <f t="shared" ref="G139" si="9747">IF(InfGog1LevelCurrent&gt;=$B139,"-",IF(InfGog1LevelDesired&lt;$B139,"-",$D139))</f>
        <v>-</v>
      </c>
      <c r="H139" s="21" t="str">
        <f t="shared" ref="H139" si="9748">IF(InfGog1LevelCurrent&gt;=$B139,"-",IF(InfGog1LevelDesired&lt;$B139,"-",$E139))</f>
        <v>-</v>
      </c>
      <c r="I139" s="15" t="str">
        <f t="shared" ref="I139" si="9749">IF(InfGlo1LevelCurrent&gt;=$B139,"-",IF(InfGlo1LevelDesired&lt;$B139,"-",$C139))</f>
        <v>-</v>
      </c>
      <c r="J139" s="1" t="str">
        <f t="shared" ref="J139" si="9750">IF(InfGlo1LevelCurrent&gt;=$B139,"-",IF(InfGlo1LevelDesired&lt;$B139,"-",$D139))</f>
        <v>-</v>
      </c>
      <c r="K139" s="21" t="str">
        <f t="shared" ref="K139" si="9751">IF(InfGlo1LevelCurrent&gt;=$B139,"-",IF(InfGlo1LevelDesired&lt;$B139,"-",$E139))</f>
        <v>-</v>
      </c>
      <c r="L139" s="15" t="str">
        <f t="shared" ref="L139" si="9752">IF(InfBel1LevelCurrent&gt;=$B139,"-",IF(InfBel1LevelDesired&lt;$B139,"-",$C139))</f>
        <v>-</v>
      </c>
      <c r="M139" s="1" t="str">
        <f t="shared" ref="M139" si="9753">IF(InfBel1LevelCurrent&gt;=$B139,"-",IF(InfBel1LevelDesired&lt;$B139,"-",$D139))</f>
        <v>-</v>
      </c>
      <c r="N139" s="21" t="str">
        <f t="shared" ref="N139" si="9754">IF(InfBel1LevelCurrent&gt;=$B139,"-",IF(InfBel1LevelDesired&lt;$B139,"-",$E139))</f>
        <v>-</v>
      </c>
      <c r="O139" s="15" t="str">
        <f t="shared" ref="O139" si="9755">IF(InfBoo1LevelCurrent&gt;=$B139,"-",IF(InfBoo1LevelDesired&lt;$B139,"-",$C139))</f>
        <v>-</v>
      </c>
      <c r="P139" s="1" t="str">
        <f t="shared" ref="P139" si="9756">IF(InfBoo1LevelCurrent&gt;=$B139,"-",IF(InfBoo1LevelDesired&lt;$B139,"-",$D139))</f>
        <v>-</v>
      </c>
      <c r="Q139" s="21" t="str">
        <f t="shared" ref="Q139" si="9757">IF(InfBoo1LevelCurrent&gt;=$B139,"-",IF(InfBoo1LevelDesired&lt;$B139,"-",$E139))</f>
        <v>-</v>
      </c>
      <c r="R139" s="15" t="str">
        <f t="shared" ref="R139" si="9758">IF(LanGog1LevelCurrent&gt;=$B139,"-",IF(LanGog1LevelDesired&lt;$B139,"-",$C139))</f>
        <v>-</v>
      </c>
      <c r="S139" s="1" t="str">
        <f t="shared" ref="S139" si="9759">IF(LanGog1LevelCurrent&gt;=$B139,"-",IF(LanGog1LevelDesired&lt;$B139,"-",$D139))</f>
        <v>-</v>
      </c>
      <c r="T139" s="21" t="str">
        <f t="shared" ref="T139" si="9760">IF(LanGog1LevelCurrent&gt;=$B139,"-",IF(LanGog1LevelDesired&lt;$B139,"-",$E139))</f>
        <v>-</v>
      </c>
      <c r="U139" s="15" t="str">
        <f t="shared" ref="U139" si="9761">IF(LanGlo1LevelCurrent&gt;=$B139,"-",IF(LanGlo1LevelDesired&lt;$B139,"-",$C139))</f>
        <v>-</v>
      </c>
      <c r="V139" s="1" t="str">
        <f t="shared" ref="V139" si="9762">IF(LanGlo1LevelCurrent&gt;=$B139,"-",IF(LanGlo1LevelDesired&lt;$B139,"-",$D139))</f>
        <v>-</v>
      </c>
      <c r="W139" s="21" t="str">
        <f t="shared" ref="W139" si="9763">IF(LanGlo1LevelCurrent&gt;=$B139,"-",IF(LanGlo1LevelDesired&lt;$B139,"-",$E139))</f>
        <v>-</v>
      </c>
      <c r="X139" s="15" t="str">
        <f t="shared" ref="X139" si="9764">IF(LanBel1LevelCurrent&gt;=$B139,"-",IF(LanBel1LevelDesired&lt;$B139,"-",$C139))</f>
        <v>-</v>
      </c>
      <c r="Y139" s="1" t="str">
        <f t="shared" ref="Y139" si="9765">IF(LanBel1LevelCurrent&gt;=$B139,"-",IF(LanBel1LevelDesired&lt;$B139,"-",$D139))</f>
        <v>-</v>
      </c>
      <c r="Z139" s="21" t="str">
        <f t="shared" ref="Z139" si="9766">IF(LanBel1LevelCurrent&gt;=$B139,"-",IF(LanBel1LevelDesired&lt;$B139,"-",$E139))</f>
        <v>-</v>
      </c>
      <c r="AA139" s="15" t="str">
        <f t="shared" ref="AA139" si="9767">IF(LanBoo1LevelCurrent&gt;=$B139,"-",IF(LanBoo1LevelDesired&lt;$B139,"-",$C139))</f>
        <v>-</v>
      </c>
      <c r="AB139" s="1" t="str">
        <f t="shared" ref="AB139" si="9768">IF(LanBoo1LevelCurrent&gt;=$B139,"-",IF(LanBoo1LevelDesired&lt;$B139,"-",$D139))</f>
        <v>-</v>
      </c>
      <c r="AC139" s="21" t="str">
        <f t="shared" ref="AC139" si="9769">IF(LanBoo1LevelCurrent&gt;=$B139,"-",IF(LanBoo1LevelDesired&lt;$B139,"-",$E139))</f>
        <v>-</v>
      </c>
      <c r="AD139" s="15" t="str">
        <f t="shared" ref="AD139" si="9770">IF(MarGog1LevelCurrent&gt;=$B139,"-",IF(MarGog1LevelDesired&lt;$B139,"-",$C139))</f>
        <v>-</v>
      </c>
      <c r="AE139" s="1" t="str">
        <f t="shared" ref="AE139" si="9771">IF(MarGog1LevelCurrent&gt;=$B139,"-",IF(MarGog1LevelDesired&lt;$B139,"-",$D139))</f>
        <v>-</v>
      </c>
      <c r="AF139" s="21" t="str">
        <f t="shared" ref="AF139" si="9772">IF(MarGog1LevelCurrent&gt;=$B139,"-",IF(MarGog1LevelDesired&lt;$B139,"-",$E139))</f>
        <v>-</v>
      </c>
      <c r="AG139" s="15" t="str">
        <f t="shared" ref="AG139" si="9773">IF(MarGlo1LevelCurrent&gt;=$B139,"-",IF(MarGlo1LevelDesired&lt;$B139,"-",$C139))</f>
        <v>-</v>
      </c>
      <c r="AH139" s="1" t="str">
        <f t="shared" ref="AH139" si="9774">IF(MarGlo1LevelCurrent&gt;=$B139,"-",IF(MarGlo1LevelDesired&lt;$B139,"-",$D139))</f>
        <v>-</v>
      </c>
      <c r="AI139" s="21" t="str">
        <f t="shared" ref="AI139" si="9775">IF(MarGlo1LevelCurrent&gt;=$B139,"-",IF(MarGlo1LevelDesired&lt;$B139,"-",$E139))</f>
        <v>-</v>
      </c>
      <c r="AJ139" s="15" t="str">
        <f t="shared" ref="AJ139" si="9776">IF(MarBel1LevelCurrent&gt;=$B139,"-",IF(MarBel1LevelDesired&lt;$B139,"-",$C139))</f>
        <v>-</v>
      </c>
      <c r="AK139" s="1" t="str">
        <f t="shared" ref="AK139" si="9777">IF(MarBel1LevelCurrent&gt;=$B139,"-",IF(MarBel1LevelDesired&lt;$B139,"-",$D139))</f>
        <v>-</v>
      </c>
      <c r="AL139" s="21" t="str">
        <f t="shared" ref="AL139" si="9778">IF(MarBel1LevelCurrent&gt;=$B139,"-",IF(MarBel1LevelDesired&lt;$B139,"-",$E139))</f>
        <v>-</v>
      </c>
      <c r="AM139" s="15" t="str">
        <f t="shared" ref="AM139" si="9779">IF(MarBoo1LevelCurrent&gt;=$B139,"-",IF(MarBoo1LevelDesired&lt;$B139,"-",$C139))</f>
        <v>-</v>
      </c>
      <c r="AN139" s="1" t="str">
        <f t="shared" ref="AN139" si="9780">IF(MarBoo1LevelCurrent&gt;=$B139,"-",IF(MarBoo1LevelDesired&lt;$B139,"-",$D139))</f>
        <v>-</v>
      </c>
      <c r="AO139" s="21" t="str">
        <f t="shared" ref="AO139" si="9781">IF(MarBoo1LevelCurrent&gt;=$B139,"-",IF(MarBoo1LevelDesired&lt;$B139,"-",$E139))</f>
        <v>-</v>
      </c>
      <c r="AP139" s="15" t="str">
        <f t="shared" ref="AP139" si="9782">IF(InfGog2LevelCurrent&gt;=$B139,"-",IF(InfGog2LevelDesired&lt;$B139,"-",$C139))</f>
        <v>-</v>
      </c>
      <c r="AQ139" s="1" t="str">
        <f t="shared" ref="AQ139" si="9783">IF(InfGog2LevelCurrent&gt;=$B139,"-",IF(InfGog2LevelDesired&lt;$B139,"-",$D139))</f>
        <v>-</v>
      </c>
      <c r="AR139" s="21" t="str">
        <f t="shared" ref="AR139" si="9784">IF(InfGog2LevelCurrent&gt;=$B139,"-",IF(InfGog2LevelDesired&lt;$B139,"-",$E139))</f>
        <v>-</v>
      </c>
      <c r="AS139" s="15" t="str">
        <f t="shared" ref="AS139" si="9785">IF(InfGlo2LevelCurrent&gt;=$B139,"-",IF(InfGlo2LevelDesired&lt;$B139,"-",$C139))</f>
        <v>-</v>
      </c>
      <c r="AT139" s="1" t="str">
        <f t="shared" ref="AT139" si="9786">IF(InfGlo2LevelCurrent&gt;=$B139,"-",IF(InfGlo2LevelDesired&lt;$B139,"-",$D139))</f>
        <v>-</v>
      </c>
      <c r="AU139" s="21" t="str">
        <f t="shared" ref="AU139" si="9787">IF(InfGlo2LevelCurrent&gt;=$B139,"-",IF(InfGlo2LevelDesired&lt;$B139,"-",$E139))</f>
        <v>-</v>
      </c>
      <c r="AV139" s="15" t="str">
        <f t="shared" ref="AV139" si="9788">IF(InfBel2LevelCurrent&gt;=$B139,"-",IF(InfBel2LevelDesired&lt;$B139,"-",$C139))</f>
        <v>-</v>
      </c>
      <c r="AW139" s="1" t="str">
        <f t="shared" ref="AW139" si="9789">IF(InfBel2LevelCurrent&gt;=$B139,"-",IF(InfBel2LevelDesired&lt;$B139,"-",$D139))</f>
        <v>-</v>
      </c>
      <c r="AX139" s="21" t="str">
        <f t="shared" ref="AX139" si="9790">IF(InfBel2LevelCurrent&gt;=$B139,"-",IF(InfBel2LevelDesired&lt;$B139,"-",$E139))</f>
        <v>-</v>
      </c>
      <c r="AY139" s="15" t="str">
        <f t="shared" ref="AY139" si="9791">IF(InfBoo2LevelCurrent&gt;=$B139,"-",IF(InfBoo2LevelDesired&lt;$B139,"-",$C139))</f>
        <v>-</v>
      </c>
      <c r="AZ139" s="1" t="str">
        <f t="shared" ref="AZ139" si="9792">IF(InfBoo2LevelCurrent&gt;=$B139,"-",IF(InfBoo2LevelDesired&lt;$B139,"-",$D139))</f>
        <v>-</v>
      </c>
      <c r="BA139" s="21" t="str">
        <f t="shared" ref="BA139" si="9793">IF(InfBoo2LevelCurrent&gt;=$B139,"-",IF(InfBoo2LevelDesired&lt;$B139,"-",$E139))</f>
        <v>-</v>
      </c>
      <c r="BB139" s="15" t="str">
        <f t="shared" ref="BB139" si="9794">IF(LanGog2LevelCurrent&gt;=$B139,"-",IF(LanGog2LevelDesired&lt;$B139,"-",$C139))</f>
        <v>-</v>
      </c>
      <c r="BC139" s="1" t="str">
        <f t="shared" ref="BC139" si="9795">IF(LanGog2LevelCurrent&gt;=$B139,"-",IF(LanGog2LevelDesired&lt;$B139,"-",$D139))</f>
        <v>-</v>
      </c>
      <c r="BD139" s="21" t="str">
        <f t="shared" ref="BD139" si="9796">IF(LanGog2LevelCurrent&gt;=$B139,"-",IF(LanGog2LevelDesired&lt;$B139,"-",$E139))</f>
        <v>-</v>
      </c>
      <c r="BE139" s="15" t="str">
        <f t="shared" ref="BE139" si="9797">IF(LanGlo2LevelCurrent&gt;=$B139,"-",IF(LanGlo2LevelDesired&lt;$B139,"-",$C139))</f>
        <v>-</v>
      </c>
      <c r="BF139" s="1" t="str">
        <f t="shared" ref="BF139" si="9798">IF(LanGlo2LevelCurrent&gt;=$B139,"-",IF(LanGlo2LevelDesired&lt;$B139,"-",$D139))</f>
        <v>-</v>
      </c>
      <c r="BG139" s="21" t="str">
        <f t="shared" ref="BG139" si="9799">IF(LanGlo2LevelCurrent&gt;=$B139,"-",IF(LanGlo2LevelDesired&lt;$B139,"-",$E139))</f>
        <v>-</v>
      </c>
      <c r="BH139" s="15" t="str">
        <f t="shared" ref="BH139" si="9800">IF(LanBel2LevelCurrent&gt;=$B139,"-",IF(LanBel2LevelDesired&lt;$B139,"-",$C139))</f>
        <v>-</v>
      </c>
      <c r="BI139" s="1" t="str">
        <f t="shared" ref="BI139" si="9801">IF(LanBel2LevelCurrent&gt;=$B139,"-",IF(LanBel2LevelDesired&lt;$B139,"-",$D139))</f>
        <v>-</v>
      </c>
      <c r="BJ139" s="21" t="str">
        <f t="shared" ref="BJ139" si="9802">IF(LanBel2LevelCurrent&gt;=$B139,"-",IF(LanBel2LevelDesired&lt;$B139,"-",$E139))</f>
        <v>-</v>
      </c>
      <c r="BK139" s="15" t="str">
        <f t="shared" ref="BK139" si="9803">IF(LanBoo2LevelCurrent&gt;=$B139,"-",IF(LanBoo2LevelDesired&lt;$B139,"-",$C139))</f>
        <v>-</v>
      </c>
      <c r="BL139" s="1" t="str">
        <f t="shared" ref="BL139" si="9804">IF(LanBoo2LevelCurrent&gt;=$B139,"-",IF(LanBoo2LevelDesired&lt;$B139,"-",$D139))</f>
        <v>-</v>
      </c>
      <c r="BM139" s="21" t="str">
        <f t="shared" ref="BM139" si="9805">IF(LanBoo2LevelCurrent&gt;=$B139,"-",IF(LanBoo2LevelDesired&lt;$B139,"-",$E139))</f>
        <v>-</v>
      </c>
      <c r="BN139" s="15" t="str">
        <f t="shared" ref="BN139" si="9806">IF(MarGog2LevelCurrent&gt;=$B139,"-",IF(MarGog2LevelDesired&lt;$B139,"-",$C139))</f>
        <v>-</v>
      </c>
      <c r="BO139" s="1" t="str">
        <f t="shared" ref="BO139" si="9807">IF(MarGog2LevelCurrent&gt;=$B139,"-",IF(MarGog2LevelDesired&lt;$B139,"-",$D139))</f>
        <v>-</v>
      </c>
      <c r="BP139" s="21" t="str">
        <f t="shared" ref="BP139" si="9808">IF(MarGog2LevelCurrent&gt;=$B139,"-",IF(MarGog2LevelDesired&lt;$B139,"-",$E139))</f>
        <v>-</v>
      </c>
      <c r="BQ139" s="15" t="str">
        <f t="shared" ref="BQ139" si="9809">IF(MarGlo2LevelCurrent&gt;=$B139,"-",IF(MarGlo2LevelDesired&lt;$B139,"-",$C139))</f>
        <v>-</v>
      </c>
      <c r="BR139" s="1" t="str">
        <f t="shared" ref="BR139" si="9810">IF(MarGlo2LevelCurrent&gt;=$B139,"-",IF(MarGlo2LevelDesired&lt;$B139,"-",$D139))</f>
        <v>-</v>
      </c>
      <c r="BS139" s="21" t="str">
        <f t="shared" ref="BS139" si="9811">IF(MarGlo2LevelCurrent&gt;=$B139,"-",IF(MarGlo2LevelDesired&lt;$B139,"-",$E139))</f>
        <v>-</v>
      </c>
      <c r="BT139" s="15" t="str">
        <f t="shared" ref="BT139" si="9812">IF(MarBel2LevelCurrent&gt;=$B139,"-",IF(MarBel2LevelDesired&lt;$B139,"-",$C139))</f>
        <v>-</v>
      </c>
      <c r="BU139" s="1" t="str">
        <f t="shared" ref="BU139" si="9813">IF(MarBel2LevelCurrent&gt;=$B139,"-",IF(MarBel2LevelDesired&lt;$B139,"-",$D139))</f>
        <v>-</v>
      </c>
      <c r="BV139" s="21" t="str">
        <f t="shared" ref="BV139" si="9814">IF(MarBel2LevelCurrent&gt;=$B139,"-",IF(MarBel2LevelDesired&lt;$B139,"-",$E139))</f>
        <v>-</v>
      </c>
      <c r="BW139" s="15" t="str">
        <f t="shared" ref="BW139" si="9815">IF(MarBoo2LevelCurrent&gt;=$B139,"-",IF(MarBoo2LevelDesired&lt;$B139,"-",$C139))</f>
        <v>-</v>
      </c>
      <c r="BX139" s="1" t="str">
        <f t="shared" ref="BX139" si="9816">IF(MarBoo2LevelCurrent&gt;=$B139,"-",IF(MarBoo2LevelDesired&lt;$B139,"-",$D139))</f>
        <v>-</v>
      </c>
      <c r="BY139" s="21" t="str">
        <f t="shared" ref="BY139" si="9817">IF(MarBoo2LevelCurrent&gt;=$B139,"-",IF(MarBoo2LevelDesired&lt;$B139,"-",$E139))</f>
        <v>-</v>
      </c>
      <c r="BZ139" s="15" t="str">
        <f t="shared" si="9424"/>
        <v>-</v>
      </c>
      <c r="CA139" s="1" t="str" cm="1">
        <f t="array" ref="CA139">IF(InfGog3LevelCurrent&gt;=$B139,"-",IF(InfGog3LevelDesired&lt;$B139,"-",$D139))</f>
        <v>-</v>
      </c>
      <c r="CB139" s="21" t="str" cm="1">
        <f t="array" ref="CB139">IF(InfGog3LevelCurrent&gt;=$B139,"-",IF(InfGog3LevelDesired&lt;$B139,"-",$E139))</f>
        <v>-</v>
      </c>
      <c r="CC139" s="15" t="str">
        <f t="shared" si="9425"/>
        <v>-</v>
      </c>
      <c r="CD139" s="1" t="str">
        <f t="shared" si="9426"/>
        <v>-</v>
      </c>
      <c r="CE139" s="21" t="str">
        <f t="shared" si="9427"/>
        <v>-</v>
      </c>
      <c r="CF139" s="15" t="str">
        <f t="shared" si="9428"/>
        <v>-</v>
      </c>
      <c r="CG139" s="1" t="str">
        <f t="shared" si="9429"/>
        <v>-</v>
      </c>
      <c r="CH139" s="21" t="str">
        <f t="shared" si="9430"/>
        <v>-</v>
      </c>
      <c r="CI139" s="15" t="str">
        <f t="shared" si="9431"/>
        <v>-</v>
      </c>
      <c r="CJ139" s="1" t="str">
        <f t="shared" si="9432"/>
        <v>-</v>
      </c>
      <c r="CK139" s="21" t="str">
        <f t="shared" si="9433"/>
        <v>-</v>
      </c>
      <c r="CL139" s="15" t="str">
        <f t="shared" si="9434"/>
        <v>-</v>
      </c>
      <c r="CM139" s="1" t="str">
        <f t="shared" si="9435"/>
        <v>-</v>
      </c>
      <c r="CN139" s="21" t="str">
        <f t="shared" si="9436"/>
        <v>-</v>
      </c>
      <c r="CO139" s="15" t="str">
        <f t="shared" si="9437"/>
        <v>-</v>
      </c>
      <c r="CP139" s="1" t="str">
        <f t="shared" si="9438"/>
        <v>-</v>
      </c>
      <c r="CQ139" s="21" t="str">
        <f t="shared" si="9439"/>
        <v>-</v>
      </c>
      <c r="CR139" s="15" t="str">
        <f t="shared" si="9440"/>
        <v>-</v>
      </c>
      <c r="CS139" s="1" t="str">
        <f t="shared" si="9441"/>
        <v>-</v>
      </c>
      <c r="CT139" s="21" t="str">
        <f t="shared" si="9442"/>
        <v>-</v>
      </c>
      <c r="CU139" s="15" t="str">
        <f t="shared" si="9443"/>
        <v>-</v>
      </c>
      <c r="CV139" s="1" t="str">
        <f t="shared" si="9444"/>
        <v>-</v>
      </c>
      <c r="CW139" s="21" t="str">
        <f t="shared" si="9445"/>
        <v>-</v>
      </c>
      <c r="CX139" s="15" t="str">
        <f t="shared" si="9446"/>
        <v>-</v>
      </c>
      <c r="CY139" s="1" t="str">
        <f t="shared" si="9447"/>
        <v>-</v>
      </c>
      <c r="CZ139" s="21" t="str">
        <f t="shared" si="9448"/>
        <v>-</v>
      </c>
      <c r="DA139" s="15" t="str">
        <f t="shared" si="9449"/>
        <v>-</v>
      </c>
      <c r="DB139" s="1" t="str">
        <f t="shared" si="9450"/>
        <v>-</v>
      </c>
      <c r="DC139" s="21" t="str">
        <f t="shared" si="9451"/>
        <v>-</v>
      </c>
      <c r="DD139" s="15" t="str">
        <f t="shared" si="9452"/>
        <v>-</v>
      </c>
      <c r="DE139" s="1" t="str">
        <f t="shared" si="9453"/>
        <v>-</v>
      </c>
      <c r="DF139" s="21" t="str">
        <f t="shared" si="9454"/>
        <v>-</v>
      </c>
      <c r="DG139" s="15" t="str">
        <f t="shared" si="9455"/>
        <v>-</v>
      </c>
      <c r="DH139" s="1" t="str">
        <f t="shared" si="9456"/>
        <v>-</v>
      </c>
      <c r="DI139" s="21" t="str">
        <f t="shared" si="9457"/>
        <v>-</v>
      </c>
    </row>
    <row r="140" spans="2:113" x14ac:dyDescent="0.3">
      <c r="B140" s="1">
        <v>135</v>
      </c>
      <c r="C140" s="67">
        <v>4200</v>
      </c>
      <c r="D140" s="88" t="s">
        <v>27</v>
      </c>
      <c r="E140" s="68" t="s">
        <v>27</v>
      </c>
      <c r="F140" s="15" t="str">
        <f t="shared" ref="F140" si="9818">IF(InfGog1LevelCurrent&gt;=$B140,"-",IF(InfGog1LevelDesired&lt;$B140,"-",$C140))</f>
        <v>-</v>
      </c>
      <c r="G140" s="1" t="str">
        <f t="shared" ref="G140" si="9819">IF(InfGog1LevelCurrent&gt;=$B140,"-",IF(InfGog1LevelDesired&lt;$B140,"-",$D140))</f>
        <v>-</v>
      </c>
      <c r="H140" s="21" t="str">
        <f t="shared" ref="H140" si="9820">IF(InfGog1LevelCurrent&gt;=$B140,"-",IF(InfGog1LevelDesired&lt;$B140,"-",$E140))</f>
        <v>-</v>
      </c>
      <c r="I140" s="15" t="str">
        <f t="shared" ref="I140" si="9821">IF(InfGlo1LevelCurrent&gt;=$B140,"-",IF(InfGlo1LevelDesired&lt;$B140,"-",$C140))</f>
        <v>-</v>
      </c>
      <c r="J140" s="1" t="str">
        <f t="shared" ref="J140" si="9822">IF(InfGlo1LevelCurrent&gt;=$B140,"-",IF(InfGlo1LevelDesired&lt;$B140,"-",$D140))</f>
        <v>-</v>
      </c>
      <c r="K140" s="21" t="str">
        <f t="shared" ref="K140" si="9823">IF(InfGlo1LevelCurrent&gt;=$B140,"-",IF(InfGlo1LevelDesired&lt;$B140,"-",$E140))</f>
        <v>-</v>
      </c>
      <c r="L140" s="15" t="str">
        <f t="shared" ref="L140" si="9824">IF(InfBel1LevelCurrent&gt;=$B140,"-",IF(InfBel1LevelDesired&lt;$B140,"-",$C140))</f>
        <v>-</v>
      </c>
      <c r="M140" s="1" t="str">
        <f t="shared" ref="M140" si="9825">IF(InfBel1LevelCurrent&gt;=$B140,"-",IF(InfBel1LevelDesired&lt;$B140,"-",$D140))</f>
        <v>-</v>
      </c>
      <c r="N140" s="21" t="str">
        <f t="shared" ref="N140" si="9826">IF(InfBel1LevelCurrent&gt;=$B140,"-",IF(InfBel1LevelDesired&lt;$B140,"-",$E140))</f>
        <v>-</v>
      </c>
      <c r="O140" s="15" t="str">
        <f t="shared" ref="O140" si="9827">IF(InfBoo1LevelCurrent&gt;=$B140,"-",IF(InfBoo1LevelDesired&lt;$B140,"-",$C140))</f>
        <v>-</v>
      </c>
      <c r="P140" s="1" t="str">
        <f t="shared" ref="P140" si="9828">IF(InfBoo1LevelCurrent&gt;=$B140,"-",IF(InfBoo1LevelDesired&lt;$B140,"-",$D140))</f>
        <v>-</v>
      </c>
      <c r="Q140" s="21" t="str">
        <f t="shared" ref="Q140" si="9829">IF(InfBoo1LevelCurrent&gt;=$B140,"-",IF(InfBoo1LevelDesired&lt;$B140,"-",$E140))</f>
        <v>-</v>
      </c>
      <c r="R140" s="15" t="str">
        <f t="shared" ref="R140" si="9830">IF(LanGog1LevelCurrent&gt;=$B140,"-",IF(LanGog1LevelDesired&lt;$B140,"-",$C140))</f>
        <v>-</v>
      </c>
      <c r="S140" s="1" t="str">
        <f t="shared" ref="S140" si="9831">IF(LanGog1LevelCurrent&gt;=$B140,"-",IF(LanGog1LevelDesired&lt;$B140,"-",$D140))</f>
        <v>-</v>
      </c>
      <c r="T140" s="21" t="str">
        <f t="shared" ref="T140" si="9832">IF(LanGog1LevelCurrent&gt;=$B140,"-",IF(LanGog1LevelDesired&lt;$B140,"-",$E140))</f>
        <v>-</v>
      </c>
      <c r="U140" s="15" t="str">
        <f t="shared" ref="U140" si="9833">IF(LanGlo1LevelCurrent&gt;=$B140,"-",IF(LanGlo1LevelDesired&lt;$B140,"-",$C140))</f>
        <v>-</v>
      </c>
      <c r="V140" s="1" t="str">
        <f t="shared" ref="V140" si="9834">IF(LanGlo1LevelCurrent&gt;=$B140,"-",IF(LanGlo1LevelDesired&lt;$B140,"-",$D140))</f>
        <v>-</v>
      </c>
      <c r="W140" s="21" t="str">
        <f t="shared" ref="W140" si="9835">IF(LanGlo1LevelCurrent&gt;=$B140,"-",IF(LanGlo1LevelDesired&lt;$B140,"-",$E140))</f>
        <v>-</v>
      </c>
      <c r="X140" s="15" t="str">
        <f t="shared" ref="X140" si="9836">IF(LanBel1LevelCurrent&gt;=$B140,"-",IF(LanBel1LevelDesired&lt;$B140,"-",$C140))</f>
        <v>-</v>
      </c>
      <c r="Y140" s="1" t="str">
        <f t="shared" ref="Y140" si="9837">IF(LanBel1LevelCurrent&gt;=$B140,"-",IF(LanBel1LevelDesired&lt;$B140,"-",$D140))</f>
        <v>-</v>
      </c>
      <c r="Z140" s="21" t="str">
        <f t="shared" ref="Z140" si="9838">IF(LanBel1LevelCurrent&gt;=$B140,"-",IF(LanBel1LevelDesired&lt;$B140,"-",$E140))</f>
        <v>-</v>
      </c>
      <c r="AA140" s="15" t="str">
        <f t="shared" ref="AA140" si="9839">IF(LanBoo1LevelCurrent&gt;=$B140,"-",IF(LanBoo1LevelDesired&lt;$B140,"-",$C140))</f>
        <v>-</v>
      </c>
      <c r="AB140" s="1" t="str">
        <f t="shared" ref="AB140" si="9840">IF(LanBoo1LevelCurrent&gt;=$B140,"-",IF(LanBoo1LevelDesired&lt;$B140,"-",$D140))</f>
        <v>-</v>
      </c>
      <c r="AC140" s="21" t="str">
        <f t="shared" ref="AC140" si="9841">IF(LanBoo1LevelCurrent&gt;=$B140,"-",IF(LanBoo1LevelDesired&lt;$B140,"-",$E140))</f>
        <v>-</v>
      </c>
      <c r="AD140" s="15" t="str">
        <f t="shared" ref="AD140" si="9842">IF(MarGog1LevelCurrent&gt;=$B140,"-",IF(MarGog1LevelDesired&lt;$B140,"-",$C140))</f>
        <v>-</v>
      </c>
      <c r="AE140" s="1" t="str">
        <f t="shared" ref="AE140" si="9843">IF(MarGog1LevelCurrent&gt;=$B140,"-",IF(MarGog1LevelDesired&lt;$B140,"-",$D140))</f>
        <v>-</v>
      </c>
      <c r="AF140" s="21" t="str">
        <f t="shared" ref="AF140" si="9844">IF(MarGog1LevelCurrent&gt;=$B140,"-",IF(MarGog1LevelDesired&lt;$B140,"-",$E140))</f>
        <v>-</v>
      </c>
      <c r="AG140" s="15" t="str">
        <f t="shared" ref="AG140" si="9845">IF(MarGlo1LevelCurrent&gt;=$B140,"-",IF(MarGlo1LevelDesired&lt;$B140,"-",$C140))</f>
        <v>-</v>
      </c>
      <c r="AH140" s="1" t="str">
        <f t="shared" ref="AH140" si="9846">IF(MarGlo1LevelCurrent&gt;=$B140,"-",IF(MarGlo1LevelDesired&lt;$B140,"-",$D140))</f>
        <v>-</v>
      </c>
      <c r="AI140" s="21" t="str">
        <f t="shared" ref="AI140" si="9847">IF(MarGlo1LevelCurrent&gt;=$B140,"-",IF(MarGlo1LevelDesired&lt;$B140,"-",$E140))</f>
        <v>-</v>
      </c>
      <c r="AJ140" s="15" t="str">
        <f t="shared" ref="AJ140" si="9848">IF(MarBel1LevelCurrent&gt;=$B140,"-",IF(MarBel1LevelDesired&lt;$B140,"-",$C140))</f>
        <v>-</v>
      </c>
      <c r="AK140" s="1" t="str">
        <f t="shared" ref="AK140" si="9849">IF(MarBel1LevelCurrent&gt;=$B140,"-",IF(MarBel1LevelDesired&lt;$B140,"-",$D140))</f>
        <v>-</v>
      </c>
      <c r="AL140" s="21" t="str">
        <f t="shared" ref="AL140" si="9850">IF(MarBel1LevelCurrent&gt;=$B140,"-",IF(MarBel1LevelDesired&lt;$B140,"-",$E140))</f>
        <v>-</v>
      </c>
      <c r="AM140" s="15" t="str">
        <f t="shared" ref="AM140" si="9851">IF(MarBoo1LevelCurrent&gt;=$B140,"-",IF(MarBoo1LevelDesired&lt;$B140,"-",$C140))</f>
        <v>-</v>
      </c>
      <c r="AN140" s="1" t="str">
        <f t="shared" ref="AN140" si="9852">IF(MarBoo1LevelCurrent&gt;=$B140,"-",IF(MarBoo1LevelDesired&lt;$B140,"-",$D140))</f>
        <v>-</v>
      </c>
      <c r="AO140" s="21" t="str">
        <f t="shared" ref="AO140" si="9853">IF(MarBoo1LevelCurrent&gt;=$B140,"-",IF(MarBoo1LevelDesired&lt;$B140,"-",$E140))</f>
        <v>-</v>
      </c>
      <c r="AP140" s="15" t="str">
        <f t="shared" ref="AP140" si="9854">IF(InfGog2LevelCurrent&gt;=$B140,"-",IF(InfGog2LevelDesired&lt;$B140,"-",$C140))</f>
        <v>-</v>
      </c>
      <c r="AQ140" s="1" t="str">
        <f t="shared" ref="AQ140" si="9855">IF(InfGog2LevelCurrent&gt;=$B140,"-",IF(InfGog2LevelDesired&lt;$B140,"-",$D140))</f>
        <v>-</v>
      </c>
      <c r="AR140" s="21" t="str">
        <f t="shared" ref="AR140" si="9856">IF(InfGog2LevelCurrent&gt;=$B140,"-",IF(InfGog2LevelDesired&lt;$B140,"-",$E140))</f>
        <v>-</v>
      </c>
      <c r="AS140" s="15" t="str">
        <f t="shared" ref="AS140" si="9857">IF(InfGlo2LevelCurrent&gt;=$B140,"-",IF(InfGlo2LevelDesired&lt;$B140,"-",$C140))</f>
        <v>-</v>
      </c>
      <c r="AT140" s="1" t="str">
        <f t="shared" ref="AT140" si="9858">IF(InfGlo2LevelCurrent&gt;=$B140,"-",IF(InfGlo2LevelDesired&lt;$B140,"-",$D140))</f>
        <v>-</v>
      </c>
      <c r="AU140" s="21" t="str">
        <f t="shared" ref="AU140" si="9859">IF(InfGlo2LevelCurrent&gt;=$B140,"-",IF(InfGlo2LevelDesired&lt;$B140,"-",$E140))</f>
        <v>-</v>
      </c>
      <c r="AV140" s="15" t="str">
        <f t="shared" ref="AV140" si="9860">IF(InfBel2LevelCurrent&gt;=$B140,"-",IF(InfBel2LevelDesired&lt;$B140,"-",$C140))</f>
        <v>-</v>
      </c>
      <c r="AW140" s="1" t="str">
        <f t="shared" ref="AW140" si="9861">IF(InfBel2LevelCurrent&gt;=$B140,"-",IF(InfBel2LevelDesired&lt;$B140,"-",$D140))</f>
        <v>-</v>
      </c>
      <c r="AX140" s="21" t="str">
        <f t="shared" ref="AX140" si="9862">IF(InfBel2LevelCurrent&gt;=$B140,"-",IF(InfBel2LevelDesired&lt;$B140,"-",$E140))</f>
        <v>-</v>
      </c>
      <c r="AY140" s="15" t="str">
        <f t="shared" ref="AY140" si="9863">IF(InfBoo2LevelCurrent&gt;=$B140,"-",IF(InfBoo2LevelDesired&lt;$B140,"-",$C140))</f>
        <v>-</v>
      </c>
      <c r="AZ140" s="1" t="str">
        <f t="shared" ref="AZ140" si="9864">IF(InfBoo2LevelCurrent&gt;=$B140,"-",IF(InfBoo2LevelDesired&lt;$B140,"-",$D140))</f>
        <v>-</v>
      </c>
      <c r="BA140" s="21" t="str">
        <f t="shared" ref="BA140" si="9865">IF(InfBoo2LevelCurrent&gt;=$B140,"-",IF(InfBoo2LevelDesired&lt;$B140,"-",$E140))</f>
        <v>-</v>
      </c>
      <c r="BB140" s="15" t="str">
        <f t="shared" ref="BB140" si="9866">IF(LanGog2LevelCurrent&gt;=$B140,"-",IF(LanGog2LevelDesired&lt;$B140,"-",$C140))</f>
        <v>-</v>
      </c>
      <c r="BC140" s="1" t="str">
        <f t="shared" ref="BC140" si="9867">IF(LanGog2LevelCurrent&gt;=$B140,"-",IF(LanGog2LevelDesired&lt;$B140,"-",$D140))</f>
        <v>-</v>
      </c>
      <c r="BD140" s="21" t="str">
        <f t="shared" ref="BD140" si="9868">IF(LanGog2LevelCurrent&gt;=$B140,"-",IF(LanGog2LevelDesired&lt;$B140,"-",$E140))</f>
        <v>-</v>
      </c>
      <c r="BE140" s="15" t="str">
        <f t="shared" ref="BE140" si="9869">IF(LanGlo2LevelCurrent&gt;=$B140,"-",IF(LanGlo2LevelDesired&lt;$B140,"-",$C140))</f>
        <v>-</v>
      </c>
      <c r="BF140" s="1" t="str">
        <f t="shared" ref="BF140" si="9870">IF(LanGlo2LevelCurrent&gt;=$B140,"-",IF(LanGlo2LevelDesired&lt;$B140,"-",$D140))</f>
        <v>-</v>
      </c>
      <c r="BG140" s="21" t="str">
        <f t="shared" ref="BG140" si="9871">IF(LanGlo2LevelCurrent&gt;=$B140,"-",IF(LanGlo2LevelDesired&lt;$B140,"-",$E140))</f>
        <v>-</v>
      </c>
      <c r="BH140" s="15" t="str">
        <f t="shared" ref="BH140" si="9872">IF(LanBel2LevelCurrent&gt;=$B140,"-",IF(LanBel2LevelDesired&lt;$B140,"-",$C140))</f>
        <v>-</v>
      </c>
      <c r="BI140" s="1" t="str">
        <f t="shared" ref="BI140" si="9873">IF(LanBel2LevelCurrent&gt;=$B140,"-",IF(LanBel2LevelDesired&lt;$B140,"-",$D140))</f>
        <v>-</v>
      </c>
      <c r="BJ140" s="21" t="str">
        <f t="shared" ref="BJ140" si="9874">IF(LanBel2LevelCurrent&gt;=$B140,"-",IF(LanBel2LevelDesired&lt;$B140,"-",$E140))</f>
        <v>-</v>
      </c>
      <c r="BK140" s="15" t="str">
        <f t="shared" ref="BK140" si="9875">IF(LanBoo2LevelCurrent&gt;=$B140,"-",IF(LanBoo2LevelDesired&lt;$B140,"-",$C140))</f>
        <v>-</v>
      </c>
      <c r="BL140" s="1" t="str">
        <f t="shared" ref="BL140" si="9876">IF(LanBoo2LevelCurrent&gt;=$B140,"-",IF(LanBoo2LevelDesired&lt;$B140,"-",$D140))</f>
        <v>-</v>
      </c>
      <c r="BM140" s="21" t="str">
        <f t="shared" ref="BM140" si="9877">IF(LanBoo2LevelCurrent&gt;=$B140,"-",IF(LanBoo2LevelDesired&lt;$B140,"-",$E140))</f>
        <v>-</v>
      </c>
      <c r="BN140" s="15" t="str">
        <f t="shared" ref="BN140" si="9878">IF(MarGog2LevelCurrent&gt;=$B140,"-",IF(MarGog2LevelDesired&lt;$B140,"-",$C140))</f>
        <v>-</v>
      </c>
      <c r="BO140" s="1" t="str">
        <f t="shared" ref="BO140" si="9879">IF(MarGog2LevelCurrent&gt;=$B140,"-",IF(MarGog2LevelDesired&lt;$B140,"-",$D140))</f>
        <v>-</v>
      </c>
      <c r="BP140" s="21" t="str">
        <f t="shared" ref="BP140" si="9880">IF(MarGog2LevelCurrent&gt;=$B140,"-",IF(MarGog2LevelDesired&lt;$B140,"-",$E140))</f>
        <v>-</v>
      </c>
      <c r="BQ140" s="15" t="str">
        <f t="shared" ref="BQ140" si="9881">IF(MarGlo2LevelCurrent&gt;=$B140,"-",IF(MarGlo2LevelDesired&lt;$B140,"-",$C140))</f>
        <v>-</v>
      </c>
      <c r="BR140" s="1" t="str">
        <f t="shared" ref="BR140" si="9882">IF(MarGlo2LevelCurrent&gt;=$B140,"-",IF(MarGlo2LevelDesired&lt;$B140,"-",$D140))</f>
        <v>-</v>
      </c>
      <c r="BS140" s="21" t="str">
        <f t="shared" ref="BS140" si="9883">IF(MarGlo2LevelCurrent&gt;=$B140,"-",IF(MarGlo2LevelDesired&lt;$B140,"-",$E140))</f>
        <v>-</v>
      </c>
      <c r="BT140" s="15" t="str">
        <f t="shared" ref="BT140" si="9884">IF(MarBel2LevelCurrent&gt;=$B140,"-",IF(MarBel2LevelDesired&lt;$B140,"-",$C140))</f>
        <v>-</v>
      </c>
      <c r="BU140" s="1" t="str">
        <f t="shared" ref="BU140" si="9885">IF(MarBel2LevelCurrent&gt;=$B140,"-",IF(MarBel2LevelDesired&lt;$B140,"-",$D140))</f>
        <v>-</v>
      </c>
      <c r="BV140" s="21" t="str">
        <f t="shared" ref="BV140" si="9886">IF(MarBel2LevelCurrent&gt;=$B140,"-",IF(MarBel2LevelDesired&lt;$B140,"-",$E140))</f>
        <v>-</v>
      </c>
      <c r="BW140" s="15" t="str">
        <f t="shared" ref="BW140" si="9887">IF(MarBoo2LevelCurrent&gt;=$B140,"-",IF(MarBoo2LevelDesired&lt;$B140,"-",$C140))</f>
        <v>-</v>
      </c>
      <c r="BX140" s="1" t="str">
        <f t="shared" ref="BX140" si="9888">IF(MarBoo2LevelCurrent&gt;=$B140,"-",IF(MarBoo2LevelDesired&lt;$B140,"-",$D140))</f>
        <v>-</v>
      </c>
      <c r="BY140" s="21" t="str">
        <f t="shared" ref="BY140" si="9889">IF(MarBoo2LevelCurrent&gt;=$B140,"-",IF(MarBoo2LevelDesired&lt;$B140,"-",$E140))</f>
        <v>-</v>
      </c>
      <c r="BZ140" s="15" t="str">
        <f t="shared" si="9424"/>
        <v>-</v>
      </c>
      <c r="CA140" s="1" t="str" cm="1">
        <f t="array" ref="CA140">IF(InfGog3LevelCurrent&gt;=$B140,"-",IF(InfGog3LevelDesired&lt;$B140,"-",$D140))</f>
        <v>-</v>
      </c>
      <c r="CB140" s="21" t="str" cm="1">
        <f t="array" ref="CB140">IF(InfGog3LevelCurrent&gt;=$B140,"-",IF(InfGog3LevelDesired&lt;$B140,"-",$E140))</f>
        <v>-</v>
      </c>
      <c r="CC140" s="15" t="str">
        <f t="shared" si="9425"/>
        <v>-</v>
      </c>
      <c r="CD140" s="1" t="str">
        <f t="shared" si="9426"/>
        <v>-</v>
      </c>
      <c r="CE140" s="21" t="str">
        <f t="shared" si="9427"/>
        <v>-</v>
      </c>
      <c r="CF140" s="15" t="str">
        <f t="shared" si="9428"/>
        <v>-</v>
      </c>
      <c r="CG140" s="1" t="str">
        <f t="shared" si="9429"/>
        <v>-</v>
      </c>
      <c r="CH140" s="21" t="str">
        <f t="shared" si="9430"/>
        <v>-</v>
      </c>
      <c r="CI140" s="15" t="str">
        <f t="shared" si="9431"/>
        <v>-</v>
      </c>
      <c r="CJ140" s="1" t="str">
        <f t="shared" si="9432"/>
        <v>-</v>
      </c>
      <c r="CK140" s="21" t="str">
        <f t="shared" si="9433"/>
        <v>-</v>
      </c>
      <c r="CL140" s="15" t="str">
        <f t="shared" si="9434"/>
        <v>-</v>
      </c>
      <c r="CM140" s="1" t="str">
        <f t="shared" si="9435"/>
        <v>-</v>
      </c>
      <c r="CN140" s="21" t="str">
        <f t="shared" si="9436"/>
        <v>-</v>
      </c>
      <c r="CO140" s="15" t="str">
        <f t="shared" si="9437"/>
        <v>-</v>
      </c>
      <c r="CP140" s="1" t="str">
        <f t="shared" si="9438"/>
        <v>-</v>
      </c>
      <c r="CQ140" s="21" t="str">
        <f t="shared" si="9439"/>
        <v>-</v>
      </c>
      <c r="CR140" s="15" t="str">
        <f t="shared" si="9440"/>
        <v>-</v>
      </c>
      <c r="CS140" s="1" t="str">
        <f t="shared" si="9441"/>
        <v>-</v>
      </c>
      <c r="CT140" s="21" t="str">
        <f t="shared" si="9442"/>
        <v>-</v>
      </c>
      <c r="CU140" s="15" t="str">
        <f t="shared" si="9443"/>
        <v>-</v>
      </c>
      <c r="CV140" s="1" t="str">
        <f t="shared" si="9444"/>
        <v>-</v>
      </c>
      <c r="CW140" s="21" t="str">
        <f t="shared" si="9445"/>
        <v>-</v>
      </c>
      <c r="CX140" s="15" t="str">
        <f t="shared" si="9446"/>
        <v>-</v>
      </c>
      <c r="CY140" s="1" t="str">
        <f t="shared" si="9447"/>
        <v>-</v>
      </c>
      <c r="CZ140" s="21" t="str">
        <f t="shared" si="9448"/>
        <v>-</v>
      </c>
      <c r="DA140" s="15" t="str">
        <f t="shared" si="9449"/>
        <v>-</v>
      </c>
      <c r="DB140" s="1" t="str">
        <f t="shared" si="9450"/>
        <v>-</v>
      </c>
      <c r="DC140" s="21" t="str">
        <f t="shared" si="9451"/>
        <v>-</v>
      </c>
      <c r="DD140" s="15" t="str">
        <f t="shared" si="9452"/>
        <v>-</v>
      </c>
      <c r="DE140" s="1" t="str">
        <f t="shared" si="9453"/>
        <v>-</v>
      </c>
      <c r="DF140" s="21" t="str">
        <f t="shared" si="9454"/>
        <v>-</v>
      </c>
      <c r="DG140" s="15" t="str">
        <f t="shared" si="9455"/>
        <v>-</v>
      </c>
      <c r="DH140" s="1" t="str">
        <f t="shared" si="9456"/>
        <v>-</v>
      </c>
      <c r="DI140" s="21" t="str">
        <f t="shared" si="9457"/>
        <v>-</v>
      </c>
    </row>
    <row r="141" spans="2:113" x14ac:dyDescent="0.3">
      <c r="B141" s="1">
        <v>136</v>
      </c>
      <c r="C141" s="67">
        <v>4250</v>
      </c>
      <c r="D141" s="88" t="s">
        <v>27</v>
      </c>
      <c r="E141" s="68" t="s">
        <v>27</v>
      </c>
      <c r="F141" s="15" t="str">
        <f t="shared" ref="F141" si="9890">IF(InfGog1LevelCurrent&gt;=$B141,"-",IF(InfGog1LevelDesired&lt;$B141,"-",$C141))</f>
        <v>-</v>
      </c>
      <c r="G141" s="1" t="str">
        <f t="shared" ref="G141" si="9891">IF(InfGog1LevelCurrent&gt;=$B141,"-",IF(InfGog1LevelDesired&lt;$B141,"-",$D141))</f>
        <v>-</v>
      </c>
      <c r="H141" s="21" t="str">
        <f t="shared" ref="H141" si="9892">IF(InfGog1LevelCurrent&gt;=$B141,"-",IF(InfGog1LevelDesired&lt;$B141,"-",$E141))</f>
        <v>-</v>
      </c>
      <c r="I141" s="15" t="str">
        <f t="shared" ref="I141" si="9893">IF(InfGlo1LevelCurrent&gt;=$B141,"-",IF(InfGlo1LevelDesired&lt;$B141,"-",$C141))</f>
        <v>-</v>
      </c>
      <c r="J141" s="1" t="str">
        <f t="shared" ref="J141" si="9894">IF(InfGlo1LevelCurrent&gt;=$B141,"-",IF(InfGlo1LevelDesired&lt;$B141,"-",$D141))</f>
        <v>-</v>
      </c>
      <c r="K141" s="21" t="str">
        <f t="shared" ref="K141" si="9895">IF(InfGlo1LevelCurrent&gt;=$B141,"-",IF(InfGlo1LevelDesired&lt;$B141,"-",$E141))</f>
        <v>-</v>
      </c>
      <c r="L141" s="15" t="str">
        <f t="shared" ref="L141" si="9896">IF(InfBel1LevelCurrent&gt;=$B141,"-",IF(InfBel1LevelDesired&lt;$B141,"-",$C141))</f>
        <v>-</v>
      </c>
      <c r="M141" s="1" t="str">
        <f t="shared" ref="M141" si="9897">IF(InfBel1LevelCurrent&gt;=$B141,"-",IF(InfBel1LevelDesired&lt;$B141,"-",$D141))</f>
        <v>-</v>
      </c>
      <c r="N141" s="21" t="str">
        <f t="shared" ref="N141" si="9898">IF(InfBel1LevelCurrent&gt;=$B141,"-",IF(InfBel1LevelDesired&lt;$B141,"-",$E141))</f>
        <v>-</v>
      </c>
      <c r="O141" s="15" t="str">
        <f t="shared" ref="O141" si="9899">IF(InfBoo1LevelCurrent&gt;=$B141,"-",IF(InfBoo1LevelDesired&lt;$B141,"-",$C141))</f>
        <v>-</v>
      </c>
      <c r="P141" s="1" t="str">
        <f t="shared" ref="P141" si="9900">IF(InfBoo1LevelCurrent&gt;=$B141,"-",IF(InfBoo1LevelDesired&lt;$B141,"-",$D141))</f>
        <v>-</v>
      </c>
      <c r="Q141" s="21" t="str">
        <f t="shared" ref="Q141" si="9901">IF(InfBoo1LevelCurrent&gt;=$B141,"-",IF(InfBoo1LevelDesired&lt;$B141,"-",$E141))</f>
        <v>-</v>
      </c>
      <c r="R141" s="15" t="str">
        <f t="shared" ref="R141" si="9902">IF(LanGog1LevelCurrent&gt;=$B141,"-",IF(LanGog1LevelDesired&lt;$B141,"-",$C141))</f>
        <v>-</v>
      </c>
      <c r="S141" s="1" t="str">
        <f t="shared" ref="S141" si="9903">IF(LanGog1LevelCurrent&gt;=$B141,"-",IF(LanGog1LevelDesired&lt;$B141,"-",$D141))</f>
        <v>-</v>
      </c>
      <c r="T141" s="21" t="str">
        <f t="shared" ref="T141" si="9904">IF(LanGog1LevelCurrent&gt;=$B141,"-",IF(LanGog1LevelDesired&lt;$B141,"-",$E141))</f>
        <v>-</v>
      </c>
      <c r="U141" s="15" t="str">
        <f t="shared" ref="U141" si="9905">IF(LanGlo1LevelCurrent&gt;=$B141,"-",IF(LanGlo1LevelDesired&lt;$B141,"-",$C141))</f>
        <v>-</v>
      </c>
      <c r="V141" s="1" t="str">
        <f t="shared" ref="V141" si="9906">IF(LanGlo1LevelCurrent&gt;=$B141,"-",IF(LanGlo1LevelDesired&lt;$B141,"-",$D141))</f>
        <v>-</v>
      </c>
      <c r="W141" s="21" t="str">
        <f t="shared" ref="W141" si="9907">IF(LanGlo1LevelCurrent&gt;=$B141,"-",IF(LanGlo1LevelDesired&lt;$B141,"-",$E141))</f>
        <v>-</v>
      </c>
      <c r="X141" s="15" t="str">
        <f t="shared" ref="X141" si="9908">IF(LanBel1LevelCurrent&gt;=$B141,"-",IF(LanBel1LevelDesired&lt;$B141,"-",$C141))</f>
        <v>-</v>
      </c>
      <c r="Y141" s="1" t="str">
        <f t="shared" ref="Y141" si="9909">IF(LanBel1LevelCurrent&gt;=$B141,"-",IF(LanBel1LevelDesired&lt;$B141,"-",$D141))</f>
        <v>-</v>
      </c>
      <c r="Z141" s="21" t="str">
        <f t="shared" ref="Z141" si="9910">IF(LanBel1LevelCurrent&gt;=$B141,"-",IF(LanBel1LevelDesired&lt;$B141,"-",$E141))</f>
        <v>-</v>
      </c>
      <c r="AA141" s="15" t="str">
        <f t="shared" ref="AA141" si="9911">IF(LanBoo1LevelCurrent&gt;=$B141,"-",IF(LanBoo1LevelDesired&lt;$B141,"-",$C141))</f>
        <v>-</v>
      </c>
      <c r="AB141" s="1" t="str">
        <f t="shared" ref="AB141" si="9912">IF(LanBoo1LevelCurrent&gt;=$B141,"-",IF(LanBoo1LevelDesired&lt;$B141,"-",$D141))</f>
        <v>-</v>
      </c>
      <c r="AC141" s="21" t="str">
        <f t="shared" ref="AC141" si="9913">IF(LanBoo1LevelCurrent&gt;=$B141,"-",IF(LanBoo1LevelDesired&lt;$B141,"-",$E141))</f>
        <v>-</v>
      </c>
      <c r="AD141" s="15" t="str">
        <f t="shared" ref="AD141" si="9914">IF(MarGog1LevelCurrent&gt;=$B141,"-",IF(MarGog1LevelDesired&lt;$B141,"-",$C141))</f>
        <v>-</v>
      </c>
      <c r="AE141" s="1" t="str">
        <f t="shared" ref="AE141" si="9915">IF(MarGog1LevelCurrent&gt;=$B141,"-",IF(MarGog1LevelDesired&lt;$B141,"-",$D141))</f>
        <v>-</v>
      </c>
      <c r="AF141" s="21" t="str">
        <f t="shared" ref="AF141" si="9916">IF(MarGog1LevelCurrent&gt;=$B141,"-",IF(MarGog1LevelDesired&lt;$B141,"-",$E141))</f>
        <v>-</v>
      </c>
      <c r="AG141" s="15" t="str">
        <f t="shared" ref="AG141" si="9917">IF(MarGlo1LevelCurrent&gt;=$B141,"-",IF(MarGlo1LevelDesired&lt;$B141,"-",$C141))</f>
        <v>-</v>
      </c>
      <c r="AH141" s="1" t="str">
        <f t="shared" ref="AH141" si="9918">IF(MarGlo1LevelCurrent&gt;=$B141,"-",IF(MarGlo1LevelDesired&lt;$B141,"-",$D141))</f>
        <v>-</v>
      </c>
      <c r="AI141" s="21" t="str">
        <f t="shared" ref="AI141" si="9919">IF(MarGlo1LevelCurrent&gt;=$B141,"-",IF(MarGlo1LevelDesired&lt;$B141,"-",$E141))</f>
        <v>-</v>
      </c>
      <c r="AJ141" s="15" t="str">
        <f t="shared" ref="AJ141" si="9920">IF(MarBel1LevelCurrent&gt;=$B141,"-",IF(MarBel1LevelDesired&lt;$B141,"-",$C141))</f>
        <v>-</v>
      </c>
      <c r="AK141" s="1" t="str">
        <f t="shared" ref="AK141" si="9921">IF(MarBel1LevelCurrent&gt;=$B141,"-",IF(MarBel1LevelDesired&lt;$B141,"-",$D141))</f>
        <v>-</v>
      </c>
      <c r="AL141" s="21" t="str">
        <f t="shared" ref="AL141" si="9922">IF(MarBel1LevelCurrent&gt;=$B141,"-",IF(MarBel1LevelDesired&lt;$B141,"-",$E141))</f>
        <v>-</v>
      </c>
      <c r="AM141" s="15" t="str">
        <f t="shared" ref="AM141" si="9923">IF(MarBoo1LevelCurrent&gt;=$B141,"-",IF(MarBoo1LevelDesired&lt;$B141,"-",$C141))</f>
        <v>-</v>
      </c>
      <c r="AN141" s="1" t="str">
        <f t="shared" ref="AN141" si="9924">IF(MarBoo1LevelCurrent&gt;=$B141,"-",IF(MarBoo1LevelDesired&lt;$B141,"-",$D141))</f>
        <v>-</v>
      </c>
      <c r="AO141" s="21" t="str">
        <f t="shared" ref="AO141" si="9925">IF(MarBoo1LevelCurrent&gt;=$B141,"-",IF(MarBoo1LevelDesired&lt;$B141,"-",$E141))</f>
        <v>-</v>
      </c>
      <c r="AP141" s="15" t="str">
        <f t="shared" ref="AP141" si="9926">IF(InfGog2LevelCurrent&gt;=$B141,"-",IF(InfGog2LevelDesired&lt;$B141,"-",$C141))</f>
        <v>-</v>
      </c>
      <c r="AQ141" s="1" t="str">
        <f t="shared" ref="AQ141" si="9927">IF(InfGog2LevelCurrent&gt;=$B141,"-",IF(InfGog2LevelDesired&lt;$B141,"-",$D141))</f>
        <v>-</v>
      </c>
      <c r="AR141" s="21" t="str">
        <f t="shared" ref="AR141" si="9928">IF(InfGog2LevelCurrent&gt;=$B141,"-",IF(InfGog2LevelDesired&lt;$B141,"-",$E141))</f>
        <v>-</v>
      </c>
      <c r="AS141" s="15" t="str">
        <f t="shared" ref="AS141" si="9929">IF(InfGlo2LevelCurrent&gt;=$B141,"-",IF(InfGlo2LevelDesired&lt;$B141,"-",$C141))</f>
        <v>-</v>
      </c>
      <c r="AT141" s="1" t="str">
        <f t="shared" ref="AT141" si="9930">IF(InfGlo2LevelCurrent&gt;=$B141,"-",IF(InfGlo2LevelDesired&lt;$B141,"-",$D141))</f>
        <v>-</v>
      </c>
      <c r="AU141" s="21" t="str">
        <f t="shared" ref="AU141" si="9931">IF(InfGlo2LevelCurrent&gt;=$B141,"-",IF(InfGlo2LevelDesired&lt;$B141,"-",$E141))</f>
        <v>-</v>
      </c>
      <c r="AV141" s="15" t="str">
        <f t="shared" ref="AV141" si="9932">IF(InfBel2LevelCurrent&gt;=$B141,"-",IF(InfBel2LevelDesired&lt;$B141,"-",$C141))</f>
        <v>-</v>
      </c>
      <c r="AW141" s="1" t="str">
        <f t="shared" ref="AW141" si="9933">IF(InfBel2LevelCurrent&gt;=$B141,"-",IF(InfBel2LevelDesired&lt;$B141,"-",$D141))</f>
        <v>-</v>
      </c>
      <c r="AX141" s="21" t="str">
        <f t="shared" ref="AX141" si="9934">IF(InfBel2LevelCurrent&gt;=$B141,"-",IF(InfBel2LevelDesired&lt;$B141,"-",$E141))</f>
        <v>-</v>
      </c>
      <c r="AY141" s="15" t="str">
        <f t="shared" ref="AY141" si="9935">IF(InfBoo2LevelCurrent&gt;=$B141,"-",IF(InfBoo2LevelDesired&lt;$B141,"-",$C141))</f>
        <v>-</v>
      </c>
      <c r="AZ141" s="1" t="str">
        <f t="shared" ref="AZ141" si="9936">IF(InfBoo2LevelCurrent&gt;=$B141,"-",IF(InfBoo2LevelDesired&lt;$B141,"-",$D141))</f>
        <v>-</v>
      </c>
      <c r="BA141" s="21" t="str">
        <f t="shared" ref="BA141" si="9937">IF(InfBoo2LevelCurrent&gt;=$B141,"-",IF(InfBoo2LevelDesired&lt;$B141,"-",$E141))</f>
        <v>-</v>
      </c>
      <c r="BB141" s="15" t="str">
        <f t="shared" ref="BB141" si="9938">IF(LanGog2LevelCurrent&gt;=$B141,"-",IF(LanGog2LevelDesired&lt;$B141,"-",$C141))</f>
        <v>-</v>
      </c>
      <c r="BC141" s="1" t="str">
        <f t="shared" ref="BC141" si="9939">IF(LanGog2LevelCurrent&gt;=$B141,"-",IF(LanGog2LevelDesired&lt;$B141,"-",$D141))</f>
        <v>-</v>
      </c>
      <c r="BD141" s="21" t="str">
        <f t="shared" ref="BD141" si="9940">IF(LanGog2LevelCurrent&gt;=$B141,"-",IF(LanGog2LevelDesired&lt;$B141,"-",$E141))</f>
        <v>-</v>
      </c>
      <c r="BE141" s="15" t="str">
        <f t="shared" ref="BE141" si="9941">IF(LanGlo2LevelCurrent&gt;=$B141,"-",IF(LanGlo2LevelDesired&lt;$B141,"-",$C141))</f>
        <v>-</v>
      </c>
      <c r="BF141" s="1" t="str">
        <f t="shared" ref="BF141" si="9942">IF(LanGlo2LevelCurrent&gt;=$B141,"-",IF(LanGlo2LevelDesired&lt;$B141,"-",$D141))</f>
        <v>-</v>
      </c>
      <c r="BG141" s="21" t="str">
        <f t="shared" ref="BG141" si="9943">IF(LanGlo2LevelCurrent&gt;=$B141,"-",IF(LanGlo2LevelDesired&lt;$B141,"-",$E141))</f>
        <v>-</v>
      </c>
      <c r="BH141" s="15" t="str">
        <f t="shared" ref="BH141" si="9944">IF(LanBel2LevelCurrent&gt;=$B141,"-",IF(LanBel2LevelDesired&lt;$B141,"-",$C141))</f>
        <v>-</v>
      </c>
      <c r="BI141" s="1" t="str">
        <f t="shared" ref="BI141" si="9945">IF(LanBel2LevelCurrent&gt;=$B141,"-",IF(LanBel2LevelDesired&lt;$B141,"-",$D141))</f>
        <v>-</v>
      </c>
      <c r="BJ141" s="21" t="str">
        <f t="shared" ref="BJ141" si="9946">IF(LanBel2LevelCurrent&gt;=$B141,"-",IF(LanBel2LevelDesired&lt;$B141,"-",$E141))</f>
        <v>-</v>
      </c>
      <c r="BK141" s="15" t="str">
        <f t="shared" ref="BK141" si="9947">IF(LanBoo2LevelCurrent&gt;=$B141,"-",IF(LanBoo2LevelDesired&lt;$B141,"-",$C141))</f>
        <v>-</v>
      </c>
      <c r="BL141" s="1" t="str">
        <f t="shared" ref="BL141" si="9948">IF(LanBoo2LevelCurrent&gt;=$B141,"-",IF(LanBoo2LevelDesired&lt;$B141,"-",$D141))</f>
        <v>-</v>
      </c>
      <c r="BM141" s="21" t="str">
        <f t="shared" ref="BM141" si="9949">IF(LanBoo2LevelCurrent&gt;=$B141,"-",IF(LanBoo2LevelDesired&lt;$B141,"-",$E141))</f>
        <v>-</v>
      </c>
      <c r="BN141" s="15" t="str">
        <f t="shared" ref="BN141" si="9950">IF(MarGog2LevelCurrent&gt;=$B141,"-",IF(MarGog2LevelDesired&lt;$B141,"-",$C141))</f>
        <v>-</v>
      </c>
      <c r="BO141" s="1" t="str">
        <f t="shared" ref="BO141" si="9951">IF(MarGog2LevelCurrent&gt;=$B141,"-",IF(MarGog2LevelDesired&lt;$B141,"-",$D141))</f>
        <v>-</v>
      </c>
      <c r="BP141" s="21" t="str">
        <f t="shared" ref="BP141" si="9952">IF(MarGog2LevelCurrent&gt;=$B141,"-",IF(MarGog2LevelDesired&lt;$B141,"-",$E141))</f>
        <v>-</v>
      </c>
      <c r="BQ141" s="15" t="str">
        <f t="shared" ref="BQ141" si="9953">IF(MarGlo2LevelCurrent&gt;=$B141,"-",IF(MarGlo2LevelDesired&lt;$B141,"-",$C141))</f>
        <v>-</v>
      </c>
      <c r="BR141" s="1" t="str">
        <f t="shared" ref="BR141" si="9954">IF(MarGlo2LevelCurrent&gt;=$B141,"-",IF(MarGlo2LevelDesired&lt;$B141,"-",$D141))</f>
        <v>-</v>
      </c>
      <c r="BS141" s="21" t="str">
        <f t="shared" ref="BS141" si="9955">IF(MarGlo2LevelCurrent&gt;=$B141,"-",IF(MarGlo2LevelDesired&lt;$B141,"-",$E141))</f>
        <v>-</v>
      </c>
      <c r="BT141" s="15" t="str">
        <f t="shared" ref="BT141" si="9956">IF(MarBel2LevelCurrent&gt;=$B141,"-",IF(MarBel2LevelDesired&lt;$B141,"-",$C141))</f>
        <v>-</v>
      </c>
      <c r="BU141" s="1" t="str">
        <f t="shared" ref="BU141" si="9957">IF(MarBel2LevelCurrent&gt;=$B141,"-",IF(MarBel2LevelDesired&lt;$B141,"-",$D141))</f>
        <v>-</v>
      </c>
      <c r="BV141" s="21" t="str">
        <f t="shared" ref="BV141" si="9958">IF(MarBel2LevelCurrent&gt;=$B141,"-",IF(MarBel2LevelDesired&lt;$B141,"-",$E141))</f>
        <v>-</v>
      </c>
      <c r="BW141" s="15" t="str">
        <f t="shared" ref="BW141" si="9959">IF(MarBoo2LevelCurrent&gt;=$B141,"-",IF(MarBoo2LevelDesired&lt;$B141,"-",$C141))</f>
        <v>-</v>
      </c>
      <c r="BX141" s="1" t="str">
        <f t="shared" ref="BX141" si="9960">IF(MarBoo2LevelCurrent&gt;=$B141,"-",IF(MarBoo2LevelDesired&lt;$B141,"-",$D141))</f>
        <v>-</v>
      </c>
      <c r="BY141" s="21" t="str">
        <f t="shared" ref="BY141" si="9961">IF(MarBoo2LevelCurrent&gt;=$B141,"-",IF(MarBoo2LevelDesired&lt;$B141,"-",$E141))</f>
        <v>-</v>
      </c>
      <c r="BZ141" s="15" t="str">
        <f t="shared" si="9424"/>
        <v>-</v>
      </c>
      <c r="CA141" s="1" t="str" cm="1">
        <f t="array" ref="CA141">IF(InfGog3LevelCurrent&gt;=$B141,"-",IF(InfGog3LevelDesired&lt;$B141,"-",$D141))</f>
        <v>-</v>
      </c>
      <c r="CB141" s="21" t="str" cm="1">
        <f t="array" ref="CB141">IF(InfGog3LevelCurrent&gt;=$B141,"-",IF(InfGog3LevelDesired&lt;$B141,"-",$E141))</f>
        <v>-</v>
      </c>
      <c r="CC141" s="15" t="str">
        <f t="shared" si="9425"/>
        <v>-</v>
      </c>
      <c r="CD141" s="1" t="str">
        <f t="shared" si="9426"/>
        <v>-</v>
      </c>
      <c r="CE141" s="21" t="str">
        <f t="shared" si="9427"/>
        <v>-</v>
      </c>
      <c r="CF141" s="15" t="str">
        <f t="shared" si="9428"/>
        <v>-</v>
      </c>
      <c r="CG141" s="1" t="str">
        <f t="shared" si="9429"/>
        <v>-</v>
      </c>
      <c r="CH141" s="21" t="str">
        <f t="shared" si="9430"/>
        <v>-</v>
      </c>
      <c r="CI141" s="15" t="str">
        <f t="shared" si="9431"/>
        <v>-</v>
      </c>
      <c r="CJ141" s="1" t="str">
        <f t="shared" si="9432"/>
        <v>-</v>
      </c>
      <c r="CK141" s="21" t="str">
        <f t="shared" si="9433"/>
        <v>-</v>
      </c>
      <c r="CL141" s="15" t="str">
        <f t="shared" si="9434"/>
        <v>-</v>
      </c>
      <c r="CM141" s="1" t="str">
        <f t="shared" si="9435"/>
        <v>-</v>
      </c>
      <c r="CN141" s="21" t="str">
        <f t="shared" si="9436"/>
        <v>-</v>
      </c>
      <c r="CO141" s="15" t="str">
        <f t="shared" si="9437"/>
        <v>-</v>
      </c>
      <c r="CP141" s="1" t="str">
        <f t="shared" si="9438"/>
        <v>-</v>
      </c>
      <c r="CQ141" s="21" t="str">
        <f t="shared" si="9439"/>
        <v>-</v>
      </c>
      <c r="CR141" s="15" t="str">
        <f t="shared" si="9440"/>
        <v>-</v>
      </c>
      <c r="CS141" s="1" t="str">
        <f t="shared" si="9441"/>
        <v>-</v>
      </c>
      <c r="CT141" s="21" t="str">
        <f t="shared" si="9442"/>
        <v>-</v>
      </c>
      <c r="CU141" s="15" t="str">
        <f t="shared" si="9443"/>
        <v>-</v>
      </c>
      <c r="CV141" s="1" t="str">
        <f t="shared" si="9444"/>
        <v>-</v>
      </c>
      <c r="CW141" s="21" t="str">
        <f t="shared" si="9445"/>
        <v>-</v>
      </c>
      <c r="CX141" s="15" t="str">
        <f t="shared" si="9446"/>
        <v>-</v>
      </c>
      <c r="CY141" s="1" t="str">
        <f t="shared" si="9447"/>
        <v>-</v>
      </c>
      <c r="CZ141" s="21" t="str">
        <f t="shared" si="9448"/>
        <v>-</v>
      </c>
      <c r="DA141" s="15" t="str">
        <f t="shared" si="9449"/>
        <v>-</v>
      </c>
      <c r="DB141" s="1" t="str">
        <f t="shared" si="9450"/>
        <v>-</v>
      </c>
      <c r="DC141" s="21" t="str">
        <f t="shared" si="9451"/>
        <v>-</v>
      </c>
      <c r="DD141" s="15" t="str">
        <f t="shared" si="9452"/>
        <v>-</v>
      </c>
      <c r="DE141" s="1" t="str">
        <f t="shared" si="9453"/>
        <v>-</v>
      </c>
      <c r="DF141" s="21" t="str">
        <f t="shared" si="9454"/>
        <v>-</v>
      </c>
      <c r="DG141" s="15" t="str">
        <f t="shared" si="9455"/>
        <v>-</v>
      </c>
      <c r="DH141" s="1" t="str">
        <f t="shared" si="9456"/>
        <v>-</v>
      </c>
      <c r="DI141" s="21" t="str">
        <f t="shared" si="9457"/>
        <v>-</v>
      </c>
    </row>
    <row r="142" spans="2:113" x14ac:dyDescent="0.3">
      <c r="B142" s="1">
        <v>137</v>
      </c>
      <c r="C142" s="67">
        <v>4300</v>
      </c>
      <c r="D142" s="88" t="s">
        <v>27</v>
      </c>
      <c r="E142" s="68" t="s">
        <v>27</v>
      </c>
      <c r="F142" s="15" t="str">
        <f t="shared" ref="F142" si="9962">IF(InfGog1LevelCurrent&gt;=$B142,"-",IF(InfGog1LevelDesired&lt;$B142,"-",$C142))</f>
        <v>-</v>
      </c>
      <c r="G142" s="1" t="str">
        <f t="shared" ref="G142" si="9963">IF(InfGog1LevelCurrent&gt;=$B142,"-",IF(InfGog1LevelDesired&lt;$B142,"-",$D142))</f>
        <v>-</v>
      </c>
      <c r="H142" s="21" t="str">
        <f t="shared" ref="H142" si="9964">IF(InfGog1LevelCurrent&gt;=$B142,"-",IF(InfGog1LevelDesired&lt;$B142,"-",$E142))</f>
        <v>-</v>
      </c>
      <c r="I142" s="15" t="str">
        <f t="shared" ref="I142" si="9965">IF(InfGlo1LevelCurrent&gt;=$B142,"-",IF(InfGlo1LevelDesired&lt;$B142,"-",$C142))</f>
        <v>-</v>
      </c>
      <c r="J142" s="1" t="str">
        <f t="shared" ref="J142" si="9966">IF(InfGlo1LevelCurrent&gt;=$B142,"-",IF(InfGlo1LevelDesired&lt;$B142,"-",$D142))</f>
        <v>-</v>
      </c>
      <c r="K142" s="21" t="str">
        <f t="shared" ref="K142" si="9967">IF(InfGlo1LevelCurrent&gt;=$B142,"-",IF(InfGlo1LevelDesired&lt;$B142,"-",$E142))</f>
        <v>-</v>
      </c>
      <c r="L142" s="15" t="str">
        <f t="shared" ref="L142" si="9968">IF(InfBel1LevelCurrent&gt;=$B142,"-",IF(InfBel1LevelDesired&lt;$B142,"-",$C142))</f>
        <v>-</v>
      </c>
      <c r="M142" s="1" t="str">
        <f t="shared" ref="M142" si="9969">IF(InfBel1LevelCurrent&gt;=$B142,"-",IF(InfBel1LevelDesired&lt;$B142,"-",$D142))</f>
        <v>-</v>
      </c>
      <c r="N142" s="21" t="str">
        <f t="shared" ref="N142" si="9970">IF(InfBel1LevelCurrent&gt;=$B142,"-",IF(InfBel1LevelDesired&lt;$B142,"-",$E142))</f>
        <v>-</v>
      </c>
      <c r="O142" s="15" t="str">
        <f t="shared" ref="O142" si="9971">IF(InfBoo1LevelCurrent&gt;=$B142,"-",IF(InfBoo1LevelDesired&lt;$B142,"-",$C142))</f>
        <v>-</v>
      </c>
      <c r="P142" s="1" t="str">
        <f t="shared" ref="P142" si="9972">IF(InfBoo1LevelCurrent&gt;=$B142,"-",IF(InfBoo1LevelDesired&lt;$B142,"-",$D142))</f>
        <v>-</v>
      </c>
      <c r="Q142" s="21" t="str">
        <f t="shared" ref="Q142" si="9973">IF(InfBoo1LevelCurrent&gt;=$B142,"-",IF(InfBoo1LevelDesired&lt;$B142,"-",$E142))</f>
        <v>-</v>
      </c>
      <c r="R142" s="15" t="str">
        <f t="shared" ref="R142" si="9974">IF(LanGog1LevelCurrent&gt;=$B142,"-",IF(LanGog1LevelDesired&lt;$B142,"-",$C142))</f>
        <v>-</v>
      </c>
      <c r="S142" s="1" t="str">
        <f t="shared" ref="S142" si="9975">IF(LanGog1LevelCurrent&gt;=$B142,"-",IF(LanGog1LevelDesired&lt;$B142,"-",$D142))</f>
        <v>-</v>
      </c>
      <c r="T142" s="21" t="str">
        <f t="shared" ref="T142" si="9976">IF(LanGog1LevelCurrent&gt;=$B142,"-",IF(LanGog1LevelDesired&lt;$B142,"-",$E142))</f>
        <v>-</v>
      </c>
      <c r="U142" s="15" t="str">
        <f t="shared" ref="U142" si="9977">IF(LanGlo1LevelCurrent&gt;=$B142,"-",IF(LanGlo1LevelDesired&lt;$B142,"-",$C142))</f>
        <v>-</v>
      </c>
      <c r="V142" s="1" t="str">
        <f t="shared" ref="V142" si="9978">IF(LanGlo1LevelCurrent&gt;=$B142,"-",IF(LanGlo1LevelDesired&lt;$B142,"-",$D142))</f>
        <v>-</v>
      </c>
      <c r="W142" s="21" t="str">
        <f t="shared" ref="W142" si="9979">IF(LanGlo1LevelCurrent&gt;=$B142,"-",IF(LanGlo1LevelDesired&lt;$B142,"-",$E142))</f>
        <v>-</v>
      </c>
      <c r="X142" s="15" t="str">
        <f t="shared" ref="X142" si="9980">IF(LanBel1LevelCurrent&gt;=$B142,"-",IF(LanBel1LevelDesired&lt;$B142,"-",$C142))</f>
        <v>-</v>
      </c>
      <c r="Y142" s="1" t="str">
        <f t="shared" ref="Y142" si="9981">IF(LanBel1LevelCurrent&gt;=$B142,"-",IF(LanBel1LevelDesired&lt;$B142,"-",$D142))</f>
        <v>-</v>
      </c>
      <c r="Z142" s="21" t="str">
        <f t="shared" ref="Z142" si="9982">IF(LanBel1LevelCurrent&gt;=$B142,"-",IF(LanBel1LevelDesired&lt;$B142,"-",$E142))</f>
        <v>-</v>
      </c>
      <c r="AA142" s="15" t="str">
        <f t="shared" ref="AA142" si="9983">IF(LanBoo1LevelCurrent&gt;=$B142,"-",IF(LanBoo1LevelDesired&lt;$B142,"-",$C142))</f>
        <v>-</v>
      </c>
      <c r="AB142" s="1" t="str">
        <f t="shared" ref="AB142" si="9984">IF(LanBoo1LevelCurrent&gt;=$B142,"-",IF(LanBoo1LevelDesired&lt;$B142,"-",$D142))</f>
        <v>-</v>
      </c>
      <c r="AC142" s="21" t="str">
        <f t="shared" ref="AC142" si="9985">IF(LanBoo1LevelCurrent&gt;=$B142,"-",IF(LanBoo1LevelDesired&lt;$B142,"-",$E142))</f>
        <v>-</v>
      </c>
      <c r="AD142" s="15" t="str">
        <f t="shared" ref="AD142" si="9986">IF(MarGog1LevelCurrent&gt;=$B142,"-",IF(MarGog1LevelDesired&lt;$B142,"-",$C142))</f>
        <v>-</v>
      </c>
      <c r="AE142" s="1" t="str">
        <f t="shared" ref="AE142" si="9987">IF(MarGog1LevelCurrent&gt;=$B142,"-",IF(MarGog1LevelDesired&lt;$B142,"-",$D142))</f>
        <v>-</v>
      </c>
      <c r="AF142" s="21" t="str">
        <f t="shared" ref="AF142" si="9988">IF(MarGog1LevelCurrent&gt;=$B142,"-",IF(MarGog1LevelDesired&lt;$B142,"-",$E142))</f>
        <v>-</v>
      </c>
      <c r="AG142" s="15" t="str">
        <f t="shared" ref="AG142" si="9989">IF(MarGlo1LevelCurrent&gt;=$B142,"-",IF(MarGlo1LevelDesired&lt;$B142,"-",$C142))</f>
        <v>-</v>
      </c>
      <c r="AH142" s="1" t="str">
        <f t="shared" ref="AH142" si="9990">IF(MarGlo1LevelCurrent&gt;=$B142,"-",IF(MarGlo1LevelDesired&lt;$B142,"-",$D142))</f>
        <v>-</v>
      </c>
      <c r="AI142" s="21" t="str">
        <f t="shared" ref="AI142" si="9991">IF(MarGlo1LevelCurrent&gt;=$B142,"-",IF(MarGlo1LevelDesired&lt;$B142,"-",$E142))</f>
        <v>-</v>
      </c>
      <c r="AJ142" s="15" t="str">
        <f t="shared" ref="AJ142" si="9992">IF(MarBel1LevelCurrent&gt;=$B142,"-",IF(MarBel1LevelDesired&lt;$B142,"-",$C142))</f>
        <v>-</v>
      </c>
      <c r="AK142" s="1" t="str">
        <f t="shared" ref="AK142" si="9993">IF(MarBel1LevelCurrent&gt;=$B142,"-",IF(MarBel1LevelDesired&lt;$B142,"-",$D142))</f>
        <v>-</v>
      </c>
      <c r="AL142" s="21" t="str">
        <f t="shared" ref="AL142" si="9994">IF(MarBel1LevelCurrent&gt;=$B142,"-",IF(MarBel1LevelDesired&lt;$B142,"-",$E142))</f>
        <v>-</v>
      </c>
      <c r="AM142" s="15" t="str">
        <f t="shared" ref="AM142" si="9995">IF(MarBoo1LevelCurrent&gt;=$B142,"-",IF(MarBoo1LevelDesired&lt;$B142,"-",$C142))</f>
        <v>-</v>
      </c>
      <c r="AN142" s="1" t="str">
        <f t="shared" ref="AN142" si="9996">IF(MarBoo1LevelCurrent&gt;=$B142,"-",IF(MarBoo1LevelDesired&lt;$B142,"-",$D142))</f>
        <v>-</v>
      </c>
      <c r="AO142" s="21" t="str">
        <f t="shared" ref="AO142" si="9997">IF(MarBoo1LevelCurrent&gt;=$B142,"-",IF(MarBoo1LevelDesired&lt;$B142,"-",$E142))</f>
        <v>-</v>
      </c>
      <c r="AP142" s="15" t="str">
        <f t="shared" ref="AP142" si="9998">IF(InfGog2LevelCurrent&gt;=$B142,"-",IF(InfGog2LevelDesired&lt;$B142,"-",$C142))</f>
        <v>-</v>
      </c>
      <c r="AQ142" s="1" t="str">
        <f t="shared" ref="AQ142" si="9999">IF(InfGog2LevelCurrent&gt;=$B142,"-",IF(InfGog2LevelDesired&lt;$B142,"-",$D142))</f>
        <v>-</v>
      </c>
      <c r="AR142" s="21" t="str">
        <f t="shared" ref="AR142" si="10000">IF(InfGog2LevelCurrent&gt;=$B142,"-",IF(InfGog2LevelDesired&lt;$B142,"-",$E142))</f>
        <v>-</v>
      </c>
      <c r="AS142" s="15" t="str">
        <f t="shared" ref="AS142" si="10001">IF(InfGlo2LevelCurrent&gt;=$B142,"-",IF(InfGlo2LevelDesired&lt;$B142,"-",$C142))</f>
        <v>-</v>
      </c>
      <c r="AT142" s="1" t="str">
        <f t="shared" ref="AT142" si="10002">IF(InfGlo2LevelCurrent&gt;=$B142,"-",IF(InfGlo2LevelDesired&lt;$B142,"-",$D142))</f>
        <v>-</v>
      </c>
      <c r="AU142" s="21" t="str">
        <f t="shared" ref="AU142" si="10003">IF(InfGlo2LevelCurrent&gt;=$B142,"-",IF(InfGlo2LevelDesired&lt;$B142,"-",$E142))</f>
        <v>-</v>
      </c>
      <c r="AV142" s="15" t="str">
        <f t="shared" ref="AV142" si="10004">IF(InfBel2LevelCurrent&gt;=$B142,"-",IF(InfBel2LevelDesired&lt;$B142,"-",$C142))</f>
        <v>-</v>
      </c>
      <c r="AW142" s="1" t="str">
        <f t="shared" ref="AW142" si="10005">IF(InfBel2LevelCurrent&gt;=$B142,"-",IF(InfBel2LevelDesired&lt;$B142,"-",$D142))</f>
        <v>-</v>
      </c>
      <c r="AX142" s="21" t="str">
        <f t="shared" ref="AX142" si="10006">IF(InfBel2LevelCurrent&gt;=$B142,"-",IF(InfBel2LevelDesired&lt;$B142,"-",$E142))</f>
        <v>-</v>
      </c>
      <c r="AY142" s="15" t="str">
        <f t="shared" ref="AY142" si="10007">IF(InfBoo2LevelCurrent&gt;=$B142,"-",IF(InfBoo2LevelDesired&lt;$B142,"-",$C142))</f>
        <v>-</v>
      </c>
      <c r="AZ142" s="1" t="str">
        <f t="shared" ref="AZ142" si="10008">IF(InfBoo2LevelCurrent&gt;=$B142,"-",IF(InfBoo2LevelDesired&lt;$B142,"-",$D142))</f>
        <v>-</v>
      </c>
      <c r="BA142" s="21" t="str">
        <f t="shared" ref="BA142" si="10009">IF(InfBoo2LevelCurrent&gt;=$B142,"-",IF(InfBoo2LevelDesired&lt;$B142,"-",$E142))</f>
        <v>-</v>
      </c>
      <c r="BB142" s="15" t="str">
        <f t="shared" ref="BB142" si="10010">IF(LanGog2LevelCurrent&gt;=$B142,"-",IF(LanGog2LevelDesired&lt;$B142,"-",$C142))</f>
        <v>-</v>
      </c>
      <c r="BC142" s="1" t="str">
        <f t="shared" ref="BC142" si="10011">IF(LanGog2LevelCurrent&gt;=$B142,"-",IF(LanGog2LevelDesired&lt;$B142,"-",$D142))</f>
        <v>-</v>
      </c>
      <c r="BD142" s="21" t="str">
        <f t="shared" ref="BD142" si="10012">IF(LanGog2LevelCurrent&gt;=$B142,"-",IF(LanGog2LevelDesired&lt;$B142,"-",$E142))</f>
        <v>-</v>
      </c>
      <c r="BE142" s="15" t="str">
        <f t="shared" ref="BE142" si="10013">IF(LanGlo2LevelCurrent&gt;=$B142,"-",IF(LanGlo2LevelDesired&lt;$B142,"-",$C142))</f>
        <v>-</v>
      </c>
      <c r="BF142" s="1" t="str">
        <f t="shared" ref="BF142" si="10014">IF(LanGlo2LevelCurrent&gt;=$B142,"-",IF(LanGlo2LevelDesired&lt;$B142,"-",$D142))</f>
        <v>-</v>
      </c>
      <c r="BG142" s="21" t="str">
        <f t="shared" ref="BG142" si="10015">IF(LanGlo2LevelCurrent&gt;=$B142,"-",IF(LanGlo2LevelDesired&lt;$B142,"-",$E142))</f>
        <v>-</v>
      </c>
      <c r="BH142" s="15" t="str">
        <f t="shared" ref="BH142" si="10016">IF(LanBel2LevelCurrent&gt;=$B142,"-",IF(LanBel2LevelDesired&lt;$B142,"-",$C142))</f>
        <v>-</v>
      </c>
      <c r="BI142" s="1" t="str">
        <f t="shared" ref="BI142" si="10017">IF(LanBel2LevelCurrent&gt;=$B142,"-",IF(LanBel2LevelDesired&lt;$B142,"-",$D142))</f>
        <v>-</v>
      </c>
      <c r="BJ142" s="21" t="str">
        <f t="shared" ref="BJ142" si="10018">IF(LanBel2LevelCurrent&gt;=$B142,"-",IF(LanBel2LevelDesired&lt;$B142,"-",$E142))</f>
        <v>-</v>
      </c>
      <c r="BK142" s="15" t="str">
        <f t="shared" ref="BK142" si="10019">IF(LanBoo2LevelCurrent&gt;=$B142,"-",IF(LanBoo2LevelDesired&lt;$B142,"-",$C142))</f>
        <v>-</v>
      </c>
      <c r="BL142" s="1" t="str">
        <f t="shared" ref="BL142" si="10020">IF(LanBoo2LevelCurrent&gt;=$B142,"-",IF(LanBoo2LevelDesired&lt;$B142,"-",$D142))</f>
        <v>-</v>
      </c>
      <c r="BM142" s="21" t="str">
        <f t="shared" ref="BM142" si="10021">IF(LanBoo2LevelCurrent&gt;=$B142,"-",IF(LanBoo2LevelDesired&lt;$B142,"-",$E142))</f>
        <v>-</v>
      </c>
      <c r="BN142" s="15" t="str">
        <f t="shared" ref="BN142" si="10022">IF(MarGog2LevelCurrent&gt;=$B142,"-",IF(MarGog2LevelDesired&lt;$B142,"-",$C142))</f>
        <v>-</v>
      </c>
      <c r="BO142" s="1" t="str">
        <f t="shared" ref="BO142" si="10023">IF(MarGog2LevelCurrent&gt;=$B142,"-",IF(MarGog2LevelDesired&lt;$B142,"-",$D142))</f>
        <v>-</v>
      </c>
      <c r="BP142" s="21" t="str">
        <f t="shared" ref="BP142" si="10024">IF(MarGog2LevelCurrent&gt;=$B142,"-",IF(MarGog2LevelDesired&lt;$B142,"-",$E142))</f>
        <v>-</v>
      </c>
      <c r="BQ142" s="15" t="str">
        <f t="shared" ref="BQ142" si="10025">IF(MarGlo2LevelCurrent&gt;=$B142,"-",IF(MarGlo2LevelDesired&lt;$B142,"-",$C142))</f>
        <v>-</v>
      </c>
      <c r="BR142" s="1" t="str">
        <f t="shared" ref="BR142" si="10026">IF(MarGlo2LevelCurrent&gt;=$B142,"-",IF(MarGlo2LevelDesired&lt;$B142,"-",$D142))</f>
        <v>-</v>
      </c>
      <c r="BS142" s="21" t="str">
        <f t="shared" ref="BS142" si="10027">IF(MarGlo2LevelCurrent&gt;=$B142,"-",IF(MarGlo2LevelDesired&lt;$B142,"-",$E142))</f>
        <v>-</v>
      </c>
      <c r="BT142" s="15" t="str">
        <f t="shared" ref="BT142" si="10028">IF(MarBel2LevelCurrent&gt;=$B142,"-",IF(MarBel2LevelDesired&lt;$B142,"-",$C142))</f>
        <v>-</v>
      </c>
      <c r="BU142" s="1" t="str">
        <f t="shared" ref="BU142" si="10029">IF(MarBel2LevelCurrent&gt;=$B142,"-",IF(MarBel2LevelDesired&lt;$B142,"-",$D142))</f>
        <v>-</v>
      </c>
      <c r="BV142" s="21" t="str">
        <f t="shared" ref="BV142" si="10030">IF(MarBel2LevelCurrent&gt;=$B142,"-",IF(MarBel2LevelDesired&lt;$B142,"-",$E142))</f>
        <v>-</v>
      </c>
      <c r="BW142" s="15" t="str">
        <f t="shared" ref="BW142" si="10031">IF(MarBoo2LevelCurrent&gt;=$B142,"-",IF(MarBoo2LevelDesired&lt;$B142,"-",$C142))</f>
        <v>-</v>
      </c>
      <c r="BX142" s="1" t="str">
        <f t="shared" ref="BX142" si="10032">IF(MarBoo2LevelCurrent&gt;=$B142,"-",IF(MarBoo2LevelDesired&lt;$B142,"-",$D142))</f>
        <v>-</v>
      </c>
      <c r="BY142" s="21" t="str">
        <f t="shared" ref="BY142" si="10033">IF(MarBoo2LevelCurrent&gt;=$B142,"-",IF(MarBoo2LevelDesired&lt;$B142,"-",$E142))</f>
        <v>-</v>
      </c>
      <c r="BZ142" s="15" t="str">
        <f t="shared" si="9424"/>
        <v>-</v>
      </c>
      <c r="CA142" s="1" t="str" cm="1">
        <f t="array" ref="CA142">IF(InfGog3LevelCurrent&gt;=$B142,"-",IF(InfGog3LevelDesired&lt;$B142,"-",$D142))</f>
        <v>-</v>
      </c>
      <c r="CB142" s="21" t="str" cm="1">
        <f t="array" ref="CB142">IF(InfGog3LevelCurrent&gt;=$B142,"-",IF(InfGog3LevelDesired&lt;$B142,"-",$E142))</f>
        <v>-</v>
      </c>
      <c r="CC142" s="15" t="str">
        <f t="shared" si="9425"/>
        <v>-</v>
      </c>
      <c r="CD142" s="1" t="str">
        <f t="shared" si="9426"/>
        <v>-</v>
      </c>
      <c r="CE142" s="21" t="str">
        <f t="shared" si="9427"/>
        <v>-</v>
      </c>
      <c r="CF142" s="15" t="str">
        <f t="shared" si="9428"/>
        <v>-</v>
      </c>
      <c r="CG142" s="1" t="str">
        <f t="shared" si="9429"/>
        <v>-</v>
      </c>
      <c r="CH142" s="21" t="str">
        <f t="shared" si="9430"/>
        <v>-</v>
      </c>
      <c r="CI142" s="15" t="str">
        <f t="shared" si="9431"/>
        <v>-</v>
      </c>
      <c r="CJ142" s="1" t="str">
        <f t="shared" si="9432"/>
        <v>-</v>
      </c>
      <c r="CK142" s="21" t="str">
        <f t="shared" si="9433"/>
        <v>-</v>
      </c>
      <c r="CL142" s="15" t="str">
        <f t="shared" si="9434"/>
        <v>-</v>
      </c>
      <c r="CM142" s="1" t="str">
        <f t="shared" si="9435"/>
        <v>-</v>
      </c>
      <c r="CN142" s="21" t="str">
        <f t="shared" si="9436"/>
        <v>-</v>
      </c>
      <c r="CO142" s="15" t="str">
        <f t="shared" si="9437"/>
        <v>-</v>
      </c>
      <c r="CP142" s="1" t="str">
        <f t="shared" si="9438"/>
        <v>-</v>
      </c>
      <c r="CQ142" s="21" t="str">
        <f t="shared" si="9439"/>
        <v>-</v>
      </c>
      <c r="CR142" s="15" t="str">
        <f t="shared" si="9440"/>
        <v>-</v>
      </c>
      <c r="CS142" s="1" t="str">
        <f t="shared" si="9441"/>
        <v>-</v>
      </c>
      <c r="CT142" s="21" t="str">
        <f t="shared" si="9442"/>
        <v>-</v>
      </c>
      <c r="CU142" s="15" t="str">
        <f t="shared" si="9443"/>
        <v>-</v>
      </c>
      <c r="CV142" s="1" t="str">
        <f t="shared" si="9444"/>
        <v>-</v>
      </c>
      <c r="CW142" s="21" t="str">
        <f t="shared" si="9445"/>
        <v>-</v>
      </c>
      <c r="CX142" s="15" t="str">
        <f t="shared" si="9446"/>
        <v>-</v>
      </c>
      <c r="CY142" s="1" t="str">
        <f t="shared" si="9447"/>
        <v>-</v>
      </c>
      <c r="CZ142" s="21" t="str">
        <f t="shared" si="9448"/>
        <v>-</v>
      </c>
      <c r="DA142" s="15" t="str">
        <f t="shared" si="9449"/>
        <v>-</v>
      </c>
      <c r="DB142" s="1" t="str">
        <f t="shared" si="9450"/>
        <v>-</v>
      </c>
      <c r="DC142" s="21" t="str">
        <f t="shared" si="9451"/>
        <v>-</v>
      </c>
      <c r="DD142" s="15" t="str">
        <f t="shared" si="9452"/>
        <v>-</v>
      </c>
      <c r="DE142" s="1" t="str">
        <f t="shared" si="9453"/>
        <v>-</v>
      </c>
      <c r="DF142" s="21" t="str">
        <f t="shared" si="9454"/>
        <v>-</v>
      </c>
      <c r="DG142" s="15" t="str">
        <f t="shared" si="9455"/>
        <v>-</v>
      </c>
      <c r="DH142" s="1" t="str">
        <f t="shared" si="9456"/>
        <v>-</v>
      </c>
      <c r="DI142" s="21" t="str">
        <f t="shared" si="9457"/>
        <v>-</v>
      </c>
    </row>
    <row r="143" spans="2:113" x14ac:dyDescent="0.3">
      <c r="B143" s="1">
        <v>138</v>
      </c>
      <c r="C143" s="67">
        <v>4350</v>
      </c>
      <c r="D143" s="88" t="s">
        <v>27</v>
      </c>
      <c r="E143" s="68" t="s">
        <v>27</v>
      </c>
      <c r="F143" s="15" t="str">
        <f t="shared" ref="F143" si="10034">IF(InfGog1LevelCurrent&gt;=$B143,"-",IF(InfGog1LevelDesired&lt;$B143,"-",$C143))</f>
        <v>-</v>
      </c>
      <c r="G143" s="1" t="str">
        <f t="shared" ref="G143" si="10035">IF(InfGog1LevelCurrent&gt;=$B143,"-",IF(InfGog1LevelDesired&lt;$B143,"-",$D143))</f>
        <v>-</v>
      </c>
      <c r="H143" s="21" t="str">
        <f t="shared" ref="H143" si="10036">IF(InfGog1LevelCurrent&gt;=$B143,"-",IF(InfGog1LevelDesired&lt;$B143,"-",$E143))</f>
        <v>-</v>
      </c>
      <c r="I143" s="15" t="str">
        <f t="shared" ref="I143" si="10037">IF(InfGlo1LevelCurrent&gt;=$B143,"-",IF(InfGlo1LevelDesired&lt;$B143,"-",$C143))</f>
        <v>-</v>
      </c>
      <c r="J143" s="1" t="str">
        <f t="shared" ref="J143" si="10038">IF(InfGlo1LevelCurrent&gt;=$B143,"-",IF(InfGlo1LevelDesired&lt;$B143,"-",$D143))</f>
        <v>-</v>
      </c>
      <c r="K143" s="21" t="str">
        <f t="shared" ref="K143" si="10039">IF(InfGlo1LevelCurrent&gt;=$B143,"-",IF(InfGlo1LevelDesired&lt;$B143,"-",$E143))</f>
        <v>-</v>
      </c>
      <c r="L143" s="15" t="str">
        <f t="shared" ref="L143" si="10040">IF(InfBel1LevelCurrent&gt;=$B143,"-",IF(InfBel1LevelDesired&lt;$B143,"-",$C143))</f>
        <v>-</v>
      </c>
      <c r="M143" s="1" t="str">
        <f t="shared" ref="M143" si="10041">IF(InfBel1LevelCurrent&gt;=$B143,"-",IF(InfBel1LevelDesired&lt;$B143,"-",$D143))</f>
        <v>-</v>
      </c>
      <c r="N143" s="21" t="str">
        <f t="shared" ref="N143" si="10042">IF(InfBel1LevelCurrent&gt;=$B143,"-",IF(InfBel1LevelDesired&lt;$B143,"-",$E143))</f>
        <v>-</v>
      </c>
      <c r="O143" s="15" t="str">
        <f t="shared" ref="O143" si="10043">IF(InfBoo1LevelCurrent&gt;=$B143,"-",IF(InfBoo1LevelDesired&lt;$B143,"-",$C143))</f>
        <v>-</v>
      </c>
      <c r="P143" s="1" t="str">
        <f t="shared" ref="P143" si="10044">IF(InfBoo1LevelCurrent&gt;=$B143,"-",IF(InfBoo1LevelDesired&lt;$B143,"-",$D143))</f>
        <v>-</v>
      </c>
      <c r="Q143" s="21" t="str">
        <f t="shared" ref="Q143" si="10045">IF(InfBoo1LevelCurrent&gt;=$B143,"-",IF(InfBoo1LevelDesired&lt;$B143,"-",$E143))</f>
        <v>-</v>
      </c>
      <c r="R143" s="15" t="str">
        <f t="shared" ref="R143" si="10046">IF(LanGog1LevelCurrent&gt;=$B143,"-",IF(LanGog1LevelDesired&lt;$B143,"-",$C143))</f>
        <v>-</v>
      </c>
      <c r="S143" s="1" t="str">
        <f t="shared" ref="S143" si="10047">IF(LanGog1LevelCurrent&gt;=$B143,"-",IF(LanGog1LevelDesired&lt;$B143,"-",$D143))</f>
        <v>-</v>
      </c>
      <c r="T143" s="21" t="str">
        <f t="shared" ref="T143" si="10048">IF(LanGog1LevelCurrent&gt;=$B143,"-",IF(LanGog1LevelDesired&lt;$B143,"-",$E143))</f>
        <v>-</v>
      </c>
      <c r="U143" s="15" t="str">
        <f t="shared" ref="U143" si="10049">IF(LanGlo1LevelCurrent&gt;=$B143,"-",IF(LanGlo1LevelDesired&lt;$B143,"-",$C143))</f>
        <v>-</v>
      </c>
      <c r="V143" s="1" t="str">
        <f t="shared" ref="V143" si="10050">IF(LanGlo1LevelCurrent&gt;=$B143,"-",IF(LanGlo1LevelDesired&lt;$B143,"-",$D143))</f>
        <v>-</v>
      </c>
      <c r="W143" s="21" t="str">
        <f t="shared" ref="W143" si="10051">IF(LanGlo1LevelCurrent&gt;=$B143,"-",IF(LanGlo1LevelDesired&lt;$B143,"-",$E143))</f>
        <v>-</v>
      </c>
      <c r="X143" s="15" t="str">
        <f t="shared" ref="X143" si="10052">IF(LanBel1LevelCurrent&gt;=$B143,"-",IF(LanBel1LevelDesired&lt;$B143,"-",$C143))</f>
        <v>-</v>
      </c>
      <c r="Y143" s="1" t="str">
        <f t="shared" ref="Y143" si="10053">IF(LanBel1LevelCurrent&gt;=$B143,"-",IF(LanBel1LevelDesired&lt;$B143,"-",$D143))</f>
        <v>-</v>
      </c>
      <c r="Z143" s="21" t="str">
        <f t="shared" ref="Z143" si="10054">IF(LanBel1LevelCurrent&gt;=$B143,"-",IF(LanBel1LevelDesired&lt;$B143,"-",$E143))</f>
        <v>-</v>
      </c>
      <c r="AA143" s="15" t="str">
        <f t="shared" ref="AA143" si="10055">IF(LanBoo1LevelCurrent&gt;=$B143,"-",IF(LanBoo1LevelDesired&lt;$B143,"-",$C143))</f>
        <v>-</v>
      </c>
      <c r="AB143" s="1" t="str">
        <f t="shared" ref="AB143" si="10056">IF(LanBoo1LevelCurrent&gt;=$B143,"-",IF(LanBoo1LevelDesired&lt;$B143,"-",$D143))</f>
        <v>-</v>
      </c>
      <c r="AC143" s="21" t="str">
        <f t="shared" ref="AC143" si="10057">IF(LanBoo1LevelCurrent&gt;=$B143,"-",IF(LanBoo1LevelDesired&lt;$B143,"-",$E143))</f>
        <v>-</v>
      </c>
      <c r="AD143" s="15" t="str">
        <f t="shared" ref="AD143" si="10058">IF(MarGog1LevelCurrent&gt;=$B143,"-",IF(MarGog1LevelDesired&lt;$B143,"-",$C143))</f>
        <v>-</v>
      </c>
      <c r="AE143" s="1" t="str">
        <f t="shared" ref="AE143" si="10059">IF(MarGog1LevelCurrent&gt;=$B143,"-",IF(MarGog1LevelDesired&lt;$B143,"-",$D143))</f>
        <v>-</v>
      </c>
      <c r="AF143" s="21" t="str">
        <f t="shared" ref="AF143" si="10060">IF(MarGog1LevelCurrent&gt;=$B143,"-",IF(MarGog1LevelDesired&lt;$B143,"-",$E143))</f>
        <v>-</v>
      </c>
      <c r="AG143" s="15" t="str">
        <f t="shared" ref="AG143" si="10061">IF(MarGlo1LevelCurrent&gt;=$B143,"-",IF(MarGlo1LevelDesired&lt;$B143,"-",$C143))</f>
        <v>-</v>
      </c>
      <c r="AH143" s="1" t="str">
        <f t="shared" ref="AH143" si="10062">IF(MarGlo1LevelCurrent&gt;=$B143,"-",IF(MarGlo1LevelDesired&lt;$B143,"-",$D143))</f>
        <v>-</v>
      </c>
      <c r="AI143" s="21" t="str">
        <f t="shared" ref="AI143" si="10063">IF(MarGlo1LevelCurrent&gt;=$B143,"-",IF(MarGlo1LevelDesired&lt;$B143,"-",$E143))</f>
        <v>-</v>
      </c>
      <c r="AJ143" s="15" t="str">
        <f t="shared" ref="AJ143" si="10064">IF(MarBel1LevelCurrent&gt;=$B143,"-",IF(MarBel1LevelDesired&lt;$B143,"-",$C143))</f>
        <v>-</v>
      </c>
      <c r="AK143" s="1" t="str">
        <f t="shared" ref="AK143" si="10065">IF(MarBel1LevelCurrent&gt;=$B143,"-",IF(MarBel1LevelDesired&lt;$B143,"-",$D143))</f>
        <v>-</v>
      </c>
      <c r="AL143" s="21" t="str">
        <f t="shared" ref="AL143" si="10066">IF(MarBel1LevelCurrent&gt;=$B143,"-",IF(MarBel1LevelDesired&lt;$B143,"-",$E143))</f>
        <v>-</v>
      </c>
      <c r="AM143" s="15" t="str">
        <f t="shared" ref="AM143" si="10067">IF(MarBoo1LevelCurrent&gt;=$B143,"-",IF(MarBoo1LevelDesired&lt;$B143,"-",$C143))</f>
        <v>-</v>
      </c>
      <c r="AN143" s="1" t="str">
        <f t="shared" ref="AN143" si="10068">IF(MarBoo1LevelCurrent&gt;=$B143,"-",IF(MarBoo1LevelDesired&lt;$B143,"-",$D143))</f>
        <v>-</v>
      </c>
      <c r="AO143" s="21" t="str">
        <f t="shared" ref="AO143" si="10069">IF(MarBoo1LevelCurrent&gt;=$B143,"-",IF(MarBoo1LevelDesired&lt;$B143,"-",$E143))</f>
        <v>-</v>
      </c>
      <c r="AP143" s="15" t="str">
        <f t="shared" ref="AP143" si="10070">IF(InfGog2LevelCurrent&gt;=$B143,"-",IF(InfGog2LevelDesired&lt;$B143,"-",$C143))</f>
        <v>-</v>
      </c>
      <c r="AQ143" s="1" t="str">
        <f t="shared" ref="AQ143" si="10071">IF(InfGog2LevelCurrent&gt;=$B143,"-",IF(InfGog2LevelDesired&lt;$B143,"-",$D143))</f>
        <v>-</v>
      </c>
      <c r="AR143" s="21" t="str">
        <f t="shared" ref="AR143" si="10072">IF(InfGog2LevelCurrent&gt;=$B143,"-",IF(InfGog2LevelDesired&lt;$B143,"-",$E143))</f>
        <v>-</v>
      </c>
      <c r="AS143" s="15" t="str">
        <f t="shared" ref="AS143" si="10073">IF(InfGlo2LevelCurrent&gt;=$B143,"-",IF(InfGlo2LevelDesired&lt;$B143,"-",$C143))</f>
        <v>-</v>
      </c>
      <c r="AT143" s="1" t="str">
        <f t="shared" ref="AT143" si="10074">IF(InfGlo2LevelCurrent&gt;=$B143,"-",IF(InfGlo2LevelDesired&lt;$B143,"-",$D143))</f>
        <v>-</v>
      </c>
      <c r="AU143" s="21" t="str">
        <f t="shared" ref="AU143" si="10075">IF(InfGlo2LevelCurrent&gt;=$B143,"-",IF(InfGlo2LevelDesired&lt;$B143,"-",$E143))</f>
        <v>-</v>
      </c>
      <c r="AV143" s="15" t="str">
        <f t="shared" ref="AV143" si="10076">IF(InfBel2LevelCurrent&gt;=$B143,"-",IF(InfBel2LevelDesired&lt;$B143,"-",$C143))</f>
        <v>-</v>
      </c>
      <c r="AW143" s="1" t="str">
        <f t="shared" ref="AW143" si="10077">IF(InfBel2LevelCurrent&gt;=$B143,"-",IF(InfBel2LevelDesired&lt;$B143,"-",$D143))</f>
        <v>-</v>
      </c>
      <c r="AX143" s="21" t="str">
        <f t="shared" ref="AX143" si="10078">IF(InfBel2LevelCurrent&gt;=$B143,"-",IF(InfBel2LevelDesired&lt;$B143,"-",$E143))</f>
        <v>-</v>
      </c>
      <c r="AY143" s="15" t="str">
        <f t="shared" ref="AY143" si="10079">IF(InfBoo2LevelCurrent&gt;=$B143,"-",IF(InfBoo2LevelDesired&lt;$B143,"-",$C143))</f>
        <v>-</v>
      </c>
      <c r="AZ143" s="1" t="str">
        <f t="shared" ref="AZ143" si="10080">IF(InfBoo2LevelCurrent&gt;=$B143,"-",IF(InfBoo2LevelDesired&lt;$B143,"-",$D143))</f>
        <v>-</v>
      </c>
      <c r="BA143" s="21" t="str">
        <f t="shared" ref="BA143" si="10081">IF(InfBoo2LevelCurrent&gt;=$B143,"-",IF(InfBoo2LevelDesired&lt;$B143,"-",$E143))</f>
        <v>-</v>
      </c>
      <c r="BB143" s="15" t="str">
        <f t="shared" ref="BB143" si="10082">IF(LanGog2LevelCurrent&gt;=$B143,"-",IF(LanGog2LevelDesired&lt;$B143,"-",$C143))</f>
        <v>-</v>
      </c>
      <c r="BC143" s="1" t="str">
        <f t="shared" ref="BC143" si="10083">IF(LanGog2LevelCurrent&gt;=$B143,"-",IF(LanGog2LevelDesired&lt;$B143,"-",$D143))</f>
        <v>-</v>
      </c>
      <c r="BD143" s="21" t="str">
        <f t="shared" ref="BD143" si="10084">IF(LanGog2LevelCurrent&gt;=$B143,"-",IF(LanGog2LevelDesired&lt;$B143,"-",$E143))</f>
        <v>-</v>
      </c>
      <c r="BE143" s="15" t="str">
        <f t="shared" ref="BE143" si="10085">IF(LanGlo2LevelCurrent&gt;=$B143,"-",IF(LanGlo2LevelDesired&lt;$B143,"-",$C143))</f>
        <v>-</v>
      </c>
      <c r="BF143" s="1" t="str">
        <f t="shared" ref="BF143" si="10086">IF(LanGlo2LevelCurrent&gt;=$B143,"-",IF(LanGlo2LevelDesired&lt;$B143,"-",$D143))</f>
        <v>-</v>
      </c>
      <c r="BG143" s="21" t="str">
        <f t="shared" ref="BG143" si="10087">IF(LanGlo2LevelCurrent&gt;=$B143,"-",IF(LanGlo2LevelDesired&lt;$B143,"-",$E143))</f>
        <v>-</v>
      </c>
      <c r="BH143" s="15" t="str">
        <f t="shared" ref="BH143" si="10088">IF(LanBel2LevelCurrent&gt;=$B143,"-",IF(LanBel2LevelDesired&lt;$B143,"-",$C143))</f>
        <v>-</v>
      </c>
      <c r="BI143" s="1" t="str">
        <f t="shared" ref="BI143" si="10089">IF(LanBel2LevelCurrent&gt;=$B143,"-",IF(LanBel2LevelDesired&lt;$B143,"-",$D143))</f>
        <v>-</v>
      </c>
      <c r="BJ143" s="21" t="str">
        <f t="shared" ref="BJ143" si="10090">IF(LanBel2LevelCurrent&gt;=$B143,"-",IF(LanBel2LevelDesired&lt;$B143,"-",$E143))</f>
        <v>-</v>
      </c>
      <c r="BK143" s="15" t="str">
        <f t="shared" ref="BK143" si="10091">IF(LanBoo2LevelCurrent&gt;=$B143,"-",IF(LanBoo2LevelDesired&lt;$B143,"-",$C143))</f>
        <v>-</v>
      </c>
      <c r="BL143" s="1" t="str">
        <f t="shared" ref="BL143" si="10092">IF(LanBoo2LevelCurrent&gt;=$B143,"-",IF(LanBoo2LevelDesired&lt;$B143,"-",$D143))</f>
        <v>-</v>
      </c>
      <c r="BM143" s="21" t="str">
        <f t="shared" ref="BM143" si="10093">IF(LanBoo2LevelCurrent&gt;=$B143,"-",IF(LanBoo2LevelDesired&lt;$B143,"-",$E143))</f>
        <v>-</v>
      </c>
      <c r="BN143" s="15" t="str">
        <f t="shared" ref="BN143" si="10094">IF(MarGog2LevelCurrent&gt;=$B143,"-",IF(MarGog2LevelDesired&lt;$B143,"-",$C143))</f>
        <v>-</v>
      </c>
      <c r="BO143" s="1" t="str">
        <f t="shared" ref="BO143" si="10095">IF(MarGog2LevelCurrent&gt;=$B143,"-",IF(MarGog2LevelDesired&lt;$B143,"-",$D143))</f>
        <v>-</v>
      </c>
      <c r="BP143" s="21" t="str">
        <f t="shared" ref="BP143" si="10096">IF(MarGog2LevelCurrent&gt;=$B143,"-",IF(MarGog2LevelDesired&lt;$B143,"-",$E143))</f>
        <v>-</v>
      </c>
      <c r="BQ143" s="15" t="str">
        <f t="shared" ref="BQ143" si="10097">IF(MarGlo2LevelCurrent&gt;=$B143,"-",IF(MarGlo2LevelDesired&lt;$B143,"-",$C143))</f>
        <v>-</v>
      </c>
      <c r="BR143" s="1" t="str">
        <f t="shared" ref="BR143" si="10098">IF(MarGlo2LevelCurrent&gt;=$B143,"-",IF(MarGlo2LevelDesired&lt;$B143,"-",$D143))</f>
        <v>-</v>
      </c>
      <c r="BS143" s="21" t="str">
        <f t="shared" ref="BS143" si="10099">IF(MarGlo2LevelCurrent&gt;=$B143,"-",IF(MarGlo2LevelDesired&lt;$B143,"-",$E143))</f>
        <v>-</v>
      </c>
      <c r="BT143" s="15" t="str">
        <f t="shared" ref="BT143" si="10100">IF(MarBel2LevelCurrent&gt;=$B143,"-",IF(MarBel2LevelDesired&lt;$B143,"-",$C143))</f>
        <v>-</v>
      </c>
      <c r="BU143" s="1" t="str">
        <f t="shared" ref="BU143" si="10101">IF(MarBel2LevelCurrent&gt;=$B143,"-",IF(MarBel2LevelDesired&lt;$B143,"-",$D143))</f>
        <v>-</v>
      </c>
      <c r="BV143" s="21" t="str">
        <f t="shared" ref="BV143" si="10102">IF(MarBel2LevelCurrent&gt;=$B143,"-",IF(MarBel2LevelDesired&lt;$B143,"-",$E143))</f>
        <v>-</v>
      </c>
      <c r="BW143" s="15" t="str">
        <f t="shared" ref="BW143" si="10103">IF(MarBoo2LevelCurrent&gt;=$B143,"-",IF(MarBoo2LevelDesired&lt;$B143,"-",$C143))</f>
        <v>-</v>
      </c>
      <c r="BX143" s="1" t="str">
        <f t="shared" ref="BX143" si="10104">IF(MarBoo2LevelCurrent&gt;=$B143,"-",IF(MarBoo2LevelDesired&lt;$B143,"-",$D143))</f>
        <v>-</v>
      </c>
      <c r="BY143" s="21" t="str">
        <f t="shared" ref="BY143" si="10105">IF(MarBoo2LevelCurrent&gt;=$B143,"-",IF(MarBoo2LevelDesired&lt;$B143,"-",$E143))</f>
        <v>-</v>
      </c>
      <c r="BZ143" s="15" t="str">
        <f t="shared" si="9424"/>
        <v>-</v>
      </c>
      <c r="CA143" s="1" t="str" cm="1">
        <f t="array" ref="CA143">IF(InfGog3LevelCurrent&gt;=$B143,"-",IF(InfGog3LevelDesired&lt;$B143,"-",$D143))</f>
        <v>-</v>
      </c>
      <c r="CB143" s="21" t="str" cm="1">
        <f t="array" ref="CB143">IF(InfGog3LevelCurrent&gt;=$B143,"-",IF(InfGog3LevelDesired&lt;$B143,"-",$E143))</f>
        <v>-</v>
      </c>
      <c r="CC143" s="15" t="str">
        <f t="shared" si="9425"/>
        <v>-</v>
      </c>
      <c r="CD143" s="1" t="str">
        <f t="shared" si="9426"/>
        <v>-</v>
      </c>
      <c r="CE143" s="21" t="str">
        <f t="shared" si="9427"/>
        <v>-</v>
      </c>
      <c r="CF143" s="15" t="str">
        <f t="shared" si="9428"/>
        <v>-</v>
      </c>
      <c r="CG143" s="1" t="str">
        <f t="shared" si="9429"/>
        <v>-</v>
      </c>
      <c r="CH143" s="21" t="str">
        <f t="shared" si="9430"/>
        <v>-</v>
      </c>
      <c r="CI143" s="15" t="str">
        <f t="shared" si="9431"/>
        <v>-</v>
      </c>
      <c r="CJ143" s="1" t="str">
        <f t="shared" si="9432"/>
        <v>-</v>
      </c>
      <c r="CK143" s="21" t="str">
        <f t="shared" si="9433"/>
        <v>-</v>
      </c>
      <c r="CL143" s="15" t="str">
        <f t="shared" si="9434"/>
        <v>-</v>
      </c>
      <c r="CM143" s="1" t="str">
        <f t="shared" si="9435"/>
        <v>-</v>
      </c>
      <c r="CN143" s="21" t="str">
        <f t="shared" si="9436"/>
        <v>-</v>
      </c>
      <c r="CO143" s="15" t="str">
        <f t="shared" si="9437"/>
        <v>-</v>
      </c>
      <c r="CP143" s="1" t="str">
        <f t="shared" si="9438"/>
        <v>-</v>
      </c>
      <c r="CQ143" s="21" t="str">
        <f t="shared" si="9439"/>
        <v>-</v>
      </c>
      <c r="CR143" s="15" t="str">
        <f t="shared" si="9440"/>
        <v>-</v>
      </c>
      <c r="CS143" s="1" t="str">
        <f t="shared" si="9441"/>
        <v>-</v>
      </c>
      <c r="CT143" s="21" t="str">
        <f t="shared" si="9442"/>
        <v>-</v>
      </c>
      <c r="CU143" s="15" t="str">
        <f t="shared" si="9443"/>
        <v>-</v>
      </c>
      <c r="CV143" s="1" t="str">
        <f t="shared" si="9444"/>
        <v>-</v>
      </c>
      <c r="CW143" s="21" t="str">
        <f t="shared" si="9445"/>
        <v>-</v>
      </c>
      <c r="CX143" s="15" t="str">
        <f t="shared" si="9446"/>
        <v>-</v>
      </c>
      <c r="CY143" s="1" t="str">
        <f t="shared" si="9447"/>
        <v>-</v>
      </c>
      <c r="CZ143" s="21" t="str">
        <f t="shared" si="9448"/>
        <v>-</v>
      </c>
      <c r="DA143" s="15" t="str">
        <f t="shared" si="9449"/>
        <v>-</v>
      </c>
      <c r="DB143" s="1" t="str">
        <f t="shared" si="9450"/>
        <v>-</v>
      </c>
      <c r="DC143" s="21" t="str">
        <f t="shared" si="9451"/>
        <v>-</v>
      </c>
      <c r="DD143" s="15" t="str">
        <f t="shared" si="9452"/>
        <v>-</v>
      </c>
      <c r="DE143" s="1" t="str">
        <f t="shared" si="9453"/>
        <v>-</v>
      </c>
      <c r="DF143" s="21" t="str">
        <f t="shared" si="9454"/>
        <v>-</v>
      </c>
      <c r="DG143" s="15" t="str">
        <f t="shared" si="9455"/>
        <v>-</v>
      </c>
      <c r="DH143" s="1" t="str">
        <f t="shared" si="9456"/>
        <v>-</v>
      </c>
      <c r="DI143" s="21" t="str">
        <f t="shared" si="9457"/>
        <v>-</v>
      </c>
    </row>
    <row r="144" spans="2:113" x14ac:dyDescent="0.3">
      <c r="B144" s="1">
        <v>139</v>
      </c>
      <c r="C144" s="67">
        <v>4400</v>
      </c>
      <c r="D144" s="88" t="s">
        <v>27</v>
      </c>
      <c r="E144" s="68" t="s">
        <v>27</v>
      </c>
      <c r="F144" s="15" t="str">
        <f t="shared" ref="F144" si="10106">IF(InfGog1LevelCurrent&gt;=$B144,"-",IF(InfGog1LevelDesired&lt;$B144,"-",$C144))</f>
        <v>-</v>
      </c>
      <c r="G144" s="1" t="str">
        <f t="shared" ref="G144" si="10107">IF(InfGog1LevelCurrent&gt;=$B144,"-",IF(InfGog1LevelDesired&lt;$B144,"-",$D144))</f>
        <v>-</v>
      </c>
      <c r="H144" s="21" t="str">
        <f t="shared" ref="H144" si="10108">IF(InfGog1LevelCurrent&gt;=$B144,"-",IF(InfGog1LevelDesired&lt;$B144,"-",$E144))</f>
        <v>-</v>
      </c>
      <c r="I144" s="15" t="str">
        <f t="shared" ref="I144" si="10109">IF(InfGlo1LevelCurrent&gt;=$B144,"-",IF(InfGlo1LevelDesired&lt;$B144,"-",$C144))</f>
        <v>-</v>
      </c>
      <c r="J144" s="1" t="str">
        <f t="shared" ref="J144" si="10110">IF(InfGlo1LevelCurrent&gt;=$B144,"-",IF(InfGlo1LevelDesired&lt;$B144,"-",$D144))</f>
        <v>-</v>
      </c>
      <c r="K144" s="21" t="str">
        <f t="shared" ref="K144" si="10111">IF(InfGlo1LevelCurrent&gt;=$B144,"-",IF(InfGlo1LevelDesired&lt;$B144,"-",$E144))</f>
        <v>-</v>
      </c>
      <c r="L144" s="15" t="str">
        <f t="shared" ref="L144" si="10112">IF(InfBel1LevelCurrent&gt;=$B144,"-",IF(InfBel1LevelDesired&lt;$B144,"-",$C144))</f>
        <v>-</v>
      </c>
      <c r="M144" s="1" t="str">
        <f t="shared" ref="M144" si="10113">IF(InfBel1LevelCurrent&gt;=$B144,"-",IF(InfBel1LevelDesired&lt;$B144,"-",$D144))</f>
        <v>-</v>
      </c>
      <c r="N144" s="21" t="str">
        <f t="shared" ref="N144" si="10114">IF(InfBel1LevelCurrent&gt;=$B144,"-",IF(InfBel1LevelDesired&lt;$B144,"-",$E144))</f>
        <v>-</v>
      </c>
      <c r="O144" s="15" t="str">
        <f t="shared" ref="O144" si="10115">IF(InfBoo1LevelCurrent&gt;=$B144,"-",IF(InfBoo1LevelDesired&lt;$B144,"-",$C144))</f>
        <v>-</v>
      </c>
      <c r="P144" s="1" t="str">
        <f t="shared" ref="P144" si="10116">IF(InfBoo1LevelCurrent&gt;=$B144,"-",IF(InfBoo1LevelDesired&lt;$B144,"-",$D144))</f>
        <v>-</v>
      </c>
      <c r="Q144" s="21" t="str">
        <f t="shared" ref="Q144" si="10117">IF(InfBoo1LevelCurrent&gt;=$B144,"-",IF(InfBoo1LevelDesired&lt;$B144,"-",$E144))</f>
        <v>-</v>
      </c>
      <c r="R144" s="15" t="str">
        <f t="shared" ref="R144" si="10118">IF(LanGog1LevelCurrent&gt;=$B144,"-",IF(LanGog1LevelDesired&lt;$B144,"-",$C144))</f>
        <v>-</v>
      </c>
      <c r="S144" s="1" t="str">
        <f t="shared" ref="S144" si="10119">IF(LanGog1LevelCurrent&gt;=$B144,"-",IF(LanGog1LevelDesired&lt;$B144,"-",$D144))</f>
        <v>-</v>
      </c>
      <c r="T144" s="21" t="str">
        <f t="shared" ref="T144" si="10120">IF(LanGog1LevelCurrent&gt;=$B144,"-",IF(LanGog1LevelDesired&lt;$B144,"-",$E144))</f>
        <v>-</v>
      </c>
      <c r="U144" s="15" t="str">
        <f t="shared" ref="U144" si="10121">IF(LanGlo1LevelCurrent&gt;=$B144,"-",IF(LanGlo1LevelDesired&lt;$B144,"-",$C144))</f>
        <v>-</v>
      </c>
      <c r="V144" s="1" t="str">
        <f t="shared" ref="V144" si="10122">IF(LanGlo1LevelCurrent&gt;=$B144,"-",IF(LanGlo1LevelDesired&lt;$B144,"-",$D144))</f>
        <v>-</v>
      </c>
      <c r="W144" s="21" t="str">
        <f t="shared" ref="W144" si="10123">IF(LanGlo1LevelCurrent&gt;=$B144,"-",IF(LanGlo1LevelDesired&lt;$B144,"-",$E144))</f>
        <v>-</v>
      </c>
      <c r="X144" s="15" t="str">
        <f t="shared" ref="X144" si="10124">IF(LanBel1LevelCurrent&gt;=$B144,"-",IF(LanBel1LevelDesired&lt;$B144,"-",$C144))</f>
        <v>-</v>
      </c>
      <c r="Y144" s="1" t="str">
        <f t="shared" ref="Y144" si="10125">IF(LanBel1LevelCurrent&gt;=$B144,"-",IF(LanBel1LevelDesired&lt;$B144,"-",$D144))</f>
        <v>-</v>
      </c>
      <c r="Z144" s="21" t="str">
        <f t="shared" ref="Z144" si="10126">IF(LanBel1LevelCurrent&gt;=$B144,"-",IF(LanBel1LevelDesired&lt;$B144,"-",$E144))</f>
        <v>-</v>
      </c>
      <c r="AA144" s="15" t="str">
        <f t="shared" ref="AA144" si="10127">IF(LanBoo1LevelCurrent&gt;=$B144,"-",IF(LanBoo1LevelDesired&lt;$B144,"-",$C144))</f>
        <v>-</v>
      </c>
      <c r="AB144" s="1" t="str">
        <f t="shared" ref="AB144" si="10128">IF(LanBoo1LevelCurrent&gt;=$B144,"-",IF(LanBoo1LevelDesired&lt;$B144,"-",$D144))</f>
        <v>-</v>
      </c>
      <c r="AC144" s="21" t="str">
        <f t="shared" ref="AC144" si="10129">IF(LanBoo1LevelCurrent&gt;=$B144,"-",IF(LanBoo1LevelDesired&lt;$B144,"-",$E144))</f>
        <v>-</v>
      </c>
      <c r="AD144" s="15" t="str">
        <f t="shared" ref="AD144" si="10130">IF(MarGog1LevelCurrent&gt;=$B144,"-",IF(MarGog1LevelDesired&lt;$B144,"-",$C144))</f>
        <v>-</v>
      </c>
      <c r="AE144" s="1" t="str">
        <f t="shared" ref="AE144" si="10131">IF(MarGog1LevelCurrent&gt;=$B144,"-",IF(MarGog1LevelDesired&lt;$B144,"-",$D144))</f>
        <v>-</v>
      </c>
      <c r="AF144" s="21" t="str">
        <f t="shared" ref="AF144" si="10132">IF(MarGog1LevelCurrent&gt;=$B144,"-",IF(MarGog1LevelDesired&lt;$B144,"-",$E144))</f>
        <v>-</v>
      </c>
      <c r="AG144" s="15" t="str">
        <f t="shared" ref="AG144" si="10133">IF(MarGlo1LevelCurrent&gt;=$B144,"-",IF(MarGlo1LevelDesired&lt;$B144,"-",$C144))</f>
        <v>-</v>
      </c>
      <c r="AH144" s="1" t="str">
        <f t="shared" ref="AH144" si="10134">IF(MarGlo1LevelCurrent&gt;=$B144,"-",IF(MarGlo1LevelDesired&lt;$B144,"-",$D144))</f>
        <v>-</v>
      </c>
      <c r="AI144" s="21" t="str">
        <f t="shared" ref="AI144" si="10135">IF(MarGlo1LevelCurrent&gt;=$B144,"-",IF(MarGlo1LevelDesired&lt;$B144,"-",$E144))</f>
        <v>-</v>
      </c>
      <c r="AJ144" s="15" t="str">
        <f t="shared" ref="AJ144" si="10136">IF(MarBel1LevelCurrent&gt;=$B144,"-",IF(MarBel1LevelDesired&lt;$B144,"-",$C144))</f>
        <v>-</v>
      </c>
      <c r="AK144" s="1" t="str">
        <f t="shared" ref="AK144" si="10137">IF(MarBel1LevelCurrent&gt;=$B144,"-",IF(MarBel1LevelDesired&lt;$B144,"-",$D144))</f>
        <v>-</v>
      </c>
      <c r="AL144" s="21" t="str">
        <f t="shared" ref="AL144" si="10138">IF(MarBel1LevelCurrent&gt;=$B144,"-",IF(MarBel1LevelDesired&lt;$B144,"-",$E144))</f>
        <v>-</v>
      </c>
      <c r="AM144" s="15" t="str">
        <f t="shared" ref="AM144" si="10139">IF(MarBoo1LevelCurrent&gt;=$B144,"-",IF(MarBoo1LevelDesired&lt;$B144,"-",$C144))</f>
        <v>-</v>
      </c>
      <c r="AN144" s="1" t="str">
        <f t="shared" ref="AN144" si="10140">IF(MarBoo1LevelCurrent&gt;=$B144,"-",IF(MarBoo1LevelDesired&lt;$B144,"-",$D144))</f>
        <v>-</v>
      </c>
      <c r="AO144" s="21" t="str">
        <f t="shared" ref="AO144" si="10141">IF(MarBoo1LevelCurrent&gt;=$B144,"-",IF(MarBoo1LevelDesired&lt;$B144,"-",$E144))</f>
        <v>-</v>
      </c>
      <c r="AP144" s="15" t="str">
        <f t="shared" ref="AP144" si="10142">IF(InfGog2LevelCurrent&gt;=$B144,"-",IF(InfGog2LevelDesired&lt;$B144,"-",$C144))</f>
        <v>-</v>
      </c>
      <c r="AQ144" s="1" t="str">
        <f t="shared" ref="AQ144" si="10143">IF(InfGog2LevelCurrent&gt;=$B144,"-",IF(InfGog2LevelDesired&lt;$B144,"-",$D144))</f>
        <v>-</v>
      </c>
      <c r="AR144" s="21" t="str">
        <f t="shared" ref="AR144" si="10144">IF(InfGog2LevelCurrent&gt;=$B144,"-",IF(InfGog2LevelDesired&lt;$B144,"-",$E144))</f>
        <v>-</v>
      </c>
      <c r="AS144" s="15" t="str">
        <f t="shared" ref="AS144" si="10145">IF(InfGlo2LevelCurrent&gt;=$B144,"-",IF(InfGlo2LevelDesired&lt;$B144,"-",$C144))</f>
        <v>-</v>
      </c>
      <c r="AT144" s="1" t="str">
        <f t="shared" ref="AT144" si="10146">IF(InfGlo2LevelCurrent&gt;=$B144,"-",IF(InfGlo2LevelDesired&lt;$B144,"-",$D144))</f>
        <v>-</v>
      </c>
      <c r="AU144" s="21" t="str">
        <f t="shared" ref="AU144" si="10147">IF(InfGlo2LevelCurrent&gt;=$B144,"-",IF(InfGlo2LevelDesired&lt;$B144,"-",$E144))</f>
        <v>-</v>
      </c>
      <c r="AV144" s="15" t="str">
        <f t="shared" ref="AV144" si="10148">IF(InfBel2LevelCurrent&gt;=$B144,"-",IF(InfBel2LevelDesired&lt;$B144,"-",$C144))</f>
        <v>-</v>
      </c>
      <c r="AW144" s="1" t="str">
        <f t="shared" ref="AW144" si="10149">IF(InfBel2LevelCurrent&gt;=$B144,"-",IF(InfBel2LevelDesired&lt;$B144,"-",$D144))</f>
        <v>-</v>
      </c>
      <c r="AX144" s="21" t="str">
        <f t="shared" ref="AX144" si="10150">IF(InfBel2LevelCurrent&gt;=$B144,"-",IF(InfBel2LevelDesired&lt;$B144,"-",$E144))</f>
        <v>-</v>
      </c>
      <c r="AY144" s="15" t="str">
        <f t="shared" ref="AY144" si="10151">IF(InfBoo2LevelCurrent&gt;=$B144,"-",IF(InfBoo2LevelDesired&lt;$B144,"-",$C144))</f>
        <v>-</v>
      </c>
      <c r="AZ144" s="1" t="str">
        <f t="shared" ref="AZ144" si="10152">IF(InfBoo2LevelCurrent&gt;=$B144,"-",IF(InfBoo2LevelDesired&lt;$B144,"-",$D144))</f>
        <v>-</v>
      </c>
      <c r="BA144" s="21" t="str">
        <f t="shared" ref="BA144" si="10153">IF(InfBoo2LevelCurrent&gt;=$B144,"-",IF(InfBoo2LevelDesired&lt;$B144,"-",$E144))</f>
        <v>-</v>
      </c>
      <c r="BB144" s="15" t="str">
        <f t="shared" ref="BB144" si="10154">IF(LanGog2LevelCurrent&gt;=$B144,"-",IF(LanGog2LevelDesired&lt;$B144,"-",$C144))</f>
        <v>-</v>
      </c>
      <c r="BC144" s="1" t="str">
        <f t="shared" ref="BC144" si="10155">IF(LanGog2LevelCurrent&gt;=$B144,"-",IF(LanGog2LevelDesired&lt;$B144,"-",$D144))</f>
        <v>-</v>
      </c>
      <c r="BD144" s="21" t="str">
        <f t="shared" ref="BD144" si="10156">IF(LanGog2LevelCurrent&gt;=$B144,"-",IF(LanGog2LevelDesired&lt;$B144,"-",$E144))</f>
        <v>-</v>
      </c>
      <c r="BE144" s="15" t="str">
        <f t="shared" ref="BE144" si="10157">IF(LanGlo2LevelCurrent&gt;=$B144,"-",IF(LanGlo2LevelDesired&lt;$B144,"-",$C144))</f>
        <v>-</v>
      </c>
      <c r="BF144" s="1" t="str">
        <f t="shared" ref="BF144" si="10158">IF(LanGlo2LevelCurrent&gt;=$B144,"-",IF(LanGlo2LevelDesired&lt;$B144,"-",$D144))</f>
        <v>-</v>
      </c>
      <c r="BG144" s="21" t="str">
        <f t="shared" ref="BG144" si="10159">IF(LanGlo2LevelCurrent&gt;=$B144,"-",IF(LanGlo2LevelDesired&lt;$B144,"-",$E144))</f>
        <v>-</v>
      </c>
      <c r="BH144" s="15" t="str">
        <f t="shared" ref="BH144" si="10160">IF(LanBel2LevelCurrent&gt;=$B144,"-",IF(LanBel2LevelDesired&lt;$B144,"-",$C144))</f>
        <v>-</v>
      </c>
      <c r="BI144" s="1" t="str">
        <f t="shared" ref="BI144" si="10161">IF(LanBel2LevelCurrent&gt;=$B144,"-",IF(LanBel2LevelDesired&lt;$B144,"-",$D144))</f>
        <v>-</v>
      </c>
      <c r="BJ144" s="21" t="str">
        <f t="shared" ref="BJ144" si="10162">IF(LanBel2LevelCurrent&gt;=$B144,"-",IF(LanBel2LevelDesired&lt;$B144,"-",$E144))</f>
        <v>-</v>
      </c>
      <c r="BK144" s="15" t="str">
        <f t="shared" ref="BK144" si="10163">IF(LanBoo2LevelCurrent&gt;=$B144,"-",IF(LanBoo2LevelDesired&lt;$B144,"-",$C144))</f>
        <v>-</v>
      </c>
      <c r="BL144" s="1" t="str">
        <f t="shared" ref="BL144" si="10164">IF(LanBoo2LevelCurrent&gt;=$B144,"-",IF(LanBoo2LevelDesired&lt;$B144,"-",$D144))</f>
        <v>-</v>
      </c>
      <c r="BM144" s="21" t="str">
        <f t="shared" ref="BM144" si="10165">IF(LanBoo2LevelCurrent&gt;=$B144,"-",IF(LanBoo2LevelDesired&lt;$B144,"-",$E144))</f>
        <v>-</v>
      </c>
      <c r="BN144" s="15" t="str">
        <f t="shared" ref="BN144" si="10166">IF(MarGog2LevelCurrent&gt;=$B144,"-",IF(MarGog2LevelDesired&lt;$B144,"-",$C144))</f>
        <v>-</v>
      </c>
      <c r="BO144" s="1" t="str">
        <f t="shared" ref="BO144" si="10167">IF(MarGog2LevelCurrent&gt;=$B144,"-",IF(MarGog2LevelDesired&lt;$B144,"-",$D144))</f>
        <v>-</v>
      </c>
      <c r="BP144" s="21" t="str">
        <f t="shared" ref="BP144" si="10168">IF(MarGog2LevelCurrent&gt;=$B144,"-",IF(MarGog2LevelDesired&lt;$B144,"-",$E144))</f>
        <v>-</v>
      </c>
      <c r="BQ144" s="15" t="str">
        <f t="shared" ref="BQ144" si="10169">IF(MarGlo2LevelCurrent&gt;=$B144,"-",IF(MarGlo2LevelDesired&lt;$B144,"-",$C144))</f>
        <v>-</v>
      </c>
      <c r="BR144" s="1" t="str">
        <f t="shared" ref="BR144" si="10170">IF(MarGlo2LevelCurrent&gt;=$B144,"-",IF(MarGlo2LevelDesired&lt;$B144,"-",$D144))</f>
        <v>-</v>
      </c>
      <c r="BS144" s="21" t="str">
        <f t="shared" ref="BS144" si="10171">IF(MarGlo2LevelCurrent&gt;=$B144,"-",IF(MarGlo2LevelDesired&lt;$B144,"-",$E144))</f>
        <v>-</v>
      </c>
      <c r="BT144" s="15" t="str">
        <f t="shared" ref="BT144" si="10172">IF(MarBel2LevelCurrent&gt;=$B144,"-",IF(MarBel2LevelDesired&lt;$B144,"-",$C144))</f>
        <v>-</v>
      </c>
      <c r="BU144" s="1" t="str">
        <f t="shared" ref="BU144" si="10173">IF(MarBel2LevelCurrent&gt;=$B144,"-",IF(MarBel2LevelDesired&lt;$B144,"-",$D144))</f>
        <v>-</v>
      </c>
      <c r="BV144" s="21" t="str">
        <f t="shared" ref="BV144" si="10174">IF(MarBel2LevelCurrent&gt;=$B144,"-",IF(MarBel2LevelDesired&lt;$B144,"-",$E144))</f>
        <v>-</v>
      </c>
      <c r="BW144" s="15" t="str">
        <f t="shared" ref="BW144" si="10175">IF(MarBoo2LevelCurrent&gt;=$B144,"-",IF(MarBoo2LevelDesired&lt;$B144,"-",$C144))</f>
        <v>-</v>
      </c>
      <c r="BX144" s="1" t="str">
        <f t="shared" ref="BX144" si="10176">IF(MarBoo2LevelCurrent&gt;=$B144,"-",IF(MarBoo2LevelDesired&lt;$B144,"-",$D144))</f>
        <v>-</v>
      </c>
      <c r="BY144" s="21" t="str">
        <f t="shared" ref="BY144" si="10177">IF(MarBoo2LevelCurrent&gt;=$B144,"-",IF(MarBoo2LevelDesired&lt;$B144,"-",$E144))</f>
        <v>-</v>
      </c>
      <c r="BZ144" s="15" t="str">
        <f t="shared" si="9424"/>
        <v>-</v>
      </c>
      <c r="CA144" s="1" t="str" cm="1">
        <f t="array" ref="CA144">IF(InfGog3LevelCurrent&gt;=$B144,"-",IF(InfGog3LevelDesired&lt;$B144,"-",$D144))</f>
        <v>-</v>
      </c>
      <c r="CB144" s="21" t="str" cm="1">
        <f t="array" ref="CB144">IF(InfGog3LevelCurrent&gt;=$B144,"-",IF(InfGog3LevelDesired&lt;$B144,"-",$E144))</f>
        <v>-</v>
      </c>
      <c r="CC144" s="15" t="str">
        <f t="shared" si="9425"/>
        <v>-</v>
      </c>
      <c r="CD144" s="1" t="str">
        <f t="shared" si="9426"/>
        <v>-</v>
      </c>
      <c r="CE144" s="21" t="str">
        <f t="shared" si="9427"/>
        <v>-</v>
      </c>
      <c r="CF144" s="15" t="str">
        <f t="shared" si="9428"/>
        <v>-</v>
      </c>
      <c r="CG144" s="1" t="str">
        <f t="shared" si="9429"/>
        <v>-</v>
      </c>
      <c r="CH144" s="21" t="str">
        <f t="shared" si="9430"/>
        <v>-</v>
      </c>
      <c r="CI144" s="15" t="str">
        <f t="shared" si="9431"/>
        <v>-</v>
      </c>
      <c r="CJ144" s="1" t="str">
        <f t="shared" si="9432"/>
        <v>-</v>
      </c>
      <c r="CK144" s="21" t="str">
        <f t="shared" si="9433"/>
        <v>-</v>
      </c>
      <c r="CL144" s="15" t="str">
        <f t="shared" si="9434"/>
        <v>-</v>
      </c>
      <c r="CM144" s="1" t="str">
        <f t="shared" si="9435"/>
        <v>-</v>
      </c>
      <c r="CN144" s="21" t="str">
        <f t="shared" si="9436"/>
        <v>-</v>
      </c>
      <c r="CO144" s="15" t="str">
        <f t="shared" si="9437"/>
        <v>-</v>
      </c>
      <c r="CP144" s="1" t="str">
        <f t="shared" si="9438"/>
        <v>-</v>
      </c>
      <c r="CQ144" s="21" t="str">
        <f t="shared" si="9439"/>
        <v>-</v>
      </c>
      <c r="CR144" s="15" t="str">
        <f t="shared" si="9440"/>
        <v>-</v>
      </c>
      <c r="CS144" s="1" t="str">
        <f t="shared" si="9441"/>
        <v>-</v>
      </c>
      <c r="CT144" s="21" t="str">
        <f t="shared" si="9442"/>
        <v>-</v>
      </c>
      <c r="CU144" s="15" t="str">
        <f t="shared" si="9443"/>
        <v>-</v>
      </c>
      <c r="CV144" s="1" t="str">
        <f t="shared" si="9444"/>
        <v>-</v>
      </c>
      <c r="CW144" s="21" t="str">
        <f t="shared" si="9445"/>
        <v>-</v>
      </c>
      <c r="CX144" s="15" t="str">
        <f t="shared" si="9446"/>
        <v>-</v>
      </c>
      <c r="CY144" s="1" t="str">
        <f t="shared" si="9447"/>
        <v>-</v>
      </c>
      <c r="CZ144" s="21" t="str">
        <f t="shared" si="9448"/>
        <v>-</v>
      </c>
      <c r="DA144" s="15" t="str">
        <f t="shared" si="9449"/>
        <v>-</v>
      </c>
      <c r="DB144" s="1" t="str">
        <f t="shared" si="9450"/>
        <v>-</v>
      </c>
      <c r="DC144" s="21" t="str">
        <f t="shared" si="9451"/>
        <v>-</v>
      </c>
      <c r="DD144" s="15" t="str">
        <f t="shared" si="9452"/>
        <v>-</v>
      </c>
      <c r="DE144" s="1" t="str">
        <f t="shared" si="9453"/>
        <v>-</v>
      </c>
      <c r="DF144" s="21" t="str">
        <f t="shared" si="9454"/>
        <v>-</v>
      </c>
      <c r="DG144" s="15" t="str">
        <f t="shared" si="9455"/>
        <v>-</v>
      </c>
      <c r="DH144" s="1" t="str">
        <f t="shared" si="9456"/>
        <v>-</v>
      </c>
      <c r="DI144" s="21" t="str">
        <f t="shared" si="9457"/>
        <v>-</v>
      </c>
    </row>
    <row r="145" spans="2:113" x14ac:dyDescent="0.3">
      <c r="B145" s="1">
        <v>140</v>
      </c>
      <c r="C145" s="67">
        <v>0</v>
      </c>
      <c r="D145" s="88">
        <v>5</v>
      </c>
      <c r="E145" s="68">
        <v>20</v>
      </c>
      <c r="F145" s="15" t="str">
        <f t="shared" ref="F145" si="10178">IF(InfGog1LevelCurrent&gt;=$B145,"-",IF(InfGog1LevelDesired&lt;$B145,"-",$C145))</f>
        <v>-</v>
      </c>
      <c r="G145" s="1" t="str">
        <f t="shared" ref="G145" si="10179">IF(InfGog1LevelCurrent&gt;=$B145,"-",IF(InfGog1LevelDesired&lt;$B145,"-",$D145))</f>
        <v>-</v>
      </c>
      <c r="H145" s="21" t="str">
        <f t="shared" ref="H145" si="10180">IF(InfGog1LevelCurrent&gt;=$B145,"-",IF(InfGog1LevelDesired&lt;$B145,"-",$E145))</f>
        <v>-</v>
      </c>
      <c r="I145" s="15" t="str">
        <f t="shared" ref="I145" si="10181">IF(InfGlo1LevelCurrent&gt;=$B145,"-",IF(InfGlo1LevelDesired&lt;$B145,"-",$C145))</f>
        <v>-</v>
      </c>
      <c r="J145" s="1" t="str">
        <f t="shared" ref="J145" si="10182">IF(InfGlo1LevelCurrent&gt;=$B145,"-",IF(InfGlo1LevelDesired&lt;$B145,"-",$D145))</f>
        <v>-</v>
      </c>
      <c r="K145" s="21" t="str">
        <f t="shared" ref="K145" si="10183">IF(InfGlo1LevelCurrent&gt;=$B145,"-",IF(InfGlo1LevelDesired&lt;$B145,"-",$E145))</f>
        <v>-</v>
      </c>
      <c r="L145" s="15" t="str">
        <f t="shared" ref="L145" si="10184">IF(InfBel1LevelCurrent&gt;=$B145,"-",IF(InfBel1LevelDesired&lt;$B145,"-",$C145))</f>
        <v>-</v>
      </c>
      <c r="M145" s="1" t="str">
        <f t="shared" ref="M145" si="10185">IF(InfBel1LevelCurrent&gt;=$B145,"-",IF(InfBel1LevelDesired&lt;$B145,"-",$D145))</f>
        <v>-</v>
      </c>
      <c r="N145" s="21" t="str">
        <f t="shared" ref="N145" si="10186">IF(InfBel1LevelCurrent&gt;=$B145,"-",IF(InfBel1LevelDesired&lt;$B145,"-",$E145))</f>
        <v>-</v>
      </c>
      <c r="O145" s="15" t="str">
        <f t="shared" ref="O145" si="10187">IF(InfBoo1LevelCurrent&gt;=$B145,"-",IF(InfBoo1LevelDesired&lt;$B145,"-",$C145))</f>
        <v>-</v>
      </c>
      <c r="P145" s="1" t="str">
        <f t="shared" ref="P145" si="10188">IF(InfBoo1LevelCurrent&gt;=$B145,"-",IF(InfBoo1LevelDesired&lt;$B145,"-",$D145))</f>
        <v>-</v>
      </c>
      <c r="Q145" s="21" t="str">
        <f t="shared" ref="Q145" si="10189">IF(InfBoo1LevelCurrent&gt;=$B145,"-",IF(InfBoo1LevelDesired&lt;$B145,"-",$E145))</f>
        <v>-</v>
      </c>
      <c r="R145" s="15" t="str">
        <f t="shared" ref="R145" si="10190">IF(LanGog1LevelCurrent&gt;=$B145,"-",IF(LanGog1LevelDesired&lt;$B145,"-",$C145))</f>
        <v>-</v>
      </c>
      <c r="S145" s="1" t="str">
        <f t="shared" ref="S145" si="10191">IF(LanGog1LevelCurrent&gt;=$B145,"-",IF(LanGog1LevelDesired&lt;$B145,"-",$D145))</f>
        <v>-</v>
      </c>
      <c r="T145" s="21" t="str">
        <f t="shared" ref="T145" si="10192">IF(LanGog1LevelCurrent&gt;=$B145,"-",IF(LanGog1LevelDesired&lt;$B145,"-",$E145))</f>
        <v>-</v>
      </c>
      <c r="U145" s="15" t="str">
        <f t="shared" ref="U145" si="10193">IF(LanGlo1LevelCurrent&gt;=$B145,"-",IF(LanGlo1LevelDesired&lt;$B145,"-",$C145))</f>
        <v>-</v>
      </c>
      <c r="V145" s="1" t="str">
        <f t="shared" ref="V145" si="10194">IF(LanGlo1LevelCurrent&gt;=$B145,"-",IF(LanGlo1LevelDesired&lt;$B145,"-",$D145))</f>
        <v>-</v>
      </c>
      <c r="W145" s="21" t="str">
        <f t="shared" ref="W145" si="10195">IF(LanGlo1LevelCurrent&gt;=$B145,"-",IF(LanGlo1LevelDesired&lt;$B145,"-",$E145))</f>
        <v>-</v>
      </c>
      <c r="X145" s="15" t="str">
        <f t="shared" ref="X145" si="10196">IF(LanBel1LevelCurrent&gt;=$B145,"-",IF(LanBel1LevelDesired&lt;$B145,"-",$C145))</f>
        <v>-</v>
      </c>
      <c r="Y145" s="1" t="str">
        <f t="shared" ref="Y145" si="10197">IF(LanBel1LevelCurrent&gt;=$B145,"-",IF(LanBel1LevelDesired&lt;$B145,"-",$D145))</f>
        <v>-</v>
      </c>
      <c r="Z145" s="21" t="str">
        <f t="shared" ref="Z145" si="10198">IF(LanBel1LevelCurrent&gt;=$B145,"-",IF(LanBel1LevelDesired&lt;$B145,"-",$E145))</f>
        <v>-</v>
      </c>
      <c r="AA145" s="15" t="str">
        <f t="shared" ref="AA145" si="10199">IF(LanBoo1LevelCurrent&gt;=$B145,"-",IF(LanBoo1LevelDesired&lt;$B145,"-",$C145))</f>
        <v>-</v>
      </c>
      <c r="AB145" s="1" t="str">
        <f t="shared" ref="AB145" si="10200">IF(LanBoo1LevelCurrent&gt;=$B145,"-",IF(LanBoo1LevelDesired&lt;$B145,"-",$D145))</f>
        <v>-</v>
      </c>
      <c r="AC145" s="21" t="str">
        <f t="shared" ref="AC145" si="10201">IF(LanBoo1LevelCurrent&gt;=$B145,"-",IF(LanBoo1LevelDesired&lt;$B145,"-",$E145))</f>
        <v>-</v>
      </c>
      <c r="AD145" s="15" t="str">
        <f t="shared" ref="AD145" si="10202">IF(MarGog1LevelCurrent&gt;=$B145,"-",IF(MarGog1LevelDesired&lt;$B145,"-",$C145))</f>
        <v>-</v>
      </c>
      <c r="AE145" s="1" t="str">
        <f t="shared" ref="AE145" si="10203">IF(MarGog1LevelCurrent&gt;=$B145,"-",IF(MarGog1LevelDesired&lt;$B145,"-",$D145))</f>
        <v>-</v>
      </c>
      <c r="AF145" s="21" t="str">
        <f t="shared" ref="AF145" si="10204">IF(MarGog1LevelCurrent&gt;=$B145,"-",IF(MarGog1LevelDesired&lt;$B145,"-",$E145))</f>
        <v>-</v>
      </c>
      <c r="AG145" s="15" t="str">
        <f t="shared" ref="AG145" si="10205">IF(MarGlo1LevelCurrent&gt;=$B145,"-",IF(MarGlo1LevelDesired&lt;$B145,"-",$C145))</f>
        <v>-</v>
      </c>
      <c r="AH145" s="1" t="str">
        <f t="shared" ref="AH145" si="10206">IF(MarGlo1LevelCurrent&gt;=$B145,"-",IF(MarGlo1LevelDesired&lt;$B145,"-",$D145))</f>
        <v>-</v>
      </c>
      <c r="AI145" s="21" t="str">
        <f t="shared" ref="AI145" si="10207">IF(MarGlo1LevelCurrent&gt;=$B145,"-",IF(MarGlo1LevelDesired&lt;$B145,"-",$E145))</f>
        <v>-</v>
      </c>
      <c r="AJ145" s="15" t="str">
        <f t="shared" ref="AJ145" si="10208">IF(MarBel1LevelCurrent&gt;=$B145,"-",IF(MarBel1LevelDesired&lt;$B145,"-",$C145))</f>
        <v>-</v>
      </c>
      <c r="AK145" s="1" t="str">
        <f t="shared" ref="AK145" si="10209">IF(MarBel1LevelCurrent&gt;=$B145,"-",IF(MarBel1LevelDesired&lt;$B145,"-",$D145))</f>
        <v>-</v>
      </c>
      <c r="AL145" s="21" t="str">
        <f t="shared" ref="AL145" si="10210">IF(MarBel1LevelCurrent&gt;=$B145,"-",IF(MarBel1LevelDesired&lt;$B145,"-",$E145))</f>
        <v>-</v>
      </c>
      <c r="AM145" s="15" t="str">
        <f t="shared" ref="AM145" si="10211">IF(MarBoo1LevelCurrent&gt;=$B145,"-",IF(MarBoo1LevelDesired&lt;$B145,"-",$C145))</f>
        <v>-</v>
      </c>
      <c r="AN145" s="1" t="str">
        <f t="shared" ref="AN145" si="10212">IF(MarBoo1LevelCurrent&gt;=$B145,"-",IF(MarBoo1LevelDesired&lt;$B145,"-",$D145))</f>
        <v>-</v>
      </c>
      <c r="AO145" s="21" t="str">
        <f t="shared" ref="AO145" si="10213">IF(MarBoo1LevelCurrent&gt;=$B145,"-",IF(MarBoo1LevelDesired&lt;$B145,"-",$E145))</f>
        <v>-</v>
      </c>
      <c r="AP145" s="15" t="str">
        <f t="shared" ref="AP145" si="10214">IF(InfGog2LevelCurrent&gt;=$B145,"-",IF(InfGog2LevelDesired&lt;$B145,"-",$C145))</f>
        <v>-</v>
      </c>
      <c r="AQ145" s="1" t="str">
        <f t="shared" ref="AQ145" si="10215">IF(InfGog2LevelCurrent&gt;=$B145,"-",IF(InfGog2LevelDesired&lt;$B145,"-",$D145))</f>
        <v>-</v>
      </c>
      <c r="AR145" s="21" t="str">
        <f t="shared" ref="AR145" si="10216">IF(InfGog2LevelCurrent&gt;=$B145,"-",IF(InfGog2LevelDesired&lt;$B145,"-",$E145))</f>
        <v>-</v>
      </c>
      <c r="AS145" s="15">
        <f t="shared" ref="AS145" si="10217">IF(InfGlo2LevelCurrent&gt;=$B145,"-",IF(InfGlo2LevelDesired&lt;$B145,"-",$C145))</f>
        <v>0</v>
      </c>
      <c r="AT145" s="1">
        <f t="shared" ref="AT145" si="10218">IF(InfGlo2LevelCurrent&gt;=$B145,"-",IF(InfGlo2LevelDesired&lt;$B145,"-",$D145))</f>
        <v>5</v>
      </c>
      <c r="AU145" s="21">
        <f t="shared" ref="AU145" si="10219">IF(InfGlo2LevelCurrent&gt;=$B145,"-",IF(InfGlo2LevelDesired&lt;$B145,"-",$E145))</f>
        <v>20</v>
      </c>
      <c r="AV145" s="15">
        <f t="shared" ref="AV145" si="10220">IF(InfBel2LevelCurrent&gt;=$B145,"-",IF(InfBel2LevelDesired&lt;$B145,"-",$C145))</f>
        <v>0</v>
      </c>
      <c r="AW145" s="1">
        <f t="shared" ref="AW145" si="10221">IF(InfBel2LevelCurrent&gt;=$B145,"-",IF(InfBel2LevelDesired&lt;$B145,"-",$D145))</f>
        <v>5</v>
      </c>
      <c r="AX145" s="21">
        <f t="shared" ref="AX145" si="10222">IF(InfBel2LevelCurrent&gt;=$B145,"-",IF(InfBel2LevelDesired&lt;$B145,"-",$E145))</f>
        <v>20</v>
      </c>
      <c r="AY145" s="15" t="str">
        <f t="shared" ref="AY145" si="10223">IF(InfBoo2LevelCurrent&gt;=$B145,"-",IF(InfBoo2LevelDesired&lt;$B145,"-",$C145))</f>
        <v>-</v>
      </c>
      <c r="AZ145" s="1" t="str">
        <f t="shared" ref="AZ145" si="10224">IF(InfBoo2LevelCurrent&gt;=$B145,"-",IF(InfBoo2LevelDesired&lt;$B145,"-",$D145))</f>
        <v>-</v>
      </c>
      <c r="BA145" s="21" t="str">
        <f t="shared" ref="BA145" si="10225">IF(InfBoo2LevelCurrent&gt;=$B145,"-",IF(InfBoo2LevelDesired&lt;$B145,"-",$E145))</f>
        <v>-</v>
      </c>
      <c r="BB145" s="15">
        <f t="shared" ref="BB145" si="10226">IF(LanGog2LevelCurrent&gt;=$B145,"-",IF(LanGog2LevelDesired&lt;$B145,"-",$C145))</f>
        <v>0</v>
      </c>
      <c r="BC145" s="1">
        <f t="shared" ref="BC145" si="10227">IF(LanGog2LevelCurrent&gt;=$B145,"-",IF(LanGog2LevelDesired&lt;$B145,"-",$D145))</f>
        <v>5</v>
      </c>
      <c r="BD145" s="21">
        <f t="shared" ref="BD145" si="10228">IF(LanGog2LevelCurrent&gt;=$B145,"-",IF(LanGog2LevelDesired&lt;$B145,"-",$E145))</f>
        <v>20</v>
      </c>
      <c r="BE145" s="15" t="str">
        <f t="shared" ref="BE145" si="10229">IF(LanGlo2LevelCurrent&gt;=$B145,"-",IF(LanGlo2LevelDesired&lt;$B145,"-",$C145))</f>
        <v>-</v>
      </c>
      <c r="BF145" s="1" t="str">
        <f t="shared" ref="BF145" si="10230">IF(LanGlo2LevelCurrent&gt;=$B145,"-",IF(LanGlo2LevelDesired&lt;$B145,"-",$D145))</f>
        <v>-</v>
      </c>
      <c r="BG145" s="21" t="str">
        <f t="shared" ref="BG145" si="10231">IF(LanGlo2LevelCurrent&gt;=$B145,"-",IF(LanGlo2LevelDesired&lt;$B145,"-",$E145))</f>
        <v>-</v>
      </c>
      <c r="BH145" s="15" t="str">
        <f t="shared" ref="BH145" si="10232">IF(LanBel2LevelCurrent&gt;=$B145,"-",IF(LanBel2LevelDesired&lt;$B145,"-",$C145))</f>
        <v>-</v>
      </c>
      <c r="BI145" s="1" t="str">
        <f t="shared" ref="BI145" si="10233">IF(LanBel2LevelCurrent&gt;=$B145,"-",IF(LanBel2LevelDesired&lt;$B145,"-",$D145))</f>
        <v>-</v>
      </c>
      <c r="BJ145" s="21" t="str">
        <f t="shared" ref="BJ145" si="10234">IF(LanBel2LevelCurrent&gt;=$B145,"-",IF(LanBel2LevelDesired&lt;$B145,"-",$E145))</f>
        <v>-</v>
      </c>
      <c r="BK145" s="15">
        <f t="shared" ref="BK145" si="10235">IF(LanBoo2LevelCurrent&gt;=$B145,"-",IF(LanBoo2LevelDesired&lt;$B145,"-",$C145))</f>
        <v>0</v>
      </c>
      <c r="BL145" s="1">
        <f t="shared" ref="BL145" si="10236">IF(LanBoo2LevelCurrent&gt;=$B145,"-",IF(LanBoo2LevelDesired&lt;$B145,"-",$D145))</f>
        <v>5</v>
      </c>
      <c r="BM145" s="21">
        <f t="shared" ref="BM145" si="10237">IF(LanBoo2LevelCurrent&gt;=$B145,"-",IF(LanBoo2LevelDesired&lt;$B145,"-",$E145))</f>
        <v>20</v>
      </c>
      <c r="BN145" s="15">
        <f t="shared" ref="BN145" si="10238">IF(MarGog2LevelCurrent&gt;=$B145,"-",IF(MarGog2LevelDesired&lt;$B145,"-",$C145))</f>
        <v>0</v>
      </c>
      <c r="BO145" s="1">
        <f t="shared" ref="BO145" si="10239">IF(MarGog2LevelCurrent&gt;=$B145,"-",IF(MarGog2LevelDesired&lt;$B145,"-",$D145))</f>
        <v>5</v>
      </c>
      <c r="BP145" s="21">
        <f t="shared" ref="BP145" si="10240">IF(MarGog2LevelCurrent&gt;=$B145,"-",IF(MarGog2LevelDesired&lt;$B145,"-",$E145))</f>
        <v>20</v>
      </c>
      <c r="BQ145" s="15" t="str">
        <f t="shared" ref="BQ145" si="10241">IF(MarGlo2LevelCurrent&gt;=$B145,"-",IF(MarGlo2LevelDesired&lt;$B145,"-",$C145))</f>
        <v>-</v>
      </c>
      <c r="BR145" s="1" t="str">
        <f t="shared" ref="BR145" si="10242">IF(MarGlo2LevelCurrent&gt;=$B145,"-",IF(MarGlo2LevelDesired&lt;$B145,"-",$D145))</f>
        <v>-</v>
      </c>
      <c r="BS145" s="21" t="str">
        <f t="shared" ref="BS145" si="10243">IF(MarGlo2LevelCurrent&gt;=$B145,"-",IF(MarGlo2LevelDesired&lt;$B145,"-",$E145))</f>
        <v>-</v>
      </c>
      <c r="BT145" s="15" t="str">
        <f t="shared" ref="BT145" si="10244">IF(MarBel2LevelCurrent&gt;=$B145,"-",IF(MarBel2LevelDesired&lt;$B145,"-",$C145))</f>
        <v>-</v>
      </c>
      <c r="BU145" s="1" t="str">
        <f t="shared" ref="BU145" si="10245">IF(MarBel2LevelCurrent&gt;=$B145,"-",IF(MarBel2LevelDesired&lt;$B145,"-",$D145))</f>
        <v>-</v>
      </c>
      <c r="BV145" s="21" t="str">
        <f t="shared" ref="BV145" si="10246">IF(MarBel2LevelCurrent&gt;=$B145,"-",IF(MarBel2LevelDesired&lt;$B145,"-",$E145))</f>
        <v>-</v>
      </c>
      <c r="BW145" s="15">
        <f t="shared" ref="BW145" si="10247">IF(MarBoo2LevelCurrent&gt;=$B145,"-",IF(MarBoo2LevelDesired&lt;$B145,"-",$C145))</f>
        <v>0</v>
      </c>
      <c r="BX145" s="1">
        <f t="shared" ref="BX145" si="10248">IF(MarBoo2LevelCurrent&gt;=$B145,"-",IF(MarBoo2LevelDesired&lt;$B145,"-",$D145))</f>
        <v>5</v>
      </c>
      <c r="BY145" s="21">
        <f t="shared" ref="BY145" si="10249">IF(MarBoo2LevelCurrent&gt;=$B145,"-",IF(MarBoo2LevelDesired&lt;$B145,"-",$E145))</f>
        <v>20</v>
      </c>
      <c r="BZ145" s="15" t="str">
        <f t="shared" si="9424"/>
        <v>-</v>
      </c>
      <c r="CA145" s="1" t="str" cm="1">
        <f t="array" ref="CA145">IF(InfGog3LevelCurrent&gt;=$B145,"-",IF(InfGog3LevelDesired&lt;$B145,"-",$D145))</f>
        <v>-</v>
      </c>
      <c r="CB145" s="21" t="str" cm="1">
        <f t="array" ref="CB145">IF(InfGog3LevelCurrent&gt;=$B145,"-",IF(InfGog3LevelDesired&lt;$B145,"-",$E145))</f>
        <v>-</v>
      </c>
      <c r="CC145" s="15" t="str">
        <f t="shared" si="9425"/>
        <v>-</v>
      </c>
      <c r="CD145" s="1" t="str">
        <f t="shared" si="9426"/>
        <v>-</v>
      </c>
      <c r="CE145" s="21" t="str">
        <f t="shared" si="9427"/>
        <v>-</v>
      </c>
      <c r="CF145" s="15" t="str">
        <f t="shared" si="9428"/>
        <v>-</v>
      </c>
      <c r="CG145" s="1" t="str">
        <f t="shared" si="9429"/>
        <v>-</v>
      </c>
      <c r="CH145" s="21" t="str">
        <f t="shared" si="9430"/>
        <v>-</v>
      </c>
      <c r="CI145" s="15" t="str">
        <f t="shared" si="9431"/>
        <v>-</v>
      </c>
      <c r="CJ145" s="1" t="str">
        <f t="shared" si="9432"/>
        <v>-</v>
      </c>
      <c r="CK145" s="21" t="str">
        <f t="shared" si="9433"/>
        <v>-</v>
      </c>
      <c r="CL145" s="15" t="str">
        <f t="shared" si="9434"/>
        <v>-</v>
      </c>
      <c r="CM145" s="1" t="str">
        <f t="shared" si="9435"/>
        <v>-</v>
      </c>
      <c r="CN145" s="21" t="str">
        <f t="shared" si="9436"/>
        <v>-</v>
      </c>
      <c r="CO145" s="15" t="str">
        <f t="shared" si="9437"/>
        <v>-</v>
      </c>
      <c r="CP145" s="1" t="str">
        <f t="shared" si="9438"/>
        <v>-</v>
      </c>
      <c r="CQ145" s="21" t="str">
        <f t="shared" si="9439"/>
        <v>-</v>
      </c>
      <c r="CR145" s="15" t="str">
        <f t="shared" si="9440"/>
        <v>-</v>
      </c>
      <c r="CS145" s="1" t="str">
        <f t="shared" si="9441"/>
        <v>-</v>
      </c>
      <c r="CT145" s="21" t="str">
        <f t="shared" si="9442"/>
        <v>-</v>
      </c>
      <c r="CU145" s="15" t="str">
        <f t="shared" si="9443"/>
        <v>-</v>
      </c>
      <c r="CV145" s="1" t="str">
        <f t="shared" si="9444"/>
        <v>-</v>
      </c>
      <c r="CW145" s="21" t="str">
        <f t="shared" si="9445"/>
        <v>-</v>
      </c>
      <c r="CX145" s="15" t="str">
        <f t="shared" si="9446"/>
        <v>-</v>
      </c>
      <c r="CY145" s="1" t="str">
        <f t="shared" si="9447"/>
        <v>-</v>
      </c>
      <c r="CZ145" s="21" t="str">
        <f t="shared" si="9448"/>
        <v>-</v>
      </c>
      <c r="DA145" s="15" t="str">
        <f t="shared" si="9449"/>
        <v>-</v>
      </c>
      <c r="DB145" s="1" t="str">
        <f t="shared" si="9450"/>
        <v>-</v>
      </c>
      <c r="DC145" s="21" t="str">
        <f t="shared" si="9451"/>
        <v>-</v>
      </c>
      <c r="DD145" s="15" t="str">
        <f t="shared" si="9452"/>
        <v>-</v>
      </c>
      <c r="DE145" s="1" t="str">
        <f t="shared" si="9453"/>
        <v>-</v>
      </c>
      <c r="DF145" s="21" t="str">
        <f t="shared" si="9454"/>
        <v>-</v>
      </c>
      <c r="DG145" s="15" t="str">
        <f t="shared" si="9455"/>
        <v>-</v>
      </c>
      <c r="DH145" s="1" t="str">
        <f t="shared" si="9456"/>
        <v>-</v>
      </c>
      <c r="DI145" s="21" t="str">
        <f t="shared" si="9457"/>
        <v>-</v>
      </c>
    </row>
    <row r="146" spans="2:113" x14ac:dyDescent="0.3">
      <c r="B146" s="1">
        <v>141</v>
      </c>
      <c r="C146" s="67">
        <v>4450</v>
      </c>
      <c r="D146" s="88" t="s">
        <v>27</v>
      </c>
      <c r="E146" s="68" t="s">
        <v>27</v>
      </c>
      <c r="F146" s="15" t="str">
        <f t="shared" ref="F146" si="10250">IF(InfGog1LevelCurrent&gt;=$B146,"-",IF(InfGog1LevelDesired&lt;$B146,"-",$C146))</f>
        <v>-</v>
      </c>
      <c r="G146" s="1" t="str">
        <f t="shared" ref="G146" si="10251">IF(InfGog1LevelCurrent&gt;=$B146,"-",IF(InfGog1LevelDesired&lt;$B146,"-",$D146))</f>
        <v>-</v>
      </c>
      <c r="H146" s="21" t="str">
        <f t="shared" ref="H146" si="10252">IF(InfGog1LevelCurrent&gt;=$B146,"-",IF(InfGog1LevelDesired&lt;$B146,"-",$E146))</f>
        <v>-</v>
      </c>
      <c r="I146" s="15" t="str">
        <f t="shared" ref="I146" si="10253">IF(InfGlo1LevelCurrent&gt;=$B146,"-",IF(InfGlo1LevelDesired&lt;$B146,"-",$C146))</f>
        <v>-</v>
      </c>
      <c r="J146" s="1" t="str">
        <f t="shared" ref="J146" si="10254">IF(InfGlo1LevelCurrent&gt;=$B146,"-",IF(InfGlo1LevelDesired&lt;$B146,"-",$D146))</f>
        <v>-</v>
      </c>
      <c r="K146" s="21" t="str">
        <f t="shared" ref="K146" si="10255">IF(InfGlo1LevelCurrent&gt;=$B146,"-",IF(InfGlo1LevelDesired&lt;$B146,"-",$E146))</f>
        <v>-</v>
      </c>
      <c r="L146" s="15" t="str">
        <f t="shared" ref="L146" si="10256">IF(InfBel1LevelCurrent&gt;=$B146,"-",IF(InfBel1LevelDesired&lt;$B146,"-",$C146))</f>
        <v>-</v>
      </c>
      <c r="M146" s="1" t="str">
        <f t="shared" ref="M146" si="10257">IF(InfBel1LevelCurrent&gt;=$B146,"-",IF(InfBel1LevelDesired&lt;$B146,"-",$D146))</f>
        <v>-</v>
      </c>
      <c r="N146" s="21" t="str">
        <f t="shared" ref="N146" si="10258">IF(InfBel1LevelCurrent&gt;=$B146,"-",IF(InfBel1LevelDesired&lt;$B146,"-",$E146))</f>
        <v>-</v>
      </c>
      <c r="O146" s="15" t="str">
        <f t="shared" ref="O146" si="10259">IF(InfBoo1LevelCurrent&gt;=$B146,"-",IF(InfBoo1LevelDesired&lt;$B146,"-",$C146))</f>
        <v>-</v>
      </c>
      <c r="P146" s="1" t="str">
        <f t="shared" ref="P146" si="10260">IF(InfBoo1LevelCurrent&gt;=$B146,"-",IF(InfBoo1LevelDesired&lt;$B146,"-",$D146))</f>
        <v>-</v>
      </c>
      <c r="Q146" s="21" t="str">
        <f t="shared" ref="Q146" si="10261">IF(InfBoo1LevelCurrent&gt;=$B146,"-",IF(InfBoo1LevelDesired&lt;$B146,"-",$E146))</f>
        <v>-</v>
      </c>
      <c r="R146" s="15" t="str">
        <f t="shared" ref="R146" si="10262">IF(LanGog1LevelCurrent&gt;=$B146,"-",IF(LanGog1LevelDesired&lt;$B146,"-",$C146))</f>
        <v>-</v>
      </c>
      <c r="S146" s="1" t="str">
        <f t="shared" ref="S146" si="10263">IF(LanGog1LevelCurrent&gt;=$B146,"-",IF(LanGog1LevelDesired&lt;$B146,"-",$D146))</f>
        <v>-</v>
      </c>
      <c r="T146" s="21" t="str">
        <f t="shared" ref="T146" si="10264">IF(LanGog1LevelCurrent&gt;=$B146,"-",IF(LanGog1LevelDesired&lt;$B146,"-",$E146))</f>
        <v>-</v>
      </c>
      <c r="U146" s="15" t="str">
        <f t="shared" ref="U146" si="10265">IF(LanGlo1LevelCurrent&gt;=$B146,"-",IF(LanGlo1LevelDesired&lt;$B146,"-",$C146))</f>
        <v>-</v>
      </c>
      <c r="V146" s="1" t="str">
        <f t="shared" ref="V146" si="10266">IF(LanGlo1LevelCurrent&gt;=$B146,"-",IF(LanGlo1LevelDesired&lt;$B146,"-",$D146))</f>
        <v>-</v>
      </c>
      <c r="W146" s="21" t="str">
        <f t="shared" ref="W146" si="10267">IF(LanGlo1LevelCurrent&gt;=$B146,"-",IF(LanGlo1LevelDesired&lt;$B146,"-",$E146))</f>
        <v>-</v>
      </c>
      <c r="X146" s="15" t="str">
        <f t="shared" ref="X146" si="10268">IF(LanBel1LevelCurrent&gt;=$B146,"-",IF(LanBel1LevelDesired&lt;$B146,"-",$C146))</f>
        <v>-</v>
      </c>
      <c r="Y146" s="1" t="str">
        <f t="shared" ref="Y146" si="10269">IF(LanBel1LevelCurrent&gt;=$B146,"-",IF(LanBel1LevelDesired&lt;$B146,"-",$D146))</f>
        <v>-</v>
      </c>
      <c r="Z146" s="21" t="str">
        <f t="shared" ref="Z146" si="10270">IF(LanBel1LevelCurrent&gt;=$B146,"-",IF(LanBel1LevelDesired&lt;$B146,"-",$E146))</f>
        <v>-</v>
      </c>
      <c r="AA146" s="15" t="str">
        <f t="shared" ref="AA146" si="10271">IF(LanBoo1LevelCurrent&gt;=$B146,"-",IF(LanBoo1LevelDesired&lt;$B146,"-",$C146))</f>
        <v>-</v>
      </c>
      <c r="AB146" s="1" t="str">
        <f t="shared" ref="AB146" si="10272">IF(LanBoo1LevelCurrent&gt;=$B146,"-",IF(LanBoo1LevelDesired&lt;$B146,"-",$D146))</f>
        <v>-</v>
      </c>
      <c r="AC146" s="21" t="str">
        <f t="shared" ref="AC146" si="10273">IF(LanBoo1LevelCurrent&gt;=$B146,"-",IF(LanBoo1LevelDesired&lt;$B146,"-",$E146))</f>
        <v>-</v>
      </c>
      <c r="AD146" s="15" t="str">
        <f t="shared" ref="AD146" si="10274">IF(MarGog1LevelCurrent&gt;=$B146,"-",IF(MarGog1LevelDesired&lt;$B146,"-",$C146))</f>
        <v>-</v>
      </c>
      <c r="AE146" s="1" t="str">
        <f t="shared" ref="AE146" si="10275">IF(MarGog1LevelCurrent&gt;=$B146,"-",IF(MarGog1LevelDesired&lt;$B146,"-",$D146))</f>
        <v>-</v>
      </c>
      <c r="AF146" s="21" t="str">
        <f t="shared" ref="AF146" si="10276">IF(MarGog1LevelCurrent&gt;=$B146,"-",IF(MarGog1LevelDesired&lt;$B146,"-",$E146))</f>
        <v>-</v>
      </c>
      <c r="AG146" s="15" t="str">
        <f t="shared" ref="AG146" si="10277">IF(MarGlo1LevelCurrent&gt;=$B146,"-",IF(MarGlo1LevelDesired&lt;$B146,"-",$C146))</f>
        <v>-</v>
      </c>
      <c r="AH146" s="1" t="str">
        <f t="shared" ref="AH146" si="10278">IF(MarGlo1LevelCurrent&gt;=$B146,"-",IF(MarGlo1LevelDesired&lt;$B146,"-",$D146))</f>
        <v>-</v>
      </c>
      <c r="AI146" s="21" t="str">
        <f t="shared" ref="AI146" si="10279">IF(MarGlo1LevelCurrent&gt;=$B146,"-",IF(MarGlo1LevelDesired&lt;$B146,"-",$E146))</f>
        <v>-</v>
      </c>
      <c r="AJ146" s="15" t="str">
        <f t="shared" ref="AJ146" si="10280">IF(MarBel1LevelCurrent&gt;=$B146,"-",IF(MarBel1LevelDesired&lt;$B146,"-",$C146))</f>
        <v>-</v>
      </c>
      <c r="AK146" s="1" t="str">
        <f t="shared" ref="AK146" si="10281">IF(MarBel1LevelCurrent&gt;=$B146,"-",IF(MarBel1LevelDesired&lt;$B146,"-",$D146))</f>
        <v>-</v>
      </c>
      <c r="AL146" s="21" t="str">
        <f t="shared" ref="AL146" si="10282">IF(MarBel1LevelCurrent&gt;=$B146,"-",IF(MarBel1LevelDesired&lt;$B146,"-",$E146))</f>
        <v>-</v>
      </c>
      <c r="AM146" s="15" t="str">
        <f t="shared" ref="AM146" si="10283">IF(MarBoo1LevelCurrent&gt;=$B146,"-",IF(MarBoo1LevelDesired&lt;$B146,"-",$C146))</f>
        <v>-</v>
      </c>
      <c r="AN146" s="1" t="str">
        <f t="shared" ref="AN146" si="10284">IF(MarBoo1LevelCurrent&gt;=$B146,"-",IF(MarBoo1LevelDesired&lt;$B146,"-",$D146))</f>
        <v>-</v>
      </c>
      <c r="AO146" s="21" t="str">
        <f t="shared" ref="AO146" si="10285">IF(MarBoo1LevelCurrent&gt;=$B146,"-",IF(MarBoo1LevelDesired&lt;$B146,"-",$E146))</f>
        <v>-</v>
      </c>
      <c r="AP146" s="15" t="str">
        <f t="shared" ref="AP146" si="10286">IF(InfGog2LevelCurrent&gt;=$B146,"-",IF(InfGog2LevelDesired&lt;$B146,"-",$C146))</f>
        <v>-</v>
      </c>
      <c r="AQ146" s="1" t="str">
        <f t="shared" ref="AQ146" si="10287">IF(InfGog2LevelCurrent&gt;=$B146,"-",IF(InfGog2LevelDesired&lt;$B146,"-",$D146))</f>
        <v>-</v>
      </c>
      <c r="AR146" s="21" t="str">
        <f t="shared" ref="AR146" si="10288">IF(InfGog2LevelCurrent&gt;=$B146,"-",IF(InfGog2LevelDesired&lt;$B146,"-",$E146))</f>
        <v>-</v>
      </c>
      <c r="AS146" s="15">
        <f t="shared" ref="AS146" si="10289">IF(InfGlo2LevelCurrent&gt;=$B146,"-",IF(InfGlo2LevelDesired&lt;$B146,"-",$C146))</f>
        <v>4450</v>
      </c>
      <c r="AT146" s="1" t="str">
        <f t="shared" ref="AT146" si="10290">IF(InfGlo2LevelCurrent&gt;=$B146,"-",IF(InfGlo2LevelDesired&lt;$B146,"-",$D146))</f>
        <v>-</v>
      </c>
      <c r="AU146" s="21" t="str">
        <f t="shared" ref="AU146" si="10291">IF(InfGlo2LevelCurrent&gt;=$B146,"-",IF(InfGlo2LevelDesired&lt;$B146,"-",$E146))</f>
        <v>-</v>
      </c>
      <c r="AV146" s="15">
        <f t="shared" ref="AV146" si="10292">IF(InfBel2LevelCurrent&gt;=$B146,"-",IF(InfBel2LevelDesired&lt;$B146,"-",$C146))</f>
        <v>4450</v>
      </c>
      <c r="AW146" s="1" t="str">
        <f t="shared" ref="AW146" si="10293">IF(InfBel2LevelCurrent&gt;=$B146,"-",IF(InfBel2LevelDesired&lt;$B146,"-",$D146))</f>
        <v>-</v>
      </c>
      <c r="AX146" s="21" t="str">
        <f t="shared" ref="AX146" si="10294">IF(InfBel2LevelCurrent&gt;=$B146,"-",IF(InfBel2LevelDesired&lt;$B146,"-",$E146))</f>
        <v>-</v>
      </c>
      <c r="AY146" s="15" t="str">
        <f t="shared" ref="AY146" si="10295">IF(InfBoo2LevelCurrent&gt;=$B146,"-",IF(InfBoo2LevelDesired&lt;$B146,"-",$C146))</f>
        <v>-</v>
      </c>
      <c r="AZ146" s="1" t="str">
        <f t="shared" ref="AZ146" si="10296">IF(InfBoo2LevelCurrent&gt;=$B146,"-",IF(InfBoo2LevelDesired&lt;$B146,"-",$D146))</f>
        <v>-</v>
      </c>
      <c r="BA146" s="21" t="str">
        <f t="shared" ref="BA146" si="10297">IF(InfBoo2LevelCurrent&gt;=$B146,"-",IF(InfBoo2LevelDesired&lt;$B146,"-",$E146))</f>
        <v>-</v>
      </c>
      <c r="BB146" s="15">
        <f t="shared" ref="BB146" si="10298">IF(LanGog2LevelCurrent&gt;=$B146,"-",IF(LanGog2LevelDesired&lt;$B146,"-",$C146))</f>
        <v>4450</v>
      </c>
      <c r="BC146" s="1" t="str">
        <f t="shared" ref="BC146" si="10299">IF(LanGog2LevelCurrent&gt;=$B146,"-",IF(LanGog2LevelDesired&lt;$B146,"-",$D146))</f>
        <v>-</v>
      </c>
      <c r="BD146" s="21" t="str">
        <f t="shared" ref="BD146" si="10300">IF(LanGog2LevelCurrent&gt;=$B146,"-",IF(LanGog2LevelDesired&lt;$B146,"-",$E146))</f>
        <v>-</v>
      </c>
      <c r="BE146" s="15" t="str">
        <f t="shared" ref="BE146" si="10301">IF(LanGlo2LevelCurrent&gt;=$B146,"-",IF(LanGlo2LevelDesired&lt;$B146,"-",$C146))</f>
        <v>-</v>
      </c>
      <c r="BF146" s="1" t="str">
        <f t="shared" ref="BF146" si="10302">IF(LanGlo2LevelCurrent&gt;=$B146,"-",IF(LanGlo2LevelDesired&lt;$B146,"-",$D146))</f>
        <v>-</v>
      </c>
      <c r="BG146" s="21" t="str">
        <f t="shared" ref="BG146" si="10303">IF(LanGlo2LevelCurrent&gt;=$B146,"-",IF(LanGlo2LevelDesired&lt;$B146,"-",$E146))</f>
        <v>-</v>
      </c>
      <c r="BH146" s="15" t="str">
        <f t="shared" ref="BH146" si="10304">IF(LanBel2LevelCurrent&gt;=$B146,"-",IF(LanBel2LevelDesired&lt;$B146,"-",$C146))</f>
        <v>-</v>
      </c>
      <c r="BI146" s="1" t="str">
        <f t="shared" ref="BI146" si="10305">IF(LanBel2LevelCurrent&gt;=$B146,"-",IF(LanBel2LevelDesired&lt;$B146,"-",$D146))</f>
        <v>-</v>
      </c>
      <c r="BJ146" s="21" t="str">
        <f t="shared" ref="BJ146" si="10306">IF(LanBel2LevelCurrent&gt;=$B146,"-",IF(LanBel2LevelDesired&lt;$B146,"-",$E146))</f>
        <v>-</v>
      </c>
      <c r="BK146" s="15">
        <f t="shared" ref="BK146" si="10307">IF(LanBoo2LevelCurrent&gt;=$B146,"-",IF(LanBoo2LevelDesired&lt;$B146,"-",$C146))</f>
        <v>4450</v>
      </c>
      <c r="BL146" s="1" t="str">
        <f t="shared" ref="BL146" si="10308">IF(LanBoo2LevelCurrent&gt;=$B146,"-",IF(LanBoo2LevelDesired&lt;$B146,"-",$D146))</f>
        <v>-</v>
      </c>
      <c r="BM146" s="21" t="str">
        <f t="shared" ref="BM146" si="10309">IF(LanBoo2LevelCurrent&gt;=$B146,"-",IF(LanBoo2LevelDesired&lt;$B146,"-",$E146))</f>
        <v>-</v>
      </c>
      <c r="BN146" s="15">
        <f t="shared" ref="BN146" si="10310">IF(MarGog2LevelCurrent&gt;=$B146,"-",IF(MarGog2LevelDesired&lt;$B146,"-",$C146))</f>
        <v>4450</v>
      </c>
      <c r="BO146" s="1" t="str">
        <f t="shared" ref="BO146" si="10311">IF(MarGog2LevelCurrent&gt;=$B146,"-",IF(MarGog2LevelDesired&lt;$B146,"-",$D146))</f>
        <v>-</v>
      </c>
      <c r="BP146" s="21" t="str">
        <f t="shared" ref="BP146" si="10312">IF(MarGog2LevelCurrent&gt;=$B146,"-",IF(MarGog2LevelDesired&lt;$B146,"-",$E146))</f>
        <v>-</v>
      </c>
      <c r="BQ146" s="15" t="str">
        <f t="shared" ref="BQ146" si="10313">IF(MarGlo2LevelCurrent&gt;=$B146,"-",IF(MarGlo2LevelDesired&lt;$B146,"-",$C146))</f>
        <v>-</v>
      </c>
      <c r="BR146" s="1" t="str">
        <f t="shared" ref="BR146" si="10314">IF(MarGlo2LevelCurrent&gt;=$B146,"-",IF(MarGlo2LevelDesired&lt;$B146,"-",$D146))</f>
        <v>-</v>
      </c>
      <c r="BS146" s="21" t="str">
        <f t="shared" ref="BS146" si="10315">IF(MarGlo2LevelCurrent&gt;=$B146,"-",IF(MarGlo2LevelDesired&lt;$B146,"-",$E146))</f>
        <v>-</v>
      </c>
      <c r="BT146" s="15" t="str">
        <f t="shared" ref="BT146" si="10316">IF(MarBel2LevelCurrent&gt;=$B146,"-",IF(MarBel2LevelDesired&lt;$B146,"-",$C146))</f>
        <v>-</v>
      </c>
      <c r="BU146" s="1" t="str">
        <f t="shared" ref="BU146" si="10317">IF(MarBel2LevelCurrent&gt;=$B146,"-",IF(MarBel2LevelDesired&lt;$B146,"-",$D146))</f>
        <v>-</v>
      </c>
      <c r="BV146" s="21" t="str">
        <f t="shared" ref="BV146" si="10318">IF(MarBel2LevelCurrent&gt;=$B146,"-",IF(MarBel2LevelDesired&lt;$B146,"-",$E146))</f>
        <v>-</v>
      </c>
      <c r="BW146" s="15">
        <f t="shared" ref="BW146" si="10319">IF(MarBoo2LevelCurrent&gt;=$B146,"-",IF(MarBoo2LevelDesired&lt;$B146,"-",$C146))</f>
        <v>4450</v>
      </c>
      <c r="BX146" s="1" t="str">
        <f t="shared" ref="BX146" si="10320">IF(MarBoo2LevelCurrent&gt;=$B146,"-",IF(MarBoo2LevelDesired&lt;$B146,"-",$D146))</f>
        <v>-</v>
      </c>
      <c r="BY146" s="21" t="str">
        <f t="shared" ref="BY146" si="10321">IF(MarBoo2LevelCurrent&gt;=$B146,"-",IF(MarBoo2LevelDesired&lt;$B146,"-",$E146))</f>
        <v>-</v>
      </c>
      <c r="BZ146" s="15" t="str">
        <f t="shared" si="9424"/>
        <v>-</v>
      </c>
      <c r="CA146" s="1" t="str" cm="1">
        <f t="array" ref="CA146">IF(InfGog3LevelCurrent&gt;=$B146,"-",IF(InfGog3LevelDesired&lt;$B146,"-",$D146))</f>
        <v>-</v>
      </c>
      <c r="CB146" s="21" t="str" cm="1">
        <f t="array" ref="CB146">IF(InfGog3LevelCurrent&gt;=$B146,"-",IF(InfGog3LevelDesired&lt;$B146,"-",$E146))</f>
        <v>-</v>
      </c>
      <c r="CC146" s="15" t="str">
        <f t="shared" si="9425"/>
        <v>-</v>
      </c>
      <c r="CD146" s="1" t="str">
        <f t="shared" si="9426"/>
        <v>-</v>
      </c>
      <c r="CE146" s="21" t="str">
        <f t="shared" si="9427"/>
        <v>-</v>
      </c>
      <c r="CF146" s="15" t="str">
        <f t="shared" si="9428"/>
        <v>-</v>
      </c>
      <c r="CG146" s="1" t="str">
        <f t="shared" si="9429"/>
        <v>-</v>
      </c>
      <c r="CH146" s="21" t="str">
        <f t="shared" si="9430"/>
        <v>-</v>
      </c>
      <c r="CI146" s="15" t="str">
        <f t="shared" si="9431"/>
        <v>-</v>
      </c>
      <c r="CJ146" s="1" t="str">
        <f t="shared" si="9432"/>
        <v>-</v>
      </c>
      <c r="CK146" s="21" t="str">
        <f t="shared" si="9433"/>
        <v>-</v>
      </c>
      <c r="CL146" s="15" t="str">
        <f t="shared" si="9434"/>
        <v>-</v>
      </c>
      <c r="CM146" s="1" t="str">
        <f t="shared" si="9435"/>
        <v>-</v>
      </c>
      <c r="CN146" s="21" t="str">
        <f t="shared" si="9436"/>
        <v>-</v>
      </c>
      <c r="CO146" s="15" t="str">
        <f t="shared" si="9437"/>
        <v>-</v>
      </c>
      <c r="CP146" s="1" t="str">
        <f t="shared" si="9438"/>
        <v>-</v>
      </c>
      <c r="CQ146" s="21" t="str">
        <f t="shared" si="9439"/>
        <v>-</v>
      </c>
      <c r="CR146" s="15" t="str">
        <f t="shared" si="9440"/>
        <v>-</v>
      </c>
      <c r="CS146" s="1" t="str">
        <f t="shared" si="9441"/>
        <v>-</v>
      </c>
      <c r="CT146" s="21" t="str">
        <f t="shared" si="9442"/>
        <v>-</v>
      </c>
      <c r="CU146" s="15" t="str">
        <f t="shared" si="9443"/>
        <v>-</v>
      </c>
      <c r="CV146" s="1" t="str">
        <f t="shared" si="9444"/>
        <v>-</v>
      </c>
      <c r="CW146" s="21" t="str">
        <f t="shared" si="9445"/>
        <v>-</v>
      </c>
      <c r="CX146" s="15" t="str">
        <f t="shared" si="9446"/>
        <v>-</v>
      </c>
      <c r="CY146" s="1" t="str">
        <f t="shared" si="9447"/>
        <v>-</v>
      </c>
      <c r="CZ146" s="21" t="str">
        <f t="shared" si="9448"/>
        <v>-</v>
      </c>
      <c r="DA146" s="15" t="str">
        <f t="shared" si="9449"/>
        <v>-</v>
      </c>
      <c r="DB146" s="1" t="str">
        <f t="shared" si="9450"/>
        <v>-</v>
      </c>
      <c r="DC146" s="21" t="str">
        <f t="shared" si="9451"/>
        <v>-</v>
      </c>
      <c r="DD146" s="15" t="str">
        <f t="shared" si="9452"/>
        <v>-</v>
      </c>
      <c r="DE146" s="1" t="str">
        <f t="shared" si="9453"/>
        <v>-</v>
      </c>
      <c r="DF146" s="21" t="str">
        <f t="shared" si="9454"/>
        <v>-</v>
      </c>
      <c r="DG146" s="15" t="str">
        <f t="shared" si="9455"/>
        <v>-</v>
      </c>
      <c r="DH146" s="1" t="str">
        <f t="shared" si="9456"/>
        <v>-</v>
      </c>
      <c r="DI146" s="21" t="str">
        <f t="shared" si="9457"/>
        <v>-</v>
      </c>
    </row>
    <row r="147" spans="2:113" x14ac:dyDescent="0.3">
      <c r="B147" s="1">
        <v>142</v>
      </c>
      <c r="C147" s="67">
        <v>4500</v>
      </c>
      <c r="D147" s="88" t="s">
        <v>27</v>
      </c>
      <c r="E147" s="68" t="s">
        <v>27</v>
      </c>
      <c r="F147" s="15" t="str">
        <f t="shared" ref="F147" si="10322">IF(InfGog1LevelCurrent&gt;=$B147,"-",IF(InfGog1LevelDesired&lt;$B147,"-",$C147))</f>
        <v>-</v>
      </c>
      <c r="G147" s="1" t="str">
        <f t="shared" ref="G147" si="10323">IF(InfGog1LevelCurrent&gt;=$B147,"-",IF(InfGog1LevelDesired&lt;$B147,"-",$D147))</f>
        <v>-</v>
      </c>
      <c r="H147" s="21" t="str">
        <f t="shared" ref="H147" si="10324">IF(InfGog1LevelCurrent&gt;=$B147,"-",IF(InfGog1LevelDesired&lt;$B147,"-",$E147))</f>
        <v>-</v>
      </c>
      <c r="I147" s="15" t="str">
        <f t="shared" ref="I147" si="10325">IF(InfGlo1LevelCurrent&gt;=$B147,"-",IF(InfGlo1LevelDesired&lt;$B147,"-",$C147))</f>
        <v>-</v>
      </c>
      <c r="J147" s="1" t="str">
        <f t="shared" ref="J147" si="10326">IF(InfGlo1LevelCurrent&gt;=$B147,"-",IF(InfGlo1LevelDesired&lt;$B147,"-",$D147))</f>
        <v>-</v>
      </c>
      <c r="K147" s="21" t="str">
        <f t="shared" ref="K147" si="10327">IF(InfGlo1LevelCurrent&gt;=$B147,"-",IF(InfGlo1LevelDesired&lt;$B147,"-",$E147))</f>
        <v>-</v>
      </c>
      <c r="L147" s="15" t="str">
        <f t="shared" ref="L147" si="10328">IF(InfBel1LevelCurrent&gt;=$B147,"-",IF(InfBel1LevelDesired&lt;$B147,"-",$C147))</f>
        <v>-</v>
      </c>
      <c r="M147" s="1" t="str">
        <f t="shared" ref="M147" si="10329">IF(InfBel1LevelCurrent&gt;=$B147,"-",IF(InfBel1LevelDesired&lt;$B147,"-",$D147))</f>
        <v>-</v>
      </c>
      <c r="N147" s="21" t="str">
        <f t="shared" ref="N147" si="10330">IF(InfBel1LevelCurrent&gt;=$B147,"-",IF(InfBel1LevelDesired&lt;$B147,"-",$E147))</f>
        <v>-</v>
      </c>
      <c r="O147" s="15" t="str">
        <f t="shared" ref="O147" si="10331">IF(InfBoo1LevelCurrent&gt;=$B147,"-",IF(InfBoo1LevelDesired&lt;$B147,"-",$C147))</f>
        <v>-</v>
      </c>
      <c r="P147" s="1" t="str">
        <f t="shared" ref="P147" si="10332">IF(InfBoo1LevelCurrent&gt;=$B147,"-",IF(InfBoo1LevelDesired&lt;$B147,"-",$D147))</f>
        <v>-</v>
      </c>
      <c r="Q147" s="21" t="str">
        <f t="shared" ref="Q147" si="10333">IF(InfBoo1LevelCurrent&gt;=$B147,"-",IF(InfBoo1LevelDesired&lt;$B147,"-",$E147))</f>
        <v>-</v>
      </c>
      <c r="R147" s="15" t="str">
        <f t="shared" ref="R147" si="10334">IF(LanGog1LevelCurrent&gt;=$B147,"-",IF(LanGog1LevelDesired&lt;$B147,"-",$C147))</f>
        <v>-</v>
      </c>
      <c r="S147" s="1" t="str">
        <f t="shared" ref="S147" si="10335">IF(LanGog1LevelCurrent&gt;=$B147,"-",IF(LanGog1LevelDesired&lt;$B147,"-",$D147))</f>
        <v>-</v>
      </c>
      <c r="T147" s="21" t="str">
        <f t="shared" ref="T147" si="10336">IF(LanGog1LevelCurrent&gt;=$B147,"-",IF(LanGog1LevelDesired&lt;$B147,"-",$E147))</f>
        <v>-</v>
      </c>
      <c r="U147" s="15" t="str">
        <f t="shared" ref="U147" si="10337">IF(LanGlo1LevelCurrent&gt;=$B147,"-",IF(LanGlo1LevelDesired&lt;$B147,"-",$C147))</f>
        <v>-</v>
      </c>
      <c r="V147" s="1" t="str">
        <f t="shared" ref="V147" si="10338">IF(LanGlo1LevelCurrent&gt;=$B147,"-",IF(LanGlo1LevelDesired&lt;$B147,"-",$D147))</f>
        <v>-</v>
      </c>
      <c r="W147" s="21" t="str">
        <f t="shared" ref="W147" si="10339">IF(LanGlo1LevelCurrent&gt;=$B147,"-",IF(LanGlo1LevelDesired&lt;$B147,"-",$E147))</f>
        <v>-</v>
      </c>
      <c r="X147" s="15" t="str">
        <f t="shared" ref="X147" si="10340">IF(LanBel1LevelCurrent&gt;=$B147,"-",IF(LanBel1LevelDesired&lt;$B147,"-",$C147))</f>
        <v>-</v>
      </c>
      <c r="Y147" s="1" t="str">
        <f t="shared" ref="Y147" si="10341">IF(LanBel1LevelCurrent&gt;=$B147,"-",IF(LanBel1LevelDesired&lt;$B147,"-",$D147))</f>
        <v>-</v>
      </c>
      <c r="Z147" s="21" t="str">
        <f t="shared" ref="Z147" si="10342">IF(LanBel1LevelCurrent&gt;=$B147,"-",IF(LanBel1LevelDesired&lt;$B147,"-",$E147))</f>
        <v>-</v>
      </c>
      <c r="AA147" s="15" t="str">
        <f t="shared" ref="AA147" si="10343">IF(LanBoo1LevelCurrent&gt;=$B147,"-",IF(LanBoo1LevelDesired&lt;$B147,"-",$C147))</f>
        <v>-</v>
      </c>
      <c r="AB147" s="1" t="str">
        <f t="shared" ref="AB147" si="10344">IF(LanBoo1LevelCurrent&gt;=$B147,"-",IF(LanBoo1LevelDesired&lt;$B147,"-",$D147))</f>
        <v>-</v>
      </c>
      <c r="AC147" s="21" t="str">
        <f t="shared" ref="AC147" si="10345">IF(LanBoo1LevelCurrent&gt;=$B147,"-",IF(LanBoo1LevelDesired&lt;$B147,"-",$E147))</f>
        <v>-</v>
      </c>
      <c r="AD147" s="15" t="str">
        <f t="shared" ref="AD147" si="10346">IF(MarGog1LevelCurrent&gt;=$B147,"-",IF(MarGog1LevelDesired&lt;$B147,"-",$C147))</f>
        <v>-</v>
      </c>
      <c r="AE147" s="1" t="str">
        <f t="shared" ref="AE147" si="10347">IF(MarGog1LevelCurrent&gt;=$B147,"-",IF(MarGog1LevelDesired&lt;$B147,"-",$D147))</f>
        <v>-</v>
      </c>
      <c r="AF147" s="21" t="str">
        <f t="shared" ref="AF147" si="10348">IF(MarGog1LevelCurrent&gt;=$B147,"-",IF(MarGog1LevelDesired&lt;$B147,"-",$E147))</f>
        <v>-</v>
      </c>
      <c r="AG147" s="15" t="str">
        <f t="shared" ref="AG147" si="10349">IF(MarGlo1LevelCurrent&gt;=$B147,"-",IF(MarGlo1LevelDesired&lt;$B147,"-",$C147))</f>
        <v>-</v>
      </c>
      <c r="AH147" s="1" t="str">
        <f t="shared" ref="AH147" si="10350">IF(MarGlo1LevelCurrent&gt;=$B147,"-",IF(MarGlo1LevelDesired&lt;$B147,"-",$D147))</f>
        <v>-</v>
      </c>
      <c r="AI147" s="21" t="str">
        <f t="shared" ref="AI147" si="10351">IF(MarGlo1LevelCurrent&gt;=$B147,"-",IF(MarGlo1LevelDesired&lt;$B147,"-",$E147))</f>
        <v>-</v>
      </c>
      <c r="AJ147" s="15" t="str">
        <f t="shared" ref="AJ147" si="10352">IF(MarBel1LevelCurrent&gt;=$B147,"-",IF(MarBel1LevelDesired&lt;$B147,"-",$C147))</f>
        <v>-</v>
      </c>
      <c r="AK147" s="1" t="str">
        <f t="shared" ref="AK147" si="10353">IF(MarBel1LevelCurrent&gt;=$B147,"-",IF(MarBel1LevelDesired&lt;$B147,"-",$D147))</f>
        <v>-</v>
      </c>
      <c r="AL147" s="21" t="str">
        <f t="shared" ref="AL147" si="10354">IF(MarBel1LevelCurrent&gt;=$B147,"-",IF(MarBel1LevelDesired&lt;$B147,"-",$E147))</f>
        <v>-</v>
      </c>
      <c r="AM147" s="15" t="str">
        <f t="shared" ref="AM147" si="10355">IF(MarBoo1LevelCurrent&gt;=$B147,"-",IF(MarBoo1LevelDesired&lt;$B147,"-",$C147))</f>
        <v>-</v>
      </c>
      <c r="AN147" s="1" t="str">
        <f t="shared" ref="AN147" si="10356">IF(MarBoo1LevelCurrent&gt;=$B147,"-",IF(MarBoo1LevelDesired&lt;$B147,"-",$D147))</f>
        <v>-</v>
      </c>
      <c r="AO147" s="21" t="str">
        <f t="shared" ref="AO147" si="10357">IF(MarBoo1LevelCurrent&gt;=$B147,"-",IF(MarBoo1LevelDesired&lt;$B147,"-",$E147))</f>
        <v>-</v>
      </c>
      <c r="AP147" s="15" t="str">
        <f t="shared" ref="AP147" si="10358">IF(InfGog2LevelCurrent&gt;=$B147,"-",IF(InfGog2LevelDesired&lt;$B147,"-",$C147))</f>
        <v>-</v>
      </c>
      <c r="AQ147" s="1" t="str">
        <f t="shared" ref="AQ147" si="10359">IF(InfGog2LevelCurrent&gt;=$B147,"-",IF(InfGog2LevelDesired&lt;$B147,"-",$D147))</f>
        <v>-</v>
      </c>
      <c r="AR147" s="21" t="str">
        <f t="shared" ref="AR147" si="10360">IF(InfGog2LevelCurrent&gt;=$B147,"-",IF(InfGog2LevelDesired&lt;$B147,"-",$E147))</f>
        <v>-</v>
      </c>
      <c r="AS147" s="15">
        <f t="shared" ref="AS147" si="10361">IF(InfGlo2LevelCurrent&gt;=$B147,"-",IF(InfGlo2LevelDesired&lt;$B147,"-",$C147))</f>
        <v>4500</v>
      </c>
      <c r="AT147" s="1" t="str">
        <f t="shared" ref="AT147" si="10362">IF(InfGlo2LevelCurrent&gt;=$B147,"-",IF(InfGlo2LevelDesired&lt;$B147,"-",$D147))</f>
        <v>-</v>
      </c>
      <c r="AU147" s="21" t="str">
        <f t="shared" ref="AU147" si="10363">IF(InfGlo2LevelCurrent&gt;=$B147,"-",IF(InfGlo2LevelDesired&lt;$B147,"-",$E147))</f>
        <v>-</v>
      </c>
      <c r="AV147" s="15">
        <f t="shared" ref="AV147" si="10364">IF(InfBel2LevelCurrent&gt;=$B147,"-",IF(InfBel2LevelDesired&lt;$B147,"-",$C147))</f>
        <v>4500</v>
      </c>
      <c r="AW147" s="1" t="str">
        <f t="shared" ref="AW147" si="10365">IF(InfBel2LevelCurrent&gt;=$B147,"-",IF(InfBel2LevelDesired&lt;$B147,"-",$D147))</f>
        <v>-</v>
      </c>
      <c r="AX147" s="21" t="str">
        <f t="shared" ref="AX147" si="10366">IF(InfBel2LevelCurrent&gt;=$B147,"-",IF(InfBel2LevelDesired&lt;$B147,"-",$E147))</f>
        <v>-</v>
      </c>
      <c r="AY147" s="15" t="str">
        <f t="shared" ref="AY147" si="10367">IF(InfBoo2LevelCurrent&gt;=$B147,"-",IF(InfBoo2LevelDesired&lt;$B147,"-",$C147))</f>
        <v>-</v>
      </c>
      <c r="AZ147" s="1" t="str">
        <f t="shared" ref="AZ147" si="10368">IF(InfBoo2LevelCurrent&gt;=$B147,"-",IF(InfBoo2LevelDesired&lt;$B147,"-",$D147))</f>
        <v>-</v>
      </c>
      <c r="BA147" s="21" t="str">
        <f t="shared" ref="BA147" si="10369">IF(InfBoo2LevelCurrent&gt;=$B147,"-",IF(InfBoo2LevelDesired&lt;$B147,"-",$E147))</f>
        <v>-</v>
      </c>
      <c r="BB147" s="15">
        <f t="shared" ref="BB147" si="10370">IF(LanGog2LevelCurrent&gt;=$B147,"-",IF(LanGog2LevelDesired&lt;$B147,"-",$C147))</f>
        <v>4500</v>
      </c>
      <c r="BC147" s="1" t="str">
        <f t="shared" ref="BC147" si="10371">IF(LanGog2LevelCurrent&gt;=$B147,"-",IF(LanGog2LevelDesired&lt;$B147,"-",$D147))</f>
        <v>-</v>
      </c>
      <c r="BD147" s="21" t="str">
        <f t="shared" ref="BD147" si="10372">IF(LanGog2LevelCurrent&gt;=$B147,"-",IF(LanGog2LevelDesired&lt;$B147,"-",$E147))</f>
        <v>-</v>
      </c>
      <c r="BE147" s="15" t="str">
        <f t="shared" ref="BE147" si="10373">IF(LanGlo2LevelCurrent&gt;=$B147,"-",IF(LanGlo2LevelDesired&lt;$B147,"-",$C147))</f>
        <v>-</v>
      </c>
      <c r="BF147" s="1" t="str">
        <f t="shared" ref="BF147" si="10374">IF(LanGlo2LevelCurrent&gt;=$B147,"-",IF(LanGlo2LevelDesired&lt;$B147,"-",$D147))</f>
        <v>-</v>
      </c>
      <c r="BG147" s="21" t="str">
        <f t="shared" ref="BG147" si="10375">IF(LanGlo2LevelCurrent&gt;=$B147,"-",IF(LanGlo2LevelDesired&lt;$B147,"-",$E147))</f>
        <v>-</v>
      </c>
      <c r="BH147" s="15" t="str">
        <f t="shared" ref="BH147" si="10376">IF(LanBel2LevelCurrent&gt;=$B147,"-",IF(LanBel2LevelDesired&lt;$B147,"-",$C147))</f>
        <v>-</v>
      </c>
      <c r="BI147" s="1" t="str">
        <f t="shared" ref="BI147" si="10377">IF(LanBel2LevelCurrent&gt;=$B147,"-",IF(LanBel2LevelDesired&lt;$B147,"-",$D147))</f>
        <v>-</v>
      </c>
      <c r="BJ147" s="21" t="str">
        <f t="shared" ref="BJ147" si="10378">IF(LanBel2LevelCurrent&gt;=$B147,"-",IF(LanBel2LevelDesired&lt;$B147,"-",$E147))</f>
        <v>-</v>
      </c>
      <c r="BK147" s="15">
        <f t="shared" ref="BK147" si="10379">IF(LanBoo2LevelCurrent&gt;=$B147,"-",IF(LanBoo2LevelDesired&lt;$B147,"-",$C147))</f>
        <v>4500</v>
      </c>
      <c r="BL147" s="1" t="str">
        <f t="shared" ref="BL147" si="10380">IF(LanBoo2LevelCurrent&gt;=$B147,"-",IF(LanBoo2LevelDesired&lt;$B147,"-",$D147))</f>
        <v>-</v>
      </c>
      <c r="BM147" s="21" t="str">
        <f t="shared" ref="BM147" si="10381">IF(LanBoo2LevelCurrent&gt;=$B147,"-",IF(LanBoo2LevelDesired&lt;$B147,"-",$E147))</f>
        <v>-</v>
      </c>
      <c r="BN147" s="15">
        <f t="shared" ref="BN147" si="10382">IF(MarGog2LevelCurrent&gt;=$B147,"-",IF(MarGog2LevelDesired&lt;$B147,"-",$C147))</f>
        <v>4500</v>
      </c>
      <c r="BO147" s="1" t="str">
        <f t="shared" ref="BO147" si="10383">IF(MarGog2LevelCurrent&gt;=$B147,"-",IF(MarGog2LevelDesired&lt;$B147,"-",$D147))</f>
        <v>-</v>
      </c>
      <c r="BP147" s="21" t="str">
        <f t="shared" ref="BP147" si="10384">IF(MarGog2LevelCurrent&gt;=$B147,"-",IF(MarGog2LevelDesired&lt;$B147,"-",$E147))</f>
        <v>-</v>
      </c>
      <c r="BQ147" s="15" t="str">
        <f t="shared" ref="BQ147" si="10385">IF(MarGlo2LevelCurrent&gt;=$B147,"-",IF(MarGlo2LevelDesired&lt;$B147,"-",$C147))</f>
        <v>-</v>
      </c>
      <c r="BR147" s="1" t="str">
        <f t="shared" ref="BR147" si="10386">IF(MarGlo2LevelCurrent&gt;=$B147,"-",IF(MarGlo2LevelDesired&lt;$B147,"-",$D147))</f>
        <v>-</v>
      </c>
      <c r="BS147" s="21" t="str">
        <f t="shared" ref="BS147" si="10387">IF(MarGlo2LevelCurrent&gt;=$B147,"-",IF(MarGlo2LevelDesired&lt;$B147,"-",$E147))</f>
        <v>-</v>
      </c>
      <c r="BT147" s="15" t="str">
        <f t="shared" ref="BT147" si="10388">IF(MarBel2LevelCurrent&gt;=$B147,"-",IF(MarBel2LevelDesired&lt;$B147,"-",$C147))</f>
        <v>-</v>
      </c>
      <c r="BU147" s="1" t="str">
        <f t="shared" ref="BU147" si="10389">IF(MarBel2LevelCurrent&gt;=$B147,"-",IF(MarBel2LevelDesired&lt;$B147,"-",$D147))</f>
        <v>-</v>
      </c>
      <c r="BV147" s="21" t="str">
        <f t="shared" ref="BV147" si="10390">IF(MarBel2LevelCurrent&gt;=$B147,"-",IF(MarBel2LevelDesired&lt;$B147,"-",$E147))</f>
        <v>-</v>
      </c>
      <c r="BW147" s="15">
        <f t="shared" ref="BW147" si="10391">IF(MarBoo2LevelCurrent&gt;=$B147,"-",IF(MarBoo2LevelDesired&lt;$B147,"-",$C147))</f>
        <v>4500</v>
      </c>
      <c r="BX147" s="1" t="str">
        <f t="shared" ref="BX147" si="10392">IF(MarBoo2LevelCurrent&gt;=$B147,"-",IF(MarBoo2LevelDesired&lt;$B147,"-",$D147))</f>
        <v>-</v>
      </c>
      <c r="BY147" s="21" t="str">
        <f t="shared" ref="BY147" si="10393">IF(MarBoo2LevelCurrent&gt;=$B147,"-",IF(MarBoo2LevelDesired&lt;$B147,"-",$E147))</f>
        <v>-</v>
      </c>
      <c r="BZ147" s="15" t="str">
        <f t="shared" si="9424"/>
        <v>-</v>
      </c>
      <c r="CA147" s="1" t="str" cm="1">
        <f t="array" ref="CA147">IF(InfGog3LevelCurrent&gt;=$B147,"-",IF(InfGog3LevelDesired&lt;$B147,"-",$D147))</f>
        <v>-</v>
      </c>
      <c r="CB147" s="21" t="str" cm="1">
        <f t="array" ref="CB147">IF(InfGog3LevelCurrent&gt;=$B147,"-",IF(InfGog3LevelDesired&lt;$B147,"-",$E147))</f>
        <v>-</v>
      </c>
      <c r="CC147" s="15" t="str">
        <f t="shared" si="9425"/>
        <v>-</v>
      </c>
      <c r="CD147" s="1" t="str">
        <f t="shared" si="9426"/>
        <v>-</v>
      </c>
      <c r="CE147" s="21" t="str">
        <f t="shared" si="9427"/>
        <v>-</v>
      </c>
      <c r="CF147" s="15" t="str">
        <f t="shared" si="9428"/>
        <v>-</v>
      </c>
      <c r="CG147" s="1" t="str">
        <f t="shared" si="9429"/>
        <v>-</v>
      </c>
      <c r="CH147" s="21" t="str">
        <f t="shared" si="9430"/>
        <v>-</v>
      </c>
      <c r="CI147" s="15" t="str">
        <f t="shared" si="9431"/>
        <v>-</v>
      </c>
      <c r="CJ147" s="1" t="str">
        <f t="shared" si="9432"/>
        <v>-</v>
      </c>
      <c r="CK147" s="21" t="str">
        <f t="shared" si="9433"/>
        <v>-</v>
      </c>
      <c r="CL147" s="15" t="str">
        <f t="shared" si="9434"/>
        <v>-</v>
      </c>
      <c r="CM147" s="1" t="str">
        <f t="shared" si="9435"/>
        <v>-</v>
      </c>
      <c r="CN147" s="21" t="str">
        <f t="shared" si="9436"/>
        <v>-</v>
      </c>
      <c r="CO147" s="15" t="str">
        <f t="shared" si="9437"/>
        <v>-</v>
      </c>
      <c r="CP147" s="1" t="str">
        <f t="shared" si="9438"/>
        <v>-</v>
      </c>
      <c r="CQ147" s="21" t="str">
        <f t="shared" si="9439"/>
        <v>-</v>
      </c>
      <c r="CR147" s="15" t="str">
        <f t="shared" si="9440"/>
        <v>-</v>
      </c>
      <c r="CS147" s="1" t="str">
        <f t="shared" si="9441"/>
        <v>-</v>
      </c>
      <c r="CT147" s="21" t="str">
        <f t="shared" si="9442"/>
        <v>-</v>
      </c>
      <c r="CU147" s="15" t="str">
        <f t="shared" si="9443"/>
        <v>-</v>
      </c>
      <c r="CV147" s="1" t="str">
        <f t="shared" si="9444"/>
        <v>-</v>
      </c>
      <c r="CW147" s="21" t="str">
        <f t="shared" si="9445"/>
        <v>-</v>
      </c>
      <c r="CX147" s="15" t="str">
        <f t="shared" si="9446"/>
        <v>-</v>
      </c>
      <c r="CY147" s="1" t="str">
        <f t="shared" si="9447"/>
        <v>-</v>
      </c>
      <c r="CZ147" s="21" t="str">
        <f t="shared" si="9448"/>
        <v>-</v>
      </c>
      <c r="DA147" s="15" t="str">
        <f t="shared" si="9449"/>
        <v>-</v>
      </c>
      <c r="DB147" s="1" t="str">
        <f t="shared" si="9450"/>
        <v>-</v>
      </c>
      <c r="DC147" s="21" t="str">
        <f t="shared" si="9451"/>
        <v>-</v>
      </c>
      <c r="DD147" s="15" t="str">
        <f t="shared" si="9452"/>
        <v>-</v>
      </c>
      <c r="DE147" s="1" t="str">
        <f t="shared" si="9453"/>
        <v>-</v>
      </c>
      <c r="DF147" s="21" t="str">
        <f t="shared" si="9454"/>
        <v>-</v>
      </c>
      <c r="DG147" s="15" t="str">
        <f t="shared" si="9455"/>
        <v>-</v>
      </c>
      <c r="DH147" s="1" t="str">
        <f t="shared" si="9456"/>
        <v>-</v>
      </c>
      <c r="DI147" s="21" t="str">
        <f t="shared" si="9457"/>
        <v>-</v>
      </c>
    </row>
    <row r="148" spans="2:113" x14ac:dyDescent="0.3">
      <c r="B148" s="1">
        <v>143</v>
      </c>
      <c r="C148" s="67">
        <v>4550</v>
      </c>
      <c r="D148" s="88" t="s">
        <v>27</v>
      </c>
      <c r="E148" s="68" t="s">
        <v>27</v>
      </c>
      <c r="F148" s="15" t="str">
        <f t="shared" ref="F148" si="10394">IF(InfGog1LevelCurrent&gt;=$B148,"-",IF(InfGog1LevelDesired&lt;$B148,"-",$C148))</f>
        <v>-</v>
      </c>
      <c r="G148" s="1" t="str">
        <f t="shared" ref="G148" si="10395">IF(InfGog1LevelCurrent&gt;=$B148,"-",IF(InfGog1LevelDesired&lt;$B148,"-",$D148))</f>
        <v>-</v>
      </c>
      <c r="H148" s="21" t="str">
        <f t="shared" ref="H148" si="10396">IF(InfGog1LevelCurrent&gt;=$B148,"-",IF(InfGog1LevelDesired&lt;$B148,"-",$E148))</f>
        <v>-</v>
      </c>
      <c r="I148" s="15" t="str">
        <f t="shared" ref="I148" si="10397">IF(InfGlo1LevelCurrent&gt;=$B148,"-",IF(InfGlo1LevelDesired&lt;$B148,"-",$C148))</f>
        <v>-</v>
      </c>
      <c r="J148" s="1" t="str">
        <f t="shared" ref="J148" si="10398">IF(InfGlo1LevelCurrent&gt;=$B148,"-",IF(InfGlo1LevelDesired&lt;$B148,"-",$D148))</f>
        <v>-</v>
      </c>
      <c r="K148" s="21" t="str">
        <f t="shared" ref="K148" si="10399">IF(InfGlo1LevelCurrent&gt;=$B148,"-",IF(InfGlo1LevelDesired&lt;$B148,"-",$E148))</f>
        <v>-</v>
      </c>
      <c r="L148" s="15" t="str">
        <f t="shared" ref="L148" si="10400">IF(InfBel1LevelCurrent&gt;=$B148,"-",IF(InfBel1LevelDesired&lt;$B148,"-",$C148))</f>
        <v>-</v>
      </c>
      <c r="M148" s="1" t="str">
        <f t="shared" ref="M148" si="10401">IF(InfBel1LevelCurrent&gt;=$B148,"-",IF(InfBel1LevelDesired&lt;$B148,"-",$D148))</f>
        <v>-</v>
      </c>
      <c r="N148" s="21" t="str">
        <f t="shared" ref="N148" si="10402">IF(InfBel1LevelCurrent&gt;=$B148,"-",IF(InfBel1LevelDesired&lt;$B148,"-",$E148))</f>
        <v>-</v>
      </c>
      <c r="O148" s="15" t="str">
        <f t="shared" ref="O148" si="10403">IF(InfBoo1LevelCurrent&gt;=$B148,"-",IF(InfBoo1LevelDesired&lt;$B148,"-",$C148))</f>
        <v>-</v>
      </c>
      <c r="P148" s="1" t="str">
        <f t="shared" ref="P148" si="10404">IF(InfBoo1LevelCurrent&gt;=$B148,"-",IF(InfBoo1LevelDesired&lt;$B148,"-",$D148))</f>
        <v>-</v>
      </c>
      <c r="Q148" s="21" t="str">
        <f t="shared" ref="Q148" si="10405">IF(InfBoo1LevelCurrent&gt;=$B148,"-",IF(InfBoo1LevelDesired&lt;$B148,"-",$E148))</f>
        <v>-</v>
      </c>
      <c r="R148" s="15" t="str">
        <f t="shared" ref="R148" si="10406">IF(LanGog1LevelCurrent&gt;=$B148,"-",IF(LanGog1LevelDesired&lt;$B148,"-",$C148))</f>
        <v>-</v>
      </c>
      <c r="S148" s="1" t="str">
        <f t="shared" ref="S148" si="10407">IF(LanGog1LevelCurrent&gt;=$B148,"-",IF(LanGog1LevelDesired&lt;$B148,"-",$D148))</f>
        <v>-</v>
      </c>
      <c r="T148" s="21" t="str">
        <f t="shared" ref="T148" si="10408">IF(LanGog1LevelCurrent&gt;=$B148,"-",IF(LanGog1LevelDesired&lt;$B148,"-",$E148))</f>
        <v>-</v>
      </c>
      <c r="U148" s="15" t="str">
        <f t="shared" ref="U148" si="10409">IF(LanGlo1LevelCurrent&gt;=$B148,"-",IF(LanGlo1LevelDesired&lt;$B148,"-",$C148))</f>
        <v>-</v>
      </c>
      <c r="V148" s="1" t="str">
        <f t="shared" ref="V148" si="10410">IF(LanGlo1LevelCurrent&gt;=$B148,"-",IF(LanGlo1LevelDesired&lt;$B148,"-",$D148))</f>
        <v>-</v>
      </c>
      <c r="W148" s="21" t="str">
        <f t="shared" ref="W148" si="10411">IF(LanGlo1LevelCurrent&gt;=$B148,"-",IF(LanGlo1LevelDesired&lt;$B148,"-",$E148))</f>
        <v>-</v>
      </c>
      <c r="X148" s="15" t="str">
        <f t="shared" ref="X148" si="10412">IF(LanBel1LevelCurrent&gt;=$B148,"-",IF(LanBel1LevelDesired&lt;$B148,"-",$C148))</f>
        <v>-</v>
      </c>
      <c r="Y148" s="1" t="str">
        <f t="shared" ref="Y148" si="10413">IF(LanBel1LevelCurrent&gt;=$B148,"-",IF(LanBel1LevelDesired&lt;$B148,"-",$D148))</f>
        <v>-</v>
      </c>
      <c r="Z148" s="21" t="str">
        <f t="shared" ref="Z148" si="10414">IF(LanBel1LevelCurrent&gt;=$B148,"-",IF(LanBel1LevelDesired&lt;$B148,"-",$E148))</f>
        <v>-</v>
      </c>
      <c r="AA148" s="15" t="str">
        <f t="shared" ref="AA148" si="10415">IF(LanBoo1LevelCurrent&gt;=$B148,"-",IF(LanBoo1LevelDesired&lt;$B148,"-",$C148))</f>
        <v>-</v>
      </c>
      <c r="AB148" s="1" t="str">
        <f t="shared" ref="AB148" si="10416">IF(LanBoo1LevelCurrent&gt;=$B148,"-",IF(LanBoo1LevelDesired&lt;$B148,"-",$D148))</f>
        <v>-</v>
      </c>
      <c r="AC148" s="21" t="str">
        <f t="shared" ref="AC148" si="10417">IF(LanBoo1LevelCurrent&gt;=$B148,"-",IF(LanBoo1LevelDesired&lt;$B148,"-",$E148))</f>
        <v>-</v>
      </c>
      <c r="AD148" s="15" t="str">
        <f t="shared" ref="AD148" si="10418">IF(MarGog1LevelCurrent&gt;=$B148,"-",IF(MarGog1LevelDesired&lt;$B148,"-",$C148))</f>
        <v>-</v>
      </c>
      <c r="AE148" s="1" t="str">
        <f t="shared" ref="AE148" si="10419">IF(MarGog1LevelCurrent&gt;=$B148,"-",IF(MarGog1LevelDesired&lt;$B148,"-",$D148))</f>
        <v>-</v>
      </c>
      <c r="AF148" s="21" t="str">
        <f t="shared" ref="AF148" si="10420">IF(MarGog1LevelCurrent&gt;=$B148,"-",IF(MarGog1LevelDesired&lt;$B148,"-",$E148))</f>
        <v>-</v>
      </c>
      <c r="AG148" s="15" t="str">
        <f t="shared" ref="AG148" si="10421">IF(MarGlo1LevelCurrent&gt;=$B148,"-",IF(MarGlo1LevelDesired&lt;$B148,"-",$C148))</f>
        <v>-</v>
      </c>
      <c r="AH148" s="1" t="str">
        <f t="shared" ref="AH148" si="10422">IF(MarGlo1LevelCurrent&gt;=$B148,"-",IF(MarGlo1LevelDesired&lt;$B148,"-",$D148))</f>
        <v>-</v>
      </c>
      <c r="AI148" s="21" t="str">
        <f t="shared" ref="AI148" si="10423">IF(MarGlo1LevelCurrent&gt;=$B148,"-",IF(MarGlo1LevelDesired&lt;$B148,"-",$E148))</f>
        <v>-</v>
      </c>
      <c r="AJ148" s="15" t="str">
        <f t="shared" ref="AJ148" si="10424">IF(MarBel1LevelCurrent&gt;=$B148,"-",IF(MarBel1LevelDesired&lt;$B148,"-",$C148))</f>
        <v>-</v>
      </c>
      <c r="AK148" s="1" t="str">
        <f t="shared" ref="AK148" si="10425">IF(MarBel1LevelCurrent&gt;=$B148,"-",IF(MarBel1LevelDesired&lt;$B148,"-",$D148))</f>
        <v>-</v>
      </c>
      <c r="AL148" s="21" t="str">
        <f t="shared" ref="AL148" si="10426">IF(MarBel1LevelCurrent&gt;=$B148,"-",IF(MarBel1LevelDesired&lt;$B148,"-",$E148))</f>
        <v>-</v>
      </c>
      <c r="AM148" s="15" t="str">
        <f t="shared" ref="AM148" si="10427">IF(MarBoo1LevelCurrent&gt;=$B148,"-",IF(MarBoo1LevelDesired&lt;$B148,"-",$C148))</f>
        <v>-</v>
      </c>
      <c r="AN148" s="1" t="str">
        <f t="shared" ref="AN148" si="10428">IF(MarBoo1LevelCurrent&gt;=$B148,"-",IF(MarBoo1LevelDesired&lt;$B148,"-",$D148))</f>
        <v>-</v>
      </c>
      <c r="AO148" s="21" t="str">
        <f t="shared" ref="AO148" si="10429">IF(MarBoo1LevelCurrent&gt;=$B148,"-",IF(MarBoo1LevelDesired&lt;$B148,"-",$E148))</f>
        <v>-</v>
      </c>
      <c r="AP148" s="15" t="str">
        <f t="shared" ref="AP148" si="10430">IF(InfGog2LevelCurrent&gt;=$B148,"-",IF(InfGog2LevelDesired&lt;$B148,"-",$C148))</f>
        <v>-</v>
      </c>
      <c r="AQ148" s="1" t="str">
        <f t="shared" ref="AQ148" si="10431">IF(InfGog2LevelCurrent&gt;=$B148,"-",IF(InfGog2LevelDesired&lt;$B148,"-",$D148))</f>
        <v>-</v>
      </c>
      <c r="AR148" s="21" t="str">
        <f t="shared" ref="AR148" si="10432">IF(InfGog2LevelCurrent&gt;=$B148,"-",IF(InfGog2LevelDesired&lt;$B148,"-",$E148))</f>
        <v>-</v>
      </c>
      <c r="AS148" s="15">
        <f t="shared" ref="AS148" si="10433">IF(InfGlo2LevelCurrent&gt;=$B148,"-",IF(InfGlo2LevelDesired&lt;$B148,"-",$C148))</f>
        <v>4550</v>
      </c>
      <c r="AT148" s="1" t="str">
        <f t="shared" ref="AT148" si="10434">IF(InfGlo2LevelCurrent&gt;=$B148,"-",IF(InfGlo2LevelDesired&lt;$B148,"-",$D148))</f>
        <v>-</v>
      </c>
      <c r="AU148" s="21" t="str">
        <f t="shared" ref="AU148" si="10435">IF(InfGlo2LevelCurrent&gt;=$B148,"-",IF(InfGlo2LevelDesired&lt;$B148,"-",$E148))</f>
        <v>-</v>
      </c>
      <c r="AV148" s="15">
        <f t="shared" ref="AV148" si="10436">IF(InfBel2LevelCurrent&gt;=$B148,"-",IF(InfBel2LevelDesired&lt;$B148,"-",$C148))</f>
        <v>4550</v>
      </c>
      <c r="AW148" s="1" t="str">
        <f t="shared" ref="AW148" si="10437">IF(InfBel2LevelCurrent&gt;=$B148,"-",IF(InfBel2LevelDesired&lt;$B148,"-",$D148))</f>
        <v>-</v>
      </c>
      <c r="AX148" s="21" t="str">
        <f t="shared" ref="AX148" si="10438">IF(InfBel2LevelCurrent&gt;=$B148,"-",IF(InfBel2LevelDesired&lt;$B148,"-",$E148))</f>
        <v>-</v>
      </c>
      <c r="AY148" s="15" t="str">
        <f t="shared" ref="AY148" si="10439">IF(InfBoo2LevelCurrent&gt;=$B148,"-",IF(InfBoo2LevelDesired&lt;$B148,"-",$C148))</f>
        <v>-</v>
      </c>
      <c r="AZ148" s="1" t="str">
        <f t="shared" ref="AZ148" si="10440">IF(InfBoo2LevelCurrent&gt;=$B148,"-",IF(InfBoo2LevelDesired&lt;$B148,"-",$D148))</f>
        <v>-</v>
      </c>
      <c r="BA148" s="21" t="str">
        <f t="shared" ref="BA148" si="10441">IF(InfBoo2LevelCurrent&gt;=$B148,"-",IF(InfBoo2LevelDesired&lt;$B148,"-",$E148))</f>
        <v>-</v>
      </c>
      <c r="BB148" s="15">
        <f t="shared" ref="BB148" si="10442">IF(LanGog2LevelCurrent&gt;=$B148,"-",IF(LanGog2LevelDesired&lt;$B148,"-",$C148))</f>
        <v>4550</v>
      </c>
      <c r="BC148" s="1" t="str">
        <f t="shared" ref="BC148" si="10443">IF(LanGog2LevelCurrent&gt;=$B148,"-",IF(LanGog2LevelDesired&lt;$B148,"-",$D148))</f>
        <v>-</v>
      </c>
      <c r="BD148" s="21" t="str">
        <f t="shared" ref="BD148" si="10444">IF(LanGog2LevelCurrent&gt;=$B148,"-",IF(LanGog2LevelDesired&lt;$B148,"-",$E148))</f>
        <v>-</v>
      </c>
      <c r="BE148" s="15" t="str">
        <f t="shared" ref="BE148" si="10445">IF(LanGlo2LevelCurrent&gt;=$B148,"-",IF(LanGlo2LevelDesired&lt;$B148,"-",$C148))</f>
        <v>-</v>
      </c>
      <c r="BF148" s="1" t="str">
        <f t="shared" ref="BF148" si="10446">IF(LanGlo2LevelCurrent&gt;=$B148,"-",IF(LanGlo2LevelDesired&lt;$B148,"-",$D148))</f>
        <v>-</v>
      </c>
      <c r="BG148" s="21" t="str">
        <f t="shared" ref="BG148" si="10447">IF(LanGlo2LevelCurrent&gt;=$B148,"-",IF(LanGlo2LevelDesired&lt;$B148,"-",$E148))</f>
        <v>-</v>
      </c>
      <c r="BH148" s="15" t="str">
        <f t="shared" ref="BH148" si="10448">IF(LanBel2LevelCurrent&gt;=$B148,"-",IF(LanBel2LevelDesired&lt;$B148,"-",$C148))</f>
        <v>-</v>
      </c>
      <c r="BI148" s="1" t="str">
        <f t="shared" ref="BI148" si="10449">IF(LanBel2LevelCurrent&gt;=$B148,"-",IF(LanBel2LevelDesired&lt;$B148,"-",$D148))</f>
        <v>-</v>
      </c>
      <c r="BJ148" s="21" t="str">
        <f t="shared" ref="BJ148" si="10450">IF(LanBel2LevelCurrent&gt;=$B148,"-",IF(LanBel2LevelDesired&lt;$B148,"-",$E148))</f>
        <v>-</v>
      </c>
      <c r="BK148" s="15">
        <f t="shared" ref="BK148" si="10451">IF(LanBoo2LevelCurrent&gt;=$B148,"-",IF(LanBoo2LevelDesired&lt;$B148,"-",$C148))</f>
        <v>4550</v>
      </c>
      <c r="BL148" s="1" t="str">
        <f t="shared" ref="BL148" si="10452">IF(LanBoo2LevelCurrent&gt;=$B148,"-",IF(LanBoo2LevelDesired&lt;$B148,"-",$D148))</f>
        <v>-</v>
      </c>
      <c r="BM148" s="21" t="str">
        <f t="shared" ref="BM148" si="10453">IF(LanBoo2LevelCurrent&gt;=$B148,"-",IF(LanBoo2LevelDesired&lt;$B148,"-",$E148))</f>
        <v>-</v>
      </c>
      <c r="BN148" s="15">
        <f t="shared" ref="BN148" si="10454">IF(MarGog2LevelCurrent&gt;=$B148,"-",IF(MarGog2LevelDesired&lt;$B148,"-",$C148))</f>
        <v>4550</v>
      </c>
      <c r="BO148" s="1" t="str">
        <f t="shared" ref="BO148" si="10455">IF(MarGog2LevelCurrent&gt;=$B148,"-",IF(MarGog2LevelDesired&lt;$B148,"-",$D148))</f>
        <v>-</v>
      </c>
      <c r="BP148" s="21" t="str">
        <f t="shared" ref="BP148" si="10456">IF(MarGog2LevelCurrent&gt;=$B148,"-",IF(MarGog2LevelDesired&lt;$B148,"-",$E148))</f>
        <v>-</v>
      </c>
      <c r="BQ148" s="15" t="str">
        <f t="shared" ref="BQ148" si="10457">IF(MarGlo2LevelCurrent&gt;=$B148,"-",IF(MarGlo2LevelDesired&lt;$B148,"-",$C148))</f>
        <v>-</v>
      </c>
      <c r="BR148" s="1" t="str">
        <f t="shared" ref="BR148" si="10458">IF(MarGlo2LevelCurrent&gt;=$B148,"-",IF(MarGlo2LevelDesired&lt;$B148,"-",$D148))</f>
        <v>-</v>
      </c>
      <c r="BS148" s="21" t="str">
        <f t="shared" ref="BS148" si="10459">IF(MarGlo2LevelCurrent&gt;=$B148,"-",IF(MarGlo2LevelDesired&lt;$B148,"-",$E148))</f>
        <v>-</v>
      </c>
      <c r="BT148" s="15" t="str">
        <f t="shared" ref="BT148" si="10460">IF(MarBel2LevelCurrent&gt;=$B148,"-",IF(MarBel2LevelDesired&lt;$B148,"-",$C148))</f>
        <v>-</v>
      </c>
      <c r="BU148" s="1" t="str">
        <f t="shared" ref="BU148" si="10461">IF(MarBel2LevelCurrent&gt;=$B148,"-",IF(MarBel2LevelDesired&lt;$B148,"-",$D148))</f>
        <v>-</v>
      </c>
      <c r="BV148" s="21" t="str">
        <f t="shared" ref="BV148" si="10462">IF(MarBel2LevelCurrent&gt;=$B148,"-",IF(MarBel2LevelDesired&lt;$B148,"-",$E148))</f>
        <v>-</v>
      </c>
      <c r="BW148" s="15">
        <f t="shared" ref="BW148" si="10463">IF(MarBoo2LevelCurrent&gt;=$B148,"-",IF(MarBoo2LevelDesired&lt;$B148,"-",$C148))</f>
        <v>4550</v>
      </c>
      <c r="BX148" s="1" t="str">
        <f t="shared" ref="BX148" si="10464">IF(MarBoo2LevelCurrent&gt;=$B148,"-",IF(MarBoo2LevelDesired&lt;$B148,"-",$D148))</f>
        <v>-</v>
      </c>
      <c r="BY148" s="21" t="str">
        <f t="shared" ref="BY148" si="10465">IF(MarBoo2LevelCurrent&gt;=$B148,"-",IF(MarBoo2LevelDesired&lt;$B148,"-",$E148))</f>
        <v>-</v>
      </c>
      <c r="BZ148" s="15" t="str">
        <f t="shared" si="9424"/>
        <v>-</v>
      </c>
      <c r="CA148" s="1" t="str" cm="1">
        <f t="array" ref="CA148">IF(InfGog3LevelCurrent&gt;=$B148,"-",IF(InfGog3LevelDesired&lt;$B148,"-",$D148))</f>
        <v>-</v>
      </c>
      <c r="CB148" s="21" t="str" cm="1">
        <f t="array" ref="CB148">IF(InfGog3LevelCurrent&gt;=$B148,"-",IF(InfGog3LevelDesired&lt;$B148,"-",$E148))</f>
        <v>-</v>
      </c>
      <c r="CC148" s="15" t="str">
        <f t="shared" si="9425"/>
        <v>-</v>
      </c>
      <c r="CD148" s="1" t="str">
        <f t="shared" si="9426"/>
        <v>-</v>
      </c>
      <c r="CE148" s="21" t="str">
        <f t="shared" si="9427"/>
        <v>-</v>
      </c>
      <c r="CF148" s="15" t="str">
        <f t="shared" si="9428"/>
        <v>-</v>
      </c>
      <c r="CG148" s="1" t="str">
        <f t="shared" si="9429"/>
        <v>-</v>
      </c>
      <c r="CH148" s="21" t="str">
        <f t="shared" si="9430"/>
        <v>-</v>
      </c>
      <c r="CI148" s="15" t="str">
        <f t="shared" si="9431"/>
        <v>-</v>
      </c>
      <c r="CJ148" s="1" t="str">
        <f t="shared" si="9432"/>
        <v>-</v>
      </c>
      <c r="CK148" s="21" t="str">
        <f t="shared" si="9433"/>
        <v>-</v>
      </c>
      <c r="CL148" s="15" t="str">
        <f t="shared" si="9434"/>
        <v>-</v>
      </c>
      <c r="CM148" s="1" t="str">
        <f t="shared" si="9435"/>
        <v>-</v>
      </c>
      <c r="CN148" s="21" t="str">
        <f t="shared" si="9436"/>
        <v>-</v>
      </c>
      <c r="CO148" s="15" t="str">
        <f t="shared" si="9437"/>
        <v>-</v>
      </c>
      <c r="CP148" s="1" t="str">
        <f t="shared" si="9438"/>
        <v>-</v>
      </c>
      <c r="CQ148" s="21" t="str">
        <f t="shared" si="9439"/>
        <v>-</v>
      </c>
      <c r="CR148" s="15" t="str">
        <f t="shared" si="9440"/>
        <v>-</v>
      </c>
      <c r="CS148" s="1" t="str">
        <f t="shared" si="9441"/>
        <v>-</v>
      </c>
      <c r="CT148" s="21" t="str">
        <f t="shared" si="9442"/>
        <v>-</v>
      </c>
      <c r="CU148" s="15" t="str">
        <f t="shared" si="9443"/>
        <v>-</v>
      </c>
      <c r="CV148" s="1" t="str">
        <f t="shared" si="9444"/>
        <v>-</v>
      </c>
      <c r="CW148" s="21" t="str">
        <f t="shared" si="9445"/>
        <v>-</v>
      </c>
      <c r="CX148" s="15" t="str">
        <f t="shared" si="9446"/>
        <v>-</v>
      </c>
      <c r="CY148" s="1" t="str">
        <f t="shared" si="9447"/>
        <v>-</v>
      </c>
      <c r="CZ148" s="21" t="str">
        <f t="shared" si="9448"/>
        <v>-</v>
      </c>
      <c r="DA148" s="15" t="str">
        <f t="shared" si="9449"/>
        <v>-</v>
      </c>
      <c r="DB148" s="1" t="str">
        <f t="shared" si="9450"/>
        <v>-</v>
      </c>
      <c r="DC148" s="21" t="str">
        <f t="shared" si="9451"/>
        <v>-</v>
      </c>
      <c r="DD148" s="15" t="str">
        <f t="shared" si="9452"/>
        <v>-</v>
      </c>
      <c r="DE148" s="1" t="str">
        <f t="shared" si="9453"/>
        <v>-</v>
      </c>
      <c r="DF148" s="21" t="str">
        <f t="shared" si="9454"/>
        <v>-</v>
      </c>
      <c r="DG148" s="15" t="str">
        <f t="shared" si="9455"/>
        <v>-</v>
      </c>
      <c r="DH148" s="1" t="str">
        <f t="shared" si="9456"/>
        <v>-</v>
      </c>
      <c r="DI148" s="21" t="str">
        <f t="shared" si="9457"/>
        <v>-</v>
      </c>
    </row>
    <row r="149" spans="2:113" x14ac:dyDescent="0.3">
      <c r="B149" s="1">
        <v>144</v>
      </c>
      <c r="C149" s="67">
        <v>4600</v>
      </c>
      <c r="D149" s="88" t="s">
        <v>27</v>
      </c>
      <c r="E149" s="68" t="s">
        <v>27</v>
      </c>
      <c r="F149" s="15" t="str">
        <f t="shared" ref="F149" si="10466">IF(InfGog1LevelCurrent&gt;=$B149,"-",IF(InfGog1LevelDesired&lt;$B149,"-",$C149))</f>
        <v>-</v>
      </c>
      <c r="G149" s="1" t="str">
        <f t="shared" ref="G149" si="10467">IF(InfGog1LevelCurrent&gt;=$B149,"-",IF(InfGog1LevelDesired&lt;$B149,"-",$D149))</f>
        <v>-</v>
      </c>
      <c r="H149" s="21" t="str">
        <f t="shared" ref="H149" si="10468">IF(InfGog1LevelCurrent&gt;=$B149,"-",IF(InfGog1LevelDesired&lt;$B149,"-",$E149))</f>
        <v>-</v>
      </c>
      <c r="I149" s="15" t="str">
        <f t="shared" ref="I149" si="10469">IF(InfGlo1LevelCurrent&gt;=$B149,"-",IF(InfGlo1LevelDesired&lt;$B149,"-",$C149))</f>
        <v>-</v>
      </c>
      <c r="J149" s="1" t="str">
        <f t="shared" ref="J149" si="10470">IF(InfGlo1LevelCurrent&gt;=$B149,"-",IF(InfGlo1LevelDesired&lt;$B149,"-",$D149))</f>
        <v>-</v>
      </c>
      <c r="K149" s="21" t="str">
        <f t="shared" ref="K149" si="10471">IF(InfGlo1LevelCurrent&gt;=$B149,"-",IF(InfGlo1LevelDesired&lt;$B149,"-",$E149))</f>
        <v>-</v>
      </c>
      <c r="L149" s="15" t="str">
        <f t="shared" ref="L149" si="10472">IF(InfBel1LevelCurrent&gt;=$B149,"-",IF(InfBel1LevelDesired&lt;$B149,"-",$C149))</f>
        <v>-</v>
      </c>
      <c r="M149" s="1" t="str">
        <f t="shared" ref="M149" si="10473">IF(InfBel1LevelCurrent&gt;=$B149,"-",IF(InfBel1LevelDesired&lt;$B149,"-",$D149))</f>
        <v>-</v>
      </c>
      <c r="N149" s="21" t="str">
        <f t="shared" ref="N149" si="10474">IF(InfBel1LevelCurrent&gt;=$B149,"-",IF(InfBel1LevelDesired&lt;$B149,"-",$E149))</f>
        <v>-</v>
      </c>
      <c r="O149" s="15" t="str">
        <f t="shared" ref="O149" si="10475">IF(InfBoo1LevelCurrent&gt;=$B149,"-",IF(InfBoo1LevelDesired&lt;$B149,"-",$C149))</f>
        <v>-</v>
      </c>
      <c r="P149" s="1" t="str">
        <f t="shared" ref="P149" si="10476">IF(InfBoo1LevelCurrent&gt;=$B149,"-",IF(InfBoo1LevelDesired&lt;$B149,"-",$D149))</f>
        <v>-</v>
      </c>
      <c r="Q149" s="21" t="str">
        <f t="shared" ref="Q149" si="10477">IF(InfBoo1LevelCurrent&gt;=$B149,"-",IF(InfBoo1LevelDesired&lt;$B149,"-",$E149))</f>
        <v>-</v>
      </c>
      <c r="R149" s="15" t="str">
        <f t="shared" ref="R149" si="10478">IF(LanGog1LevelCurrent&gt;=$B149,"-",IF(LanGog1LevelDesired&lt;$B149,"-",$C149))</f>
        <v>-</v>
      </c>
      <c r="S149" s="1" t="str">
        <f t="shared" ref="S149" si="10479">IF(LanGog1LevelCurrent&gt;=$B149,"-",IF(LanGog1LevelDesired&lt;$B149,"-",$D149))</f>
        <v>-</v>
      </c>
      <c r="T149" s="21" t="str">
        <f t="shared" ref="T149" si="10480">IF(LanGog1LevelCurrent&gt;=$B149,"-",IF(LanGog1LevelDesired&lt;$B149,"-",$E149))</f>
        <v>-</v>
      </c>
      <c r="U149" s="15" t="str">
        <f t="shared" ref="U149" si="10481">IF(LanGlo1LevelCurrent&gt;=$B149,"-",IF(LanGlo1LevelDesired&lt;$B149,"-",$C149))</f>
        <v>-</v>
      </c>
      <c r="V149" s="1" t="str">
        <f t="shared" ref="V149" si="10482">IF(LanGlo1LevelCurrent&gt;=$B149,"-",IF(LanGlo1LevelDesired&lt;$B149,"-",$D149))</f>
        <v>-</v>
      </c>
      <c r="W149" s="21" t="str">
        <f t="shared" ref="W149" si="10483">IF(LanGlo1LevelCurrent&gt;=$B149,"-",IF(LanGlo1LevelDesired&lt;$B149,"-",$E149))</f>
        <v>-</v>
      </c>
      <c r="X149" s="15" t="str">
        <f t="shared" ref="X149" si="10484">IF(LanBel1LevelCurrent&gt;=$B149,"-",IF(LanBel1LevelDesired&lt;$B149,"-",$C149))</f>
        <v>-</v>
      </c>
      <c r="Y149" s="1" t="str">
        <f t="shared" ref="Y149" si="10485">IF(LanBel1LevelCurrent&gt;=$B149,"-",IF(LanBel1LevelDesired&lt;$B149,"-",$D149))</f>
        <v>-</v>
      </c>
      <c r="Z149" s="21" t="str">
        <f t="shared" ref="Z149" si="10486">IF(LanBel1LevelCurrent&gt;=$B149,"-",IF(LanBel1LevelDesired&lt;$B149,"-",$E149))</f>
        <v>-</v>
      </c>
      <c r="AA149" s="15" t="str">
        <f t="shared" ref="AA149" si="10487">IF(LanBoo1LevelCurrent&gt;=$B149,"-",IF(LanBoo1LevelDesired&lt;$B149,"-",$C149))</f>
        <v>-</v>
      </c>
      <c r="AB149" s="1" t="str">
        <f t="shared" ref="AB149" si="10488">IF(LanBoo1LevelCurrent&gt;=$B149,"-",IF(LanBoo1LevelDesired&lt;$B149,"-",$D149))</f>
        <v>-</v>
      </c>
      <c r="AC149" s="21" t="str">
        <f t="shared" ref="AC149" si="10489">IF(LanBoo1LevelCurrent&gt;=$B149,"-",IF(LanBoo1LevelDesired&lt;$B149,"-",$E149))</f>
        <v>-</v>
      </c>
      <c r="AD149" s="15" t="str">
        <f t="shared" ref="AD149" si="10490">IF(MarGog1LevelCurrent&gt;=$B149,"-",IF(MarGog1LevelDesired&lt;$B149,"-",$C149))</f>
        <v>-</v>
      </c>
      <c r="AE149" s="1" t="str">
        <f t="shared" ref="AE149" si="10491">IF(MarGog1LevelCurrent&gt;=$B149,"-",IF(MarGog1LevelDesired&lt;$B149,"-",$D149))</f>
        <v>-</v>
      </c>
      <c r="AF149" s="21" t="str">
        <f t="shared" ref="AF149" si="10492">IF(MarGog1LevelCurrent&gt;=$B149,"-",IF(MarGog1LevelDesired&lt;$B149,"-",$E149))</f>
        <v>-</v>
      </c>
      <c r="AG149" s="15" t="str">
        <f t="shared" ref="AG149" si="10493">IF(MarGlo1LevelCurrent&gt;=$B149,"-",IF(MarGlo1LevelDesired&lt;$B149,"-",$C149))</f>
        <v>-</v>
      </c>
      <c r="AH149" s="1" t="str">
        <f t="shared" ref="AH149" si="10494">IF(MarGlo1LevelCurrent&gt;=$B149,"-",IF(MarGlo1LevelDesired&lt;$B149,"-",$D149))</f>
        <v>-</v>
      </c>
      <c r="AI149" s="21" t="str">
        <f t="shared" ref="AI149" si="10495">IF(MarGlo1LevelCurrent&gt;=$B149,"-",IF(MarGlo1LevelDesired&lt;$B149,"-",$E149))</f>
        <v>-</v>
      </c>
      <c r="AJ149" s="15" t="str">
        <f t="shared" ref="AJ149" si="10496">IF(MarBel1LevelCurrent&gt;=$B149,"-",IF(MarBel1LevelDesired&lt;$B149,"-",$C149))</f>
        <v>-</v>
      </c>
      <c r="AK149" s="1" t="str">
        <f t="shared" ref="AK149" si="10497">IF(MarBel1LevelCurrent&gt;=$B149,"-",IF(MarBel1LevelDesired&lt;$B149,"-",$D149))</f>
        <v>-</v>
      </c>
      <c r="AL149" s="21" t="str">
        <f t="shared" ref="AL149" si="10498">IF(MarBel1LevelCurrent&gt;=$B149,"-",IF(MarBel1LevelDesired&lt;$B149,"-",$E149))</f>
        <v>-</v>
      </c>
      <c r="AM149" s="15" t="str">
        <f t="shared" ref="AM149" si="10499">IF(MarBoo1LevelCurrent&gt;=$B149,"-",IF(MarBoo1LevelDesired&lt;$B149,"-",$C149))</f>
        <v>-</v>
      </c>
      <c r="AN149" s="1" t="str">
        <f t="shared" ref="AN149" si="10500">IF(MarBoo1LevelCurrent&gt;=$B149,"-",IF(MarBoo1LevelDesired&lt;$B149,"-",$D149))</f>
        <v>-</v>
      </c>
      <c r="AO149" s="21" t="str">
        <f t="shared" ref="AO149" si="10501">IF(MarBoo1LevelCurrent&gt;=$B149,"-",IF(MarBoo1LevelDesired&lt;$B149,"-",$E149))</f>
        <v>-</v>
      </c>
      <c r="AP149" s="15" t="str">
        <f t="shared" ref="AP149" si="10502">IF(InfGog2LevelCurrent&gt;=$B149,"-",IF(InfGog2LevelDesired&lt;$B149,"-",$C149))</f>
        <v>-</v>
      </c>
      <c r="AQ149" s="1" t="str">
        <f t="shared" ref="AQ149" si="10503">IF(InfGog2LevelCurrent&gt;=$B149,"-",IF(InfGog2LevelDesired&lt;$B149,"-",$D149))</f>
        <v>-</v>
      </c>
      <c r="AR149" s="21" t="str">
        <f t="shared" ref="AR149" si="10504">IF(InfGog2LevelCurrent&gt;=$B149,"-",IF(InfGog2LevelDesired&lt;$B149,"-",$E149))</f>
        <v>-</v>
      </c>
      <c r="AS149" s="15">
        <f t="shared" ref="AS149" si="10505">IF(InfGlo2LevelCurrent&gt;=$B149,"-",IF(InfGlo2LevelDesired&lt;$B149,"-",$C149))</f>
        <v>4600</v>
      </c>
      <c r="AT149" s="1" t="str">
        <f t="shared" ref="AT149" si="10506">IF(InfGlo2LevelCurrent&gt;=$B149,"-",IF(InfGlo2LevelDesired&lt;$B149,"-",$D149))</f>
        <v>-</v>
      </c>
      <c r="AU149" s="21" t="str">
        <f t="shared" ref="AU149" si="10507">IF(InfGlo2LevelCurrent&gt;=$B149,"-",IF(InfGlo2LevelDesired&lt;$B149,"-",$E149))</f>
        <v>-</v>
      </c>
      <c r="AV149" s="15">
        <f t="shared" ref="AV149" si="10508">IF(InfBel2LevelCurrent&gt;=$B149,"-",IF(InfBel2LevelDesired&lt;$B149,"-",$C149))</f>
        <v>4600</v>
      </c>
      <c r="AW149" s="1" t="str">
        <f t="shared" ref="AW149" si="10509">IF(InfBel2LevelCurrent&gt;=$B149,"-",IF(InfBel2LevelDesired&lt;$B149,"-",$D149))</f>
        <v>-</v>
      </c>
      <c r="AX149" s="21" t="str">
        <f t="shared" ref="AX149" si="10510">IF(InfBel2LevelCurrent&gt;=$B149,"-",IF(InfBel2LevelDesired&lt;$B149,"-",$E149))</f>
        <v>-</v>
      </c>
      <c r="AY149" s="15" t="str">
        <f t="shared" ref="AY149" si="10511">IF(InfBoo2LevelCurrent&gt;=$B149,"-",IF(InfBoo2LevelDesired&lt;$B149,"-",$C149))</f>
        <v>-</v>
      </c>
      <c r="AZ149" s="1" t="str">
        <f t="shared" ref="AZ149" si="10512">IF(InfBoo2LevelCurrent&gt;=$B149,"-",IF(InfBoo2LevelDesired&lt;$B149,"-",$D149))</f>
        <v>-</v>
      </c>
      <c r="BA149" s="21" t="str">
        <f t="shared" ref="BA149" si="10513">IF(InfBoo2LevelCurrent&gt;=$B149,"-",IF(InfBoo2LevelDesired&lt;$B149,"-",$E149))</f>
        <v>-</v>
      </c>
      <c r="BB149" s="15">
        <f t="shared" ref="BB149" si="10514">IF(LanGog2LevelCurrent&gt;=$B149,"-",IF(LanGog2LevelDesired&lt;$B149,"-",$C149))</f>
        <v>4600</v>
      </c>
      <c r="BC149" s="1" t="str">
        <f t="shared" ref="BC149" si="10515">IF(LanGog2LevelCurrent&gt;=$B149,"-",IF(LanGog2LevelDesired&lt;$B149,"-",$D149))</f>
        <v>-</v>
      </c>
      <c r="BD149" s="21" t="str">
        <f t="shared" ref="BD149" si="10516">IF(LanGog2LevelCurrent&gt;=$B149,"-",IF(LanGog2LevelDesired&lt;$B149,"-",$E149))</f>
        <v>-</v>
      </c>
      <c r="BE149" s="15" t="str">
        <f t="shared" ref="BE149" si="10517">IF(LanGlo2LevelCurrent&gt;=$B149,"-",IF(LanGlo2LevelDesired&lt;$B149,"-",$C149))</f>
        <v>-</v>
      </c>
      <c r="BF149" s="1" t="str">
        <f t="shared" ref="BF149" si="10518">IF(LanGlo2LevelCurrent&gt;=$B149,"-",IF(LanGlo2LevelDesired&lt;$B149,"-",$D149))</f>
        <v>-</v>
      </c>
      <c r="BG149" s="21" t="str">
        <f t="shared" ref="BG149" si="10519">IF(LanGlo2LevelCurrent&gt;=$B149,"-",IF(LanGlo2LevelDesired&lt;$B149,"-",$E149))</f>
        <v>-</v>
      </c>
      <c r="BH149" s="15" t="str">
        <f t="shared" ref="BH149" si="10520">IF(LanBel2LevelCurrent&gt;=$B149,"-",IF(LanBel2LevelDesired&lt;$B149,"-",$C149))</f>
        <v>-</v>
      </c>
      <c r="BI149" s="1" t="str">
        <f t="shared" ref="BI149" si="10521">IF(LanBel2LevelCurrent&gt;=$B149,"-",IF(LanBel2LevelDesired&lt;$B149,"-",$D149))</f>
        <v>-</v>
      </c>
      <c r="BJ149" s="21" t="str">
        <f t="shared" ref="BJ149" si="10522">IF(LanBel2LevelCurrent&gt;=$B149,"-",IF(LanBel2LevelDesired&lt;$B149,"-",$E149))</f>
        <v>-</v>
      </c>
      <c r="BK149" s="15">
        <f t="shared" ref="BK149" si="10523">IF(LanBoo2LevelCurrent&gt;=$B149,"-",IF(LanBoo2LevelDesired&lt;$B149,"-",$C149))</f>
        <v>4600</v>
      </c>
      <c r="BL149" s="1" t="str">
        <f t="shared" ref="BL149" si="10524">IF(LanBoo2LevelCurrent&gt;=$B149,"-",IF(LanBoo2LevelDesired&lt;$B149,"-",$D149))</f>
        <v>-</v>
      </c>
      <c r="BM149" s="21" t="str">
        <f t="shared" ref="BM149" si="10525">IF(LanBoo2LevelCurrent&gt;=$B149,"-",IF(LanBoo2LevelDesired&lt;$B149,"-",$E149))</f>
        <v>-</v>
      </c>
      <c r="BN149" s="15">
        <f t="shared" ref="BN149" si="10526">IF(MarGog2LevelCurrent&gt;=$B149,"-",IF(MarGog2LevelDesired&lt;$B149,"-",$C149))</f>
        <v>4600</v>
      </c>
      <c r="BO149" s="1" t="str">
        <f t="shared" ref="BO149" si="10527">IF(MarGog2LevelCurrent&gt;=$B149,"-",IF(MarGog2LevelDesired&lt;$B149,"-",$D149))</f>
        <v>-</v>
      </c>
      <c r="BP149" s="21" t="str">
        <f t="shared" ref="BP149" si="10528">IF(MarGog2LevelCurrent&gt;=$B149,"-",IF(MarGog2LevelDesired&lt;$B149,"-",$E149))</f>
        <v>-</v>
      </c>
      <c r="BQ149" s="15" t="str">
        <f t="shared" ref="BQ149" si="10529">IF(MarGlo2LevelCurrent&gt;=$B149,"-",IF(MarGlo2LevelDesired&lt;$B149,"-",$C149))</f>
        <v>-</v>
      </c>
      <c r="BR149" s="1" t="str">
        <f t="shared" ref="BR149" si="10530">IF(MarGlo2LevelCurrent&gt;=$B149,"-",IF(MarGlo2LevelDesired&lt;$B149,"-",$D149))</f>
        <v>-</v>
      </c>
      <c r="BS149" s="21" t="str">
        <f t="shared" ref="BS149" si="10531">IF(MarGlo2LevelCurrent&gt;=$B149,"-",IF(MarGlo2LevelDesired&lt;$B149,"-",$E149))</f>
        <v>-</v>
      </c>
      <c r="BT149" s="15" t="str">
        <f t="shared" ref="BT149" si="10532">IF(MarBel2LevelCurrent&gt;=$B149,"-",IF(MarBel2LevelDesired&lt;$B149,"-",$C149))</f>
        <v>-</v>
      </c>
      <c r="BU149" s="1" t="str">
        <f t="shared" ref="BU149" si="10533">IF(MarBel2LevelCurrent&gt;=$B149,"-",IF(MarBel2LevelDesired&lt;$B149,"-",$D149))</f>
        <v>-</v>
      </c>
      <c r="BV149" s="21" t="str">
        <f t="shared" ref="BV149" si="10534">IF(MarBel2LevelCurrent&gt;=$B149,"-",IF(MarBel2LevelDesired&lt;$B149,"-",$E149))</f>
        <v>-</v>
      </c>
      <c r="BW149" s="15">
        <f t="shared" ref="BW149" si="10535">IF(MarBoo2LevelCurrent&gt;=$B149,"-",IF(MarBoo2LevelDesired&lt;$B149,"-",$C149))</f>
        <v>4600</v>
      </c>
      <c r="BX149" s="1" t="str">
        <f t="shared" ref="BX149" si="10536">IF(MarBoo2LevelCurrent&gt;=$B149,"-",IF(MarBoo2LevelDesired&lt;$B149,"-",$D149))</f>
        <v>-</v>
      </c>
      <c r="BY149" s="21" t="str">
        <f t="shared" ref="BY149" si="10537">IF(MarBoo2LevelCurrent&gt;=$B149,"-",IF(MarBoo2LevelDesired&lt;$B149,"-",$E149))</f>
        <v>-</v>
      </c>
      <c r="BZ149" s="15" t="str">
        <f t="shared" si="9424"/>
        <v>-</v>
      </c>
      <c r="CA149" s="1" t="str" cm="1">
        <f t="array" ref="CA149">IF(InfGog3LevelCurrent&gt;=$B149,"-",IF(InfGog3LevelDesired&lt;$B149,"-",$D149))</f>
        <v>-</v>
      </c>
      <c r="CB149" s="21" t="str" cm="1">
        <f t="array" ref="CB149">IF(InfGog3LevelCurrent&gt;=$B149,"-",IF(InfGog3LevelDesired&lt;$B149,"-",$E149))</f>
        <v>-</v>
      </c>
      <c r="CC149" s="15" t="str">
        <f t="shared" si="9425"/>
        <v>-</v>
      </c>
      <c r="CD149" s="1" t="str">
        <f t="shared" si="9426"/>
        <v>-</v>
      </c>
      <c r="CE149" s="21" t="str">
        <f t="shared" si="9427"/>
        <v>-</v>
      </c>
      <c r="CF149" s="15" t="str">
        <f t="shared" si="9428"/>
        <v>-</v>
      </c>
      <c r="CG149" s="1" t="str">
        <f t="shared" si="9429"/>
        <v>-</v>
      </c>
      <c r="CH149" s="21" t="str">
        <f t="shared" si="9430"/>
        <v>-</v>
      </c>
      <c r="CI149" s="15" t="str">
        <f t="shared" si="9431"/>
        <v>-</v>
      </c>
      <c r="CJ149" s="1" t="str">
        <f t="shared" si="9432"/>
        <v>-</v>
      </c>
      <c r="CK149" s="21" t="str">
        <f t="shared" si="9433"/>
        <v>-</v>
      </c>
      <c r="CL149" s="15" t="str">
        <f t="shared" si="9434"/>
        <v>-</v>
      </c>
      <c r="CM149" s="1" t="str">
        <f t="shared" si="9435"/>
        <v>-</v>
      </c>
      <c r="CN149" s="21" t="str">
        <f t="shared" si="9436"/>
        <v>-</v>
      </c>
      <c r="CO149" s="15" t="str">
        <f t="shared" si="9437"/>
        <v>-</v>
      </c>
      <c r="CP149" s="1" t="str">
        <f t="shared" si="9438"/>
        <v>-</v>
      </c>
      <c r="CQ149" s="21" t="str">
        <f t="shared" si="9439"/>
        <v>-</v>
      </c>
      <c r="CR149" s="15" t="str">
        <f t="shared" si="9440"/>
        <v>-</v>
      </c>
      <c r="CS149" s="1" t="str">
        <f t="shared" si="9441"/>
        <v>-</v>
      </c>
      <c r="CT149" s="21" t="str">
        <f t="shared" si="9442"/>
        <v>-</v>
      </c>
      <c r="CU149" s="15" t="str">
        <f t="shared" si="9443"/>
        <v>-</v>
      </c>
      <c r="CV149" s="1" t="str">
        <f t="shared" si="9444"/>
        <v>-</v>
      </c>
      <c r="CW149" s="21" t="str">
        <f t="shared" si="9445"/>
        <v>-</v>
      </c>
      <c r="CX149" s="15" t="str">
        <f t="shared" si="9446"/>
        <v>-</v>
      </c>
      <c r="CY149" s="1" t="str">
        <f t="shared" si="9447"/>
        <v>-</v>
      </c>
      <c r="CZ149" s="21" t="str">
        <f t="shared" si="9448"/>
        <v>-</v>
      </c>
      <c r="DA149" s="15" t="str">
        <f t="shared" si="9449"/>
        <v>-</v>
      </c>
      <c r="DB149" s="1" t="str">
        <f t="shared" si="9450"/>
        <v>-</v>
      </c>
      <c r="DC149" s="21" t="str">
        <f t="shared" si="9451"/>
        <v>-</v>
      </c>
      <c r="DD149" s="15" t="str">
        <f t="shared" si="9452"/>
        <v>-</v>
      </c>
      <c r="DE149" s="1" t="str">
        <f t="shared" si="9453"/>
        <v>-</v>
      </c>
      <c r="DF149" s="21" t="str">
        <f t="shared" si="9454"/>
        <v>-</v>
      </c>
      <c r="DG149" s="15" t="str">
        <f t="shared" si="9455"/>
        <v>-</v>
      </c>
      <c r="DH149" s="1" t="str">
        <f t="shared" si="9456"/>
        <v>-</v>
      </c>
      <c r="DI149" s="21" t="str">
        <f t="shared" si="9457"/>
        <v>-</v>
      </c>
    </row>
    <row r="150" spans="2:113" x14ac:dyDescent="0.3">
      <c r="B150" s="1">
        <v>145</v>
      </c>
      <c r="C150" s="67">
        <v>4650</v>
      </c>
      <c r="D150" s="88" t="s">
        <v>27</v>
      </c>
      <c r="E150" s="68" t="s">
        <v>27</v>
      </c>
      <c r="F150" s="15" t="str">
        <f t="shared" ref="F150" si="10538">IF(InfGog1LevelCurrent&gt;=$B150,"-",IF(InfGog1LevelDesired&lt;$B150,"-",$C150))</f>
        <v>-</v>
      </c>
      <c r="G150" s="1" t="str">
        <f t="shared" ref="G150" si="10539">IF(InfGog1LevelCurrent&gt;=$B150,"-",IF(InfGog1LevelDesired&lt;$B150,"-",$D150))</f>
        <v>-</v>
      </c>
      <c r="H150" s="21" t="str">
        <f t="shared" ref="H150" si="10540">IF(InfGog1LevelCurrent&gt;=$B150,"-",IF(InfGog1LevelDesired&lt;$B150,"-",$E150))</f>
        <v>-</v>
      </c>
      <c r="I150" s="15" t="str">
        <f t="shared" ref="I150" si="10541">IF(InfGlo1LevelCurrent&gt;=$B150,"-",IF(InfGlo1LevelDesired&lt;$B150,"-",$C150))</f>
        <v>-</v>
      </c>
      <c r="J150" s="1" t="str">
        <f t="shared" ref="J150" si="10542">IF(InfGlo1LevelCurrent&gt;=$B150,"-",IF(InfGlo1LevelDesired&lt;$B150,"-",$D150))</f>
        <v>-</v>
      </c>
      <c r="K150" s="21" t="str">
        <f t="shared" ref="K150" si="10543">IF(InfGlo1LevelCurrent&gt;=$B150,"-",IF(InfGlo1LevelDesired&lt;$B150,"-",$E150))</f>
        <v>-</v>
      </c>
      <c r="L150" s="15" t="str">
        <f t="shared" ref="L150" si="10544">IF(InfBel1LevelCurrent&gt;=$B150,"-",IF(InfBel1LevelDesired&lt;$B150,"-",$C150))</f>
        <v>-</v>
      </c>
      <c r="M150" s="1" t="str">
        <f t="shared" ref="M150" si="10545">IF(InfBel1LevelCurrent&gt;=$B150,"-",IF(InfBel1LevelDesired&lt;$B150,"-",$D150))</f>
        <v>-</v>
      </c>
      <c r="N150" s="21" t="str">
        <f t="shared" ref="N150" si="10546">IF(InfBel1LevelCurrent&gt;=$B150,"-",IF(InfBel1LevelDesired&lt;$B150,"-",$E150))</f>
        <v>-</v>
      </c>
      <c r="O150" s="15" t="str">
        <f t="shared" ref="O150" si="10547">IF(InfBoo1LevelCurrent&gt;=$B150,"-",IF(InfBoo1LevelDesired&lt;$B150,"-",$C150))</f>
        <v>-</v>
      </c>
      <c r="P150" s="1" t="str">
        <f t="shared" ref="P150" si="10548">IF(InfBoo1LevelCurrent&gt;=$B150,"-",IF(InfBoo1LevelDesired&lt;$B150,"-",$D150))</f>
        <v>-</v>
      </c>
      <c r="Q150" s="21" t="str">
        <f t="shared" ref="Q150" si="10549">IF(InfBoo1LevelCurrent&gt;=$B150,"-",IF(InfBoo1LevelDesired&lt;$B150,"-",$E150))</f>
        <v>-</v>
      </c>
      <c r="R150" s="15" t="str">
        <f t="shared" ref="R150" si="10550">IF(LanGog1LevelCurrent&gt;=$B150,"-",IF(LanGog1LevelDesired&lt;$B150,"-",$C150))</f>
        <v>-</v>
      </c>
      <c r="S150" s="1" t="str">
        <f t="shared" ref="S150" si="10551">IF(LanGog1LevelCurrent&gt;=$B150,"-",IF(LanGog1LevelDesired&lt;$B150,"-",$D150))</f>
        <v>-</v>
      </c>
      <c r="T150" s="21" t="str">
        <f t="shared" ref="T150" si="10552">IF(LanGog1LevelCurrent&gt;=$B150,"-",IF(LanGog1LevelDesired&lt;$B150,"-",$E150))</f>
        <v>-</v>
      </c>
      <c r="U150" s="15" t="str">
        <f t="shared" ref="U150" si="10553">IF(LanGlo1LevelCurrent&gt;=$B150,"-",IF(LanGlo1LevelDesired&lt;$B150,"-",$C150))</f>
        <v>-</v>
      </c>
      <c r="V150" s="1" t="str">
        <f t="shared" ref="V150" si="10554">IF(LanGlo1LevelCurrent&gt;=$B150,"-",IF(LanGlo1LevelDesired&lt;$B150,"-",$D150))</f>
        <v>-</v>
      </c>
      <c r="W150" s="21" t="str">
        <f t="shared" ref="W150" si="10555">IF(LanGlo1LevelCurrent&gt;=$B150,"-",IF(LanGlo1LevelDesired&lt;$B150,"-",$E150))</f>
        <v>-</v>
      </c>
      <c r="X150" s="15" t="str">
        <f t="shared" ref="X150" si="10556">IF(LanBel1LevelCurrent&gt;=$B150,"-",IF(LanBel1LevelDesired&lt;$B150,"-",$C150))</f>
        <v>-</v>
      </c>
      <c r="Y150" s="1" t="str">
        <f t="shared" ref="Y150" si="10557">IF(LanBel1LevelCurrent&gt;=$B150,"-",IF(LanBel1LevelDesired&lt;$B150,"-",$D150))</f>
        <v>-</v>
      </c>
      <c r="Z150" s="21" t="str">
        <f t="shared" ref="Z150" si="10558">IF(LanBel1LevelCurrent&gt;=$B150,"-",IF(LanBel1LevelDesired&lt;$B150,"-",$E150))</f>
        <v>-</v>
      </c>
      <c r="AA150" s="15" t="str">
        <f t="shared" ref="AA150" si="10559">IF(LanBoo1LevelCurrent&gt;=$B150,"-",IF(LanBoo1LevelDesired&lt;$B150,"-",$C150))</f>
        <v>-</v>
      </c>
      <c r="AB150" s="1" t="str">
        <f t="shared" ref="AB150" si="10560">IF(LanBoo1LevelCurrent&gt;=$B150,"-",IF(LanBoo1LevelDesired&lt;$B150,"-",$D150))</f>
        <v>-</v>
      </c>
      <c r="AC150" s="21" t="str">
        <f t="shared" ref="AC150" si="10561">IF(LanBoo1LevelCurrent&gt;=$B150,"-",IF(LanBoo1LevelDesired&lt;$B150,"-",$E150))</f>
        <v>-</v>
      </c>
      <c r="AD150" s="15" t="str">
        <f t="shared" ref="AD150" si="10562">IF(MarGog1LevelCurrent&gt;=$B150,"-",IF(MarGog1LevelDesired&lt;$B150,"-",$C150))</f>
        <v>-</v>
      </c>
      <c r="AE150" s="1" t="str">
        <f t="shared" ref="AE150" si="10563">IF(MarGog1LevelCurrent&gt;=$B150,"-",IF(MarGog1LevelDesired&lt;$B150,"-",$D150))</f>
        <v>-</v>
      </c>
      <c r="AF150" s="21" t="str">
        <f t="shared" ref="AF150" si="10564">IF(MarGog1LevelCurrent&gt;=$B150,"-",IF(MarGog1LevelDesired&lt;$B150,"-",$E150))</f>
        <v>-</v>
      </c>
      <c r="AG150" s="15" t="str">
        <f t="shared" ref="AG150" si="10565">IF(MarGlo1LevelCurrent&gt;=$B150,"-",IF(MarGlo1LevelDesired&lt;$B150,"-",$C150))</f>
        <v>-</v>
      </c>
      <c r="AH150" s="1" t="str">
        <f t="shared" ref="AH150" si="10566">IF(MarGlo1LevelCurrent&gt;=$B150,"-",IF(MarGlo1LevelDesired&lt;$B150,"-",$D150))</f>
        <v>-</v>
      </c>
      <c r="AI150" s="21" t="str">
        <f t="shared" ref="AI150" si="10567">IF(MarGlo1LevelCurrent&gt;=$B150,"-",IF(MarGlo1LevelDesired&lt;$B150,"-",$E150))</f>
        <v>-</v>
      </c>
      <c r="AJ150" s="15" t="str">
        <f t="shared" ref="AJ150" si="10568">IF(MarBel1LevelCurrent&gt;=$B150,"-",IF(MarBel1LevelDesired&lt;$B150,"-",$C150))</f>
        <v>-</v>
      </c>
      <c r="AK150" s="1" t="str">
        <f t="shared" ref="AK150" si="10569">IF(MarBel1LevelCurrent&gt;=$B150,"-",IF(MarBel1LevelDesired&lt;$B150,"-",$D150))</f>
        <v>-</v>
      </c>
      <c r="AL150" s="21" t="str">
        <f t="shared" ref="AL150" si="10570">IF(MarBel1LevelCurrent&gt;=$B150,"-",IF(MarBel1LevelDesired&lt;$B150,"-",$E150))</f>
        <v>-</v>
      </c>
      <c r="AM150" s="15" t="str">
        <f t="shared" ref="AM150" si="10571">IF(MarBoo1LevelCurrent&gt;=$B150,"-",IF(MarBoo1LevelDesired&lt;$B150,"-",$C150))</f>
        <v>-</v>
      </c>
      <c r="AN150" s="1" t="str">
        <f t="shared" ref="AN150" si="10572">IF(MarBoo1LevelCurrent&gt;=$B150,"-",IF(MarBoo1LevelDesired&lt;$B150,"-",$D150))</f>
        <v>-</v>
      </c>
      <c r="AO150" s="21" t="str">
        <f t="shared" ref="AO150" si="10573">IF(MarBoo1LevelCurrent&gt;=$B150,"-",IF(MarBoo1LevelDesired&lt;$B150,"-",$E150))</f>
        <v>-</v>
      </c>
      <c r="AP150" s="15" t="str">
        <f t="shared" ref="AP150" si="10574">IF(InfGog2LevelCurrent&gt;=$B150,"-",IF(InfGog2LevelDesired&lt;$B150,"-",$C150))</f>
        <v>-</v>
      </c>
      <c r="AQ150" s="1" t="str">
        <f t="shared" ref="AQ150" si="10575">IF(InfGog2LevelCurrent&gt;=$B150,"-",IF(InfGog2LevelDesired&lt;$B150,"-",$D150))</f>
        <v>-</v>
      </c>
      <c r="AR150" s="21" t="str">
        <f t="shared" ref="AR150" si="10576">IF(InfGog2LevelCurrent&gt;=$B150,"-",IF(InfGog2LevelDesired&lt;$B150,"-",$E150))</f>
        <v>-</v>
      </c>
      <c r="AS150" s="15">
        <f t="shared" ref="AS150" si="10577">IF(InfGlo2LevelCurrent&gt;=$B150,"-",IF(InfGlo2LevelDesired&lt;$B150,"-",$C150))</f>
        <v>4650</v>
      </c>
      <c r="AT150" s="1" t="str">
        <f t="shared" ref="AT150" si="10578">IF(InfGlo2LevelCurrent&gt;=$B150,"-",IF(InfGlo2LevelDesired&lt;$B150,"-",$D150))</f>
        <v>-</v>
      </c>
      <c r="AU150" s="21" t="str">
        <f t="shared" ref="AU150" si="10579">IF(InfGlo2LevelCurrent&gt;=$B150,"-",IF(InfGlo2LevelDesired&lt;$B150,"-",$E150))</f>
        <v>-</v>
      </c>
      <c r="AV150" s="15">
        <f t="shared" ref="AV150" si="10580">IF(InfBel2LevelCurrent&gt;=$B150,"-",IF(InfBel2LevelDesired&lt;$B150,"-",$C150))</f>
        <v>4650</v>
      </c>
      <c r="AW150" s="1" t="str">
        <f t="shared" ref="AW150" si="10581">IF(InfBel2LevelCurrent&gt;=$B150,"-",IF(InfBel2LevelDesired&lt;$B150,"-",$D150))</f>
        <v>-</v>
      </c>
      <c r="AX150" s="21" t="str">
        <f t="shared" ref="AX150" si="10582">IF(InfBel2LevelCurrent&gt;=$B150,"-",IF(InfBel2LevelDesired&lt;$B150,"-",$E150))</f>
        <v>-</v>
      </c>
      <c r="AY150" s="15" t="str">
        <f t="shared" ref="AY150" si="10583">IF(InfBoo2LevelCurrent&gt;=$B150,"-",IF(InfBoo2LevelDesired&lt;$B150,"-",$C150))</f>
        <v>-</v>
      </c>
      <c r="AZ150" s="1" t="str">
        <f t="shared" ref="AZ150" si="10584">IF(InfBoo2LevelCurrent&gt;=$B150,"-",IF(InfBoo2LevelDesired&lt;$B150,"-",$D150))</f>
        <v>-</v>
      </c>
      <c r="BA150" s="21" t="str">
        <f t="shared" ref="BA150" si="10585">IF(InfBoo2LevelCurrent&gt;=$B150,"-",IF(InfBoo2LevelDesired&lt;$B150,"-",$E150))</f>
        <v>-</v>
      </c>
      <c r="BB150" s="15">
        <f t="shared" ref="BB150" si="10586">IF(LanGog2LevelCurrent&gt;=$B150,"-",IF(LanGog2LevelDesired&lt;$B150,"-",$C150))</f>
        <v>4650</v>
      </c>
      <c r="BC150" s="1" t="str">
        <f t="shared" ref="BC150" si="10587">IF(LanGog2LevelCurrent&gt;=$B150,"-",IF(LanGog2LevelDesired&lt;$B150,"-",$D150))</f>
        <v>-</v>
      </c>
      <c r="BD150" s="21" t="str">
        <f t="shared" ref="BD150" si="10588">IF(LanGog2LevelCurrent&gt;=$B150,"-",IF(LanGog2LevelDesired&lt;$B150,"-",$E150))</f>
        <v>-</v>
      </c>
      <c r="BE150" s="15" t="str">
        <f t="shared" ref="BE150" si="10589">IF(LanGlo2LevelCurrent&gt;=$B150,"-",IF(LanGlo2LevelDesired&lt;$B150,"-",$C150))</f>
        <v>-</v>
      </c>
      <c r="BF150" s="1" t="str">
        <f t="shared" ref="BF150" si="10590">IF(LanGlo2LevelCurrent&gt;=$B150,"-",IF(LanGlo2LevelDesired&lt;$B150,"-",$D150))</f>
        <v>-</v>
      </c>
      <c r="BG150" s="21" t="str">
        <f t="shared" ref="BG150" si="10591">IF(LanGlo2LevelCurrent&gt;=$B150,"-",IF(LanGlo2LevelDesired&lt;$B150,"-",$E150))</f>
        <v>-</v>
      </c>
      <c r="BH150" s="15" t="str">
        <f t="shared" ref="BH150" si="10592">IF(LanBel2LevelCurrent&gt;=$B150,"-",IF(LanBel2LevelDesired&lt;$B150,"-",$C150))</f>
        <v>-</v>
      </c>
      <c r="BI150" s="1" t="str">
        <f t="shared" ref="BI150" si="10593">IF(LanBel2LevelCurrent&gt;=$B150,"-",IF(LanBel2LevelDesired&lt;$B150,"-",$D150))</f>
        <v>-</v>
      </c>
      <c r="BJ150" s="21" t="str">
        <f t="shared" ref="BJ150" si="10594">IF(LanBel2LevelCurrent&gt;=$B150,"-",IF(LanBel2LevelDesired&lt;$B150,"-",$E150))</f>
        <v>-</v>
      </c>
      <c r="BK150" s="15">
        <f t="shared" ref="BK150" si="10595">IF(LanBoo2LevelCurrent&gt;=$B150,"-",IF(LanBoo2LevelDesired&lt;$B150,"-",$C150))</f>
        <v>4650</v>
      </c>
      <c r="BL150" s="1" t="str">
        <f t="shared" ref="BL150" si="10596">IF(LanBoo2LevelCurrent&gt;=$B150,"-",IF(LanBoo2LevelDesired&lt;$B150,"-",$D150))</f>
        <v>-</v>
      </c>
      <c r="BM150" s="21" t="str">
        <f t="shared" ref="BM150" si="10597">IF(LanBoo2LevelCurrent&gt;=$B150,"-",IF(LanBoo2LevelDesired&lt;$B150,"-",$E150))</f>
        <v>-</v>
      </c>
      <c r="BN150" s="15">
        <f t="shared" ref="BN150" si="10598">IF(MarGog2LevelCurrent&gt;=$B150,"-",IF(MarGog2LevelDesired&lt;$B150,"-",$C150))</f>
        <v>4650</v>
      </c>
      <c r="BO150" s="1" t="str">
        <f t="shared" ref="BO150" si="10599">IF(MarGog2LevelCurrent&gt;=$B150,"-",IF(MarGog2LevelDesired&lt;$B150,"-",$D150))</f>
        <v>-</v>
      </c>
      <c r="BP150" s="21" t="str">
        <f t="shared" ref="BP150" si="10600">IF(MarGog2LevelCurrent&gt;=$B150,"-",IF(MarGog2LevelDesired&lt;$B150,"-",$E150))</f>
        <v>-</v>
      </c>
      <c r="BQ150" s="15" t="str">
        <f t="shared" ref="BQ150" si="10601">IF(MarGlo2LevelCurrent&gt;=$B150,"-",IF(MarGlo2LevelDesired&lt;$B150,"-",$C150))</f>
        <v>-</v>
      </c>
      <c r="BR150" s="1" t="str">
        <f t="shared" ref="BR150" si="10602">IF(MarGlo2LevelCurrent&gt;=$B150,"-",IF(MarGlo2LevelDesired&lt;$B150,"-",$D150))</f>
        <v>-</v>
      </c>
      <c r="BS150" s="21" t="str">
        <f t="shared" ref="BS150" si="10603">IF(MarGlo2LevelCurrent&gt;=$B150,"-",IF(MarGlo2LevelDesired&lt;$B150,"-",$E150))</f>
        <v>-</v>
      </c>
      <c r="BT150" s="15" t="str">
        <f t="shared" ref="BT150" si="10604">IF(MarBel2LevelCurrent&gt;=$B150,"-",IF(MarBel2LevelDesired&lt;$B150,"-",$C150))</f>
        <v>-</v>
      </c>
      <c r="BU150" s="1" t="str">
        <f t="shared" ref="BU150" si="10605">IF(MarBel2LevelCurrent&gt;=$B150,"-",IF(MarBel2LevelDesired&lt;$B150,"-",$D150))</f>
        <v>-</v>
      </c>
      <c r="BV150" s="21" t="str">
        <f t="shared" ref="BV150" si="10606">IF(MarBel2LevelCurrent&gt;=$B150,"-",IF(MarBel2LevelDesired&lt;$B150,"-",$E150))</f>
        <v>-</v>
      </c>
      <c r="BW150" s="15">
        <f t="shared" ref="BW150" si="10607">IF(MarBoo2LevelCurrent&gt;=$B150,"-",IF(MarBoo2LevelDesired&lt;$B150,"-",$C150))</f>
        <v>4650</v>
      </c>
      <c r="BX150" s="1" t="str">
        <f t="shared" ref="BX150" si="10608">IF(MarBoo2LevelCurrent&gt;=$B150,"-",IF(MarBoo2LevelDesired&lt;$B150,"-",$D150))</f>
        <v>-</v>
      </c>
      <c r="BY150" s="21" t="str">
        <f t="shared" ref="BY150" si="10609">IF(MarBoo2LevelCurrent&gt;=$B150,"-",IF(MarBoo2LevelDesired&lt;$B150,"-",$E150))</f>
        <v>-</v>
      </c>
      <c r="BZ150" s="15" t="str">
        <f t="shared" si="9424"/>
        <v>-</v>
      </c>
      <c r="CA150" s="1" t="str" cm="1">
        <f t="array" ref="CA150">IF(InfGog3LevelCurrent&gt;=$B150,"-",IF(InfGog3LevelDesired&lt;$B150,"-",$D150))</f>
        <v>-</v>
      </c>
      <c r="CB150" s="21" t="str" cm="1">
        <f t="array" ref="CB150">IF(InfGog3LevelCurrent&gt;=$B150,"-",IF(InfGog3LevelDesired&lt;$B150,"-",$E150))</f>
        <v>-</v>
      </c>
      <c r="CC150" s="15" t="str">
        <f t="shared" si="9425"/>
        <v>-</v>
      </c>
      <c r="CD150" s="1" t="str">
        <f t="shared" si="9426"/>
        <v>-</v>
      </c>
      <c r="CE150" s="21" t="str">
        <f t="shared" si="9427"/>
        <v>-</v>
      </c>
      <c r="CF150" s="15" t="str">
        <f t="shared" si="9428"/>
        <v>-</v>
      </c>
      <c r="CG150" s="1" t="str">
        <f t="shared" si="9429"/>
        <v>-</v>
      </c>
      <c r="CH150" s="21" t="str">
        <f t="shared" si="9430"/>
        <v>-</v>
      </c>
      <c r="CI150" s="15" t="str">
        <f t="shared" si="9431"/>
        <v>-</v>
      </c>
      <c r="CJ150" s="1" t="str">
        <f t="shared" si="9432"/>
        <v>-</v>
      </c>
      <c r="CK150" s="21" t="str">
        <f t="shared" si="9433"/>
        <v>-</v>
      </c>
      <c r="CL150" s="15" t="str">
        <f t="shared" si="9434"/>
        <v>-</v>
      </c>
      <c r="CM150" s="1" t="str">
        <f t="shared" si="9435"/>
        <v>-</v>
      </c>
      <c r="CN150" s="21" t="str">
        <f t="shared" si="9436"/>
        <v>-</v>
      </c>
      <c r="CO150" s="15" t="str">
        <f t="shared" si="9437"/>
        <v>-</v>
      </c>
      <c r="CP150" s="1" t="str">
        <f t="shared" si="9438"/>
        <v>-</v>
      </c>
      <c r="CQ150" s="21" t="str">
        <f t="shared" si="9439"/>
        <v>-</v>
      </c>
      <c r="CR150" s="15" t="str">
        <f t="shared" si="9440"/>
        <v>-</v>
      </c>
      <c r="CS150" s="1" t="str">
        <f t="shared" si="9441"/>
        <v>-</v>
      </c>
      <c r="CT150" s="21" t="str">
        <f t="shared" si="9442"/>
        <v>-</v>
      </c>
      <c r="CU150" s="15" t="str">
        <f t="shared" si="9443"/>
        <v>-</v>
      </c>
      <c r="CV150" s="1" t="str">
        <f t="shared" si="9444"/>
        <v>-</v>
      </c>
      <c r="CW150" s="21" t="str">
        <f t="shared" si="9445"/>
        <v>-</v>
      </c>
      <c r="CX150" s="15" t="str">
        <f t="shared" si="9446"/>
        <v>-</v>
      </c>
      <c r="CY150" s="1" t="str">
        <f t="shared" si="9447"/>
        <v>-</v>
      </c>
      <c r="CZ150" s="21" t="str">
        <f t="shared" si="9448"/>
        <v>-</v>
      </c>
      <c r="DA150" s="15" t="str">
        <f t="shared" si="9449"/>
        <v>-</v>
      </c>
      <c r="DB150" s="1" t="str">
        <f t="shared" si="9450"/>
        <v>-</v>
      </c>
      <c r="DC150" s="21" t="str">
        <f t="shared" si="9451"/>
        <v>-</v>
      </c>
      <c r="DD150" s="15" t="str">
        <f t="shared" si="9452"/>
        <v>-</v>
      </c>
      <c r="DE150" s="1" t="str">
        <f t="shared" si="9453"/>
        <v>-</v>
      </c>
      <c r="DF150" s="21" t="str">
        <f t="shared" si="9454"/>
        <v>-</v>
      </c>
      <c r="DG150" s="15" t="str">
        <f t="shared" si="9455"/>
        <v>-</v>
      </c>
      <c r="DH150" s="1" t="str">
        <f t="shared" si="9456"/>
        <v>-</v>
      </c>
      <c r="DI150" s="21" t="str">
        <f t="shared" si="9457"/>
        <v>-</v>
      </c>
    </row>
    <row r="151" spans="2:113" x14ac:dyDescent="0.3">
      <c r="B151" s="1">
        <v>146</v>
      </c>
      <c r="C151" s="67">
        <v>4700</v>
      </c>
      <c r="D151" s="88" t="s">
        <v>27</v>
      </c>
      <c r="E151" s="68" t="s">
        <v>27</v>
      </c>
      <c r="F151" s="15" t="str">
        <f t="shared" ref="F151" si="10610">IF(InfGog1LevelCurrent&gt;=$B151,"-",IF(InfGog1LevelDesired&lt;$B151,"-",$C151))</f>
        <v>-</v>
      </c>
      <c r="G151" s="1" t="str">
        <f t="shared" ref="G151" si="10611">IF(InfGog1LevelCurrent&gt;=$B151,"-",IF(InfGog1LevelDesired&lt;$B151,"-",$D151))</f>
        <v>-</v>
      </c>
      <c r="H151" s="21" t="str">
        <f t="shared" ref="H151" si="10612">IF(InfGog1LevelCurrent&gt;=$B151,"-",IF(InfGog1LevelDesired&lt;$B151,"-",$E151))</f>
        <v>-</v>
      </c>
      <c r="I151" s="15" t="str">
        <f t="shared" ref="I151" si="10613">IF(InfGlo1LevelCurrent&gt;=$B151,"-",IF(InfGlo1LevelDesired&lt;$B151,"-",$C151))</f>
        <v>-</v>
      </c>
      <c r="J151" s="1" t="str">
        <f t="shared" ref="J151" si="10614">IF(InfGlo1LevelCurrent&gt;=$B151,"-",IF(InfGlo1LevelDesired&lt;$B151,"-",$D151))</f>
        <v>-</v>
      </c>
      <c r="K151" s="21" t="str">
        <f t="shared" ref="K151" si="10615">IF(InfGlo1LevelCurrent&gt;=$B151,"-",IF(InfGlo1LevelDesired&lt;$B151,"-",$E151))</f>
        <v>-</v>
      </c>
      <c r="L151" s="15" t="str">
        <f t="shared" ref="L151" si="10616">IF(InfBel1LevelCurrent&gt;=$B151,"-",IF(InfBel1LevelDesired&lt;$B151,"-",$C151))</f>
        <v>-</v>
      </c>
      <c r="M151" s="1" t="str">
        <f t="shared" ref="M151" si="10617">IF(InfBel1LevelCurrent&gt;=$B151,"-",IF(InfBel1LevelDesired&lt;$B151,"-",$D151))</f>
        <v>-</v>
      </c>
      <c r="N151" s="21" t="str">
        <f t="shared" ref="N151" si="10618">IF(InfBel1LevelCurrent&gt;=$B151,"-",IF(InfBel1LevelDesired&lt;$B151,"-",$E151))</f>
        <v>-</v>
      </c>
      <c r="O151" s="15" t="str">
        <f t="shared" ref="O151" si="10619">IF(InfBoo1LevelCurrent&gt;=$B151,"-",IF(InfBoo1LevelDesired&lt;$B151,"-",$C151))</f>
        <v>-</v>
      </c>
      <c r="P151" s="1" t="str">
        <f t="shared" ref="P151" si="10620">IF(InfBoo1LevelCurrent&gt;=$B151,"-",IF(InfBoo1LevelDesired&lt;$B151,"-",$D151))</f>
        <v>-</v>
      </c>
      <c r="Q151" s="21" t="str">
        <f t="shared" ref="Q151" si="10621">IF(InfBoo1LevelCurrent&gt;=$B151,"-",IF(InfBoo1LevelDesired&lt;$B151,"-",$E151))</f>
        <v>-</v>
      </c>
      <c r="R151" s="15" t="str">
        <f t="shared" ref="R151" si="10622">IF(LanGog1LevelCurrent&gt;=$B151,"-",IF(LanGog1LevelDesired&lt;$B151,"-",$C151))</f>
        <v>-</v>
      </c>
      <c r="S151" s="1" t="str">
        <f t="shared" ref="S151" si="10623">IF(LanGog1LevelCurrent&gt;=$B151,"-",IF(LanGog1LevelDesired&lt;$B151,"-",$D151))</f>
        <v>-</v>
      </c>
      <c r="T151" s="21" t="str">
        <f t="shared" ref="T151" si="10624">IF(LanGog1LevelCurrent&gt;=$B151,"-",IF(LanGog1LevelDesired&lt;$B151,"-",$E151))</f>
        <v>-</v>
      </c>
      <c r="U151" s="15" t="str">
        <f t="shared" ref="U151" si="10625">IF(LanGlo1LevelCurrent&gt;=$B151,"-",IF(LanGlo1LevelDesired&lt;$B151,"-",$C151))</f>
        <v>-</v>
      </c>
      <c r="V151" s="1" t="str">
        <f t="shared" ref="V151" si="10626">IF(LanGlo1LevelCurrent&gt;=$B151,"-",IF(LanGlo1LevelDesired&lt;$B151,"-",$D151))</f>
        <v>-</v>
      </c>
      <c r="W151" s="21" t="str">
        <f t="shared" ref="W151" si="10627">IF(LanGlo1LevelCurrent&gt;=$B151,"-",IF(LanGlo1LevelDesired&lt;$B151,"-",$E151))</f>
        <v>-</v>
      </c>
      <c r="X151" s="15" t="str">
        <f t="shared" ref="X151" si="10628">IF(LanBel1LevelCurrent&gt;=$B151,"-",IF(LanBel1LevelDesired&lt;$B151,"-",$C151))</f>
        <v>-</v>
      </c>
      <c r="Y151" s="1" t="str">
        <f t="shared" ref="Y151" si="10629">IF(LanBel1LevelCurrent&gt;=$B151,"-",IF(LanBel1LevelDesired&lt;$B151,"-",$D151))</f>
        <v>-</v>
      </c>
      <c r="Z151" s="21" t="str">
        <f t="shared" ref="Z151" si="10630">IF(LanBel1LevelCurrent&gt;=$B151,"-",IF(LanBel1LevelDesired&lt;$B151,"-",$E151))</f>
        <v>-</v>
      </c>
      <c r="AA151" s="15" t="str">
        <f t="shared" ref="AA151" si="10631">IF(LanBoo1LevelCurrent&gt;=$B151,"-",IF(LanBoo1LevelDesired&lt;$B151,"-",$C151))</f>
        <v>-</v>
      </c>
      <c r="AB151" s="1" t="str">
        <f t="shared" ref="AB151" si="10632">IF(LanBoo1LevelCurrent&gt;=$B151,"-",IF(LanBoo1LevelDesired&lt;$B151,"-",$D151))</f>
        <v>-</v>
      </c>
      <c r="AC151" s="21" t="str">
        <f t="shared" ref="AC151" si="10633">IF(LanBoo1LevelCurrent&gt;=$B151,"-",IF(LanBoo1LevelDesired&lt;$B151,"-",$E151))</f>
        <v>-</v>
      </c>
      <c r="AD151" s="15" t="str">
        <f t="shared" ref="AD151" si="10634">IF(MarGog1LevelCurrent&gt;=$B151,"-",IF(MarGog1LevelDesired&lt;$B151,"-",$C151))</f>
        <v>-</v>
      </c>
      <c r="AE151" s="1" t="str">
        <f t="shared" ref="AE151" si="10635">IF(MarGog1LevelCurrent&gt;=$B151,"-",IF(MarGog1LevelDesired&lt;$B151,"-",$D151))</f>
        <v>-</v>
      </c>
      <c r="AF151" s="21" t="str">
        <f t="shared" ref="AF151" si="10636">IF(MarGog1LevelCurrent&gt;=$B151,"-",IF(MarGog1LevelDesired&lt;$B151,"-",$E151))</f>
        <v>-</v>
      </c>
      <c r="AG151" s="15" t="str">
        <f t="shared" ref="AG151" si="10637">IF(MarGlo1LevelCurrent&gt;=$B151,"-",IF(MarGlo1LevelDesired&lt;$B151,"-",$C151))</f>
        <v>-</v>
      </c>
      <c r="AH151" s="1" t="str">
        <f t="shared" ref="AH151" si="10638">IF(MarGlo1LevelCurrent&gt;=$B151,"-",IF(MarGlo1LevelDesired&lt;$B151,"-",$D151))</f>
        <v>-</v>
      </c>
      <c r="AI151" s="21" t="str">
        <f t="shared" ref="AI151" si="10639">IF(MarGlo1LevelCurrent&gt;=$B151,"-",IF(MarGlo1LevelDesired&lt;$B151,"-",$E151))</f>
        <v>-</v>
      </c>
      <c r="AJ151" s="15" t="str">
        <f t="shared" ref="AJ151" si="10640">IF(MarBel1LevelCurrent&gt;=$B151,"-",IF(MarBel1LevelDesired&lt;$B151,"-",$C151))</f>
        <v>-</v>
      </c>
      <c r="AK151" s="1" t="str">
        <f t="shared" ref="AK151" si="10641">IF(MarBel1LevelCurrent&gt;=$B151,"-",IF(MarBel1LevelDesired&lt;$B151,"-",$D151))</f>
        <v>-</v>
      </c>
      <c r="AL151" s="21" t="str">
        <f t="shared" ref="AL151" si="10642">IF(MarBel1LevelCurrent&gt;=$B151,"-",IF(MarBel1LevelDesired&lt;$B151,"-",$E151))</f>
        <v>-</v>
      </c>
      <c r="AM151" s="15" t="str">
        <f t="shared" ref="AM151" si="10643">IF(MarBoo1LevelCurrent&gt;=$B151,"-",IF(MarBoo1LevelDesired&lt;$B151,"-",$C151))</f>
        <v>-</v>
      </c>
      <c r="AN151" s="1" t="str">
        <f t="shared" ref="AN151" si="10644">IF(MarBoo1LevelCurrent&gt;=$B151,"-",IF(MarBoo1LevelDesired&lt;$B151,"-",$D151))</f>
        <v>-</v>
      </c>
      <c r="AO151" s="21" t="str">
        <f t="shared" ref="AO151" si="10645">IF(MarBoo1LevelCurrent&gt;=$B151,"-",IF(MarBoo1LevelDesired&lt;$B151,"-",$E151))</f>
        <v>-</v>
      </c>
      <c r="AP151" s="15" t="str">
        <f t="shared" ref="AP151" si="10646">IF(InfGog2LevelCurrent&gt;=$B151,"-",IF(InfGog2LevelDesired&lt;$B151,"-",$C151))</f>
        <v>-</v>
      </c>
      <c r="AQ151" s="1" t="str">
        <f t="shared" ref="AQ151" si="10647">IF(InfGog2LevelCurrent&gt;=$B151,"-",IF(InfGog2LevelDesired&lt;$B151,"-",$D151))</f>
        <v>-</v>
      </c>
      <c r="AR151" s="21" t="str">
        <f t="shared" ref="AR151" si="10648">IF(InfGog2LevelCurrent&gt;=$B151,"-",IF(InfGog2LevelDesired&lt;$B151,"-",$E151))</f>
        <v>-</v>
      </c>
      <c r="AS151" s="15">
        <f t="shared" ref="AS151" si="10649">IF(InfGlo2LevelCurrent&gt;=$B151,"-",IF(InfGlo2LevelDesired&lt;$B151,"-",$C151))</f>
        <v>4700</v>
      </c>
      <c r="AT151" s="1" t="str">
        <f t="shared" ref="AT151" si="10650">IF(InfGlo2LevelCurrent&gt;=$B151,"-",IF(InfGlo2LevelDesired&lt;$B151,"-",$D151))</f>
        <v>-</v>
      </c>
      <c r="AU151" s="21" t="str">
        <f t="shared" ref="AU151" si="10651">IF(InfGlo2LevelCurrent&gt;=$B151,"-",IF(InfGlo2LevelDesired&lt;$B151,"-",$E151))</f>
        <v>-</v>
      </c>
      <c r="AV151" s="15">
        <f t="shared" ref="AV151" si="10652">IF(InfBel2LevelCurrent&gt;=$B151,"-",IF(InfBel2LevelDesired&lt;$B151,"-",$C151))</f>
        <v>4700</v>
      </c>
      <c r="AW151" s="1" t="str">
        <f t="shared" ref="AW151" si="10653">IF(InfBel2LevelCurrent&gt;=$B151,"-",IF(InfBel2LevelDesired&lt;$B151,"-",$D151))</f>
        <v>-</v>
      </c>
      <c r="AX151" s="21" t="str">
        <f t="shared" ref="AX151" si="10654">IF(InfBel2LevelCurrent&gt;=$B151,"-",IF(InfBel2LevelDesired&lt;$B151,"-",$E151))</f>
        <v>-</v>
      </c>
      <c r="AY151" s="15" t="str">
        <f t="shared" ref="AY151" si="10655">IF(InfBoo2LevelCurrent&gt;=$B151,"-",IF(InfBoo2LevelDesired&lt;$B151,"-",$C151))</f>
        <v>-</v>
      </c>
      <c r="AZ151" s="1" t="str">
        <f t="shared" ref="AZ151" si="10656">IF(InfBoo2LevelCurrent&gt;=$B151,"-",IF(InfBoo2LevelDesired&lt;$B151,"-",$D151))</f>
        <v>-</v>
      </c>
      <c r="BA151" s="21" t="str">
        <f t="shared" ref="BA151" si="10657">IF(InfBoo2LevelCurrent&gt;=$B151,"-",IF(InfBoo2LevelDesired&lt;$B151,"-",$E151))</f>
        <v>-</v>
      </c>
      <c r="BB151" s="15">
        <f t="shared" ref="BB151" si="10658">IF(LanGog2LevelCurrent&gt;=$B151,"-",IF(LanGog2LevelDesired&lt;$B151,"-",$C151))</f>
        <v>4700</v>
      </c>
      <c r="BC151" s="1" t="str">
        <f t="shared" ref="BC151" si="10659">IF(LanGog2LevelCurrent&gt;=$B151,"-",IF(LanGog2LevelDesired&lt;$B151,"-",$D151))</f>
        <v>-</v>
      </c>
      <c r="BD151" s="21" t="str">
        <f t="shared" ref="BD151" si="10660">IF(LanGog2LevelCurrent&gt;=$B151,"-",IF(LanGog2LevelDesired&lt;$B151,"-",$E151))</f>
        <v>-</v>
      </c>
      <c r="BE151" s="15" t="str">
        <f t="shared" ref="BE151" si="10661">IF(LanGlo2LevelCurrent&gt;=$B151,"-",IF(LanGlo2LevelDesired&lt;$B151,"-",$C151))</f>
        <v>-</v>
      </c>
      <c r="BF151" s="1" t="str">
        <f t="shared" ref="BF151" si="10662">IF(LanGlo2LevelCurrent&gt;=$B151,"-",IF(LanGlo2LevelDesired&lt;$B151,"-",$D151))</f>
        <v>-</v>
      </c>
      <c r="BG151" s="21" t="str">
        <f t="shared" ref="BG151" si="10663">IF(LanGlo2LevelCurrent&gt;=$B151,"-",IF(LanGlo2LevelDesired&lt;$B151,"-",$E151))</f>
        <v>-</v>
      </c>
      <c r="BH151" s="15" t="str">
        <f t="shared" ref="BH151" si="10664">IF(LanBel2LevelCurrent&gt;=$B151,"-",IF(LanBel2LevelDesired&lt;$B151,"-",$C151))</f>
        <v>-</v>
      </c>
      <c r="BI151" s="1" t="str">
        <f t="shared" ref="BI151" si="10665">IF(LanBel2LevelCurrent&gt;=$B151,"-",IF(LanBel2LevelDesired&lt;$B151,"-",$D151))</f>
        <v>-</v>
      </c>
      <c r="BJ151" s="21" t="str">
        <f t="shared" ref="BJ151" si="10666">IF(LanBel2LevelCurrent&gt;=$B151,"-",IF(LanBel2LevelDesired&lt;$B151,"-",$E151))</f>
        <v>-</v>
      </c>
      <c r="BK151" s="15">
        <f t="shared" ref="BK151" si="10667">IF(LanBoo2LevelCurrent&gt;=$B151,"-",IF(LanBoo2LevelDesired&lt;$B151,"-",$C151))</f>
        <v>4700</v>
      </c>
      <c r="BL151" s="1" t="str">
        <f t="shared" ref="BL151" si="10668">IF(LanBoo2LevelCurrent&gt;=$B151,"-",IF(LanBoo2LevelDesired&lt;$B151,"-",$D151))</f>
        <v>-</v>
      </c>
      <c r="BM151" s="21" t="str">
        <f t="shared" ref="BM151" si="10669">IF(LanBoo2LevelCurrent&gt;=$B151,"-",IF(LanBoo2LevelDesired&lt;$B151,"-",$E151))</f>
        <v>-</v>
      </c>
      <c r="BN151" s="15">
        <f t="shared" ref="BN151" si="10670">IF(MarGog2LevelCurrent&gt;=$B151,"-",IF(MarGog2LevelDesired&lt;$B151,"-",$C151))</f>
        <v>4700</v>
      </c>
      <c r="BO151" s="1" t="str">
        <f t="shared" ref="BO151" si="10671">IF(MarGog2LevelCurrent&gt;=$B151,"-",IF(MarGog2LevelDesired&lt;$B151,"-",$D151))</f>
        <v>-</v>
      </c>
      <c r="BP151" s="21" t="str">
        <f t="shared" ref="BP151" si="10672">IF(MarGog2LevelCurrent&gt;=$B151,"-",IF(MarGog2LevelDesired&lt;$B151,"-",$E151))</f>
        <v>-</v>
      </c>
      <c r="BQ151" s="15" t="str">
        <f t="shared" ref="BQ151" si="10673">IF(MarGlo2LevelCurrent&gt;=$B151,"-",IF(MarGlo2LevelDesired&lt;$B151,"-",$C151))</f>
        <v>-</v>
      </c>
      <c r="BR151" s="1" t="str">
        <f t="shared" ref="BR151" si="10674">IF(MarGlo2LevelCurrent&gt;=$B151,"-",IF(MarGlo2LevelDesired&lt;$B151,"-",$D151))</f>
        <v>-</v>
      </c>
      <c r="BS151" s="21" t="str">
        <f t="shared" ref="BS151" si="10675">IF(MarGlo2LevelCurrent&gt;=$B151,"-",IF(MarGlo2LevelDesired&lt;$B151,"-",$E151))</f>
        <v>-</v>
      </c>
      <c r="BT151" s="15" t="str">
        <f t="shared" ref="BT151" si="10676">IF(MarBel2LevelCurrent&gt;=$B151,"-",IF(MarBel2LevelDesired&lt;$B151,"-",$C151))</f>
        <v>-</v>
      </c>
      <c r="BU151" s="1" t="str">
        <f t="shared" ref="BU151" si="10677">IF(MarBel2LevelCurrent&gt;=$B151,"-",IF(MarBel2LevelDesired&lt;$B151,"-",$D151))</f>
        <v>-</v>
      </c>
      <c r="BV151" s="21" t="str">
        <f t="shared" ref="BV151" si="10678">IF(MarBel2LevelCurrent&gt;=$B151,"-",IF(MarBel2LevelDesired&lt;$B151,"-",$E151))</f>
        <v>-</v>
      </c>
      <c r="BW151" s="15">
        <f t="shared" ref="BW151" si="10679">IF(MarBoo2LevelCurrent&gt;=$B151,"-",IF(MarBoo2LevelDesired&lt;$B151,"-",$C151))</f>
        <v>4700</v>
      </c>
      <c r="BX151" s="1" t="str">
        <f t="shared" ref="BX151" si="10680">IF(MarBoo2LevelCurrent&gt;=$B151,"-",IF(MarBoo2LevelDesired&lt;$B151,"-",$D151))</f>
        <v>-</v>
      </c>
      <c r="BY151" s="21" t="str">
        <f t="shared" ref="BY151" si="10681">IF(MarBoo2LevelCurrent&gt;=$B151,"-",IF(MarBoo2LevelDesired&lt;$B151,"-",$E151))</f>
        <v>-</v>
      </c>
      <c r="BZ151" s="15" t="str">
        <f t="shared" si="9424"/>
        <v>-</v>
      </c>
      <c r="CA151" s="1" t="str" cm="1">
        <f t="array" ref="CA151">IF(InfGog3LevelCurrent&gt;=$B151,"-",IF(InfGog3LevelDesired&lt;$B151,"-",$D151))</f>
        <v>-</v>
      </c>
      <c r="CB151" s="21" t="str" cm="1">
        <f t="array" ref="CB151">IF(InfGog3LevelCurrent&gt;=$B151,"-",IF(InfGog3LevelDesired&lt;$B151,"-",$E151))</f>
        <v>-</v>
      </c>
      <c r="CC151" s="15" t="str">
        <f t="shared" si="9425"/>
        <v>-</v>
      </c>
      <c r="CD151" s="1" t="str">
        <f t="shared" si="9426"/>
        <v>-</v>
      </c>
      <c r="CE151" s="21" t="str">
        <f t="shared" si="9427"/>
        <v>-</v>
      </c>
      <c r="CF151" s="15" t="str">
        <f t="shared" si="9428"/>
        <v>-</v>
      </c>
      <c r="CG151" s="1" t="str">
        <f t="shared" si="9429"/>
        <v>-</v>
      </c>
      <c r="CH151" s="21" t="str">
        <f t="shared" si="9430"/>
        <v>-</v>
      </c>
      <c r="CI151" s="15" t="str">
        <f t="shared" si="9431"/>
        <v>-</v>
      </c>
      <c r="CJ151" s="1" t="str">
        <f t="shared" si="9432"/>
        <v>-</v>
      </c>
      <c r="CK151" s="21" t="str">
        <f t="shared" si="9433"/>
        <v>-</v>
      </c>
      <c r="CL151" s="15" t="str">
        <f t="shared" si="9434"/>
        <v>-</v>
      </c>
      <c r="CM151" s="1" t="str">
        <f t="shared" si="9435"/>
        <v>-</v>
      </c>
      <c r="CN151" s="21" t="str">
        <f t="shared" si="9436"/>
        <v>-</v>
      </c>
      <c r="CO151" s="15" t="str">
        <f t="shared" si="9437"/>
        <v>-</v>
      </c>
      <c r="CP151" s="1" t="str">
        <f t="shared" si="9438"/>
        <v>-</v>
      </c>
      <c r="CQ151" s="21" t="str">
        <f t="shared" si="9439"/>
        <v>-</v>
      </c>
      <c r="CR151" s="15" t="str">
        <f t="shared" si="9440"/>
        <v>-</v>
      </c>
      <c r="CS151" s="1" t="str">
        <f t="shared" si="9441"/>
        <v>-</v>
      </c>
      <c r="CT151" s="21" t="str">
        <f t="shared" si="9442"/>
        <v>-</v>
      </c>
      <c r="CU151" s="15" t="str">
        <f t="shared" si="9443"/>
        <v>-</v>
      </c>
      <c r="CV151" s="1" t="str">
        <f t="shared" si="9444"/>
        <v>-</v>
      </c>
      <c r="CW151" s="21" t="str">
        <f t="shared" si="9445"/>
        <v>-</v>
      </c>
      <c r="CX151" s="15" t="str">
        <f t="shared" si="9446"/>
        <v>-</v>
      </c>
      <c r="CY151" s="1" t="str">
        <f t="shared" si="9447"/>
        <v>-</v>
      </c>
      <c r="CZ151" s="21" t="str">
        <f t="shared" si="9448"/>
        <v>-</v>
      </c>
      <c r="DA151" s="15" t="str">
        <f t="shared" si="9449"/>
        <v>-</v>
      </c>
      <c r="DB151" s="1" t="str">
        <f t="shared" si="9450"/>
        <v>-</v>
      </c>
      <c r="DC151" s="21" t="str">
        <f t="shared" si="9451"/>
        <v>-</v>
      </c>
      <c r="DD151" s="15" t="str">
        <f t="shared" si="9452"/>
        <v>-</v>
      </c>
      <c r="DE151" s="1" t="str">
        <f t="shared" si="9453"/>
        <v>-</v>
      </c>
      <c r="DF151" s="21" t="str">
        <f t="shared" si="9454"/>
        <v>-</v>
      </c>
      <c r="DG151" s="15" t="str">
        <f t="shared" si="9455"/>
        <v>-</v>
      </c>
      <c r="DH151" s="1" t="str">
        <f t="shared" si="9456"/>
        <v>-</v>
      </c>
      <c r="DI151" s="21" t="str">
        <f t="shared" si="9457"/>
        <v>-</v>
      </c>
    </row>
    <row r="152" spans="2:113" x14ac:dyDescent="0.3">
      <c r="B152" s="1">
        <v>147</v>
      </c>
      <c r="C152" s="67">
        <v>4750</v>
      </c>
      <c r="D152" s="88" t="s">
        <v>27</v>
      </c>
      <c r="E152" s="68" t="s">
        <v>27</v>
      </c>
      <c r="F152" s="15" t="str">
        <f t="shared" ref="F152" si="10682">IF(InfGog1LevelCurrent&gt;=$B152,"-",IF(InfGog1LevelDesired&lt;$B152,"-",$C152))</f>
        <v>-</v>
      </c>
      <c r="G152" s="1" t="str">
        <f t="shared" ref="G152" si="10683">IF(InfGog1LevelCurrent&gt;=$B152,"-",IF(InfGog1LevelDesired&lt;$B152,"-",$D152))</f>
        <v>-</v>
      </c>
      <c r="H152" s="21" t="str">
        <f t="shared" ref="H152" si="10684">IF(InfGog1LevelCurrent&gt;=$B152,"-",IF(InfGog1LevelDesired&lt;$B152,"-",$E152))</f>
        <v>-</v>
      </c>
      <c r="I152" s="15" t="str">
        <f t="shared" ref="I152" si="10685">IF(InfGlo1LevelCurrent&gt;=$B152,"-",IF(InfGlo1LevelDesired&lt;$B152,"-",$C152))</f>
        <v>-</v>
      </c>
      <c r="J152" s="1" t="str">
        <f t="shared" ref="J152" si="10686">IF(InfGlo1LevelCurrent&gt;=$B152,"-",IF(InfGlo1LevelDesired&lt;$B152,"-",$D152))</f>
        <v>-</v>
      </c>
      <c r="K152" s="21" t="str">
        <f t="shared" ref="K152" si="10687">IF(InfGlo1LevelCurrent&gt;=$B152,"-",IF(InfGlo1LevelDesired&lt;$B152,"-",$E152))</f>
        <v>-</v>
      </c>
      <c r="L152" s="15" t="str">
        <f t="shared" ref="L152" si="10688">IF(InfBel1LevelCurrent&gt;=$B152,"-",IF(InfBel1LevelDesired&lt;$B152,"-",$C152))</f>
        <v>-</v>
      </c>
      <c r="M152" s="1" t="str">
        <f t="shared" ref="M152" si="10689">IF(InfBel1LevelCurrent&gt;=$B152,"-",IF(InfBel1LevelDesired&lt;$B152,"-",$D152))</f>
        <v>-</v>
      </c>
      <c r="N152" s="21" t="str">
        <f t="shared" ref="N152" si="10690">IF(InfBel1LevelCurrent&gt;=$B152,"-",IF(InfBel1LevelDesired&lt;$B152,"-",$E152))</f>
        <v>-</v>
      </c>
      <c r="O152" s="15" t="str">
        <f t="shared" ref="O152" si="10691">IF(InfBoo1LevelCurrent&gt;=$B152,"-",IF(InfBoo1LevelDesired&lt;$B152,"-",$C152))</f>
        <v>-</v>
      </c>
      <c r="P152" s="1" t="str">
        <f t="shared" ref="P152" si="10692">IF(InfBoo1LevelCurrent&gt;=$B152,"-",IF(InfBoo1LevelDesired&lt;$B152,"-",$D152))</f>
        <v>-</v>
      </c>
      <c r="Q152" s="21" t="str">
        <f t="shared" ref="Q152" si="10693">IF(InfBoo1LevelCurrent&gt;=$B152,"-",IF(InfBoo1LevelDesired&lt;$B152,"-",$E152))</f>
        <v>-</v>
      </c>
      <c r="R152" s="15" t="str">
        <f t="shared" ref="R152" si="10694">IF(LanGog1LevelCurrent&gt;=$B152,"-",IF(LanGog1LevelDesired&lt;$B152,"-",$C152))</f>
        <v>-</v>
      </c>
      <c r="S152" s="1" t="str">
        <f t="shared" ref="S152" si="10695">IF(LanGog1LevelCurrent&gt;=$B152,"-",IF(LanGog1LevelDesired&lt;$B152,"-",$D152))</f>
        <v>-</v>
      </c>
      <c r="T152" s="21" t="str">
        <f t="shared" ref="T152" si="10696">IF(LanGog1LevelCurrent&gt;=$B152,"-",IF(LanGog1LevelDesired&lt;$B152,"-",$E152))</f>
        <v>-</v>
      </c>
      <c r="U152" s="15" t="str">
        <f t="shared" ref="U152" si="10697">IF(LanGlo1LevelCurrent&gt;=$B152,"-",IF(LanGlo1LevelDesired&lt;$B152,"-",$C152))</f>
        <v>-</v>
      </c>
      <c r="V152" s="1" t="str">
        <f t="shared" ref="V152" si="10698">IF(LanGlo1LevelCurrent&gt;=$B152,"-",IF(LanGlo1LevelDesired&lt;$B152,"-",$D152))</f>
        <v>-</v>
      </c>
      <c r="W152" s="21" t="str">
        <f t="shared" ref="W152" si="10699">IF(LanGlo1LevelCurrent&gt;=$B152,"-",IF(LanGlo1LevelDesired&lt;$B152,"-",$E152))</f>
        <v>-</v>
      </c>
      <c r="X152" s="15" t="str">
        <f t="shared" ref="X152" si="10700">IF(LanBel1LevelCurrent&gt;=$B152,"-",IF(LanBel1LevelDesired&lt;$B152,"-",$C152))</f>
        <v>-</v>
      </c>
      <c r="Y152" s="1" t="str">
        <f t="shared" ref="Y152" si="10701">IF(LanBel1LevelCurrent&gt;=$B152,"-",IF(LanBel1LevelDesired&lt;$B152,"-",$D152))</f>
        <v>-</v>
      </c>
      <c r="Z152" s="21" t="str">
        <f t="shared" ref="Z152" si="10702">IF(LanBel1LevelCurrent&gt;=$B152,"-",IF(LanBel1LevelDesired&lt;$B152,"-",$E152))</f>
        <v>-</v>
      </c>
      <c r="AA152" s="15" t="str">
        <f t="shared" ref="AA152" si="10703">IF(LanBoo1LevelCurrent&gt;=$B152,"-",IF(LanBoo1LevelDesired&lt;$B152,"-",$C152))</f>
        <v>-</v>
      </c>
      <c r="AB152" s="1" t="str">
        <f t="shared" ref="AB152" si="10704">IF(LanBoo1LevelCurrent&gt;=$B152,"-",IF(LanBoo1LevelDesired&lt;$B152,"-",$D152))</f>
        <v>-</v>
      </c>
      <c r="AC152" s="21" t="str">
        <f t="shared" ref="AC152" si="10705">IF(LanBoo1LevelCurrent&gt;=$B152,"-",IF(LanBoo1LevelDesired&lt;$B152,"-",$E152))</f>
        <v>-</v>
      </c>
      <c r="AD152" s="15" t="str">
        <f t="shared" ref="AD152" si="10706">IF(MarGog1LevelCurrent&gt;=$B152,"-",IF(MarGog1LevelDesired&lt;$B152,"-",$C152))</f>
        <v>-</v>
      </c>
      <c r="AE152" s="1" t="str">
        <f t="shared" ref="AE152" si="10707">IF(MarGog1LevelCurrent&gt;=$B152,"-",IF(MarGog1LevelDesired&lt;$B152,"-",$D152))</f>
        <v>-</v>
      </c>
      <c r="AF152" s="21" t="str">
        <f t="shared" ref="AF152" si="10708">IF(MarGog1LevelCurrent&gt;=$B152,"-",IF(MarGog1LevelDesired&lt;$B152,"-",$E152))</f>
        <v>-</v>
      </c>
      <c r="AG152" s="15" t="str">
        <f t="shared" ref="AG152" si="10709">IF(MarGlo1LevelCurrent&gt;=$B152,"-",IF(MarGlo1LevelDesired&lt;$B152,"-",$C152))</f>
        <v>-</v>
      </c>
      <c r="AH152" s="1" t="str">
        <f t="shared" ref="AH152" si="10710">IF(MarGlo1LevelCurrent&gt;=$B152,"-",IF(MarGlo1LevelDesired&lt;$B152,"-",$D152))</f>
        <v>-</v>
      </c>
      <c r="AI152" s="21" t="str">
        <f t="shared" ref="AI152" si="10711">IF(MarGlo1LevelCurrent&gt;=$B152,"-",IF(MarGlo1LevelDesired&lt;$B152,"-",$E152))</f>
        <v>-</v>
      </c>
      <c r="AJ152" s="15" t="str">
        <f t="shared" ref="AJ152" si="10712">IF(MarBel1LevelCurrent&gt;=$B152,"-",IF(MarBel1LevelDesired&lt;$B152,"-",$C152))</f>
        <v>-</v>
      </c>
      <c r="AK152" s="1" t="str">
        <f t="shared" ref="AK152" si="10713">IF(MarBel1LevelCurrent&gt;=$B152,"-",IF(MarBel1LevelDesired&lt;$B152,"-",$D152))</f>
        <v>-</v>
      </c>
      <c r="AL152" s="21" t="str">
        <f t="shared" ref="AL152" si="10714">IF(MarBel1LevelCurrent&gt;=$B152,"-",IF(MarBel1LevelDesired&lt;$B152,"-",$E152))</f>
        <v>-</v>
      </c>
      <c r="AM152" s="15" t="str">
        <f t="shared" ref="AM152" si="10715">IF(MarBoo1LevelCurrent&gt;=$B152,"-",IF(MarBoo1LevelDesired&lt;$B152,"-",$C152))</f>
        <v>-</v>
      </c>
      <c r="AN152" s="1" t="str">
        <f t="shared" ref="AN152" si="10716">IF(MarBoo1LevelCurrent&gt;=$B152,"-",IF(MarBoo1LevelDesired&lt;$B152,"-",$D152))</f>
        <v>-</v>
      </c>
      <c r="AO152" s="21" t="str">
        <f t="shared" ref="AO152" si="10717">IF(MarBoo1LevelCurrent&gt;=$B152,"-",IF(MarBoo1LevelDesired&lt;$B152,"-",$E152))</f>
        <v>-</v>
      </c>
      <c r="AP152" s="15" t="str">
        <f t="shared" ref="AP152" si="10718">IF(InfGog2LevelCurrent&gt;=$B152,"-",IF(InfGog2LevelDesired&lt;$B152,"-",$C152))</f>
        <v>-</v>
      </c>
      <c r="AQ152" s="1" t="str">
        <f t="shared" ref="AQ152" si="10719">IF(InfGog2LevelCurrent&gt;=$B152,"-",IF(InfGog2LevelDesired&lt;$B152,"-",$D152))</f>
        <v>-</v>
      </c>
      <c r="AR152" s="21" t="str">
        <f t="shared" ref="AR152" si="10720">IF(InfGog2LevelCurrent&gt;=$B152,"-",IF(InfGog2LevelDesired&lt;$B152,"-",$E152))</f>
        <v>-</v>
      </c>
      <c r="AS152" s="15">
        <f t="shared" ref="AS152" si="10721">IF(InfGlo2LevelCurrent&gt;=$B152,"-",IF(InfGlo2LevelDesired&lt;$B152,"-",$C152))</f>
        <v>4750</v>
      </c>
      <c r="AT152" s="1" t="str">
        <f t="shared" ref="AT152" si="10722">IF(InfGlo2LevelCurrent&gt;=$B152,"-",IF(InfGlo2LevelDesired&lt;$B152,"-",$D152))</f>
        <v>-</v>
      </c>
      <c r="AU152" s="21" t="str">
        <f t="shared" ref="AU152" si="10723">IF(InfGlo2LevelCurrent&gt;=$B152,"-",IF(InfGlo2LevelDesired&lt;$B152,"-",$E152))</f>
        <v>-</v>
      </c>
      <c r="AV152" s="15">
        <f t="shared" ref="AV152" si="10724">IF(InfBel2LevelCurrent&gt;=$B152,"-",IF(InfBel2LevelDesired&lt;$B152,"-",$C152))</f>
        <v>4750</v>
      </c>
      <c r="AW152" s="1" t="str">
        <f t="shared" ref="AW152" si="10725">IF(InfBel2LevelCurrent&gt;=$B152,"-",IF(InfBel2LevelDesired&lt;$B152,"-",$D152))</f>
        <v>-</v>
      </c>
      <c r="AX152" s="21" t="str">
        <f t="shared" ref="AX152" si="10726">IF(InfBel2LevelCurrent&gt;=$B152,"-",IF(InfBel2LevelDesired&lt;$B152,"-",$E152))</f>
        <v>-</v>
      </c>
      <c r="AY152" s="15" t="str">
        <f t="shared" ref="AY152" si="10727">IF(InfBoo2LevelCurrent&gt;=$B152,"-",IF(InfBoo2LevelDesired&lt;$B152,"-",$C152))</f>
        <v>-</v>
      </c>
      <c r="AZ152" s="1" t="str">
        <f t="shared" ref="AZ152" si="10728">IF(InfBoo2LevelCurrent&gt;=$B152,"-",IF(InfBoo2LevelDesired&lt;$B152,"-",$D152))</f>
        <v>-</v>
      </c>
      <c r="BA152" s="21" t="str">
        <f t="shared" ref="BA152" si="10729">IF(InfBoo2LevelCurrent&gt;=$B152,"-",IF(InfBoo2LevelDesired&lt;$B152,"-",$E152))</f>
        <v>-</v>
      </c>
      <c r="BB152" s="15">
        <f t="shared" ref="BB152" si="10730">IF(LanGog2LevelCurrent&gt;=$B152,"-",IF(LanGog2LevelDesired&lt;$B152,"-",$C152))</f>
        <v>4750</v>
      </c>
      <c r="BC152" s="1" t="str">
        <f t="shared" ref="BC152" si="10731">IF(LanGog2LevelCurrent&gt;=$B152,"-",IF(LanGog2LevelDesired&lt;$B152,"-",$D152))</f>
        <v>-</v>
      </c>
      <c r="BD152" s="21" t="str">
        <f t="shared" ref="BD152" si="10732">IF(LanGog2LevelCurrent&gt;=$B152,"-",IF(LanGog2LevelDesired&lt;$B152,"-",$E152))</f>
        <v>-</v>
      </c>
      <c r="BE152" s="15" t="str">
        <f t="shared" ref="BE152" si="10733">IF(LanGlo2LevelCurrent&gt;=$B152,"-",IF(LanGlo2LevelDesired&lt;$B152,"-",$C152))</f>
        <v>-</v>
      </c>
      <c r="BF152" s="1" t="str">
        <f t="shared" ref="BF152" si="10734">IF(LanGlo2LevelCurrent&gt;=$B152,"-",IF(LanGlo2LevelDesired&lt;$B152,"-",$D152))</f>
        <v>-</v>
      </c>
      <c r="BG152" s="21" t="str">
        <f t="shared" ref="BG152" si="10735">IF(LanGlo2LevelCurrent&gt;=$B152,"-",IF(LanGlo2LevelDesired&lt;$B152,"-",$E152))</f>
        <v>-</v>
      </c>
      <c r="BH152" s="15" t="str">
        <f t="shared" ref="BH152" si="10736">IF(LanBel2LevelCurrent&gt;=$B152,"-",IF(LanBel2LevelDesired&lt;$B152,"-",$C152))</f>
        <v>-</v>
      </c>
      <c r="BI152" s="1" t="str">
        <f t="shared" ref="BI152" si="10737">IF(LanBel2LevelCurrent&gt;=$B152,"-",IF(LanBel2LevelDesired&lt;$B152,"-",$D152))</f>
        <v>-</v>
      </c>
      <c r="BJ152" s="21" t="str">
        <f t="shared" ref="BJ152" si="10738">IF(LanBel2LevelCurrent&gt;=$B152,"-",IF(LanBel2LevelDesired&lt;$B152,"-",$E152))</f>
        <v>-</v>
      </c>
      <c r="BK152" s="15">
        <f t="shared" ref="BK152" si="10739">IF(LanBoo2LevelCurrent&gt;=$B152,"-",IF(LanBoo2LevelDesired&lt;$B152,"-",$C152))</f>
        <v>4750</v>
      </c>
      <c r="BL152" s="1" t="str">
        <f t="shared" ref="BL152" si="10740">IF(LanBoo2LevelCurrent&gt;=$B152,"-",IF(LanBoo2LevelDesired&lt;$B152,"-",$D152))</f>
        <v>-</v>
      </c>
      <c r="BM152" s="21" t="str">
        <f t="shared" ref="BM152" si="10741">IF(LanBoo2LevelCurrent&gt;=$B152,"-",IF(LanBoo2LevelDesired&lt;$B152,"-",$E152))</f>
        <v>-</v>
      </c>
      <c r="BN152" s="15">
        <f t="shared" ref="BN152" si="10742">IF(MarGog2LevelCurrent&gt;=$B152,"-",IF(MarGog2LevelDesired&lt;$B152,"-",$C152))</f>
        <v>4750</v>
      </c>
      <c r="BO152" s="1" t="str">
        <f t="shared" ref="BO152" si="10743">IF(MarGog2LevelCurrent&gt;=$B152,"-",IF(MarGog2LevelDesired&lt;$B152,"-",$D152))</f>
        <v>-</v>
      </c>
      <c r="BP152" s="21" t="str">
        <f t="shared" ref="BP152" si="10744">IF(MarGog2LevelCurrent&gt;=$B152,"-",IF(MarGog2LevelDesired&lt;$B152,"-",$E152))</f>
        <v>-</v>
      </c>
      <c r="BQ152" s="15" t="str">
        <f t="shared" ref="BQ152" si="10745">IF(MarGlo2LevelCurrent&gt;=$B152,"-",IF(MarGlo2LevelDesired&lt;$B152,"-",$C152))</f>
        <v>-</v>
      </c>
      <c r="BR152" s="1" t="str">
        <f t="shared" ref="BR152" si="10746">IF(MarGlo2LevelCurrent&gt;=$B152,"-",IF(MarGlo2LevelDesired&lt;$B152,"-",$D152))</f>
        <v>-</v>
      </c>
      <c r="BS152" s="21" t="str">
        <f t="shared" ref="BS152" si="10747">IF(MarGlo2LevelCurrent&gt;=$B152,"-",IF(MarGlo2LevelDesired&lt;$B152,"-",$E152))</f>
        <v>-</v>
      </c>
      <c r="BT152" s="15" t="str">
        <f t="shared" ref="BT152" si="10748">IF(MarBel2LevelCurrent&gt;=$B152,"-",IF(MarBel2LevelDesired&lt;$B152,"-",$C152))</f>
        <v>-</v>
      </c>
      <c r="BU152" s="1" t="str">
        <f t="shared" ref="BU152" si="10749">IF(MarBel2LevelCurrent&gt;=$B152,"-",IF(MarBel2LevelDesired&lt;$B152,"-",$D152))</f>
        <v>-</v>
      </c>
      <c r="BV152" s="21" t="str">
        <f t="shared" ref="BV152" si="10750">IF(MarBel2LevelCurrent&gt;=$B152,"-",IF(MarBel2LevelDesired&lt;$B152,"-",$E152))</f>
        <v>-</v>
      </c>
      <c r="BW152" s="15">
        <f t="shared" ref="BW152" si="10751">IF(MarBoo2LevelCurrent&gt;=$B152,"-",IF(MarBoo2LevelDesired&lt;$B152,"-",$C152))</f>
        <v>4750</v>
      </c>
      <c r="BX152" s="1" t="str">
        <f t="shared" ref="BX152" si="10752">IF(MarBoo2LevelCurrent&gt;=$B152,"-",IF(MarBoo2LevelDesired&lt;$B152,"-",$D152))</f>
        <v>-</v>
      </c>
      <c r="BY152" s="21" t="str">
        <f t="shared" ref="BY152" si="10753">IF(MarBoo2LevelCurrent&gt;=$B152,"-",IF(MarBoo2LevelDesired&lt;$B152,"-",$E152))</f>
        <v>-</v>
      </c>
      <c r="BZ152" s="15" t="str">
        <f t="shared" si="9424"/>
        <v>-</v>
      </c>
      <c r="CA152" s="1" t="str" cm="1">
        <f t="array" ref="CA152">IF(InfGog3LevelCurrent&gt;=$B152,"-",IF(InfGog3LevelDesired&lt;$B152,"-",$D152))</f>
        <v>-</v>
      </c>
      <c r="CB152" s="21" t="str" cm="1">
        <f t="array" ref="CB152">IF(InfGog3LevelCurrent&gt;=$B152,"-",IF(InfGog3LevelDesired&lt;$B152,"-",$E152))</f>
        <v>-</v>
      </c>
      <c r="CC152" s="15" t="str">
        <f t="shared" si="9425"/>
        <v>-</v>
      </c>
      <c r="CD152" s="1" t="str">
        <f t="shared" si="9426"/>
        <v>-</v>
      </c>
      <c r="CE152" s="21" t="str">
        <f t="shared" si="9427"/>
        <v>-</v>
      </c>
      <c r="CF152" s="15" t="str">
        <f t="shared" si="9428"/>
        <v>-</v>
      </c>
      <c r="CG152" s="1" t="str">
        <f t="shared" si="9429"/>
        <v>-</v>
      </c>
      <c r="CH152" s="21" t="str">
        <f t="shared" si="9430"/>
        <v>-</v>
      </c>
      <c r="CI152" s="15" t="str">
        <f t="shared" si="9431"/>
        <v>-</v>
      </c>
      <c r="CJ152" s="1" t="str">
        <f t="shared" si="9432"/>
        <v>-</v>
      </c>
      <c r="CK152" s="21" t="str">
        <f t="shared" si="9433"/>
        <v>-</v>
      </c>
      <c r="CL152" s="15" t="str">
        <f t="shared" si="9434"/>
        <v>-</v>
      </c>
      <c r="CM152" s="1" t="str">
        <f t="shared" si="9435"/>
        <v>-</v>
      </c>
      <c r="CN152" s="21" t="str">
        <f t="shared" si="9436"/>
        <v>-</v>
      </c>
      <c r="CO152" s="15" t="str">
        <f t="shared" si="9437"/>
        <v>-</v>
      </c>
      <c r="CP152" s="1" t="str">
        <f t="shared" si="9438"/>
        <v>-</v>
      </c>
      <c r="CQ152" s="21" t="str">
        <f t="shared" si="9439"/>
        <v>-</v>
      </c>
      <c r="CR152" s="15" t="str">
        <f t="shared" si="9440"/>
        <v>-</v>
      </c>
      <c r="CS152" s="1" t="str">
        <f t="shared" si="9441"/>
        <v>-</v>
      </c>
      <c r="CT152" s="21" t="str">
        <f t="shared" si="9442"/>
        <v>-</v>
      </c>
      <c r="CU152" s="15" t="str">
        <f t="shared" si="9443"/>
        <v>-</v>
      </c>
      <c r="CV152" s="1" t="str">
        <f t="shared" si="9444"/>
        <v>-</v>
      </c>
      <c r="CW152" s="21" t="str">
        <f t="shared" si="9445"/>
        <v>-</v>
      </c>
      <c r="CX152" s="15" t="str">
        <f t="shared" si="9446"/>
        <v>-</v>
      </c>
      <c r="CY152" s="1" t="str">
        <f t="shared" si="9447"/>
        <v>-</v>
      </c>
      <c r="CZ152" s="21" t="str">
        <f t="shared" si="9448"/>
        <v>-</v>
      </c>
      <c r="DA152" s="15" t="str">
        <f t="shared" si="9449"/>
        <v>-</v>
      </c>
      <c r="DB152" s="1" t="str">
        <f t="shared" si="9450"/>
        <v>-</v>
      </c>
      <c r="DC152" s="21" t="str">
        <f t="shared" si="9451"/>
        <v>-</v>
      </c>
      <c r="DD152" s="15" t="str">
        <f t="shared" si="9452"/>
        <v>-</v>
      </c>
      <c r="DE152" s="1" t="str">
        <f t="shared" si="9453"/>
        <v>-</v>
      </c>
      <c r="DF152" s="21" t="str">
        <f t="shared" si="9454"/>
        <v>-</v>
      </c>
      <c r="DG152" s="15" t="str">
        <f t="shared" si="9455"/>
        <v>-</v>
      </c>
      <c r="DH152" s="1" t="str">
        <f t="shared" si="9456"/>
        <v>-</v>
      </c>
      <c r="DI152" s="21" t="str">
        <f t="shared" si="9457"/>
        <v>-</v>
      </c>
    </row>
    <row r="153" spans="2:113" x14ac:dyDescent="0.3">
      <c r="B153" s="1">
        <v>148</v>
      </c>
      <c r="C153" s="67">
        <v>4800</v>
      </c>
      <c r="D153" s="88" t="s">
        <v>27</v>
      </c>
      <c r="E153" s="68" t="s">
        <v>27</v>
      </c>
      <c r="F153" s="15" t="str">
        <f t="shared" ref="F153" si="10754">IF(InfGog1LevelCurrent&gt;=$B153,"-",IF(InfGog1LevelDesired&lt;$B153,"-",$C153))</f>
        <v>-</v>
      </c>
      <c r="G153" s="1" t="str">
        <f t="shared" ref="G153" si="10755">IF(InfGog1LevelCurrent&gt;=$B153,"-",IF(InfGog1LevelDesired&lt;$B153,"-",$D153))</f>
        <v>-</v>
      </c>
      <c r="H153" s="21" t="str">
        <f t="shared" ref="H153" si="10756">IF(InfGog1LevelCurrent&gt;=$B153,"-",IF(InfGog1LevelDesired&lt;$B153,"-",$E153))</f>
        <v>-</v>
      </c>
      <c r="I153" s="15" t="str">
        <f t="shared" ref="I153" si="10757">IF(InfGlo1LevelCurrent&gt;=$B153,"-",IF(InfGlo1LevelDesired&lt;$B153,"-",$C153))</f>
        <v>-</v>
      </c>
      <c r="J153" s="1" t="str">
        <f t="shared" ref="J153" si="10758">IF(InfGlo1LevelCurrent&gt;=$B153,"-",IF(InfGlo1LevelDesired&lt;$B153,"-",$D153))</f>
        <v>-</v>
      </c>
      <c r="K153" s="21" t="str">
        <f t="shared" ref="K153" si="10759">IF(InfGlo1LevelCurrent&gt;=$B153,"-",IF(InfGlo1LevelDesired&lt;$B153,"-",$E153))</f>
        <v>-</v>
      </c>
      <c r="L153" s="15" t="str">
        <f t="shared" ref="L153" si="10760">IF(InfBel1LevelCurrent&gt;=$B153,"-",IF(InfBel1LevelDesired&lt;$B153,"-",$C153))</f>
        <v>-</v>
      </c>
      <c r="M153" s="1" t="str">
        <f t="shared" ref="M153" si="10761">IF(InfBel1LevelCurrent&gt;=$B153,"-",IF(InfBel1LevelDesired&lt;$B153,"-",$D153))</f>
        <v>-</v>
      </c>
      <c r="N153" s="21" t="str">
        <f t="shared" ref="N153" si="10762">IF(InfBel1LevelCurrent&gt;=$B153,"-",IF(InfBel1LevelDesired&lt;$B153,"-",$E153))</f>
        <v>-</v>
      </c>
      <c r="O153" s="15" t="str">
        <f t="shared" ref="O153" si="10763">IF(InfBoo1LevelCurrent&gt;=$B153,"-",IF(InfBoo1LevelDesired&lt;$B153,"-",$C153))</f>
        <v>-</v>
      </c>
      <c r="P153" s="1" t="str">
        <f t="shared" ref="P153" si="10764">IF(InfBoo1LevelCurrent&gt;=$B153,"-",IF(InfBoo1LevelDesired&lt;$B153,"-",$D153))</f>
        <v>-</v>
      </c>
      <c r="Q153" s="21" t="str">
        <f t="shared" ref="Q153" si="10765">IF(InfBoo1LevelCurrent&gt;=$B153,"-",IF(InfBoo1LevelDesired&lt;$B153,"-",$E153))</f>
        <v>-</v>
      </c>
      <c r="R153" s="15" t="str">
        <f t="shared" ref="R153" si="10766">IF(LanGog1LevelCurrent&gt;=$B153,"-",IF(LanGog1LevelDesired&lt;$B153,"-",$C153))</f>
        <v>-</v>
      </c>
      <c r="S153" s="1" t="str">
        <f t="shared" ref="S153" si="10767">IF(LanGog1LevelCurrent&gt;=$B153,"-",IF(LanGog1LevelDesired&lt;$B153,"-",$D153))</f>
        <v>-</v>
      </c>
      <c r="T153" s="21" t="str">
        <f t="shared" ref="T153" si="10768">IF(LanGog1LevelCurrent&gt;=$B153,"-",IF(LanGog1LevelDesired&lt;$B153,"-",$E153))</f>
        <v>-</v>
      </c>
      <c r="U153" s="15" t="str">
        <f t="shared" ref="U153" si="10769">IF(LanGlo1LevelCurrent&gt;=$B153,"-",IF(LanGlo1LevelDesired&lt;$B153,"-",$C153))</f>
        <v>-</v>
      </c>
      <c r="V153" s="1" t="str">
        <f t="shared" ref="V153" si="10770">IF(LanGlo1LevelCurrent&gt;=$B153,"-",IF(LanGlo1LevelDesired&lt;$B153,"-",$D153))</f>
        <v>-</v>
      </c>
      <c r="W153" s="21" t="str">
        <f t="shared" ref="W153" si="10771">IF(LanGlo1LevelCurrent&gt;=$B153,"-",IF(LanGlo1LevelDesired&lt;$B153,"-",$E153))</f>
        <v>-</v>
      </c>
      <c r="X153" s="15" t="str">
        <f t="shared" ref="X153" si="10772">IF(LanBel1LevelCurrent&gt;=$B153,"-",IF(LanBel1LevelDesired&lt;$B153,"-",$C153))</f>
        <v>-</v>
      </c>
      <c r="Y153" s="1" t="str">
        <f t="shared" ref="Y153" si="10773">IF(LanBel1LevelCurrent&gt;=$B153,"-",IF(LanBel1LevelDesired&lt;$B153,"-",$D153))</f>
        <v>-</v>
      </c>
      <c r="Z153" s="21" t="str">
        <f t="shared" ref="Z153" si="10774">IF(LanBel1LevelCurrent&gt;=$B153,"-",IF(LanBel1LevelDesired&lt;$B153,"-",$E153))</f>
        <v>-</v>
      </c>
      <c r="AA153" s="15" t="str">
        <f t="shared" ref="AA153" si="10775">IF(LanBoo1LevelCurrent&gt;=$B153,"-",IF(LanBoo1LevelDesired&lt;$B153,"-",$C153))</f>
        <v>-</v>
      </c>
      <c r="AB153" s="1" t="str">
        <f t="shared" ref="AB153" si="10776">IF(LanBoo1LevelCurrent&gt;=$B153,"-",IF(LanBoo1LevelDesired&lt;$B153,"-",$D153))</f>
        <v>-</v>
      </c>
      <c r="AC153" s="21" t="str">
        <f t="shared" ref="AC153" si="10777">IF(LanBoo1LevelCurrent&gt;=$B153,"-",IF(LanBoo1LevelDesired&lt;$B153,"-",$E153))</f>
        <v>-</v>
      </c>
      <c r="AD153" s="15" t="str">
        <f t="shared" ref="AD153" si="10778">IF(MarGog1LevelCurrent&gt;=$B153,"-",IF(MarGog1LevelDesired&lt;$B153,"-",$C153))</f>
        <v>-</v>
      </c>
      <c r="AE153" s="1" t="str">
        <f t="shared" ref="AE153" si="10779">IF(MarGog1LevelCurrent&gt;=$B153,"-",IF(MarGog1LevelDesired&lt;$B153,"-",$D153))</f>
        <v>-</v>
      </c>
      <c r="AF153" s="21" t="str">
        <f t="shared" ref="AF153" si="10780">IF(MarGog1LevelCurrent&gt;=$B153,"-",IF(MarGog1LevelDesired&lt;$B153,"-",$E153))</f>
        <v>-</v>
      </c>
      <c r="AG153" s="15" t="str">
        <f t="shared" ref="AG153" si="10781">IF(MarGlo1LevelCurrent&gt;=$B153,"-",IF(MarGlo1LevelDesired&lt;$B153,"-",$C153))</f>
        <v>-</v>
      </c>
      <c r="AH153" s="1" t="str">
        <f t="shared" ref="AH153" si="10782">IF(MarGlo1LevelCurrent&gt;=$B153,"-",IF(MarGlo1LevelDesired&lt;$B153,"-",$D153))</f>
        <v>-</v>
      </c>
      <c r="AI153" s="21" t="str">
        <f t="shared" ref="AI153" si="10783">IF(MarGlo1LevelCurrent&gt;=$B153,"-",IF(MarGlo1LevelDesired&lt;$B153,"-",$E153))</f>
        <v>-</v>
      </c>
      <c r="AJ153" s="15" t="str">
        <f t="shared" ref="AJ153" si="10784">IF(MarBel1LevelCurrent&gt;=$B153,"-",IF(MarBel1LevelDesired&lt;$B153,"-",$C153))</f>
        <v>-</v>
      </c>
      <c r="AK153" s="1" t="str">
        <f t="shared" ref="AK153" si="10785">IF(MarBel1LevelCurrent&gt;=$B153,"-",IF(MarBel1LevelDesired&lt;$B153,"-",$D153))</f>
        <v>-</v>
      </c>
      <c r="AL153" s="21" t="str">
        <f t="shared" ref="AL153" si="10786">IF(MarBel1LevelCurrent&gt;=$B153,"-",IF(MarBel1LevelDesired&lt;$B153,"-",$E153))</f>
        <v>-</v>
      </c>
      <c r="AM153" s="15" t="str">
        <f t="shared" ref="AM153" si="10787">IF(MarBoo1LevelCurrent&gt;=$B153,"-",IF(MarBoo1LevelDesired&lt;$B153,"-",$C153))</f>
        <v>-</v>
      </c>
      <c r="AN153" s="1" t="str">
        <f t="shared" ref="AN153" si="10788">IF(MarBoo1LevelCurrent&gt;=$B153,"-",IF(MarBoo1LevelDesired&lt;$B153,"-",$D153))</f>
        <v>-</v>
      </c>
      <c r="AO153" s="21" t="str">
        <f t="shared" ref="AO153" si="10789">IF(MarBoo1LevelCurrent&gt;=$B153,"-",IF(MarBoo1LevelDesired&lt;$B153,"-",$E153))</f>
        <v>-</v>
      </c>
      <c r="AP153" s="15" t="str">
        <f t="shared" ref="AP153" si="10790">IF(InfGog2LevelCurrent&gt;=$B153,"-",IF(InfGog2LevelDesired&lt;$B153,"-",$C153))</f>
        <v>-</v>
      </c>
      <c r="AQ153" s="1" t="str">
        <f t="shared" ref="AQ153" si="10791">IF(InfGog2LevelCurrent&gt;=$B153,"-",IF(InfGog2LevelDesired&lt;$B153,"-",$D153))</f>
        <v>-</v>
      </c>
      <c r="AR153" s="21" t="str">
        <f t="shared" ref="AR153" si="10792">IF(InfGog2LevelCurrent&gt;=$B153,"-",IF(InfGog2LevelDesired&lt;$B153,"-",$E153))</f>
        <v>-</v>
      </c>
      <c r="AS153" s="15">
        <f t="shared" ref="AS153" si="10793">IF(InfGlo2LevelCurrent&gt;=$B153,"-",IF(InfGlo2LevelDesired&lt;$B153,"-",$C153))</f>
        <v>4800</v>
      </c>
      <c r="AT153" s="1" t="str">
        <f t="shared" ref="AT153" si="10794">IF(InfGlo2LevelCurrent&gt;=$B153,"-",IF(InfGlo2LevelDesired&lt;$B153,"-",$D153))</f>
        <v>-</v>
      </c>
      <c r="AU153" s="21" t="str">
        <f t="shared" ref="AU153" si="10795">IF(InfGlo2LevelCurrent&gt;=$B153,"-",IF(InfGlo2LevelDesired&lt;$B153,"-",$E153))</f>
        <v>-</v>
      </c>
      <c r="AV153" s="15">
        <f t="shared" ref="AV153" si="10796">IF(InfBel2LevelCurrent&gt;=$B153,"-",IF(InfBel2LevelDesired&lt;$B153,"-",$C153))</f>
        <v>4800</v>
      </c>
      <c r="AW153" s="1" t="str">
        <f t="shared" ref="AW153" si="10797">IF(InfBel2LevelCurrent&gt;=$B153,"-",IF(InfBel2LevelDesired&lt;$B153,"-",$D153))</f>
        <v>-</v>
      </c>
      <c r="AX153" s="21" t="str">
        <f t="shared" ref="AX153" si="10798">IF(InfBel2LevelCurrent&gt;=$B153,"-",IF(InfBel2LevelDesired&lt;$B153,"-",$E153))</f>
        <v>-</v>
      </c>
      <c r="AY153" s="15" t="str">
        <f t="shared" ref="AY153" si="10799">IF(InfBoo2LevelCurrent&gt;=$B153,"-",IF(InfBoo2LevelDesired&lt;$B153,"-",$C153))</f>
        <v>-</v>
      </c>
      <c r="AZ153" s="1" t="str">
        <f t="shared" ref="AZ153" si="10800">IF(InfBoo2LevelCurrent&gt;=$B153,"-",IF(InfBoo2LevelDesired&lt;$B153,"-",$D153))</f>
        <v>-</v>
      </c>
      <c r="BA153" s="21" t="str">
        <f t="shared" ref="BA153" si="10801">IF(InfBoo2LevelCurrent&gt;=$B153,"-",IF(InfBoo2LevelDesired&lt;$B153,"-",$E153))</f>
        <v>-</v>
      </c>
      <c r="BB153" s="15">
        <f t="shared" ref="BB153" si="10802">IF(LanGog2LevelCurrent&gt;=$B153,"-",IF(LanGog2LevelDesired&lt;$B153,"-",$C153))</f>
        <v>4800</v>
      </c>
      <c r="BC153" s="1" t="str">
        <f t="shared" ref="BC153" si="10803">IF(LanGog2LevelCurrent&gt;=$B153,"-",IF(LanGog2LevelDesired&lt;$B153,"-",$D153))</f>
        <v>-</v>
      </c>
      <c r="BD153" s="21" t="str">
        <f t="shared" ref="BD153" si="10804">IF(LanGog2LevelCurrent&gt;=$B153,"-",IF(LanGog2LevelDesired&lt;$B153,"-",$E153))</f>
        <v>-</v>
      </c>
      <c r="BE153" s="15" t="str">
        <f t="shared" ref="BE153" si="10805">IF(LanGlo2LevelCurrent&gt;=$B153,"-",IF(LanGlo2LevelDesired&lt;$B153,"-",$C153))</f>
        <v>-</v>
      </c>
      <c r="BF153" s="1" t="str">
        <f t="shared" ref="BF153" si="10806">IF(LanGlo2LevelCurrent&gt;=$B153,"-",IF(LanGlo2LevelDesired&lt;$B153,"-",$D153))</f>
        <v>-</v>
      </c>
      <c r="BG153" s="21" t="str">
        <f t="shared" ref="BG153" si="10807">IF(LanGlo2LevelCurrent&gt;=$B153,"-",IF(LanGlo2LevelDesired&lt;$B153,"-",$E153))</f>
        <v>-</v>
      </c>
      <c r="BH153" s="15" t="str">
        <f t="shared" ref="BH153" si="10808">IF(LanBel2LevelCurrent&gt;=$B153,"-",IF(LanBel2LevelDesired&lt;$B153,"-",$C153))</f>
        <v>-</v>
      </c>
      <c r="BI153" s="1" t="str">
        <f t="shared" ref="BI153" si="10809">IF(LanBel2LevelCurrent&gt;=$B153,"-",IF(LanBel2LevelDesired&lt;$B153,"-",$D153))</f>
        <v>-</v>
      </c>
      <c r="BJ153" s="21" t="str">
        <f t="shared" ref="BJ153" si="10810">IF(LanBel2LevelCurrent&gt;=$B153,"-",IF(LanBel2LevelDesired&lt;$B153,"-",$E153))</f>
        <v>-</v>
      </c>
      <c r="BK153" s="15">
        <f t="shared" ref="BK153" si="10811">IF(LanBoo2LevelCurrent&gt;=$B153,"-",IF(LanBoo2LevelDesired&lt;$B153,"-",$C153))</f>
        <v>4800</v>
      </c>
      <c r="BL153" s="1" t="str">
        <f t="shared" ref="BL153" si="10812">IF(LanBoo2LevelCurrent&gt;=$B153,"-",IF(LanBoo2LevelDesired&lt;$B153,"-",$D153))</f>
        <v>-</v>
      </c>
      <c r="BM153" s="21" t="str">
        <f t="shared" ref="BM153" si="10813">IF(LanBoo2LevelCurrent&gt;=$B153,"-",IF(LanBoo2LevelDesired&lt;$B153,"-",$E153))</f>
        <v>-</v>
      </c>
      <c r="BN153" s="15">
        <f t="shared" ref="BN153" si="10814">IF(MarGog2LevelCurrent&gt;=$B153,"-",IF(MarGog2LevelDesired&lt;$B153,"-",$C153))</f>
        <v>4800</v>
      </c>
      <c r="BO153" s="1" t="str">
        <f t="shared" ref="BO153" si="10815">IF(MarGog2LevelCurrent&gt;=$B153,"-",IF(MarGog2LevelDesired&lt;$B153,"-",$D153))</f>
        <v>-</v>
      </c>
      <c r="BP153" s="21" t="str">
        <f t="shared" ref="BP153" si="10816">IF(MarGog2LevelCurrent&gt;=$B153,"-",IF(MarGog2LevelDesired&lt;$B153,"-",$E153))</f>
        <v>-</v>
      </c>
      <c r="BQ153" s="15" t="str">
        <f t="shared" ref="BQ153" si="10817">IF(MarGlo2LevelCurrent&gt;=$B153,"-",IF(MarGlo2LevelDesired&lt;$B153,"-",$C153))</f>
        <v>-</v>
      </c>
      <c r="BR153" s="1" t="str">
        <f t="shared" ref="BR153" si="10818">IF(MarGlo2LevelCurrent&gt;=$B153,"-",IF(MarGlo2LevelDesired&lt;$B153,"-",$D153))</f>
        <v>-</v>
      </c>
      <c r="BS153" s="21" t="str">
        <f t="shared" ref="BS153" si="10819">IF(MarGlo2LevelCurrent&gt;=$B153,"-",IF(MarGlo2LevelDesired&lt;$B153,"-",$E153))</f>
        <v>-</v>
      </c>
      <c r="BT153" s="15" t="str">
        <f t="shared" ref="BT153" si="10820">IF(MarBel2LevelCurrent&gt;=$B153,"-",IF(MarBel2LevelDesired&lt;$B153,"-",$C153))</f>
        <v>-</v>
      </c>
      <c r="BU153" s="1" t="str">
        <f t="shared" ref="BU153" si="10821">IF(MarBel2LevelCurrent&gt;=$B153,"-",IF(MarBel2LevelDesired&lt;$B153,"-",$D153))</f>
        <v>-</v>
      </c>
      <c r="BV153" s="21" t="str">
        <f t="shared" ref="BV153" si="10822">IF(MarBel2LevelCurrent&gt;=$B153,"-",IF(MarBel2LevelDesired&lt;$B153,"-",$E153))</f>
        <v>-</v>
      </c>
      <c r="BW153" s="15">
        <f t="shared" ref="BW153" si="10823">IF(MarBoo2LevelCurrent&gt;=$B153,"-",IF(MarBoo2LevelDesired&lt;$B153,"-",$C153))</f>
        <v>4800</v>
      </c>
      <c r="BX153" s="1" t="str">
        <f t="shared" ref="BX153" si="10824">IF(MarBoo2LevelCurrent&gt;=$B153,"-",IF(MarBoo2LevelDesired&lt;$B153,"-",$D153))</f>
        <v>-</v>
      </c>
      <c r="BY153" s="21" t="str">
        <f t="shared" ref="BY153" si="10825">IF(MarBoo2LevelCurrent&gt;=$B153,"-",IF(MarBoo2LevelDesired&lt;$B153,"-",$E153))</f>
        <v>-</v>
      </c>
      <c r="BZ153" s="15" t="str">
        <f t="shared" si="9424"/>
        <v>-</v>
      </c>
      <c r="CA153" s="1" t="str" cm="1">
        <f t="array" ref="CA153">IF(InfGog3LevelCurrent&gt;=$B153,"-",IF(InfGog3LevelDesired&lt;$B153,"-",$D153))</f>
        <v>-</v>
      </c>
      <c r="CB153" s="21" t="str" cm="1">
        <f t="array" ref="CB153">IF(InfGog3LevelCurrent&gt;=$B153,"-",IF(InfGog3LevelDesired&lt;$B153,"-",$E153))</f>
        <v>-</v>
      </c>
      <c r="CC153" s="15" t="str">
        <f t="shared" si="9425"/>
        <v>-</v>
      </c>
      <c r="CD153" s="1" t="str">
        <f t="shared" si="9426"/>
        <v>-</v>
      </c>
      <c r="CE153" s="21" t="str">
        <f t="shared" si="9427"/>
        <v>-</v>
      </c>
      <c r="CF153" s="15" t="str">
        <f t="shared" si="9428"/>
        <v>-</v>
      </c>
      <c r="CG153" s="1" t="str">
        <f t="shared" si="9429"/>
        <v>-</v>
      </c>
      <c r="CH153" s="21" t="str">
        <f t="shared" si="9430"/>
        <v>-</v>
      </c>
      <c r="CI153" s="15" t="str">
        <f t="shared" si="9431"/>
        <v>-</v>
      </c>
      <c r="CJ153" s="1" t="str">
        <f t="shared" si="9432"/>
        <v>-</v>
      </c>
      <c r="CK153" s="21" t="str">
        <f t="shared" si="9433"/>
        <v>-</v>
      </c>
      <c r="CL153" s="15" t="str">
        <f t="shared" si="9434"/>
        <v>-</v>
      </c>
      <c r="CM153" s="1" t="str">
        <f t="shared" si="9435"/>
        <v>-</v>
      </c>
      <c r="CN153" s="21" t="str">
        <f t="shared" si="9436"/>
        <v>-</v>
      </c>
      <c r="CO153" s="15" t="str">
        <f t="shared" si="9437"/>
        <v>-</v>
      </c>
      <c r="CP153" s="1" t="str">
        <f t="shared" si="9438"/>
        <v>-</v>
      </c>
      <c r="CQ153" s="21" t="str">
        <f t="shared" si="9439"/>
        <v>-</v>
      </c>
      <c r="CR153" s="15" t="str">
        <f t="shared" si="9440"/>
        <v>-</v>
      </c>
      <c r="CS153" s="1" t="str">
        <f t="shared" si="9441"/>
        <v>-</v>
      </c>
      <c r="CT153" s="21" t="str">
        <f t="shared" si="9442"/>
        <v>-</v>
      </c>
      <c r="CU153" s="15" t="str">
        <f t="shared" si="9443"/>
        <v>-</v>
      </c>
      <c r="CV153" s="1" t="str">
        <f t="shared" si="9444"/>
        <v>-</v>
      </c>
      <c r="CW153" s="21" t="str">
        <f t="shared" si="9445"/>
        <v>-</v>
      </c>
      <c r="CX153" s="15" t="str">
        <f t="shared" si="9446"/>
        <v>-</v>
      </c>
      <c r="CY153" s="1" t="str">
        <f t="shared" si="9447"/>
        <v>-</v>
      </c>
      <c r="CZ153" s="21" t="str">
        <f t="shared" si="9448"/>
        <v>-</v>
      </c>
      <c r="DA153" s="15" t="str">
        <f t="shared" si="9449"/>
        <v>-</v>
      </c>
      <c r="DB153" s="1" t="str">
        <f t="shared" si="9450"/>
        <v>-</v>
      </c>
      <c r="DC153" s="21" t="str">
        <f t="shared" si="9451"/>
        <v>-</v>
      </c>
      <c r="DD153" s="15" t="str">
        <f t="shared" si="9452"/>
        <v>-</v>
      </c>
      <c r="DE153" s="1" t="str">
        <f t="shared" si="9453"/>
        <v>-</v>
      </c>
      <c r="DF153" s="21" t="str">
        <f t="shared" si="9454"/>
        <v>-</v>
      </c>
      <c r="DG153" s="15" t="str">
        <f t="shared" si="9455"/>
        <v>-</v>
      </c>
      <c r="DH153" s="1" t="str">
        <f t="shared" si="9456"/>
        <v>-</v>
      </c>
      <c r="DI153" s="21" t="str">
        <f t="shared" si="9457"/>
        <v>-</v>
      </c>
    </row>
    <row r="154" spans="2:113" x14ac:dyDescent="0.3">
      <c r="B154" s="1">
        <v>149</v>
      </c>
      <c r="C154" s="67">
        <v>4850</v>
      </c>
      <c r="D154" s="88" t="s">
        <v>27</v>
      </c>
      <c r="E154" s="68" t="s">
        <v>27</v>
      </c>
      <c r="F154" s="15" t="str">
        <f t="shared" ref="F154" si="10826">IF(InfGog1LevelCurrent&gt;=$B154,"-",IF(InfGog1LevelDesired&lt;$B154,"-",$C154))</f>
        <v>-</v>
      </c>
      <c r="G154" s="1" t="str">
        <f t="shared" ref="G154" si="10827">IF(InfGog1LevelCurrent&gt;=$B154,"-",IF(InfGog1LevelDesired&lt;$B154,"-",$D154))</f>
        <v>-</v>
      </c>
      <c r="H154" s="21" t="str">
        <f t="shared" ref="H154" si="10828">IF(InfGog1LevelCurrent&gt;=$B154,"-",IF(InfGog1LevelDesired&lt;$B154,"-",$E154))</f>
        <v>-</v>
      </c>
      <c r="I154" s="15" t="str">
        <f t="shared" ref="I154" si="10829">IF(InfGlo1LevelCurrent&gt;=$B154,"-",IF(InfGlo1LevelDesired&lt;$B154,"-",$C154))</f>
        <v>-</v>
      </c>
      <c r="J154" s="1" t="str">
        <f t="shared" ref="J154" si="10830">IF(InfGlo1LevelCurrent&gt;=$B154,"-",IF(InfGlo1LevelDesired&lt;$B154,"-",$D154))</f>
        <v>-</v>
      </c>
      <c r="K154" s="21" t="str">
        <f t="shared" ref="K154" si="10831">IF(InfGlo1LevelCurrent&gt;=$B154,"-",IF(InfGlo1LevelDesired&lt;$B154,"-",$E154))</f>
        <v>-</v>
      </c>
      <c r="L154" s="15" t="str">
        <f t="shared" ref="L154" si="10832">IF(InfBel1LevelCurrent&gt;=$B154,"-",IF(InfBel1LevelDesired&lt;$B154,"-",$C154))</f>
        <v>-</v>
      </c>
      <c r="M154" s="1" t="str">
        <f t="shared" ref="M154" si="10833">IF(InfBel1LevelCurrent&gt;=$B154,"-",IF(InfBel1LevelDesired&lt;$B154,"-",$D154))</f>
        <v>-</v>
      </c>
      <c r="N154" s="21" t="str">
        <f t="shared" ref="N154" si="10834">IF(InfBel1LevelCurrent&gt;=$B154,"-",IF(InfBel1LevelDesired&lt;$B154,"-",$E154))</f>
        <v>-</v>
      </c>
      <c r="O154" s="15" t="str">
        <f t="shared" ref="O154" si="10835">IF(InfBoo1LevelCurrent&gt;=$B154,"-",IF(InfBoo1LevelDesired&lt;$B154,"-",$C154))</f>
        <v>-</v>
      </c>
      <c r="P154" s="1" t="str">
        <f t="shared" ref="P154" si="10836">IF(InfBoo1LevelCurrent&gt;=$B154,"-",IF(InfBoo1LevelDesired&lt;$B154,"-",$D154))</f>
        <v>-</v>
      </c>
      <c r="Q154" s="21" t="str">
        <f t="shared" ref="Q154" si="10837">IF(InfBoo1LevelCurrent&gt;=$B154,"-",IF(InfBoo1LevelDesired&lt;$B154,"-",$E154))</f>
        <v>-</v>
      </c>
      <c r="R154" s="15" t="str">
        <f t="shared" ref="R154" si="10838">IF(LanGog1LevelCurrent&gt;=$B154,"-",IF(LanGog1LevelDesired&lt;$B154,"-",$C154))</f>
        <v>-</v>
      </c>
      <c r="S154" s="1" t="str">
        <f t="shared" ref="S154" si="10839">IF(LanGog1LevelCurrent&gt;=$B154,"-",IF(LanGog1LevelDesired&lt;$B154,"-",$D154))</f>
        <v>-</v>
      </c>
      <c r="T154" s="21" t="str">
        <f t="shared" ref="T154" si="10840">IF(LanGog1LevelCurrent&gt;=$B154,"-",IF(LanGog1LevelDesired&lt;$B154,"-",$E154))</f>
        <v>-</v>
      </c>
      <c r="U154" s="15" t="str">
        <f t="shared" ref="U154" si="10841">IF(LanGlo1LevelCurrent&gt;=$B154,"-",IF(LanGlo1LevelDesired&lt;$B154,"-",$C154))</f>
        <v>-</v>
      </c>
      <c r="V154" s="1" t="str">
        <f t="shared" ref="V154" si="10842">IF(LanGlo1LevelCurrent&gt;=$B154,"-",IF(LanGlo1LevelDesired&lt;$B154,"-",$D154))</f>
        <v>-</v>
      </c>
      <c r="W154" s="21" t="str">
        <f t="shared" ref="W154" si="10843">IF(LanGlo1LevelCurrent&gt;=$B154,"-",IF(LanGlo1LevelDesired&lt;$B154,"-",$E154))</f>
        <v>-</v>
      </c>
      <c r="X154" s="15" t="str">
        <f t="shared" ref="X154" si="10844">IF(LanBel1LevelCurrent&gt;=$B154,"-",IF(LanBel1LevelDesired&lt;$B154,"-",$C154))</f>
        <v>-</v>
      </c>
      <c r="Y154" s="1" t="str">
        <f t="shared" ref="Y154" si="10845">IF(LanBel1LevelCurrent&gt;=$B154,"-",IF(LanBel1LevelDesired&lt;$B154,"-",$D154))</f>
        <v>-</v>
      </c>
      <c r="Z154" s="21" t="str">
        <f t="shared" ref="Z154" si="10846">IF(LanBel1LevelCurrent&gt;=$B154,"-",IF(LanBel1LevelDesired&lt;$B154,"-",$E154))</f>
        <v>-</v>
      </c>
      <c r="AA154" s="15" t="str">
        <f t="shared" ref="AA154" si="10847">IF(LanBoo1LevelCurrent&gt;=$B154,"-",IF(LanBoo1LevelDesired&lt;$B154,"-",$C154))</f>
        <v>-</v>
      </c>
      <c r="AB154" s="1" t="str">
        <f t="shared" ref="AB154" si="10848">IF(LanBoo1LevelCurrent&gt;=$B154,"-",IF(LanBoo1LevelDesired&lt;$B154,"-",$D154))</f>
        <v>-</v>
      </c>
      <c r="AC154" s="21" t="str">
        <f t="shared" ref="AC154" si="10849">IF(LanBoo1LevelCurrent&gt;=$B154,"-",IF(LanBoo1LevelDesired&lt;$B154,"-",$E154))</f>
        <v>-</v>
      </c>
      <c r="AD154" s="15" t="str">
        <f t="shared" ref="AD154" si="10850">IF(MarGog1LevelCurrent&gt;=$B154,"-",IF(MarGog1LevelDesired&lt;$B154,"-",$C154))</f>
        <v>-</v>
      </c>
      <c r="AE154" s="1" t="str">
        <f t="shared" ref="AE154" si="10851">IF(MarGog1LevelCurrent&gt;=$B154,"-",IF(MarGog1LevelDesired&lt;$B154,"-",$D154))</f>
        <v>-</v>
      </c>
      <c r="AF154" s="21" t="str">
        <f t="shared" ref="AF154" si="10852">IF(MarGog1LevelCurrent&gt;=$B154,"-",IF(MarGog1LevelDesired&lt;$B154,"-",$E154))</f>
        <v>-</v>
      </c>
      <c r="AG154" s="15" t="str">
        <f t="shared" ref="AG154" si="10853">IF(MarGlo1LevelCurrent&gt;=$B154,"-",IF(MarGlo1LevelDesired&lt;$B154,"-",$C154))</f>
        <v>-</v>
      </c>
      <c r="AH154" s="1" t="str">
        <f t="shared" ref="AH154" si="10854">IF(MarGlo1LevelCurrent&gt;=$B154,"-",IF(MarGlo1LevelDesired&lt;$B154,"-",$D154))</f>
        <v>-</v>
      </c>
      <c r="AI154" s="21" t="str">
        <f t="shared" ref="AI154" si="10855">IF(MarGlo1LevelCurrent&gt;=$B154,"-",IF(MarGlo1LevelDesired&lt;$B154,"-",$E154))</f>
        <v>-</v>
      </c>
      <c r="AJ154" s="15" t="str">
        <f t="shared" ref="AJ154" si="10856">IF(MarBel1LevelCurrent&gt;=$B154,"-",IF(MarBel1LevelDesired&lt;$B154,"-",$C154))</f>
        <v>-</v>
      </c>
      <c r="AK154" s="1" t="str">
        <f t="shared" ref="AK154" si="10857">IF(MarBel1LevelCurrent&gt;=$B154,"-",IF(MarBel1LevelDesired&lt;$B154,"-",$D154))</f>
        <v>-</v>
      </c>
      <c r="AL154" s="21" t="str">
        <f t="shared" ref="AL154" si="10858">IF(MarBel1LevelCurrent&gt;=$B154,"-",IF(MarBel1LevelDesired&lt;$B154,"-",$E154))</f>
        <v>-</v>
      </c>
      <c r="AM154" s="15" t="str">
        <f t="shared" ref="AM154" si="10859">IF(MarBoo1LevelCurrent&gt;=$B154,"-",IF(MarBoo1LevelDesired&lt;$B154,"-",$C154))</f>
        <v>-</v>
      </c>
      <c r="AN154" s="1" t="str">
        <f t="shared" ref="AN154" si="10860">IF(MarBoo1LevelCurrent&gt;=$B154,"-",IF(MarBoo1LevelDesired&lt;$B154,"-",$D154))</f>
        <v>-</v>
      </c>
      <c r="AO154" s="21" t="str">
        <f t="shared" ref="AO154" si="10861">IF(MarBoo1LevelCurrent&gt;=$B154,"-",IF(MarBoo1LevelDesired&lt;$B154,"-",$E154))</f>
        <v>-</v>
      </c>
      <c r="AP154" s="15" t="str">
        <f t="shared" ref="AP154" si="10862">IF(InfGog2LevelCurrent&gt;=$B154,"-",IF(InfGog2LevelDesired&lt;$B154,"-",$C154))</f>
        <v>-</v>
      </c>
      <c r="AQ154" s="1" t="str">
        <f t="shared" ref="AQ154" si="10863">IF(InfGog2LevelCurrent&gt;=$B154,"-",IF(InfGog2LevelDesired&lt;$B154,"-",$D154))</f>
        <v>-</v>
      </c>
      <c r="AR154" s="21" t="str">
        <f t="shared" ref="AR154" si="10864">IF(InfGog2LevelCurrent&gt;=$B154,"-",IF(InfGog2LevelDesired&lt;$B154,"-",$E154))</f>
        <v>-</v>
      </c>
      <c r="AS154" s="15">
        <f t="shared" ref="AS154" si="10865">IF(InfGlo2LevelCurrent&gt;=$B154,"-",IF(InfGlo2LevelDesired&lt;$B154,"-",$C154))</f>
        <v>4850</v>
      </c>
      <c r="AT154" s="1" t="str">
        <f t="shared" ref="AT154" si="10866">IF(InfGlo2LevelCurrent&gt;=$B154,"-",IF(InfGlo2LevelDesired&lt;$B154,"-",$D154))</f>
        <v>-</v>
      </c>
      <c r="AU154" s="21" t="str">
        <f t="shared" ref="AU154" si="10867">IF(InfGlo2LevelCurrent&gt;=$B154,"-",IF(InfGlo2LevelDesired&lt;$B154,"-",$E154))</f>
        <v>-</v>
      </c>
      <c r="AV154" s="15">
        <f t="shared" ref="AV154" si="10868">IF(InfBel2LevelCurrent&gt;=$B154,"-",IF(InfBel2LevelDesired&lt;$B154,"-",$C154))</f>
        <v>4850</v>
      </c>
      <c r="AW154" s="1" t="str">
        <f t="shared" ref="AW154" si="10869">IF(InfBel2LevelCurrent&gt;=$B154,"-",IF(InfBel2LevelDesired&lt;$B154,"-",$D154))</f>
        <v>-</v>
      </c>
      <c r="AX154" s="21" t="str">
        <f t="shared" ref="AX154" si="10870">IF(InfBel2LevelCurrent&gt;=$B154,"-",IF(InfBel2LevelDesired&lt;$B154,"-",$E154))</f>
        <v>-</v>
      </c>
      <c r="AY154" s="15" t="str">
        <f t="shared" ref="AY154" si="10871">IF(InfBoo2LevelCurrent&gt;=$B154,"-",IF(InfBoo2LevelDesired&lt;$B154,"-",$C154))</f>
        <v>-</v>
      </c>
      <c r="AZ154" s="1" t="str">
        <f t="shared" ref="AZ154" si="10872">IF(InfBoo2LevelCurrent&gt;=$B154,"-",IF(InfBoo2LevelDesired&lt;$B154,"-",$D154))</f>
        <v>-</v>
      </c>
      <c r="BA154" s="21" t="str">
        <f t="shared" ref="BA154" si="10873">IF(InfBoo2LevelCurrent&gt;=$B154,"-",IF(InfBoo2LevelDesired&lt;$B154,"-",$E154))</f>
        <v>-</v>
      </c>
      <c r="BB154" s="15">
        <f t="shared" ref="BB154" si="10874">IF(LanGog2LevelCurrent&gt;=$B154,"-",IF(LanGog2LevelDesired&lt;$B154,"-",$C154))</f>
        <v>4850</v>
      </c>
      <c r="BC154" s="1" t="str">
        <f t="shared" ref="BC154" si="10875">IF(LanGog2LevelCurrent&gt;=$B154,"-",IF(LanGog2LevelDesired&lt;$B154,"-",$D154))</f>
        <v>-</v>
      </c>
      <c r="BD154" s="21" t="str">
        <f t="shared" ref="BD154" si="10876">IF(LanGog2LevelCurrent&gt;=$B154,"-",IF(LanGog2LevelDesired&lt;$B154,"-",$E154))</f>
        <v>-</v>
      </c>
      <c r="BE154" s="15" t="str">
        <f t="shared" ref="BE154" si="10877">IF(LanGlo2LevelCurrent&gt;=$B154,"-",IF(LanGlo2LevelDesired&lt;$B154,"-",$C154))</f>
        <v>-</v>
      </c>
      <c r="BF154" s="1" t="str">
        <f t="shared" ref="BF154" si="10878">IF(LanGlo2LevelCurrent&gt;=$B154,"-",IF(LanGlo2LevelDesired&lt;$B154,"-",$D154))</f>
        <v>-</v>
      </c>
      <c r="BG154" s="21" t="str">
        <f t="shared" ref="BG154" si="10879">IF(LanGlo2LevelCurrent&gt;=$B154,"-",IF(LanGlo2LevelDesired&lt;$B154,"-",$E154))</f>
        <v>-</v>
      </c>
      <c r="BH154" s="15" t="str">
        <f t="shared" ref="BH154" si="10880">IF(LanBel2LevelCurrent&gt;=$B154,"-",IF(LanBel2LevelDesired&lt;$B154,"-",$C154))</f>
        <v>-</v>
      </c>
      <c r="BI154" s="1" t="str">
        <f t="shared" ref="BI154" si="10881">IF(LanBel2LevelCurrent&gt;=$B154,"-",IF(LanBel2LevelDesired&lt;$B154,"-",$D154))</f>
        <v>-</v>
      </c>
      <c r="BJ154" s="21" t="str">
        <f t="shared" ref="BJ154" si="10882">IF(LanBel2LevelCurrent&gt;=$B154,"-",IF(LanBel2LevelDesired&lt;$B154,"-",$E154))</f>
        <v>-</v>
      </c>
      <c r="BK154" s="15">
        <f t="shared" ref="BK154" si="10883">IF(LanBoo2LevelCurrent&gt;=$B154,"-",IF(LanBoo2LevelDesired&lt;$B154,"-",$C154))</f>
        <v>4850</v>
      </c>
      <c r="BL154" s="1" t="str">
        <f t="shared" ref="BL154" si="10884">IF(LanBoo2LevelCurrent&gt;=$B154,"-",IF(LanBoo2LevelDesired&lt;$B154,"-",$D154))</f>
        <v>-</v>
      </c>
      <c r="BM154" s="21" t="str">
        <f t="shared" ref="BM154" si="10885">IF(LanBoo2LevelCurrent&gt;=$B154,"-",IF(LanBoo2LevelDesired&lt;$B154,"-",$E154))</f>
        <v>-</v>
      </c>
      <c r="BN154" s="15">
        <f t="shared" ref="BN154" si="10886">IF(MarGog2LevelCurrent&gt;=$B154,"-",IF(MarGog2LevelDesired&lt;$B154,"-",$C154))</f>
        <v>4850</v>
      </c>
      <c r="BO154" s="1" t="str">
        <f t="shared" ref="BO154" si="10887">IF(MarGog2LevelCurrent&gt;=$B154,"-",IF(MarGog2LevelDesired&lt;$B154,"-",$D154))</f>
        <v>-</v>
      </c>
      <c r="BP154" s="21" t="str">
        <f t="shared" ref="BP154" si="10888">IF(MarGog2LevelCurrent&gt;=$B154,"-",IF(MarGog2LevelDesired&lt;$B154,"-",$E154))</f>
        <v>-</v>
      </c>
      <c r="BQ154" s="15" t="str">
        <f t="shared" ref="BQ154" si="10889">IF(MarGlo2LevelCurrent&gt;=$B154,"-",IF(MarGlo2LevelDesired&lt;$B154,"-",$C154))</f>
        <v>-</v>
      </c>
      <c r="BR154" s="1" t="str">
        <f t="shared" ref="BR154" si="10890">IF(MarGlo2LevelCurrent&gt;=$B154,"-",IF(MarGlo2LevelDesired&lt;$B154,"-",$D154))</f>
        <v>-</v>
      </c>
      <c r="BS154" s="21" t="str">
        <f t="shared" ref="BS154" si="10891">IF(MarGlo2LevelCurrent&gt;=$B154,"-",IF(MarGlo2LevelDesired&lt;$B154,"-",$E154))</f>
        <v>-</v>
      </c>
      <c r="BT154" s="15" t="str">
        <f t="shared" ref="BT154" si="10892">IF(MarBel2LevelCurrent&gt;=$B154,"-",IF(MarBel2LevelDesired&lt;$B154,"-",$C154))</f>
        <v>-</v>
      </c>
      <c r="BU154" s="1" t="str">
        <f t="shared" ref="BU154" si="10893">IF(MarBel2LevelCurrent&gt;=$B154,"-",IF(MarBel2LevelDesired&lt;$B154,"-",$D154))</f>
        <v>-</v>
      </c>
      <c r="BV154" s="21" t="str">
        <f t="shared" ref="BV154" si="10894">IF(MarBel2LevelCurrent&gt;=$B154,"-",IF(MarBel2LevelDesired&lt;$B154,"-",$E154))</f>
        <v>-</v>
      </c>
      <c r="BW154" s="15">
        <f t="shared" ref="BW154" si="10895">IF(MarBoo2LevelCurrent&gt;=$B154,"-",IF(MarBoo2LevelDesired&lt;$B154,"-",$C154))</f>
        <v>4850</v>
      </c>
      <c r="BX154" s="1" t="str">
        <f t="shared" ref="BX154" si="10896">IF(MarBoo2LevelCurrent&gt;=$B154,"-",IF(MarBoo2LevelDesired&lt;$B154,"-",$D154))</f>
        <v>-</v>
      </c>
      <c r="BY154" s="21" t="str">
        <f t="shared" ref="BY154" si="10897">IF(MarBoo2LevelCurrent&gt;=$B154,"-",IF(MarBoo2LevelDesired&lt;$B154,"-",$E154))</f>
        <v>-</v>
      </c>
      <c r="BZ154" s="15" t="str">
        <f t="shared" si="9424"/>
        <v>-</v>
      </c>
      <c r="CA154" s="1" t="str" cm="1">
        <f t="array" ref="CA154">IF(InfGog3LevelCurrent&gt;=$B154,"-",IF(InfGog3LevelDesired&lt;$B154,"-",$D154))</f>
        <v>-</v>
      </c>
      <c r="CB154" s="21" t="str" cm="1">
        <f t="array" ref="CB154">IF(InfGog3LevelCurrent&gt;=$B154,"-",IF(InfGog3LevelDesired&lt;$B154,"-",$E154))</f>
        <v>-</v>
      </c>
      <c r="CC154" s="15" t="str">
        <f t="shared" si="9425"/>
        <v>-</v>
      </c>
      <c r="CD154" s="1" t="str">
        <f t="shared" si="9426"/>
        <v>-</v>
      </c>
      <c r="CE154" s="21" t="str">
        <f t="shared" si="9427"/>
        <v>-</v>
      </c>
      <c r="CF154" s="15" t="str">
        <f t="shared" si="9428"/>
        <v>-</v>
      </c>
      <c r="CG154" s="1" t="str">
        <f t="shared" si="9429"/>
        <v>-</v>
      </c>
      <c r="CH154" s="21" t="str">
        <f t="shared" si="9430"/>
        <v>-</v>
      </c>
      <c r="CI154" s="15" t="str">
        <f t="shared" si="9431"/>
        <v>-</v>
      </c>
      <c r="CJ154" s="1" t="str">
        <f t="shared" si="9432"/>
        <v>-</v>
      </c>
      <c r="CK154" s="21" t="str">
        <f t="shared" si="9433"/>
        <v>-</v>
      </c>
      <c r="CL154" s="15" t="str">
        <f t="shared" si="9434"/>
        <v>-</v>
      </c>
      <c r="CM154" s="1" t="str">
        <f t="shared" si="9435"/>
        <v>-</v>
      </c>
      <c r="CN154" s="21" t="str">
        <f t="shared" si="9436"/>
        <v>-</v>
      </c>
      <c r="CO154" s="15" t="str">
        <f t="shared" si="9437"/>
        <v>-</v>
      </c>
      <c r="CP154" s="1" t="str">
        <f t="shared" si="9438"/>
        <v>-</v>
      </c>
      <c r="CQ154" s="21" t="str">
        <f t="shared" si="9439"/>
        <v>-</v>
      </c>
      <c r="CR154" s="15" t="str">
        <f t="shared" si="9440"/>
        <v>-</v>
      </c>
      <c r="CS154" s="1" t="str">
        <f t="shared" si="9441"/>
        <v>-</v>
      </c>
      <c r="CT154" s="21" t="str">
        <f t="shared" si="9442"/>
        <v>-</v>
      </c>
      <c r="CU154" s="15" t="str">
        <f t="shared" si="9443"/>
        <v>-</v>
      </c>
      <c r="CV154" s="1" t="str">
        <f t="shared" si="9444"/>
        <v>-</v>
      </c>
      <c r="CW154" s="21" t="str">
        <f t="shared" si="9445"/>
        <v>-</v>
      </c>
      <c r="CX154" s="15" t="str">
        <f t="shared" si="9446"/>
        <v>-</v>
      </c>
      <c r="CY154" s="1" t="str">
        <f t="shared" si="9447"/>
        <v>-</v>
      </c>
      <c r="CZ154" s="21" t="str">
        <f t="shared" si="9448"/>
        <v>-</v>
      </c>
      <c r="DA154" s="15" t="str">
        <f t="shared" si="9449"/>
        <v>-</v>
      </c>
      <c r="DB154" s="1" t="str">
        <f t="shared" si="9450"/>
        <v>-</v>
      </c>
      <c r="DC154" s="21" t="str">
        <f t="shared" si="9451"/>
        <v>-</v>
      </c>
      <c r="DD154" s="15" t="str">
        <f t="shared" si="9452"/>
        <v>-</v>
      </c>
      <c r="DE154" s="1" t="str">
        <f t="shared" si="9453"/>
        <v>-</v>
      </c>
      <c r="DF154" s="21" t="str">
        <f t="shared" si="9454"/>
        <v>-</v>
      </c>
      <c r="DG154" s="15" t="str">
        <f t="shared" si="9455"/>
        <v>-</v>
      </c>
      <c r="DH154" s="1" t="str">
        <f t="shared" si="9456"/>
        <v>-</v>
      </c>
      <c r="DI154" s="21" t="str">
        <f t="shared" si="9457"/>
        <v>-</v>
      </c>
    </row>
    <row r="155" spans="2:113" x14ac:dyDescent="0.3">
      <c r="B155" s="1">
        <v>150</v>
      </c>
      <c r="C155" s="67">
        <v>4900</v>
      </c>
      <c r="D155" s="88" t="s">
        <v>27</v>
      </c>
      <c r="E155" s="68" t="s">
        <v>27</v>
      </c>
      <c r="F155" s="15" t="str">
        <f t="shared" ref="F155" si="10898">IF(InfGog1LevelCurrent&gt;=$B155,"-",IF(InfGog1LevelDesired&lt;$B155,"-",$C155))</f>
        <v>-</v>
      </c>
      <c r="G155" s="1" t="str">
        <f t="shared" ref="G155" si="10899">IF(InfGog1LevelCurrent&gt;=$B155,"-",IF(InfGog1LevelDesired&lt;$B155,"-",$D155))</f>
        <v>-</v>
      </c>
      <c r="H155" s="21" t="str">
        <f t="shared" ref="H155" si="10900">IF(InfGog1LevelCurrent&gt;=$B155,"-",IF(InfGog1LevelDesired&lt;$B155,"-",$E155))</f>
        <v>-</v>
      </c>
      <c r="I155" s="15" t="str">
        <f t="shared" ref="I155" si="10901">IF(InfGlo1LevelCurrent&gt;=$B155,"-",IF(InfGlo1LevelDesired&lt;$B155,"-",$C155))</f>
        <v>-</v>
      </c>
      <c r="J155" s="1" t="str">
        <f t="shared" ref="J155" si="10902">IF(InfGlo1LevelCurrent&gt;=$B155,"-",IF(InfGlo1LevelDesired&lt;$B155,"-",$D155))</f>
        <v>-</v>
      </c>
      <c r="K155" s="21" t="str">
        <f t="shared" ref="K155" si="10903">IF(InfGlo1LevelCurrent&gt;=$B155,"-",IF(InfGlo1LevelDesired&lt;$B155,"-",$E155))</f>
        <v>-</v>
      </c>
      <c r="L155" s="15" t="str">
        <f t="shared" ref="L155" si="10904">IF(InfBel1LevelCurrent&gt;=$B155,"-",IF(InfBel1LevelDesired&lt;$B155,"-",$C155))</f>
        <v>-</v>
      </c>
      <c r="M155" s="1" t="str">
        <f t="shared" ref="M155" si="10905">IF(InfBel1LevelCurrent&gt;=$B155,"-",IF(InfBel1LevelDesired&lt;$B155,"-",$D155))</f>
        <v>-</v>
      </c>
      <c r="N155" s="21" t="str">
        <f t="shared" ref="N155" si="10906">IF(InfBel1LevelCurrent&gt;=$B155,"-",IF(InfBel1LevelDesired&lt;$B155,"-",$E155))</f>
        <v>-</v>
      </c>
      <c r="O155" s="15" t="str">
        <f t="shared" ref="O155" si="10907">IF(InfBoo1LevelCurrent&gt;=$B155,"-",IF(InfBoo1LevelDesired&lt;$B155,"-",$C155))</f>
        <v>-</v>
      </c>
      <c r="P155" s="1" t="str">
        <f t="shared" ref="P155" si="10908">IF(InfBoo1LevelCurrent&gt;=$B155,"-",IF(InfBoo1LevelDesired&lt;$B155,"-",$D155))</f>
        <v>-</v>
      </c>
      <c r="Q155" s="21" t="str">
        <f t="shared" ref="Q155" si="10909">IF(InfBoo1LevelCurrent&gt;=$B155,"-",IF(InfBoo1LevelDesired&lt;$B155,"-",$E155))</f>
        <v>-</v>
      </c>
      <c r="R155" s="15" t="str">
        <f t="shared" ref="R155" si="10910">IF(LanGog1LevelCurrent&gt;=$B155,"-",IF(LanGog1LevelDesired&lt;$B155,"-",$C155))</f>
        <v>-</v>
      </c>
      <c r="S155" s="1" t="str">
        <f t="shared" ref="S155" si="10911">IF(LanGog1LevelCurrent&gt;=$B155,"-",IF(LanGog1LevelDesired&lt;$B155,"-",$D155))</f>
        <v>-</v>
      </c>
      <c r="T155" s="21" t="str">
        <f t="shared" ref="T155" si="10912">IF(LanGog1LevelCurrent&gt;=$B155,"-",IF(LanGog1LevelDesired&lt;$B155,"-",$E155))</f>
        <v>-</v>
      </c>
      <c r="U155" s="15" t="str">
        <f t="shared" ref="U155" si="10913">IF(LanGlo1LevelCurrent&gt;=$B155,"-",IF(LanGlo1LevelDesired&lt;$B155,"-",$C155))</f>
        <v>-</v>
      </c>
      <c r="V155" s="1" t="str">
        <f t="shared" ref="V155" si="10914">IF(LanGlo1LevelCurrent&gt;=$B155,"-",IF(LanGlo1LevelDesired&lt;$B155,"-",$D155))</f>
        <v>-</v>
      </c>
      <c r="W155" s="21" t="str">
        <f t="shared" ref="W155" si="10915">IF(LanGlo1LevelCurrent&gt;=$B155,"-",IF(LanGlo1LevelDesired&lt;$B155,"-",$E155))</f>
        <v>-</v>
      </c>
      <c r="X155" s="15" t="str">
        <f t="shared" ref="X155" si="10916">IF(LanBel1LevelCurrent&gt;=$B155,"-",IF(LanBel1LevelDesired&lt;$B155,"-",$C155))</f>
        <v>-</v>
      </c>
      <c r="Y155" s="1" t="str">
        <f t="shared" ref="Y155" si="10917">IF(LanBel1LevelCurrent&gt;=$B155,"-",IF(LanBel1LevelDesired&lt;$B155,"-",$D155))</f>
        <v>-</v>
      </c>
      <c r="Z155" s="21" t="str">
        <f t="shared" ref="Z155" si="10918">IF(LanBel1LevelCurrent&gt;=$B155,"-",IF(LanBel1LevelDesired&lt;$B155,"-",$E155))</f>
        <v>-</v>
      </c>
      <c r="AA155" s="15" t="str">
        <f t="shared" ref="AA155" si="10919">IF(LanBoo1LevelCurrent&gt;=$B155,"-",IF(LanBoo1LevelDesired&lt;$B155,"-",$C155))</f>
        <v>-</v>
      </c>
      <c r="AB155" s="1" t="str">
        <f t="shared" ref="AB155" si="10920">IF(LanBoo1LevelCurrent&gt;=$B155,"-",IF(LanBoo1LevelDesired&lt;$B155,"-",$D155))</f>
        <v>-</v>
      </c>
      <c r="AC155" s="21" t="str">
        <f t="shared" ref="AC155" si="10921">IF(LanBoo1LevelCurrent&gt;=$B155,"-",IF(LanBoo1LevelDesired&lt;$B155,"-",$E155))</f>
        <v>-</v>
      </c>
      <c r="AD155" s="15" t="str">
        <f t="shared" ref="AD155" si="10922">IF(MarGog1LevelCurrent&gt;=$B155,"-",IF(MarGog1LevelDesired&lt;$B155,"-",$C155))</f>
        <v>-</v>
      </c>
      <c r="AE155" s="1" t="str">
        <f t="shared" ref="AE155" si="10923">IF(MarGog1LevelCurrent&gt;=$B155,"-",IF(MarGog1LevelDesired&lt;$B155,"-",$D155))</f>
        <v>-</v>
      </c>
      <c r="AF155" s="21" t="str">
        <f t="shared" ref="AF155" si="10924">IF(MarGog1LevelCurrent&gt;=$B155,"-",IF(MarGog1LevelDesired&lt;$B155,"-",$E155))</f>
        <v>-</v>
      </c>
      <c r="AG155" s="15" t="str">
        <f t="shared" ref="AG155" si="10925">IF(MarGlo1LevelCurrent&gt;=$B155,"-",IF(MarGlo1LevelDesired&lt;$B155,"-",$C155))</f>
        <v>-</v>
      </c>
      <c r="AH155" s="1" t="str">
        <f t="shared" ref="AH155" si="10926">IF(MarGlo1LevelCurrent&gt;=$B155,"-",IF(MarGlo1LevelDesired&lt;$B155,"-",$D155))</f>
        <v>-</v>
      </c>
      <c r="AI155" s="21" t="str">
        <f t="shared" ref="AI155" si="10927">IF(MarGlo1LevelCurrent&gt;=$B155,"-",IF(MarGlo1LevelDesired&lt;$B155,"-",$E155))</f>
        <v>-</v>
      </c>
      <c r="AJ155" s="15" t="str">
        <f t="shared" ref="AJ155" si="10928">IF(MarBel1LevelCurrent&gt;=$B155,"-",IF(MarBel1LevelDesired&lt;$B155,"-",$C155))</f>
        <v>-</v>
      </c>
      <c r="AK155" s="1" t="str">
        <f t="shared" ref="AK155" si="10929">IF(MarBel1LevelCurrent&gt;=$B155,"-",IF(MarBel1LevelDesired&lt;$B155,"-",$D155))</f>
        <v>-</v>
      </c>
      <c r="AL155" s="21" t="str">
        <f t="shared" ref="AL155" si="10930">IF(MarBel1LevelCurrent&gt;=$B155,"-",IF(MarBel1LevelDesired&lt;$B155,"-",$E155))</f>
        <v>-</v>
      </c>
      <c r="AM155" s="15" t="str">
        <f t="shared" ref="AM155" si="10931">IF(MarBoo1LevelCurrent&gt;=$B155,"-",IF(MarBoo1LevelDesired&lt;$B155,"-",$C155))</f>
        <v>-</v>
      </c>
      <c r="AN155" s="1" t="str">
        <f t="shared" ref="AN155" si="10932">IF(MarBoo1LevelCurrent&gt;=$B155,"-",IF(MarBoo1LevelDesired&lt;$B155,"-",$D155))</f>
        <v>-</v>
      </c>
      <c r="AO155" s="21" t="str">
        <f t="shared" ref="AO155" si="10933">IF(MarBoo1LevelCurrent&gt;=$B155,"-",IF(MarBoo1LevelDesired&lt;$B155,"-",$E155))</f>
        <v>-</v>
      </c>
      <c r="AP155" s="15" t="str">
        <f t="shared" ref="AP155" si="10934">IF(InfGog2LevelCurrent&gt;=$B155,"-",IF(InfGog2LevelDesired&lt;$B155,"-",$C155))</f>
        <v>-</v>
      </c>
      <c r="AQ155" s="1" t="str">
        <f t="shared" ref="AQ155" si="10935">IF(InfGog2LevelCurrent&gt;=$B155,"-",IF(InfGog2LevelDesired&lt;$B155,"-",$D155))</f>
        <v>-</v>
      </c>
      <c r="AR155" s="21" t="str">
        <f t="shared" ref="AR155" si="10936">IF(InfGog2LevelCurrent&gt;=$B155,"-",IF(InfGog2LevelDesired&lt;$B155,"-",$E155))</f>
        <v>-</v>
      </c>
      <c r="AS155" s="15">
        <f t="shared" ref="AS155" si="10937">IF(InfGlo2LevelCurrent&gt;=$B155,"-",IF(InfGlo2LevelDesired&lt;$B155,"-",$C155))</f>
        <v>4900</v>
      </c>
      <c r="AT155" s="1" t="str">
        <f t="shared" ref="AT155" si="10938">IF(InfGlo2LevelCurrent&gt;=$B155,"-",IF(InfGlo2LevelDesired&lt;$B155,"-",$D155))</f>
        <v>-</v>
      </c>
      <c r="AU155" s="21" t="str">
        <f t="shared" ref="AU155" si="10939">IF(InfGlo2LevelCurrent&gt;=$B155,"-",IF(InfGlo2LevelDesired&lt;$B155,"-",$E155))</f>
        <v>-</v>
      </c>
      <c r="AV155" s="15">
        <f t="shared" ref="AV155" si="10940">IF(InfBel2LevelCurrent&gt;=$B155,"-",IF(InfBel2LevelDesired&lt;$B155,"-",$C155))</f>
        <v>4900</v>
      </c>
      <c r="AW155" s="1" t="str">
        <f t="shared" ref="AW155" si="10941">IF(InfBel2LevelCurrent&gt;=$B155,"-",IF(InfBel2LevelDesired&lt;$B155,"-",$D155))</f>
        <v>-</v>
      </c>
      <c r="AX155" s="21" t="str">
        <f t="shared" ref="AX155" si="10942">IF(InfBel2LevelCurrent&gt;=$B155,"-",IF(InfBel2LevelDesired&lt;$B155,"-",$E155))</f>
        <v>-</v>
      </c>
      <c r="AY155" s="15" t="str">
        <f t="shared" ref="AY155" si="10943">IF(InfBoo2LevelCurrent&gt;=$B155,"-",IF(InfBoo2LevelDesired&lt;$B155,"-",$C155))</f>
        <v>-</v>
      </c>
      <c r="AZ155" s="1" t="str">
        <f t="shared" ref="AZ155" si="10944">IF(InfBoo2LevelCurrent&gt;=$B155,"-",IF(InfBoo2LevelDesired&lt;$B155,"-",$D155))</f>
        <v>-</v>
      </c>
      <c r="BA155" s="21" t="str">
        <f t="shared" ref="BA155" si="10945">IF(InfBoo2LevelCurrent&gt;=$B155,"-",IF(InfBoo2LevelDesired&lt;$B155,"-",$E155))</f>
        <v>-</v>
      </c>
      <c r="BB155" s="15">
        <f t="shared" ref="BB155" si="10946">IF(LanGog2LevelCurrent&gt;=$B155,"-",IF(LanGog2LevelDesired&lt;$B155,"-",$C155))</f>
        <v>4900</v>
      </c>
      <c r="BC155" s="1" t="str">
        <f t="shared" ref="BC155" si="10947">IF(LanGog2LevelCurrent&gt;=$B155,"-",IF(LanGog2LevelDesired&lt;$B155,"-",$D155))</f>
        <v>-</v>
      </c>
      <c r="BD155" s="21" t="str">
        <f t="shared" ref="BD155" si="10948">IF(LanGog2LevelCurrent&gt;=$B155,"-",IF(LanGog2LevelDesired&lt;$B155,"-",$E155))</f>
        <v>-</v>
      </c>
      <c r="BE155" s="15" t="str">
        <f t="shared" ref="BE155" si="10949">IF(LanGlo2LevelCurrent&gt;=$B155,"-",IF(LanGlo2LevelDesired&lt;$B155,"-",$C155))</f>
        <v>-</v>
      </c>
      <c r="BF155" s="1" t="str">
        <f t="shared" ref="BF155" si="10950">IF(LanGlo2LevelCurrent&gt;=$B155,"-",IF(LanGlo2LevelDesired&lt;$B155,"-",$D155))</f>
        <v>-</v>
      </c>
      <c r="BG155" s="21" t="str">
        <f t="shared" ref="BG155" si="10951">IF(LanGlo2LevelCurrent&gt;=$B155,"-",IF(LanGlo2LevelDesired&lt;$B155,"-",$E155))</f>
        <v>-</v>
      </c>
      <c r="BH155" s="15" t="str">
        <f t="shared" ref="BH155" si="10952">IF(LanBel2LevelCurrent&gt;=$B155,"-",IF(LanBel2LevelDesired&lt;$B155,"-",$C155))</f>
        <v>-</v>
      </c>
      <c r="BI155" s="1" t="str">
        <f t="shared" ref="BI155" si="10953">IF(LanBel2LevelCurrent&gt;=$B155,"-",IF(LanBel2LevelDesired&lt;$B155,"-",$D155))</f>
        <v>-</v>
      </c>
      <c r="BJ155" s="21" t="str">
        <f t="shared" ref="BJ155" si="10954">IF(LanBel2LevelCurrent&gt;=$B155,"-",IF(LanBel2LevelDesired&lt;$B155,"-",$E155))</f>
        <v>-</v>
      </c>
      <c r="BK155" s="15">
        <f t="shared" ref="BK155" si="10955">IF(LanBoo2LevelCurrent&gt;=$B155,"-",IF(LanBoo2LevelDesired&lt;$B155,"-",$C155))</f>
        <v>4900</v>
      </c>
      <c r="BL155" s="1" t="str">
        <f t="shared" ref="BL155" si="10956">IF(LanBoo2LevelCurrent&gt;=$B155,"-",IF(LanBoo2LevelDesired&lt;$B155,"-",$D155))</f>
        <v>-</v>
      </c>
      <c r="BM155" s="21" t="str">
        <f t="shared" ref="BM155" si="10957">IF(LanBoo2LevelCurrent&gt;=$B155,"-",IF(LanBoo2LevelDesired&lt;$B155,"-",$E155))</f>
        <v>-</v>
      </c>
      <c r="BN155" s="15">
        <f t="shared" ref="BN155" si="10958">IF(MarGog2LevelCurrent&gt;=$B155,"-",IF(MarGog2LevelDesired&lt;$B155,"-",$C155))</f>
        <v>4900</v>
      </c>
      <c r="BO155" s="1" t="str">
        <f t="shared" ref="BO155" si="10959">IF(MarGog2LevelCurrent&gt;=$B155,"-",IF(MarGog2LevelDesired&lt;$B155,"-",$D155))</f>
        <v>-</v>
      </c>
      <c r="BP155" s="21" t="str">
        <f t="shared" ref="BP155" si="10960">IF(MarGog2LevelCurrent&gt;=$B155,"-",IF(MarGog2LevelDesired&lt;$B155,"-",$E155))</f>
        <v>-</v>
      </c>
      <c r="BQ155" s="15" t="str">
        <f t="shared" ref="BQ155" si="10961">IF(MarGlo2LevelCurrent&gt;=$B155,"-",IF(MarGlo2LevelDesired&lt;$B155,"-",$C155))</f>
        <v>-</v>
      </c>
      <c r="BR155" s="1" t="str">
        <f t="shared" ref="BR155" si="10962">IF(MarGlo2LevelCurrent&gt;=$B155,"-",IF(MarGlo2LevelDesired&lt;$B155,"-",$D155))</f>
        <v>-</v>
      </c>
      <c r="BS155" s="21" t="str">
        <f t="shared" ref="BS155" si="10963">IF(MarGlo2LevelCurrent&gt;=$B155,"-",IF(MarGlo2LevelDesired&lt;$B155,"-",$E155))</f>
        <v>-</v>
      </c>
      <c r="BT155" s="15" t="str">
        <f t="shared" ref="BT155" si="10964">IF(MarBel2LevelCurrent&gt;=$B155,"-",IF(MarBel2LevelDesired&lt;$B155,"-",$C155))</f>
        <v>-</v>
      </c>
      <c r="BU155" s="1" t="str">
        <f t="shared" ref="BU155" si="10965">IF(MarBel2LevelCurrent&gt;=$B155,"-",IF(MarBel2LevelDesired&lt;$B155,"-",$D155))</f>
        <v>-</v>
      </c>
      <c r="BV155" s="21" t="str">
        <f t="shared" ref="BV155" si="10966">IF(MarBel2LevelCurrent&gt;=$B155,"-",IF(MarBel2LevelDesired&lt;$B155,"-",$E155))</f>
        <v>-</v>
      </c>
      <c r="BW155" s="15">
        <f t="shared" ref="BW155" si="10967">IF(MarBoo2LevelCurrent&gt;=$B155,"-",IF(MarBoo2LevelDesired&lt;$B155,"-",$C155))</f>
        <v>4900</v>
      </c>
      <c r="BX155" s="1" t="str">
        <f t="shared" ref="BX155" si="10968">IF(MarBoo2LevelCurrent&gt;=$B155,"-",IF(MarBoo2LevelDesired&lt;$B155,"-",$D155))</f>
        <v>-</v>
      </c>
      <c r="BY155" s="21" t="str">
        <f t="shared" ref="BY155" si="10969">IF(MarBoo2LevelCurrent&gt;=$B155,"-",IF(MarBoo2LevelDesired&lt;$B155,"-",$E155))</f>
        <v>-</v>
      </c>
      <c r="BZ155" s="15" t="str">
        <f t="shared" si="9424"/>
        <v>-</v>
      </c>
      <c r="CA155" s="1" t="str" cm="1">
        <f t="array" ref="CA155">IF(InfGog3LevelCurrent&gt;=$B155,"-",IF(InfGog3LevelDesired&lt;$B155,"-",$D155))</f>
        <v>-</v>
      </c>
      <c r="CB155" s="21" t="str" cm="1">
        <f t="array" ref="CB155">IF(InfGog3LevelCurrent&gt;=$B155,"-",IF(InfGog3LevelDesired&lt;$B155,"-",$E155))</f>
        <v>-</v>
      </c>
      <c r="CC155" s="15" t="str">
        <f t="shared" si="9425"/>
        <v>-</v>
      </c>
      <c r="CD155" s="1" t="str">
        <f t="shared" si="9426"/>
        <v>-</v>
      </c>
      <c r="CE155" s="21" t="str">
        <f t="shared" si="9427"/>
        <v>-</v>
      </c>
      <c r="CF155" s="15" t="str">
        <f t="shared" si="9428"/>
        <v>-</v>
      </c>
      <c r="CG155" s="1" t="str">
        <f t="shared" si="9429"/>
        <v>-</v>
      </c>
      <c r="CH155" s="21" t="str">
        <f t="shared" si="9430"/>
        <v>-</v>
      </c>
      <c r="CI155" s="15" t="str">
        <f t="shared" si="9431"/>
        <v>-</v>
      </c>
      <c r="CJ155" s="1" t="str">
        <f t="shared" si="9432"/>
        <v>-</v>
      </c>
      <c r="CK155" s="21" t="str">
        <f t="shared" si="9433"/>
        <v>-</v>
      </c>
      <c r="CL155" s="15" t="str">
        <f t="shared" si="9434"/>
        <v>-</v>
      </c>
      <c r="CM155" s="1" t="str">
        <f t="shared" si="9435"/>
        <v>-</v>
      </c>
      <c r="CN155" s="21" t="str">
        <f t="shared" si="9436"/>
        <v>-</v>
      </c>
      <c r="CO155" s="15" t="str">
        <f t="shared" si="9437"/>
        <v>-</v>
      </c>
      <c r="CP155" s="1" t="str">
        <f t="shared" si="9438"/>
        <v>-</v>
      </c>
      <c r="CQ155" s="21" t="str">
        <f t="shared" si="9439"/>
        <v>-</v>
      </c>
      <c r="CR155" s="15" t="str">
        <f t="shared" si="9440"/>
        <v>-</v>
      </c>
      <c r="CS155" s="1" t="str">
        <f t="shared" si="9441"/>
        <v>-</v>
      </c>
      <c r="CT155" s="21" t="str">
        <f t="shared" si="9442"/>
        <v>-</v>
      </c>
      <c r="CU155" s="15" t="str">
        <f t="shared" si="9443"/>
        <v>-</v>
      </c>
      <c r="CV155" s="1" t="str">
        <f t="shared" si="9444"/>
        <v>-</v>
      </c>
      <c r="CW155" s="21" t="str">
        <f t="shared" si="9445"/>
        <v>-</v>
      </c>
      <c r="CX155" s="15" t="str">
        <f t="shared" si="9446"/>
        <v>-</v>
      </c>
      <c r="CY155" s="1" t="str">
        <f t="shared" si="9447"/>
        <v>-</v>
      </c>
      <c r="CZ155" s="21" t="str">
        <f t="shared" si="9448"/>
        <v>-</v>
      </c>
      <c r="DA155" s="15" t="str">
        <f t="shared" si="9449"/>
        <v>-</v>
      </c>
      <c r="DB155" s="1" t="str">
        <f t="shared" si="9450"/>
        <v>-</v>
      </c>
      <c r="DC155" s="21" t="str">
        <f t="shared" si="9451"/>
        <v>-</v>
      </c>
      <c r="DD155" s="15" t="str">
        <f t="shared" si="9452"/>
        <v>-</v>
      </c>
      <c r="DE155" s="1" t="str">
        <f t="shared" si="9453"/>
        <v>-</v>
      </c>
      <c r="DF155" s="21" t="str">
        <f t="shared" si="9454"/>
        <v>-</v>
      </c>
      <c r="DG155" s="15" t="str">
        <f t="shared" si="9455"/>
        <v>-</v>
      </c>
      <c r="DH155" s="1" t="str">
        <f t="shared" si="9456"/>
        <v>-</v>
      </c>
      <c r="DI155" s="21" t="str">
        <f t="shared" si="9457"/>
        <v>-</v>
      </c>
    </row>
    <row r="156" spans="2:113" x14ac:dyDescent="0.3">
      <c r="B156" s="1">
        <v>151</v>
      </c>
      <c r="C156" s="67">
        <v>4950</v>
      </c>
      <c r="D156" s="88" t="s">
        <v>27</v>
      </c>
      <c r="E156" s="68" t="s">
        <v>27</v>
      </c>
      <c r="F156" s="15" t="str">
        <f t="shared" ref="F156" si="10970">IF(InfGog1LevelCurrent&gt;=$B156,"-",IF(InfGog1LevelDesired&lt;$B156,"-",$C156))</f>
        <v>-</v>
      </c>
      <c r="G156" s="1" t="str">
        <f t="shared" ref="G156" si="10971">IF(InfGog1LevelCurrent&gt;=$B156,"-",IF(InfGog1LevelDesired&lt;$B156,"-",$D156))</f>
        <v>-</v>
      </c>
      <c r="H156" s="21" t="str">
        <f t="shared" ref="H156" si="10972">IF(InfGog1LevelCurrent&gt;=$B156,"-",IF(InfGog1LevelDesired&lt;$B156,"-",$E156))</f>
        <v>-</v>
      </c>
      <c r="I156" s="15" t="str">
        <f t="shared" ref="I156" si="10973">IF(InfGlo1LevelCurrent&gt;=$B156,"-",IF(InfGlo1LevelDesired&lt;$B156,"-",$C156))</f>
        <v>-</v>
      </c>
      <c r="J156" s="1" t="str">
        <f t="shared" ref="J156" si="10974">IF(InfGlo1LevelCurrent&gt;=$B156,"-",IF(InfGlo1LevelDesired&lt;$B156,"-",$D156))</f>
        <v>-</v>
      </c>
      <c r="K156" s="21" t="str">
        <f t="shared" ref="K156" si="10975">IF(InfGlo1LevelCurrent&gt;=$B156,"-",IF(InfGlo1LevelDesired&lt;$B156,"-",$E156))</f>
        <v>-</v>
      </c>
      <c r="L156" s="15" t="str">
        <f t="shared" ref="L156" si="10976">IF(InfBel1LevelCurrent&gt;=$B156,"-",IF(InfBel1LevelDesired&lt;$B156,"-",$C156))</f>
        <v>-</v>
      </c>
      <c r="M156" s="1" t="str">
        <f t="shared" ref="M156" si="10977">IF(InfBel1LevelCurrent&gt;=$B156,"-",IF(InfBel1LevelDesired&lt;$B156,"-",$D156))</f>
        <v>-</v>
      </c>
      <c r="N156" s="21" t="str">
        <f t="shared" ref="N156" si="10978">IF(InfBel1LevelCurrent&gt;=$B156,"-",IF(InfBel1LevelDesired&lt;$B156,"-",$E156))</f>
        <v>-</v>
      </c>
      <c r="O156" s="15" t="str">
        <f t="shared" ref="O156" si="10979">IF(InfBoo1LevelCurrent&gt;=$B156,"-",IF(InfBoo1LevelDesired&lt;$B156,"-",$C156))</f>
        <v>-</v>
      </c>
      <c r="P156" s="1" t="str">
        <f t="shared" ref="P156" si="10980">IF(InfBoo1LevelCurrent&gt;=$B156,"-",IF(InfBoo1LevelDesired&lt;$B156,"-",$D156))</f>
        <v>-</v>
      </c>
      <c r="Q156" s="21" t="str">
        <f t="shared" ref="Q156" si="10981">IF(InfBoo1LevelCurrent&gt;=$B156,"-",IF(InfBoo1LevelDesired&lt;$B156,"-",$E156))</f>
        <v>-</v>
      </c>
      <c r="R156" s="15" t="str">
        <f t="shared" ref="R156" si="10982">IF(LanGog1LevelCurrent&gt;=$B156,"-",IF(LanGog1LevelDesired&lt;$B156,"-",$C156))</f>
        <v>-</v>
      </c>
      <c r="S156" s="1" t="str">
        <f t="shared" ref="S156" si="10983">IF(LanGog1LevelCurrent&gt;=$B156,"-",IF(LanGog1LevelDesired&lt;$B156,"-",$D156))</f>
        <v>-</v>
      </c>
      <c r="T156" s="21" t="str">
        <f t="shared" ref="T156" si="10984">IF(LanGog1LevelCurrent&gt;=$B156,"-",IF(LanGog1LevelDesired&lt;$B156,"-",$E156))</f>
        <v>-</v>
      </c>
      <c r="U156" s="15" t="str">
        <f t="shared" ref="U156" si="10985">IF(LanGlo1LevelCurrent&gt;=$B156,"-",IF(LanGlo1LevelDesired&lt;$B156,"-",$C156))</f>
        <v>-</v>
      </c>
      <c r="V156" s="1" t="str">
        <f t="shared" ref="V156" si="10986">IF(LanGlo1LevelCurrent&gt;=$B156,"-",IF(LanGlo1LevelDesired&lt;$B156,"-",$D156))</f>
        <v>-</v>
      </c>
      <c r="W156" s="21" t="str">
        <f t="shared" ref="W156" si="10987">IF(LanGlo1LevelCurrent&gt;=$B156,"-",IF(LanGlo1LevelDesired&lt;$B156,"-",$E156))</f>
        <v>-</v>
      </c>
      <c r="X156" s="15" t="str">
        <f t="shared" ref="X156" si="10988">IF(LanBel1LevelCurrent&gt;=$B156,"-",IF(LanBel1LevelDesired&lt;$B156,"-",$C156))</f>
        <v>-</v>
      </c>
      <c r="Y156" s="1" t="str">
        <f t="shared" ref="Y156" si="10989">IF(LanBel1LevelCurrent&gt;=$B156,"-",IF(LanBel1LevelDesired&lt;$B156,"-",$D156))</f>
        <v>-</v>
      </c>
      <c r="Z156" s="21" t="str">
        <f t="shared" ref="Z156" si="10990">IF(LanBel1LevelCurrent&gt;=$B156,"-",IF(LanBel1LevelDesired&lt;$B156,"-",$E156))</f>
        <v>-</v>
      </c>
      <c r="AA156" s="15" t="str">
        <f t="shared" ref="AA156" si="10991">IF(LanBoo1LevelCurrent&gt;=$B156,"-",IF(LanBoo1LevelDesired&lt;$B156,"-",$C156))</f>
        <v>-</v>
      </c>
      <c r="AB156" s="1" t="str">
        <f t="shared" ref="AB156" si="10992">IF(LanBoo1LevelCurrent&gt;=$B156,"-",IF(LanBoo1LevelDesired&lt;$B156,"-",$D156))</f>
        <v>-</v>
      </c>
      <c r="AC156" s="21" t="str">
        <f t="shared" ref="AC156" si="10993">IF(LanBoo1LevelCurrent&gt;=$B156,"-",IF(LanBoo1LevelDesired&lt;$B156,"-",$E156))</f>
        <v>-</v>
      </c>
      <c r="AD156" s="15" t="str">
        <f t="shared" ref="AD156" si="10994">IF(MarGog1LevelCurrent&gt;=$B156,"-",IF(MarGog1LevelDesired&lt;$B156,"-",$C156))</f>
        <v>-</v>
      </c>
      <c r="AE156" s="1" t="str">
        <f t="shared" ref="AE156" si="10995">IF(MarGog1LevelCurrent&gt;=$B156,"-",IF(MarGog1LevelDesired&lt;$B156,"-",$D156))</f>
        <v>-</v>
      </c>
      <c r="AF156" s="21" t="str">
        <f t="shared" ref="AF156" si="10996">IF(MarGog1LevelCurrent&gt;=$B156,"-",IF(MarGog1LevelDesired&lt;$B156,"-",$E156))</f>
        <v>-</v>
      </c>
      <c r="AG156" s="15" t="str">
        <f t="shared" ref="AG156" si="10997">IF(MarGlo1LevelCurrent&gt;=$B156,"-",IF(MarGlo1LevelDesired&lt;$B156,"-",$C156))</f>
        <v>-</v>
      </c>
      <c r="AH156" s="1" t="str">
        <f t="shared" ref="AH156" si="10998">IF(MarGlo1LevelCurrent&gt;=$B156,"-",IF(MarGlo1LevelDesired&lt;$B156,"-",$D156))</f>
        <v>-</v>
      </c>
      <c r="AI156" s="21" t="str">
        <f t="shared" ref="AI156" si="10999">IF(MarGlo1LevelCurrent&gt;=$B156,"-",IF(MarGlo1LevelDesired&lt;$B156,"-",$E156))</f>
        <v>-</v>
      </c>
      <c r="AJ156" s="15" t="str">
        <f t="shared" ref="AJ156" si="11000">IF(MarBel1LevelCurrent&gt;=$B156,"-",IF(MarBel1LevelDesired&lt;$B156,"-",$C156))</f>
        <v>-</v>
      </c>
      <c r="AK156" s="1" t="str">
        <f t="shared" ref="AK156" si="11001">IF(MarBel1LevelCurrent&gt;=$B156,"-",IF(MarBel1LevelDesired&lt;$B156,"-",$D156))</f>
        <v>-</v>
      </c>
      <c r="AL156" s="21" t="str">
        <f t="shared" ref="AL156" si="11002">IF(MarBel1LevelCurrent&gt;=$B156,"-",IF(MarBel1LevelDesired&lt;$B156,"-",$E156))</f>
        <v>-</v>
      </c>
      <c r="AM156" s="15" t="str">
        <f t="shared" ref="AM156" si="11003">IF(MarBoo1LevelCurrent&gt;=$B156,"-",IF(MarBoo1LevelDesired&lt;$B156,"-",$C156))</f>
        <v>-</v>
      </c>
      <c r="AN156" s="1" t="str">
        <f t="shared" ref="AN156" si="11004">IF(MarBoo1LevelCurrent&gt;=$B156,"-",IF(MarBoo1LevelDesired&lt;$B156,"-",$D156))</f>
        <v>-</v>
      </c>
      <c r="AO156" s="21" t="str">
        <f t="shared" ref="AO156" si="11005">IF(MarBoo1LevelCurrent&gt;=$B156,"-",IF(MarBoo1LevelDesired&lt;$B156,"-",$E156))</f>
        <v>-</v>
      </c>
      <c r="AP156" s="15" t="str">
        <f t="shared" ref="AP156" si="11006">IF(InfGog2LevelCurrent&gt;=$B156,"-",IF(InfGog2LevelDesired&lt;$B156,"-",$C156))</f>
        <v>-</v>
      </c>
      <c r="AQ156" s="1" t="str">
        <f t="shared" ref="AQ156" si="11007">IF(InfGog2LevelCurrent&gt;=$B156,"-",IF(InfGog2LevelDesired&lt;$B156,"-",$D156))</f>
        <v>-</v>
      </c>
      <c r="AR156" s="21" t="str">
        <f t="shared" ref="AR156" si="11008">IF(InfGog2LevelCurrent&gt;=$B156,"-",IF(InfGog2LevelDesired&lt;$B156,"-",$E156))</f>
        <v>-</v>
      </c>
      <c r="AS156" s="15">
        <f t="shared" ref="AS156" si="11009">IF(InfGlo2LevelCurrent&gt;=$B156,"-",IF(InfGlo2LevelDesired&lt;$B156,"-",$C156))</f>
        <v>4950</v>
      </c>
      <c r="AT156" s="1" t="str">
        <f t="shared" ref="AT156" si="11010">IF(InfGlo2LevelCurrent&gt;=$B156,"-",IF(InfGlo2LevelDesired&lt;$B156,"-",$D156))</f>
        <v>-</v>
      </c>
      <c r="AU156" s="21" t="str">
        <f t="shared" ref="AU156" si="11011">IF(InfGlo2LevelCurrent&gt;=$B156,"-",IF(InfGlo2LevelDesired&lt;$B156,"-",$E156))</f>
        <v>-</v>
      </c>
      <c r="AV156" s="15">
        <f t="shared" ref="AV156" si="11012">IF(InfBel2LevelCurrent&gt;=$B156,"-",IF(InfBel2LevelDesired&lt;$B156,"-",$C156))</f>
        <v>4950</v>
      </c>
      <c r="AW156" s="1" t="str">
        <f t="shared" ref="AW156" si="11013">IF(InfBel2LevelCurrent&gt;=$B156,"-",IF(InfBel2LevelDesired&lt;$B156,"-",$D156))</f>
        <v>-</v>
      </c>
      <c r="AX156" s="21" t="str">
        <f t="shared" ref="AX156" si="11014">IF(InfBel2LevelCurrent&gt;=$B156,"-",IF(InfBel2LevelDesired&lt;$B156,"-",$E156))</f>
        <v>-</v>
      </c>
      <c r="AY156" s="15" t="str">
        <f t="shared" ref="AY156" si="11015">IF(InfBoo2LevelCurrent&gt;=$B156,"-",IF(InfBoo2LevelDesired&lt;$B156,"-",$C156))</f>
        <v>-</v>
      </c>
      <c r="AZ156" s="1" t="str">
        <f t="shared" ref="AZ156" si="11016">IF(InfBoo2LevelCurrent&gt;=$B156,"-",IF(InfBoo2LevelDesired&lt;$B156,"-",$D156))</f>
        <v>-</v>
      </c>
      <c r="BA156" s="21" t="str">
        <f t="shared" ref="BA156" si="11017">IF(InfBoo2LevelCurrent&gt;=$B156,"-",IF(InfBoo2LevelDesired&lt;$B156,"-",$E156))</f>
        <v>-</v>
      </c>
      <c r="BB156" s="15">
        <f t="shared" ref="BB156" si="11018">IF(LanGog2LevelCurrent&gt;=$B156,"-",IF(LanGog2LevelDesired&lt;$B156,"-",$C156))</f>
        <v>4950</v>
      </c>
      <c r="BC156" s="1" t="str">
        <f t="shared" ref="BC156" si="11019">IF(LanGog2LevelCurrent&gt;=$B156,"-",IF(LanGog2LevelDesired&lt;$B156,"-",$D156))</f>
        <v>-</v>
      </c>
      <c r="BD156" s="21" t="str">
        <f t="shared" ref="BD156" si="11020">IF(LanGog2LevelCurrent&gt;=$B156,"-",IF(LanGog2LevelDesired&lt;$B156,"-",$E156))</f>
        <v>-</v>
      </c>
      <c r="BE156" s="15" t="str">
        <f t="shared" ref="BE156" si="11021">IF(LanGlo2LevelCurrent&gt;=$B156,"-",IF(LanGlo2LevelDesired&lt;$B156,"-",$C156))</f>
        <v>-</v>
      </c>
      <c r="BF156" s="1" t="str">
        <f t="shared" ref="BF156" si="11022">IF(LanGlo2LevelCurrent&gt;=$B156,"-",IF(LanGlo2LevelDesired&lt;$B156,"-",$D156))</f>
        <v>-</v>
      </c>
      <c r="BG156" s="21" t="str">
        <f t="shared" ref="BG156" si="11023">IF(LanGlo2LevelCurrent&gt;=$B156,"-",IF(LanGlo2LevelDesired&lt;$B156,"-",$E156))</f>
        <v>-</v>
      </c>
      <c r="BH156" s="15" t="str">
        <f t="shared" ref="BH156" si="11024">IF(LanBel2LevelCurrent&gt;=$B156,"-",IF(LanBel2LevelDesired&lt;$B156,"-",$C156))</f>
        <v>-</v>
      </c>
      <c r="BI156" s="1" t="str">
        <f t="shared" ref="BI156" si="11025">IF(LanBel2LevelCurrent&gt;=$B156,"-",IF(LanBel2LevelDesired&lt;$B156,"-",$D156))</f>
        <v>-</v>
      </c>
      <c r="BJ156" s="21" t="str">
        <f t="shared" ref="BJ156" si="11026">IF(LanBel2LevelCurrent&gt;=$B156,"-",IF(LanBel2LevelDesired&lt;$B156,"-",$E156))</f>
        <v>-</v>
      </c>
      <c r="BK156" s="15">
        <f t="shared" ref="BK156" si="11027">IF(LanBoo2LevelCurrent&gt;=$B156,"-",IF(LanBoo2LevelDesired&lt;$B156,"-",$C156))</f>
        <v>4950</v>
      </c>
      <c r="BL156" s="1" t="str">
        <f t="shared" ref="BL156" si="11028">IF(LanBoo2LevelCurrent&gt;=$B156,"-",IF(LanBoo2LevelDesired&lt;$B156,"-",$D156))</f>
        <v>-</v>
      </c>
      <c r="BM156" s="21" t="str">
        <f t="shared" ref="BM156" si="11029">IF(LanBoo2LevelCurrent&gt;=$B156,"-",IF(LanBoo2LevelDesired&lt;$B156,"-",$E156))</f>
        <v>-</v>
      </c>
      <c r="BN156" s="15">
        <f t="shared" ref="BN156" si="11030">IF(MarGog2LevelCurrent&gt;=$B156,"-",IF(MarGog2LevelDesired&lt;$B156,"-",$C156))</f>
        <v>4950</v>
      </c>
      <c r="BO156" s="1" t="str">
        <f t="shared" ref="BO156" si="11031">IF(MarGog2LevelCurrent&gt;=$B156,"-",IF(MarGog2LevelDesired&lt;$B156,"-",$D156))</f>
        <v>-</v>
      </c>
      <c r="BP156" s="21" t="str">
        <f t="shared" ref="BP156" si="11032">IF(MarGog2LevelCurrent&gt;=$B156,"-",IF(MarGog2LevelDesired&lt;$B156,"-",$E156))</f>
        <v>-</v>
      </c>
      <c r="BQ156" s="15" t="str">
        <f t="shared" ref="BQ156" si="11033">IF(MarGlo2LevelCurrent&gt;=$B156,"-",IF(MarGlo2LevelDesired&lt;$B156,"-",$C156))</f>
        <v>-</v>
      </c>
      <c r="BR156" s="1" t="str">
        <f t="shared" ref="BR156" si="11034">IF(MarGlo2LevelCurrent&gt;=$B156,"-",IF(MarGlo2LevelDesired&lt;$B156,"-",$D156))</f>
        <v>-</v>
      </c>
      <c r="BS156" s="21" t="str">
        <f t="shared" ref="BS156" si="11035">IF(MarGlo2LevelCurrent&gt;=$B156,"-",IF(MarGlo2LevelDesired&lt;$B156,"-",$E156))</f>
        <v>-</v>
      </c>
      <c r="BT156" s="15" t="str">
        <f t="shared" ref="BT156" si="11036">IF(MarBel2LevelCurrent&gt;=$B156,"-",IF(MarBel2LevelDesired&lt;$B156,"-",$C156))</f>
        <v>-</v>
      </c>
      <c r="BU156" s="1" t="str">
        <f t="shared" ref="BU156" si="11037">IF(MarBel2LevelCurrent&gt;=$B156,"-",IF(MarBel2LevelDesired&lt;$B156,"-",$D156))</f>
        <v>-</v>
      </c>
      <c r="BV156" s="21" t="str">
        <f t="shared" ref="BV156" si="11038">IF(MarBel2LevelCurrent&gt;=$B156,"-",IF(MarBel2LevelDesired&lt;$B156,"-",$E156))</f>
        <v>-</v>
      </c>
      <c r="BW156" s="15">
        <f t="shared" ref="BW156" si="11039">IF(MarBoo2LevelCurrent&gt;=$B156,"-",IF(MarBoo2LevelDesired&lt;$B156,"-",$C156))</f>
        <v>4950</v>
      </c>
      <c r="BX156" s="1" t="str">
        <f t="shared" ref="BX156" si="11040">IF(MarBoo2LevelCurrent&gt;=$B156,"-",IF(MarBoo2LevelDesired&lt;$B156,"-",$D156))</f>
        <v>-</v>
      </c>
      <c r="BY156" s="21" t="str">
        <f t="shared" ref="BY156" si="11041">IF(MarBoo2LevelCurrent&gt;=$B156,"-",IF(MarBoo2LevelDesired&lt;$B156,"-",$E156))</f>
        <v>-</v>
      </c>
      <c r="BZ156" s="15" t="str">
        <f t="shared" si="9424"/>
        <v>-</v>
      </c>
      <c r="CA156" s="1" t="str" cm="1">
        <f t="array" ref="CA156">IF(InfGog3LevelCurrent&gt;=$B156,"-",IF(InfGog3LevelDesired&lt;$B156,"-",$D156))</f>
        <v>-</v>
      </c>
      <c r="CB156" s="21" t="str" cm="1">
        <f t="array" ref="CB156">IF(InfGog3LevelCurrent&gt;=$B156,"-",IF(InfGog3LevelDesired&lt;$B156,"-",$E156))</f>
        <v>-</v>
      </c>
      <c r="CC156" s="15" t="str">
        <f t="shared" si="9425"/>
        <v>-</v>
      </c>
      <c r="CD156" s="1" t="str">
        <f t="shared" si="9426"/>
        <v>-</v>
      </c>
      <c r="CE156" s="21" t="str">
        <f t="shared" si="9427"/>
        <v>-</v>
      </c>
      <c r="CF156" s="15" t="str">
        <f t="shared" si="9428"/>
        <v>-</v>
      </c>
      <c r="CG156" s="1" t="str">
        <f t="shared" si="9429"/>
        <v>-</v>
      </c>
      <c r="CH156" s="21" t="str">
        <f t="shared" si="9430"/>
        <v>-</v>
      </c>
      <c r="CI156" s="15" t="str">
        <f t="shared" si="9431"/>
        <v>-</v>
      </c>
      <c r="CJ156" s="1" t="str">
        <f t="shared" si="9432"/>
        <v>-</v>
      </c>
      <c r="CK156" s="21" t="str">
        <f t="shared" si="9433"/>
        <v>-</v>
      </c>
      <c r="CL156" s="15" t="str">
        <f t="shared" si="9434"/>
        <v>-</v>
      </c>
      <c r="CM156" s="1" t="str">
        <f t="shared" si="9435"/>
        <v>-</v>
      </c>
      <c r="CN156" s="21" t="str">
        <f t="shared" si="9436"/>
        <v>-</v>
      </c>
      <c r="CO156" s="15" t="str">
        <f t="shared" si="9437"/>
        <v>-</v>
      </c>
      <c r="CP156" s="1" t="str">
        <f t="shared" si="9438"/>
        <v>-</v>
      </c>
      <c r="CQ156" s="21" t="str">
        <f t="shared" si="9439"/>
        <v>-</v>
      </c>
      <c r="CR156" s="15" t="str">
        <f t="shared" si="9440"/>
        <v>-</v>
      </c>
      <c r="CS156" s="1" t="str">
        <f t="shared" si="9441"/>
        <v>-</v>
      </c>
      <c r="CT156" s="21" t="str">
        <f t="shared" si="9442"/>
        <v>-</v>
      </c>
      <c r="CU156" s="15" t="str">
        <f t="shared" si="9443"/>
        <v>-</v>
      </c>
      <c r="CV156" s="1" t="str">
        <f t="shared" si="9444"/>
        <v>-</v>
      </c>
      <c r="CW156" s="21" t="str">
        <f t="shared" si="9445"/>
        <v>-</v>
      </c>
      <c r="CX156" s="15" t="str">
        <f t="shared" si="9446"/>
        <v>-</v>
      </c>
      <c r="CY156" s="1" t="str">
        <f t="shared" si="9447"/>
        <v>-</v>
      </c>
      <c r="CZ156" s="21" t="str">
        <f t="shared" si="9448"/>
        <v>-</v>
      </c>
      <c r="DA156" s="15" t="str">
        <f t="shared" si="9449"/>
        <v>-</v>
      </c>
      <c r="DB156" s="1" t="str">
        <f t="shared" si="9450"/>
        <v>-</v>
      </c>
      <c r="DC156" s="21" t="str">
        <f t="shared" si="9451"/>
        <v>-</v>
      </c>
      <c r="DD156" s="15" t="str">
        <f t="shared" si="9452"/>
        <v>-</v>
      </c>
      <c r="DE156" s="1" t="str">
        <f t="shared" si="9453"/>
        <v>-</v>
      </c>
      <c r="DF156" s="21" t="str">
        <f t="shared" si="9454"/>
        <v>-</v>
      </c>
      <c r="DG156" s="15" t="str">
        <f t="shared" si="9455"/>
        <v>-</v>
      </c>
      <c r="DH156" s="1" t="str">
        <f t="shared" si="9456"/>
        <v>-</v>
      </c>
      <c r="DI156" s="21" t="str">
        <f t="shared" si="9457"/>
        <v>-</v>
      </c>
    </row>
    <row r="157" spans="2:113" x14ac:dyDescent="0.3">
      <c r="B157" s="1">
        <v>152</v>
      </c>
      <c r="C157" s="67">
        <v>5000</v>
      </c>
      <c r="D157" s="88" t="s">
        <v>27</v>
      </c>
      <c r="E157" s="68" t="s">
        <v>27</v>
      </c>
      <c r="F157" s="15" t="str">
        <f t="shared" ref="F157" si="11042">IF(InfGog1LevelCurrent&gt;=$B157,"-",IF(InfGog1LevelDesired&lt;$B157,"-",$C157))</f>
        <v>-</v>
      </c>
      <c r="G157" s="1" t="str">
        <f t="shared" ref="G157" si="11043">IF(InfGog1LevelCurrent&gt;=$B157,"-",IF(InfGog1LevelDesired&lt;$B157,"-",$D157))</f>
        <v>-</v>
      </c>
      <c r="H157" s="21" t="str">
        <f t="shared" ref="H157" si="11044">IF(InfGog1LevelCurrent&gt;=$B157,"-",IF(InfGog1LevelDesired&lt;$B157,"-",$E157))</f>
        <v>-</v>
      </c>
      <c r="I157" s="15" t="str">
        <f t="shared" ref="I157" si="11045">IF(InfGlo1LevelCurrent&gt;=$B157,"-",IF(InfGlo1LevelDesired&lt;$B157,"-",$C157))</f>
        <v>-</v>
      </c>
      <c r="J157" s="1" t="str">
        <f t="shared" ref="J157" si="11046">IF(InfGlo1LevelCurrent&gt;=$B157,"-",IF(InfGlo1LevelDesired&lt;$B157,"-",$D157))</f>
        <v>-</v>
      </c>
      <c r="K157" s="21" t="str">
        <f t="shared" ref="K157" si="11047">IF(InfGlo1LevelCurrent&gt;=$B157,"-",IF(InfGlo1LevelDesired&lt;$B157,"-",$E157))</f>
        <v>-</v>
      </c>
      <c r="L157" s="15" t="str">
        <f t="shared" ref="L157" si="11048">IF(InfBel1LevelCurrent&gt;=$B157,"-",IF(InfBel1LevelDesired&lt;$B157,"-",$C157))</f>
        <v>-</v>
      </c>
      <c r="M157" s="1" t="str">
        <f t="shared" ref="M157" si="11049">IF(InfBel1LevelCurrent&gt;=$B157,"-",IF(InfBel1LevelDesired&lt;$B157,"-",$D157))</f>
        <v>-</v>
      </c>
      <c r="N157" s="21" t="str">
        <f t="shared" ref="N157" si="11050">IF(InfBel1LevelCurrent&gt;=$B157,"-",IF(InfBel1LevelDesired&lt;$B157,"-",$E157))</f>
        <v>-</v>
      </c>
      <c r="O157" s="15" t="str">
        <f t="shared" ref="O157" si="11051">IF(InfBoo1LevelCurrent&gt;=$B157,"-",IF(InfBoo1LevelDesired&lt;$B157,"-",$C157))</f>
        <v>-</v>
      </c>
      <c r="P157" s="1" t="str">
        <f t="shared" ref="P157" si="11052">IF(InfBoo1LevelCurrent&gt;=$B157,"-",IF(InfBoo1LevelDesired&lt;$B157,"-",$D157))</f>
        <v>-</v>
      </c>
      <c r="Q157" s="21" t="str">
        <f t="shared" ref="Q157" si="11053">IF(InfBoo1LevelCurrent&gt;=$B157,"-",IF(InfBoo1LevelDesired&lt;$B157,"-",$E157))</f>
        <v>-</v>
      </c>
      <c r="R157" s="15" t="str">
        <f t="shared" ref="R157" si="11054">IF(LanGog1LevelCurrent&gt;=$B157,"-",IF(LanGog1LevelDesired&lt;$B157,"-",$C157))</f>
        <v>-</v>
      </c>
      <c r="S157" s="1" t="str">
        <f t="shared" ref="S157" si="11055">IF(LanGog1LevelCurrent&gt;=$B157,"-",IF(LanGog1LevelDesired&lt;$B157,"-",$D157))</f>
        <v>-</v>
      </c>
      <c r="T157" s="21" t="str">
        <f t="shared" ref="T157" si="11056">IF(LanGog1LevelCurrent&gt;=$B157,"-",IF(LanGog1LevelDesired&lt;$B157,"-",$E157))</f>
        <v>-</v>
      </c>
      <c r="U157" s="15" t="str">
        <f t="shared" ref="U157" si="11057">IF(LanGlo1LevelCurrent&gt;=$B157,"-",IF(LanGlo1LevelDesired&lt;$B157,"-",$C157))</f>
        <v>-</v>
      </c>
      <c r="V157" s="1" t="str">
        <f t="shared" ref="V157" si="11058">IF(LanGlo1LevelCurrent&gt;=$B157,"-",IF(LanGlo1LevelDesired&lt;$B157,"-",$D157))</f>
        <v>-</v>
      </c>
      <c r="W157" s="21" t="str">
        <f t="shared" ref="W157" si="11059">IF(LanGlo1LevelCurrent&gt;=$B157,"-",IF(LanGlo1LevelDesired&lt;$B157,"-",$E157))</f>
        <v>-</v>
      </c>
      <c r="X157" s="15" t="str">
        <f t="shared" ref="X157" si="11060">IF(LanBel1LevelCurrent&gt;=$B157,"-",IF(LanBel1LevelDesired&lt;$B157,"-",$C157))</f>
        <v>-</v>
      </c>
      <c r="Y157" s="1" t="str">
        <f t="shared" ref="Y157" si="11061">IF(LanBel1LevelCurrent&gt;=$B157,"-",IF(LanBel1LevelDesired&lt;$B157,"-",$D157))</f>
        <v>-</v>
      </c>
      <c r="Z157" s="21" t="str">
        <f t="shared" ref="Z157" si="11062">IF(LanBel1LevelCurrent&gt;=$B157,"-",IF(LanBel1LevelDesired&lt;$B157,"-",$E157))</f>
        <v>-</v>
      </c>
      <c r="AA157" s="15" t="str">
        <f t="shared" ref="AA157" si="11063">IF(LanBoo1LevelCurrent&gt;=$B157,"-",IF(LanBoo1LevelDesired&lt;$B157,"-",$C157))</f>
        <v>-</v>
      </c>
      <c r="AB157" s="1" t="str">
        <f t="shared" ref="AB157" si="11064">IF(LanBoo1LevelCurrent&gt;=$B157,"-",IF(LanBoo1LevelDesired&lt;$B157,"-",$D157))</f>
        <v>-</v>
      </c>
      <c r="AC157" s="21" t="str">
        <f t="shared" ref="AC157" si="11065">IF(LanBoo1LevelCurrent&gt;=$B157,"-",IF(LanBoo1LevelDesired&lt;$B157,"-",$E157))</f>
        <v>-</v>
      </c>
      <c r="AD157" s="15" t="str">
        <f t="shared" ref="AD157" si="11066">IF(MarGog1LevelCurrent&gt;=$B157,"-",IF(MarGog1LevelDesired&lt;$B157,"-",$C157))</f>
        <v>-</v>
      </c>
      <c r="AE157" s="1" t="str">
        <f t="shared" ref="AE157" si="11067">IF(MarGog1LevelCurrent&gt;=$B157,"-",IF(MarGog1LevelDesired&lt;$B157,"-",$D157))</f>
        <v>-</v>
      </c>
      <c r="AF157" s="21" t="str">
        <f t="shared" ref="AF157" si="11068">IF(MarGog1LevelCurrent&gt;=$B157,"-",IF(MarGog1LevelDesired&lt;$B157,"-",$E157))</f>
        <v>-</v>
      </c>
      <c r="AG157" s="15" t="str">
        <f t="shared" ref="AG157" si="11069">IF(MarGlo1LevelCurrent&gt;=$B157,"-",IF(MarGlo1LevelDesired&lt;$B157,"-",$C157))</f>
        <v>-</v>
      </c>
      <c r="AH157" s="1" t="str">
        <f t="shared" ref="AH157" si="11070">IF(MarGlo1LevelCurrent&gt;=$B157,"-",IF(MarGlo1LevelDesired&lt;$B157,"-",$D157))</f>
        <v>-</v>
      </c>
      <c r="AI157" s="21" t="str">
        <f t="shared" ref="AI157" si="11071">IF(MarGlo1LevelCurrent&gt;=$B157,"-",IF(MarGlo1LevelDesired&lt;$B157,"-",$E157))</f>
        <v>-</v>
      </c>
      <c r="AJ157" s="15" t="str">
        <f t="shared" ref="AJ157" si="11072">IF(MarBel1LevelCurrent&gt;=$B157,"-",IF(MarBel1LevelDesired&lt;$B157,"-",$C157))</f>
        <v>-</v>
      </c>
      <c r="AK157" s="1" t="str">
        <f t="shared" ref="AK157" si="11073">IF(MarBel1LevelCurrent&gt;=$B157,"-",IF(MarBel1LevelDesired&lt;$B157,"-",$D157))</f>
        <v>-</v>
      </c>
      <c r="AL157" s="21" t="str">
        <f t="shared" ref="AL157" si="11074">IF(MarBel1LevelCurrent&gt;=$B157,"-",IF(MarBel1LevelDesired&lt;$B157,"-",$E157))</f>
        <v>-</v>
      </c>
      <c r="AM157" s="15" t="str">
        <f t="shared" ref="AM157" si="11075">IF(MarBoo1LevelCurrent&gt;=$B157,"-",IF(MarBoo1LevelDesired&lt;$B157,"-",$C157))</f>
        <v>-</v>
      </c>
      <c r="AN157" s="1" t="str">
        <f t="shared" ref="AN157" si="11076">IF(MarBoo1LevelCurrent&gt;=$B157,"-",IF(MarBoo1LevelDesired&lt;$B157,"-",$D157))</f>
        <v>-</v>
      </c>
      <c r="AO157" s="21" t="str">
        <f t="shared" ref="AO157" si="11077">IF(MarBoo1LevelCurrent&gt;=$B157,"-",IF(MarBoo1LevelDesired&lt;$B157,"-",$E157))</f>
        <v>-</v>
      </c>
      <c r="AP157" s="15" t="str">
        <f t="shared" ref="AP157" si="11078">IF(InfGog2LevelCurrent&gt;=$B157,"-",IF(InfGog2LevelDesired&lt;$B157,"-",$C157))</f>
        <v>-</v>
      </c>
      <c r="AQ157" s="1" t="str">
        <f t="shared" ref="AQ157" si="11079">IF(InfGog2LevelCurrent&gt;=$B157,"-",IF(InfGog2LevelDesired&lt;$B157,"-",$D157))</f>
        <v>-</v>
      </c>
      <c r="AR157" s="21" t="str">
        <f t="shared" ref="AR157" si="11080">IF(InfGog2LevelCurrent&gt;=$B157,"-",IF(InfGog2LevelDesired&lt;$B157,"-",$E157))</f>
        <v>-</v>
      </c>
      <c r="AS157" s="15">
        <f t="shared" ref="AS157" si="11081">IF(InfGlo2LevelCurrent&gt;=$B157,"-",IF(InfGlo2LevelDesired&lt;$B157,"-",$C157))</f>
        <v>5000</v>
      </c>
      <c r="AT157" s="1" t="str">
        <f t="shared" ref="AT157" si="11082">IF(InfGlo2LevelCurrent&gt;=$B157,"-",IF(InfGlo2LevelDesired&lt;$B157,"-",$D157))</f>
        <v>-</v>
      </c>
      <c r="AU157" s="21" t="str">
        <f t="shared" ref="AU157" si="11083">IF(InfGlo2LevelCurrent&gt;=$B157,"-",IF(InfGlo2LevelDesired&lt;$B157,"-",$E157))</f>
        <v>-</v>
      </c>
      <c r="AV157" s="15">
        <f t="shared" ref="AV157" si="11084">IF(InfBel2LevelCurrent&gt;=$B157,"-",IF(InfBel2LevelDesired&lt;$B157,"-",$C157))</f>
        <v>5000</v>
      </c>
      <c r="AW157" s="1" t="str">
        <f t="shared" ref="AW157" si="11085">IF(InfBel2LevelCurrent&gt;=$B157,"-",IF(InfBel2LevelDesired&lt;$B157,"-",$D157))</f>
        <v>-</v>
      </c>
      <c r="AX157" s="21" t="str">
        <f t="shared" ref="AX157" si="11086">IF(InfBel2LevelCurrent&gt;=$B157,"-",IF(InfBel2LevelDesired&lt;$B157,"-",$E157))</f>
        <v>-</v>
      </c>
      <c r="AY157" s="15" t="str">
        <f t="shared" ref="AY157" si="11087">IF(InfBoo2LevelCurrent&gt;=$B157,"-",IF(InfBoo2LevelDesired&lt;$B157,"-",$C157))</f>
        <v>-</v>
      </c>
      <c r="AZ157" s="1" t="str">
        <f t="shared" ref="AZ157" si="11088">IF(InfBoo2LevelCurrent&gt;=$B157,"-",IF(InfBoo2LevelDesired&lt;$B157,"-",$D157))</f>
        <v>-</v>
      </c>
      <c r="BA157" s="21" t="str">
        <f t="shared" ref="BA157" si="11089">IF(InfBoo2LevelCurrent&gt;=$B157,"-",IF(InfBoo2LevelDesired&lt;$B157,"-",$E157))</f>
        <v>-</v>
      </c>
      <c r="BB157" s="15">
        <f t="shared" ref="BB157" si="11090">IF(LanGog2LevelCurrent&gt;=$B157,"-",IF(LanGog2LevelDesired&lt;$B157,"-",$C157))</f>
        <v>5000</v>
      </c>
      <c r="BC157" s="1" t="str">
        <f t="shared" ref="BC157" si="11091">IF(LanGog2LevelCurrent&gt;=$B157,"-",IF(LanGog2LevelDesired&lt;$B157,"-",$D157))</f>
        <v>-</v>
      </c>
      <c r="BD157" s="21" t="str">
        <f t="shared" ref="BD157" si="11092">IF(LanGog2LevelCurrent&gt;=$B157,"-",IF(LanGog2LevelDesired&lt;$B157,"-",$E157))</f>
        <v>-</v>
      </c>
      <c r="BE157" s="15" t="str">
        <f t="shared" ref="BE157" si="11093">IF(LanGlo2LevelCurrent&gt;=$B157,"-",IF(LanGlo2LevelDesired&lt;$B157,"-",$C157))</f>
        <v>-</v>
      </c>
      <c r="BF157" s="1" t="str">
        <f t="shared" ref="BF157" si="11094">IF(LanGlo2LevelCurrent&gt;=$B157,"-",IF(LanGlo2LevelDesired&lt;$B157,"-",$D157))</f>
        <v>-</v>
      </c>
      <c r="BG157" s="21" t="str">
        <f t="shared" ref="BG157" si="11095">IF(LanGlo2LevelCurrent&gt;=$B157,"-",IF(LanGlo2LevelDesired&lt;$B157,"-",$E157))</f>
        <v>-</v>
      </c>
      <c r="BH157" s="15" t="str">
        <f t="shared" ref="BH157" si="11096">IF(LanBel2LevelCurrent&gt;=$B157,"-",IF(LanBel2LevelDesired&lt;$B157,"-",$C157))</f>
        <v>-</v>
      </c>
      <c r="BI157" s="1" t="str">
        <f t="shared" ref="BI157" si="11097">IF(LanBel2LevelCurrent&gt;=$B157,"-",IF(LanBel2LevelDesired&lt;$B157,"-",$D157))</f>
        <v>-</v>
      </c>
      <c r="BJ157" s="21" t="str">
        <f t="shared" ref="BJ157" si="11098">IF(LanBel2LevelCurrent&gt;=$B157,"-",IF(LanBel2LevelDesired&lt;$B157,"-",$E157))</f>
        <v>-</v>
      </c>
      <c r="BK157" s="15">
        <f t="shared" ref="BK157" si="11099">IF(LanBoo2LevelCurrent&gt;=$B157,"-",IF(LanBoo2LevelDesired&lt;$B157,"-",$C157))</f>
        <v>5000</v>
      </c>
      <c r="BL157" s="1" t="str">
        <f t="shared" ref="BL157" si="11100">IF(LanBoo2LevelCurrent&gt;=$B157,"-",IF(LanBoo2LevelDesired&lt;$B157,"-",$D157))</f>
        <v>-</v>
      </c>
      <c r="BM157" s="21" t="str">
        <f t="shared" ref="BM157" si="11101">IF(LanBoo2LevelCurrent&gt;=$B157,"-",IF(LanBoo2LevelDesired&lt;$B157,"-",$E157))</f>
        <v>-</v>
      </c>
      <c r="BN157" s="15">
        <f t="shared" ref="BN157" si="11102">IF(MarGog2LevelCurrent&gt;=$B157,"-",IF(MarGog2LevelDesired&lt;$B157,"-",$C157))</f>
        <v>5000</v>
      </c>
      <c r="BO157" s="1" t="str">
        <f t="shared" ref="BO157" si="11103">IF(MarGog2LevelCurrent&gt;=$B157,"-",IF(MarGog2LevelDesired&lt;$B157,"-",$D157))</f>
        <v>-</v>
      </c>
      <c r="BP157" s="21" t="str">
        <f t="shared" ref="BP157" si="11104">IF(MarGog2LevelCurrent&gt;=$B157,"-",IF(MarGog2LevelDesired&lt;$B157,"-",$E157))</f>
        <v>-</v>
      </c>
      <c r="BQ157" s="15" t="str">
        <f t="shared" ref="BQ157" si="11105">IF(MarGlo2LevelCurrent&gt;=$B157,"-",IF(MarGlo2LevelDesired&lt;$B157,"-",$C157))</f>
        <v>-</v>
      </c>
      <c r="BR157" s="1" t="str">
        <f t="shared" ref="BR157" si="11106">IF(MarGlo2LevelCurrent&gt;=$B157,"-",IF(MarGlo2LevelDesired&lt;$B157,"-",$D157))</f>
        <v>-</v>
      </c>
      <c r="BS157" s="21" t="str">
        <f t="shared" ref="BS157" si="11107">IF(MarGlo2LevelCurrent&gt;=$B157,"-",IF(MarGlo2LevelDesired&lt;$B157,"-",$E157))</f>
        <v>-</v>
      </c>
      <c r="BT157" s="15" t="str">
        <f t="shared" ref="BT157" si="11108">IF(MarBel2LevelCurrent&gt;=$B157,"-",IF(MarBel2LevelDesired&lt;$B157,"-",$C157))</f>
        <v>-</v>
      </c>
      <c r="BU157" s="1" t="str">
        <f t="shared" ref="BU157" si="11109">IF(MarBel2LevelCurrent&gt;=$B157,"-",IF(MarBel2LevelDesired&lt;$B157,"-",$D157))</f>
        <v>-</v>
      </c>
      <c r="BV157" s="21" t="str">
        <f t="shared" ref="BV157" si="11110">IF(MarBel2LevelCurrent&gt;=$B157,"-",IF(MarBel2LevelDesired&lt;$B157,"-",$E157))</f>
        <v>-</v>
      </c>
      <c r="BW157" s="15">
        <f t="shared" ref="BW157" si="11111">IF(MarBoo2LevelCurrent&gt;=$B157,"-",IF(MarBoo2LevelDesired&lt;$B157,"-",$C157))</f>
        <v>5000</v>
      </c>
      <c r="BX157" s="1" t="str">
        <f t="shared" ref="BX157" si="11112">IF(MarBoo2LevelCurrent&gt;=$B157,"-",IF(MarBoo2LevelDesired&lt;$B157,"-",$D157))</f>
        <v>-</v>
      </c>
      <c r="BY157" s="21" t="str">
        <f t="shared" ref="BY157" si="11113">IF(MarBoo2LevelCurrent&gt;=$B157,"-",IF(MarBoo2LevelDesired&lt;$B157,"-",$E157))</f>
        <v>-</v>
      </c>
      <c r="BZ157" s="15" t="str">
        <f t="shared" si="9424"/>
        <v>-</v>
      </c>
      <c r="CA157" s="1" t="str" cm="1">
        <f t="array" ref="CA157">IF(InfGog3LevelCurrent&gt;=$B157,"-",IF(InfGog3LevelDesired&lt;$B157,"-",$D157))</f>
        <v>-</v>
      </c>
      <c r="CB157" s="21" t="str" cm="1">
        <f t="array" ref="CB157">IF(InfGog3LevelCurrent&gt;=$B157,"-",IF(InfGog3LevelDesired&lt;$B157,"-",$E157))</f>
        <v>-</v>
      </c>
      <c r="CC157" s="15" t="str">
        <f t="shared" si="9425"/>
        <v>-</v>
      </c>
      <c r="CD157" s="1" t="str">
        <f t="shared" si="9426"/>
        <v>-</v>
      </c>
      <c r="CE157" s="21" t="str">
        <f t="shared" si="9427"/>
        <v>-</v>
      </c>
      <c r="CF157" s="15" t="str">
        <f t="shared" si="9428"/>
        <v>-</v>
      </c>
      <c r="CG157" s="1" t="str">
        <f t="shared" si="9429"/>
        <v>-</v>
      </c>
      <c r="CH157" s="21" t="str">
        <f t="shared" si="9430"/>
        <v>-</v>
      </c>
      <c r="CI157" s="15" t="str">
        <f t="shared" si="9431"/>
        <v>-</v>
      </c>
      <c r="CJ157" s="1" t="str">
        <f t="shared" si="9432"/>
        <v>-</v>
      </c>
      <c r="CK157" s="21" t="str">
        <f t="shared" si="9433"/>
        <v>-</v>
      </c>
      <c r="CL157" s="15" t="str">
        <f t="shared" si="9434"/>
        <v>-</v>
      </c>
      <c r="CM157" s="1" t="str">
        <f t="shared" si="9435"/>
        <v>-</v>
      </c>
      <c r="CN157" s="21" t="str">
        <f t="shared" si="9436"/>
        <v>-</v>
      </c>
      <c r="CO157" s="15" t="str">
        <f t="shared" si="9437"/>
        <v>-</v>
      </c>
      <c r="CP157" s="1" t="str">
        <f t="shared" si="9438"/>
        <v>-</v>
      </c>
      <c r="CQ157" s="21" t="str">
        <f t="shared" si="9439"/>
        <v>-</v>
      </c>
      <c r="CR157" s="15" t="str">
        <f t="shared" si="9440"/>
        <v>-</v>
      </c>
      <c r="CS157" s="1" t="str">
        <f t="shared" si="9441"/>
        <v>-</v>
      </c>
      <c r="CT157" s="21" t="str">
        <f t="shared" si="9442"/>
        <v>-</v>
      </c>
      <c r="CU157" s="15" t="str">
        <f t="shared" si="9443"/>
        <v>-</v>
      </c>
      <c r="CV157" s="1" t="str">
        <f t="shared" si="9444"/>
        <v>-</v>
      </c>
      <c r="CW157" s="21" t="str">
        <f t="shared" si="9445"/>
        <v>-</v>
      </c>
      <c r="CX157" s="15" t="str">
        <f t="shared" si="9446"/>
        <v>-</v>
      </c>
      <c r="CY157" s="1" t="str">
        <f t="shared" si="9447"/>
        <v>-</v>
      </c>
      <c r="CZ157" s="21" t="str">
        <f t="shared" si="9448"/>
        <v>-</v>
      </c>
      <c r="DA157" s="15" t="str">
        <f t="shared" si="9449"/>
        <v>-</v>
      </c>
      <c r="DB157" s="1" t="str">
        <f t="shared" si="9450"/>
        <v>-</v>
      </c>
      <c r="DC157" s="21" t="str">
        <f t="shared" si="9451"/>
        <v>-</v>
      </c>
      <c r="DD157" s="15" t="str">
        <f t="shared" si="9452"/>
        <v>-</v>
      </c>
      <c r="DE157" s="1" t="str">
        <f t="shared" si="9453"/>
        <v>-</v>
      </c>
      <c r="DF157" s="21" t="str">
        <f t="shared" si="9454"/>
        <v>-</v>
      </c>
      <c r="DG157" s="15" t="str">
        <f t="shared" si="9455"/>
        <v>-</v>
      </c>
      <c r="DH157" s="1" t="str">
        <f t="shared" si="9456"/>
        <v>-</v>
      </c>
      <c r="DI157" s="21" t="str">
        <f t="shared" si="9457"/>
        <v>-</v>
      </c>
    </row>
    <row r="158" spans="2:113" x14ac:dyDescent="0.3">
      <c r="B158" s="1">
        <v>153</v>
      </c>
      <c r="C158" s="67">
        <v>5050</v>
      </c>
      <c r="D158" s="88" t="s">
        <v>27</v>
      </c>
      <c r="E158" s="68" t="s">
        <v>27</v>
      </c>
      <c r="F158" s="15" t="str">
        <f t="shared" ref="F158" si="11114">IF(InfGog1LevelCurrent&gt;=$B158,"-",IF(InfGog1LevelDesired&lt;$B158,"-",$C158))</f>
        <v>-</v>
      </c>
      <c r="G158" s="1" t="str">
        <f t="shared" ref="G158" si="11115">IF(InfGog1LevelCurrent&gt;=$B158,"-",IF(InfGog1LevelDesired&lt;$B158,"-",$D158))</f>
        <v>-</v>
      </c>
      <c r="H158" s="21" t="str">
        <f t="shared" ref="H158" si="11116">IF(InfGog1LevelCurrent&gt;=$B158,"-",IF(InfGog1LevelDesired&lt;$B158,"-",$E158))</f>
        <v>-</v>
      </c>
      <c r="I158" s="15" t="str">
        <f t="shared" ref="I158" si="11117">IF(InfGlo1LevelCurrent&gt;=$B158,"-",IF(InfGlo1LevelDesired&lt;$B158,"-",$C158))</f>
        <v>-</v>
      </c>
      <c r="J158" s="1" t="str">
        <f t="shared" ref="J158" si="11118">IF(InfGlo1LevelCurrent&gt;=$B158,"-",IF(InfGlo1LevelDesired&lt;$B158,"-",$D158))</f>
        <v>-</v>
      </c>
      <c r="K158" s="21" t="str">
        <f t="shared" ref="K158" si="11119">IF(InfGlo1LevelCurrent&gt;=$B158,"-",IF(InfGlo1LevelDesired&lt;$B158,"-",$E158))</f>
        <v>-</v>
      </c>
      <c r="L158" s="15" t="str">
        <f t="shared" ref="L158" si="11120">IF(InfBel1LevelCurrent&gt;=$B158,"-",IF(InfBel1LevelDesired&lt;$B158,"-",$C158))</f>
        <v>-</v>
      </c>
      <c r="M158" s="1" t="str">
        <f t="shared" ref="M158" si="11121">IF(InfBel1LevelCurrent&gt;=$B158,"-",IF(InfBel1LevelDesired&lt;$B158,"-",$D158))</f>
        <v>-</v>
      </c>
      <c r="N158" s="21" t="str">
        <f t="shared" ref="N158" si="11122">IF(InfBel1LevelCurrent&gt;=$B158,"-",IF(InfBel1LevelDesired&lt;$B158,"-",$E158))</f>
        <v>-</v>
      </c>
      <c r="O158" s="15" t="str">
        <f t="shared" ref="O158" si="11123">IF(InfBoo1LevelCurrent&gt;=$B158,"-",IF(InfBoo1LevelDesired&lt;$B158,"-",$C158))</f>
        <v>-</v>
      </c>
      <c r="P158" s="1" t="str">
        <f t="shared" ref="P158" si="11124">IF(InfBoo1LevelCurrent&gt;=$B158,"-",IF(InfBoo1LevelDesired&lt;$B158,"-",$D158))</f>
        <v>-</v>
      </c>
      <c r="Q158" s="21" t="str">
        <f t="shared" ref="Q158" si="11125">IF(InfBoo1LevelCurrent&gt;=$B158,"-",IF(InfBoo1LevelDesired&lt;$B158,"-",$E158))</f>
        <v>-</v>
      </c>
      <c r="R158" s="15" t="str">
        <f t="shared" ref="R158" si="11126">IF(LanGog1LevelCurrent&gt;=$B158,"-",IF(LanGog1LevelDesired&lt;$B158,"-",$C158))</f>
        <v>-</v>
      </c>
      <c r="S158" s="1" t="str">
        <f t="shared" ref="S158" si="11127">IF(LanGog1LevelCurrent&gt;=$B158,"-",IF(LanGog1LevelDesired&lt;$B158,"-",$D158))</f>
        <v>-</v>
      </c>
      <c r="T158" s="21" t="str">
        <f t="shared" ref="T158" si="11128">IF(LanGog1LevelCurrent&gt;=$B158,"-",IF(LanGog1LevelDesired&lt;$B158,"-",$E158))</f>
        <v>-</v>
      </c>
      <c r="U158" s="15" t="str">
        <f t="shared" ref="U158" si="11129">IF(LanGlo1LevelCurrent&gt;=$B158,"-",IF(LanGlo1LevelDesired&lt;$B158,"-",$C158))</f>
        <v>-</v>
      </c>
      <c r="V158" s="1" t="str">
        <f t="shared" ref="V158" si="11130">IF(LanGlo1LevelCurrent&gt;=$B158,"-",IF(LanGlo1LevelDesired&lt;$B158,"-",$D158))</f>
        <v>-</v>
      </c>
      <c r="W158" s="21" t="str">
        <f t="shared" ref="W158" si="11131">IF(LanGlo1LevelCurrent&gt;=$B158,"-",IF(LanGlo1LevelDesired&lt;$B158,"-",$E158))</f>
        <v>-</v>
      </c>
      <c r="X158" s="15" t="str">
        <f t="shared" ref="X158" si="11132">IF(LanBel1LevelCurrent&gt;=$B158,"-",IF(LanBel1LevelDesired&lt;$B158,"-",$C158))</f>
        <v>-</v>
      </c>
      <c r="Y158" s="1" t="str">
        <f t="shared" ref="Y158" si="11133">IF(LanBel1LevelCurrent&gt;=$B158,"-",IF(LanBel1LevelDesired&lt;$B158,"-",$D158))</f>
        <v>-</v>
      </c>
      <c r="Z158" s="21" t="str">
        <f t="shared" ref="Z158" si="11134">IF(LanBel1LevelCurrent&gt;=$B158,"-",IF(LanBel1LevelDesired&lt;$B158,"-",$E158))</f>
        <v>-</v>
      </c>
      <c r="AA158" s="15" t="str">
        <f t="shared" ref="AA158" si="11135">IF(LanBoo1LevelCurrent&gt;=$B158,"-",IF(LanBoo1LevelDesired&lt;$B158,"-",$C158))</f>
        <v>-</v>
      </c>
      <c r="AB158" s="1" t="str">
        <f t="shared" ref="AB158" si="11136">IF(LanBoo1LevelCurrent&gt;=$B158,"-",IF(LanBoo1LevelDesired&lt;$B158,"-",$D158))</f>
        <v>-</v>
      </c>
      <c r="AC158" s="21" t="str">
        <f t="shared" ref="AC158" si="11137">IF(LanBoo1LevelCurrent&gt;=$B158,"-",IF(LanBoo1LevelDesired&lt;$B158,"-",$E158))</f>
        <v>-</v>
      </c>
      <c r="AD158" s="15" t="str">
        <f t="shared" ref="AD158" si="11138">IF(MarGog1LevelCurrent&gt;=$B158,"-",IF(MarGog1LevelDesired&lt;$B158,"-",$C158))</f>
        <v>-</v>
      </c>
      <c r="AE158" s="1" t="str">
        <f t="shared" ref="AE158" si="11139">IF(MarGog1LevelCurrent&gt;=$B158,"-",IF(MarGog1LevelDesired&lt;$B158,"-",$D158))</f>
        <v>-</v>
      </c>
      <c r="AF158" s="21" t="str">
        <f t="shared" ref="AF158" si="11140">IF(MarGog1LevelCurrent&gt;=$B158,"-",IF(MarGog1LevelDesired&lt;$B158,"-",$E158))</f>
        <v>-</v>
      </c>
      <c r="AG158" s="15" t="str">
        <f t="shared" ref="AG158" si="11141">IF(MarGlo1LevelCurrent&gt;=$B158,"-",IF(MarGlo1LevelDesired&lt;$B158,"-",$C158))</f>
        <v>-</v>
      </c>
      <c r="AH158" s="1" t="str">
        <f t="shared" ref="AH158" si="11142">IF(MarGlo1LevelCurrent&gt;=$B158,"-",IF(MarGlo1LevelDesired&lt;$B158,"-",$D158))</f>
        <v>-</v>
      </c>
      <c r="AI158" s="21" t="str">
        <f t="shared" ref="AI158" si="11143">IF(MarGlo1LevelCurrent&gt;=$B158,"-",IF(MarGlo1LevelDesired&lt;$B158,"-",$E158))</f>
        <v>-</v>
      </c>
      <c r="AJ158" s="15" t="str">
        <f t="shared" ref="AJ158" si="11144">IF(MarBel1LevelCurrent&gt;=$B158,"-",IF(MarBel1LevelDesired&lt;$B158,"-",$C158))</f>
        <v>-</v>
      </c>
      <c r="AK158" s="1" t="str">
        <f t="shared" ref="AK158" si="11145">IF(MarBel1LevelCurrent&gt;=$B158,"-",IF(MarBel1LevelDesired&lt;$B158,"-",$D158))</f>
        <v>-</v>
      </c>
      <c r="AL158" s="21" t="str">
        <f t="shared" ref="AL158" si="11146">IF(MarBel1LevelCurrent&gt;=$B158,"-",IF(MarBel1LevelDesired&lt;$B158,"-",$E158))</f>
        <v>-</v>
      </c>
      <c r="AM158" s="15" t="str">
        <f t="shared" ref="AM158" si="11147">IF(MarBoo1LevelCurrent&gt;=$B158,"-",IF(MarBoo1LevelDesired&lt;$B158,"-",$C158))</f>
        <v>-</v>
      </c>
      <c r="AN158" s="1" t="str">
        <f t="shared" ref="AN158" si="11148">IF(MarBoo1LevelCurrent&gt;=$B158,"-",IF(MarBoo1LevelDesired&lt;$B158,"-",$D158))</f>
        <v>-</v>
      </c>
      <c r="AO158" s="21" t="str">
        <f t="shared" ref="AO158" si="11149">IF(MarBoo1LevelCurrent&gt;=$B158,"-",IF(MarBoo1LevelDesired&lt;$B158,"-",$E158))</f>
        <v>-</v>
      </c>
      <c r="AP158" s="15" t="str">
        <f t="shared" ref="AP158" si="11150">IF(InfGog2LevelCurrent&gt;=$B158,"-",IF(InfGog2LevelDesired&lt;$B158,"-",$C158))</f>
        <v>-</v>
      </c>
      <c r="AQ158" s="1" t="str">
        <f t="shared" ref="AQ158" si="11151">IF(InfGog2LevelCurrent&gt;=$B158,"-",IF(InfGog2LevelDesired&lt;$B158,"-",$D158))</f>
        <v>-</v>
      </c>
      <c r="AR158" s="21" t="str">
        <f t="shared" ref="AR158" si="11152">IF(InfGog2LevelCurrent&gt;=$B158,"-",IF(InfGog2LevelDesired&lt;$B158,"-",$E158))</f>
        <v>-</v>
      </c>
      <c r="AS158" s="15">
        <f t="shared" ref="AS158" si="11153">IF(InfGlo2LevelCurrent&gt;=$B158,"-",IF(InfGlo2LevelDesired&lt;$B158,"-",$C158))</f>
        <v>5050</v>
      </c>
      <c r="AT158" s="1" t="str">
        <f t="shared" ref="AT158" si="11154">IF(InfGlo2LevelCurrent&gt;=$B158,"-",IF(InfGlo2LevelDesired&lt;$B158,"-",$D158))</f>
        <v>-</v>
      </c>
      <c r="AU158" s="21" t="str">
        <f t="shared" ref="AU158" si="11155">IF(InfGlo2LevelCurrent&gt;=$B158,"-",IF(InfGlo2LevelDesired&lt;$B158,"-",$E158))</f>
        <v>-</v>
      </c>
      <c r="AV158" s="15">
        <f t="shared" ref="AV158" si="11156">IF(InfBel2LevelCurrent&gt;=$B158,"-",IF(InfBel2LevelDesired&lt;$B158,"-",$C158))</f>
        <v>5050</v>
      </c>
      <c r="AW158" s="1" t="str">
        <f t="shared" ref="AW158" si="11157">IF(InfBel2LevelCurrent&gt;=$B158,"-",IF(InfBel2LevelDesired&lt;$B158,"-",$D158))</f>
        <v>-</v>
      </c>
      <c r="AX158" s="21" t="str">
        <f t="shared" ref="AX158" si="11158">IF(InfBel2LevelCurrent&gt;=$B158,"-",IF(InfBel2LevelDesired&lt;$B158,"-",$E158))</f>
        <v>-</v>
      </c>
      <c r="AY158" s="15" t="str">
        <f t="shared" ref="AY158" si="11159">IF(InfBoo2LevelCurrent&gt;=$B158,"-",IF(InfBoo2LevelDesired&lt;$B158,"-",$C158))</f>
        <v>-</v>
      </c>
      <c r="AZ158" s="1" t="str">
        <f t="shared" ref="AZ158" si="11160">IF(InfBoo2LevelCurrent&gt;=$B158,"-",IF(InfBoo2LevelDesired&lt;$B158,"-",$D158))</f>
        <v>-</v>
      </c>
      <c r="BA158" s="21" t="str">
        <f t="shared" ref="BA158" si="11161">IF(InfBoo2LevelCurrent&gt;=$B158,"-",IF(InfBoo2LevelDesired&lt;$B158,"-",$E158))</f>
        <v>-</v>
      </c>
      <c r="BB158" s="15">
        <f t="shared" ref="BB158" si="11162">IF(LanGog2LevelCurrent&gt;=$B158,"-",IF(LanGog2LevelDesired&lt;$B158,"-",$C158))</f>
        <v>5050</v>
      </c>
      <c r="BC158" s="1" t="str">
        <f t="shared" ref="BC158" si="11163">IF(LanGog2LevelCurrent&gt;=$B158,"-",IF(LanGog2LevelDesired&lt;$B158,"-",$D158))</f>
        <v>-</v>
      </c>
      <c r="BD158" s="21" t="str">
        <f t="shared" ref="BD158" si="11164">IF(LanGog2LevelCurrent&gt;=$B158,"-",IF(LanGog2LevelDesired&lt;$B158,"-",$E158))</f>
        <v>-</v>
      </c>
      <c r="BE158" s="15" t="str">
        <f t="shared" ref="BE158" si="11165">IF(LanGlo2LevelCurrent&gt;=$B158,"-",IF(LanGlo2LevelDesired&lt;$B158,"-",$C158))</f>
        <v>-</v>
      </c>
      <c r="BF158" s="1" t="str">
        <f t="shared" ref="BF158" si="11166">IF(LanGlo2LevelCurrent&gt;=$B158,"-",IF(LanGlo2LevelDesired&lt;$B158,"-",$D158))</f>
        <v>-</v>
      </c>
      <c r="BG158" s="21" t="str">
        <f t="shared" ref="BG158" si="11167">IF(LanGlo2LevelCurrent&gt;=$B158,"-",IF(LanGlo2LevelDesired&lt;$B158,"-",$E158))</f>
        <v>-</v>
      </c>
      <c r="BH158" s="15" t="str">
        <f t="shared" ref="BH158" si="11168">IF(LanBel2LevelCurrent&gt;=$B158,"-",IF(LanBel2LevelDesired&lt;$B158,"-",$C158))</f>
        <v>-</v>
      </c>
      <c r="BI158" s="1" t="str">
        <f t="shared" ref="BI158" si="11169">IF(LanBel2LevelCurrent&gt;=$B158,"-",IF(LanBel2LevelDesired&lt;$B158,"-",$D158))</f>
        <v>-</v>
      </c>
      <c r="BJ158" s="21" t="str">
        <f t="shared" ref="BJ158" si="11170">IF(LanBel2LevelCurrent&gt;=$B158,"-",IF(LanBel2LevelDesired&lt;$B158,"-",$E158))</f>
        <v>-</v>
      </c>
      <c r="BK158" s="15">
        <f t="shared" ref="BK158" si="11171">IF(LanBoo2LevelCurrent&gt;=$B158,"-",IF(LanBoo2LevelDesired&lt;$B158,"-",$C158))</f>
        <v>5050</v>
      </c>
      <c r="BL158" s="1" t="str">
        <f t="shared" ref="BL158" si="11172">IF(LanBoo2LevelCurrent&gt;=$B158,"-",IF(LanBoo2LevelDesired&lt;$B158,"-",$D158))</f>
        <v>-</v>
      </c>
      <c r="BM158" s="21" t="str">
        <f t="shared" ref="BM158" si="11173">IF(LanBoo2LevelCurrent&gt;=$B158,"-",IF(LanBoo2LevelDesired&lt;$B158,"-",$E158))</f>
        <v>-</v>
      </c>
      <c r="BN158" s="15">
        <f t="shared" ref="BN158" si="11174">IF(MarGog2LevelCurrent&gt;=$B158,"-",IF(MarGog2LevelDesired&lt;$B158,"-",$C158))</f>
        <v>5050</v>
      </c>
      <c r="BO158" s="1" t="str">
        <f t="shared" ref="BO158" si="11175">IF(MarGog2LevelCurrent&gt;=$B158,"-",IF(MarGog2LevelDesired&lt;$B158,"-",$D158))</f>
        <v>-</v>
      </c>
      <c r="BP158" s="21" t="str">
        <f t="shared" ref="BP158" si="11176">IF(MarGog2LevelCurrent&gt;=$B158,"-",IF(MarGog2LevelDesired&lt;$B158,"-",$E158))</f>
        <v>-</v>
      </c>
      <c r="BQ158" s="15" t="str">
        <f t="shared" ref="BQ158" si="11177">IF(MarGlo2LevelCurrent&gt;=$B158,"-",IF(MarGlo2LevelDesired&lt;$B158,"-",$C158))</f>
        <v>-</v>
      </c>
      <c r="BR158" s="1" t="str">
        <f t="shared" ref="BR158" si="11178">IF(MarGlo2LevelCurrent&gt;=$B158,"-",IF(MarGlo2LevelDesired&lt;$B158,"-",$D158))</f>
        <v>-</v>
      </c>
      <c r="BS158" s="21" t="str">
        <f t="shared" ref="BS158" si="11179">IF(MarGlo2LevelCurrent&gt;=$B158,"-",IF(MarGlo2LevelDesired&lt;$B158,"-",$E158))</f>
        <v>-</v>
      </c>
      <c r="BT158" s="15" t="str">
        <f t="shared" ref="BT158" si="11180">IF(MarBel2LevelCurrent&gt;=$B158,"-",IF(MarBel2LevelDesired&lt;$B158,"-",$C158))</f>
        <v>-</v>
      </c>
      <c r="BU158" s="1" t="str">
        <f t="shared" ref="BU158" si="11181">IF(MarBel2LevelCurrent&gt;=$B158,"-",IF(MarBel2LevelDesired&lt;$B158,"-",$D158))</f>
        <v>-</v>
      </c>
      <c r="BV158" s="21" t="str">
        <f t="shared" ref="BV158" si="11182">IF(MarBel2LevelCurrent&gt;=$B158,"-",IF(MarBel2LevelDesired&lt;$B158,"-",$E158))</f>
        <v>-</v>
      </c>
      <c r="BW158" s="15">
        <f t="shared" ref="BW158" si="11183">IF(MarBoo2LevelCurrent&gt;=$B158,"-",IF(MarBoo2LevelDesired&lt;$B158,"-",$C158))</f>
        <v>5050</v>
      </c>
      <c r="BX158" s="1" t="str">
        <f t="shared" ref="BX158" si="11184">IF(MarBoo2LevelCurrent&gt;=$B158,"-",IF(MarBoo2LevelDesired&lt;$B158,"-",$D158))</f>
        <v>-</v>
      </c>
      <c r="BY158" s="21" t="str">
        <f t="shared" ref="BY158" si="11185">IF(MarBoo2LevelCurrent&gt;=$B158,"-",IF(MarBoo2LevelDesired&lt;$B158,"-",$E158))</f>
        <v>-</v>
      </c>
      <c r="BZ158" s="15" t="str">
        <f t="shared" si="9424"/>
        <v>-</v>
      </c>
      <c r="CA158" s="1" t="str" cm="1">
        <f t="array" ref="CA158">IF(InfGog3LevelCurrent&gt;=$B158,"-",IF(InfGog3LevelDesired&lt;$B158,"-",$D158))</f>
        <v>-</v>
      </c>
      <c r="CB158" s="21" t="str" cm="1">
        <f t="array" ref="CB158">IF(InfGog3LevelCurrent&gt;=$B158,"-",IF(InfGog3LevelDesired&lt;$B158,"-",$E158))</f>
        <v>-</v>
      </c>
      <c r="CC158" s="15" t="str">
        <f t="shared" si="9425"/>
        <v>-</v>
      </c>
      <c r="CD158" s="1" t="str">
        <f t="shared" si="9426"/>
        <v>-</v>
      </c>
      <c r="CE158" s="21" t="str">
        <f t="shared" si="9427"/>
        <v>-</v>
      </c>
      <c r="CF158" s="15" t="str">
        <f t="shared" si="9428"/>
        <v>-</v>
      </c>
      <c r="CG158" s="1" t="str">
        <f t="shared" si="9429"/>
        <v>-</v>
      </c>
      <c r="CH158" s="21" t="str">
        <f t="shared" si="9430"/>
        <v>-</v>
      </c>
      <c r="CI158" s="15" t="str">
        <f t="shared" si="9431"/>
        <v>-</v>
      </c>
      <c r="CJ158" s="1" t="str">
        <f t="shared" si="9432"/>
        <v>-</v>
      </c>
      <c r="CK158" s="21" t="str">
        <f t="shared" si="9433"/>
        <v>-</v>
      </c>
      <c r="CL158" s="15" t="str">
        <f t="shared" si="9434"/>
        <v>-</v>
      </c>
      <c r="CM158" s="1" t="str">
        <f t="shared" si="9435"/>
        <v>-</v>
      </c>
      <c r="CN158" s="21" t="str">
        <f t="shared" si="9436"/>
        <v>-</v>
      </c>
      <c r="CO158" s="15" t="str">
        <f t="shared" si="9437"/>
        <v>-</v>
      </c>
      <c r="CP158" s="1" t="str">
        <f t="shared" si="9438"/>
        <v>-</v>
      </c>
      <c r="CQ158" s="21" t="str">
        <f t="shared" si="9439"/>
        <v>-</v>
      </c>
      <c r="CR158" s="15" t="str">
        <f t="shared" si="9440"/>
        <v>-</v>
      </c>
      <c r="CS158" s="1" t="str">
        <f t="shared" si="9441"/>
        <v>-</v>
      </c>
      <c r="CT158" s="21" t="str">
        <f t="shared" si="9442"/>
        <v>-</v>
      </c>
      <c r="CU158" s="15" t="str">
        <f t="shared" si="9443"/>
        <v>-</v>
      </c>
      <c r="CV158" s="1" t="str">
        <f t="shared" si="9444"/>
        <v>-</v>
      </c>
      <c r="CW158" s="21" t="str">
        <f t="shared" si="9445"/>
        <v>-</v>
      </c>
      <c r="CX158" s="15" t="str">
        <f t="shared" si="9446"/>
        <v>-</v>
      </c>
      <c r="CY158" s="1" t="str">
        <f t="shared" si="9447"/>
        <v>-</v>
      </c>
      <c r="CZ158" s="21" t="str">
        <f t="shared" si="9448"/>
        <v>-</v>
      </c>
      <c r="DA158" s="15" t="str">
        <f t="shared" si="9449"/>
        <v>-</v>
      </c>
      <c r="DB158" s="1" t="str">
        <f t="shared" si="9450"/>
        <v>-</v>
      </c>
      <c r="DC158" s="21" t="str">
        <f t="shared" si="9451"/>
        <v>-</v>
      </c>
      <c r="DD158" s="15" t="str">
        <f t="shared" si="9452"/>
        <v>-</v>
      </c>
      <c r="DE158" s="1" t="str">
        <f t="shared" si="9453"/>
        <v>-</v>
      </c>
      <c r="DF158" s="21" t="str">
        <f t="shared" si="9454"/>
        <v>-</v>
      </c>
      <c r="DG158" s="15" t="str">
        <f t="shared" si="9455"/>
        <v>-</v>
      </c>
      <c r="DH158" s="1" t="str">
        <f t="shared" si="9456"/>
        <v>-</v>
      </c>
      <c r="DI158" s="21" t="str">
        <f t="shared" si="9457"/>
        <v>-</v>
      </c>
    </row>
    <row r="159" spans="2:113" x14ac:dyDescent="0.3">
      <c r="B159" s="1">
        <v>154</v>
      </c>
      <c r="C159" s="67">
        <v>5100</v>
      </c>
      <c r="D159" s="88" t="s">
        <v>27</v>
      </c>
      <c r="E159" s="68" t="s">
        <v>27</v>
      </c>
      <c r="F159" s="15" t="str">
        <f t="shared" ref="F159" si="11186">IF(InfGog1LevelCurrent&gt;=$B159,"-",IF(InfGog1LevelDesired&lt;$B159,"-",$C159))</f>
        <v>-</v>
      </c>
      <c r="G159" s="1" t="str">
        <f t="shared" ref="G159" si="11187">IF(InfGog1LevelCurrent&gt;=$B159,"-",IF(InfGog1LevelDesired&lt;$B159,"-",$D159))</f>
        <v>-</v>
      </c>
      <c r="H159" s="21" t="str">
        <f t="shared" ref="H159" si="11188">IF(InfGog1LevelCurrent&gt;=$B159,"-",IF(InfGog1LevelDesired&lt;$B159,"-",$E159))</f>
        <v>-</v>
      </c>
      <c r="I159" s="15" t="str">
        <f t="shared" ref="I159" si="11189">IF(InfGlo1LevelCurrent&gt;=$B159,"-",IF(InfGlo1LevelDesired&lt;$B159,"-",$C159))</f>
        <v>-</v>
      </c>
      <c r="J159" s="1" t="str">
        <f t="shared" ref="J159" si="11190">IF(InfGlo1LevelCurrent&gt;=$B159,"-",IF(InfGlo1LevelDesired&lt;$B159,"-",$D159))</f>
        <v>-</v>
      </c>
      <c r="K159" s="21" t="str">
        <f t="shared" ref="K159" si="11191">IF(InfGlo1LevelCurrent&gt;=$B159,"-",IF(InfGlo1LevelDesired&lt;$B159,"-",$E159))</f>
        <v>-</v>
      </c>
      <c r="L159" s="15" t="str">
        <f t="shared" ref="L159" si="11192">IF(InfBel1LevelCurrent&gt;=$B159,"-",IF(InfBel1LevelDesired&lt;$B159,"-",$C159))</f>
        <v>-</v>
      </c>
      <c r="M159" s="1" t="str">
        <f t="shared" ref="M159" si="11193">IF(InfBel1LevelCurrent&gt;=$B159,"-",IF(InfBel1LevelDesired&lt;$B159,"-",$D159))</f>
        <v>-</v>
      </c>
      <c r="N159" s="21" t="str">
        <f t="shared" ref="N159" si="11194">IF(InfBel1LevelCurrent&gt;=$B159,"-",IF(InfBel1LevelDesired&lt;$B159,"-",$E159))</f>
        <v>-</v>
      </c>
      <c r="O159" s="15" t="str">
        <f t="shared" ref="O159" si="11195">IF(InfBoo1LevelCurrent&gt;=$B159,"-",IF(InfBoo1LevelDesired&lt;$B159,"-",$C159))</f>
        <v>-</v>
      </c>
      <c r="P159" s="1" t="str">
        <f t="shared" ref="P159" si="11196">IF(InfBoo1LevelCurrent&gt;=$B159,"-",IF(InfBoo1LevelDesired&lt;$B159,"-",$D159))</f>
        <v>-</v>
      </c>
      <c r="Q159" s="21" t="str">
        <f t="shared" ref="Q159" si="11197">IF(InfBoo1LevelCurrent&gt;=$B159,"-",IF(InfBoo1LevelDesired&lt;$B159,"-",$E159))</f>
        <v>-</v>
      </c>
      <c r="R159" s="15" t="str">
        <f t="shared" ref="R159" si="11198">IF(LanGog1LevelCurrent&gt;=$B159,"-",IF(LanGog1LevelDesired&lt;$B159,"-",$C159))</f>
        <v>-</v>
      </c>
      <c r="S159" s="1" t="str">
        <f t="shared" ref="S159" si="11199">IF(LanGog1LevelCurrent&gt;=$B159,"-",IF(LanGog1LevelDesired&lt;$B159,"-",$D159))</f>
        <v>-</v>
      </c>
      <c r="T159" s="21" t="str">
        <f t="shared" ref="T159" si="11200">IF(LanGog1LevelCurrent&gt;=$B159,"-",IF(LanGog1LevelDesired&lt;$B159,"-",$E159))</f>
        <v>-</v>
      </c>
      <c r="U159" s="15" t="str">
        <f t="shared" ref="U159" si="11201">IF(LanGlo1LevelCurrent&gt;=$B159,"-",IF(LanGlo1LevelDesired&lt;$B159,"-",$C159))</f>
        <v>-</v>
      </c>
      <c r="V159" s="1" t="str">
        <f t="shared" ref="V159" si="11202">IF(LanGlo1LevelCurrent&gt;=$B159,"-",IF(LanGlo1LevelDesired&lt;$B159,"-",$D159))</f>
        <v>-</v>
      </c>
      <c r="W159" s="21" t="str">
        <f t="shared" ref="W159" si="11203">IF(LanGlo1LevelCurrent&gt;=$B159,"-",IF(LanGlo1LevelDesired&lt;$B159,"-",$E159))</f>
        <v>-</v>
      </c>
      <c r="X159" s="15" t="str">
        <f t="shared" ref="X159" si="11204">IF(LanBel1LevelCurrent&gt;=$B159,"-",IF(LanBel1LevelDesired&lt;$B159,"-",$C159))</f>
        <v>-</v>
      </c>
      <c r="Y159" s="1" t="str">
        <f t="shared" ref="Y159" si="11205">IF(LanBel1LevelCurrent&gt;=$B159,"-",IF(LanBel1LevelDesired&lt;$B159,"-",$D159))</f>
        <v>-</v>
      </c>
      <c r="Z159" s="21" t="str">
        <f t="shared" ref="Z159" si="11206">IF(LanBel1LevelCurrent&gt;=$B159,"-",IF(LanBel1LevelDesired&lt;$B159,"-",$E159))</f>
        <v>-</v>
      </c>
      <c r="AA159" s="15" t="str">
        <f t="shared" ref="AA159" si="11207">IF(LanBoo1LevelCurrent&gt;=$B159,"-",IF(LanBoo1LevelDesired&lt;$B159,"-",$C159))</f>
        <v>-</v>
      </c>
      <c r="AB159" s="1" t="str">
        <f t="shared" ref="AB159" si="11208">IF(LanBoo1LevelCurrent&gt;=$B159,"-",IF(LanBoo1LevelDesired&lt;$B159,"-",$D159))</f>
        <v>-</v>
      </c>
      <c r="AC159" s="21" t="str">
        <f t="shared" ref="AC159" si="11209">IF(LanBoo1LevelCurrent&gt;=$B159,"-",IF(LanBoo1LevelDesired&lt;$B159,"-",$E159))</f>
        <v>-</v>
      </c>
      <c r="AD159" s="15" t="str">
        <f t="shared" ref="AD159" si="11210">IF(MarGog1LevelCurrent&gt;=$B159,"-",IF(MarGog1LevelDesired&lt;$B159,"-",$C159))</f>
        <v>-</v>
      </c>
      <c r="AE159" s="1" t="str">
        <f t="shared" ref="AE159" si="11211">IF(MarGog1LevelCurrent&gt;=$B159,"-",IF(MarGog1LevelDesired&lt;$B159,"-",$D159))</f>
        <v>-</v>
      </c>
      <c r="AF159" s="21" t="str">
        <f t="shared" ref="AF159" si="11212">IF(MarGog1LevelCurrent&gt;=$B159,"-",IF(MarGog1LevelDesired&lt;$B159,"-",$E159))</f>
        <v>-</v>
      </c>
      <c r="AG159" s="15" t="str">
        <f t="shared" ref="AG159" si="11213">IF(MarGlo1LevelCurrent&gt;=$B159,"-",IF(MarGlo1LevelDesired&lt;$B159,"-",$C159))</f>
        <v>-</v>
      </c>
      <c r="AH159" s="1" t="str">
        <f t="shared" ref="AH159" si="11214">IF(MarGlo1LevelCurrent&gt;=$B159,"-",IF(MarGlo1LevelDesired&lt;$B159,"-",$D159))</f>
        <v>-</v>
      </c>
      <c r="AI159" s="21" t="str">
        <f t="shared" ref="AI159" si="11215">IF(MarGlo1LevelCurrent&gt;=$B159,"-",IF(MarGlo1LevelDesired&lt;$B159,"-",$E159))</f>
        <v>-</v>
      </c>
      <c r="AJ159" s="15" t="str">
        <f t="shared" ref="AJ159" si="11216">IF(MarBel1LevelCurrent&gt;=$B159,"-",IF(MarBel1LevelDesired&lt;$B159,"-",$C159))</f>
        <v>-</v>
      </c>
      <c r="AK159" s="1" t="str">
        <f t="shared" ref="AK159" si="11217">IF(MarBel1LevelCurrent&gt;=$B159,"-",IF(MarBel1LevelDesired&lt;$B159,"-",$D159))</f>
        <v>-</v>
      </c>
      <c r="AL159" s="21" t="str">
        <f t="shared" ref="AL159" si="11218">IF(MarBel1LevelCurrent&gt;=$B159,"-",IF(MarBel1LevelDesired&lt;$B159,"-",$E159))</f>
        <v>-</v>
      </c>
      <c r="AM159" s="15" t="str">
        <f t="shared" ref="AM159" si="11219">IF(MarBoo1LevelCurrent&gt;=$B159,"-",IF(MarBoo1LevelDesired&lt;$B159,"-",$C159))</f>
        <v>-</v>
      </c>
      <c r="AN159" s="1" t="str">
        <f t="shared" ref="AN159" si="11220">IF(MarBoo1LevelCurrent&gt;=$B159,"-",IF(MarBoo1LevelDesired&lt;$B159,"-",$D159))</f>
        <v>-</v>
      </c>
      <c r="AO159" s="21" t="str">
        <f t="shared" ref="AO159" si="11221">IF(MarBoo1LevelCurrent&gt;=$B159,"-",IF(MarBoo1LevelDesired&lt;$B159,"-",$E159))</f>
        <v>-</v>
      </c>
      <c r="AP159" s="15" t="str">
        <f t="shared" ref="AP159" si="11222">IF(InfGog2LevelCurrent&gt;=$B159,"-",IF(InfGog2LevelDesired&lt;$B159,"-",$C159))</f>
        <v>-</v>
      </c>
      <c r="AQ159" s="1" t="str">
        <f t="shared" ref="AQ159" si="11223">IF(InfGog2LevelCurrent&gt;=$B159,"-",IF(InfGog2LevelDesired&lt;$B159,"-",$D159))</f>
        <v>-</v>
      </c>
      <c r="AR159" s="21" t="str">
        <f t="shared" ref="AR159" si="11224">IF(InfGog2LevelCurrent&gt;=$B159,"-",IF(InfGog2LevelDesired&lt;$B159,"-",$E159))</f>
        <v>-</v>
      </c>
      <c r="AS159" s="15">
        <f t="shared" ref="AS159" si="11225">IF(InfGlo2LevelCurrent&gt;=$B159,"-",IF(InfGlo2LevelDesired&lt;$B159,"-",$C159))</f>
        <v>5100</v>
      </c>
      <c r="AT159" s="1" t="str">
        <f t="shared" ref="AT159" si="11226">IF(InfGlo2LevelCurrent&gt;=$B159,"-",IF(InfGlo2LevelDesired&lt;$B159,"-",$D159))</f>
        <v>-</v>
      </c>
      <c r="AU159" s="21" t="str">
        <f t="shared" ref="AU159" si="11227">IF(InfGlo2LevelCurrent&gt;=$B159,"-",IF(InfGlo2LevelDesired&lt;$B159,"-",$E159))</f>
        <v>-</v>
      </c>
      <c r="AV159" s="15">
        <f t="shared" ref="AV159" si="11228">IF(InfBel2LevelCurrent&gt;=$B159,"-",IF(InfBel2LevelDesired&lt;$B159,"-",$C159))</f>
        <v>5100</v>
      </c>
      <c r="AW159" s="1" t="str">
        <f t="shared" ref="AW159" si="11229">IF(InfBel2LevelCurrent&gt;=$B159,"-",IF(InfBel2LevelDesired&lt;$B159,"-",$D159))</f>
        <v>-</v>
      </c>
      <c r="AX159" s="21" t="str">
        <f t="shared" ref="AX159" si="11230">IF(InfBel2LevelCurrent&gt;=$B159,"-",IF(InfBel2LevelDesired&lt;$B159,"-",$E159))</f>
        <v>-</v>
      </c>
      <c r="AY159" s="15" t="str">
        <f t="shared" ref="AY159" si="11231">IF(InfBoo2LevelCurrent&gt;=$B159,"-",IF(InfBoo2LevelDesired&lt;$B159,"-",$C159))</f>
        <v>-</v>
      </c>
      <c r="AZ159" s="1" t="str">
        <f t="shared" ref="AZ159" si="11232">IF(InfBoo2LevelCurrent&gt;=$B159,"-",IF(InfBoo2LevelDesired&lt;$B159,"-",$D159))</f>
        <v>-</v>
      </c>
      <c r="BA159" s="21" t="str">
        <f t="shared" ref="BA159" si="11233">IF(InfBoo2LevelCurrent&gt;=$B159,"-",IF(InfBoo2LevelDesired&lt;$B159,"-",$E159))</f>
        <v>-</v>
      </c>
      <c r="BB159" s="15">
        <f t="shared" ref="BB159" si="11234">IF(LanGog2LevelCurrent&gt;=$B159,"-",IF(LanGog2LevelDesired&lt;$B159,"-",$C159))</f>
        <v>5100</v>
      </c>
      <c r="BC159" s="1" t="str">
        <f t="shared" ref="BC159" si="11235">IF(LanGog2LevelCurrent&gt;=$B159,"-",IF(LanGog2LevelDesired&lt;$B159,"-",$D159))</f>
        <v>-</v>
      </c>
      <c r="BD159" s="21" t="str">
        <f t="shared" ref="BD159" si="11236">IF(LanGog2LevelCurrent&gt;=$B159,"-",IF(LanGog2LevelDesired&lt;$B159,"-",$E159))</f>
        <v>-</v>
      </c>
      <c r="BE159" s="15" t="str">
        <f t="shared" ref="BE159" si="11237">IF(LanGlo2LevelCurrent&gt;=$B159,"-",IF(LanGlo2LevelDesired&lt;$B159,"-",$C159))</f>
        <v>-</v>
      </c>
      <c r="BF159" s="1" t="str">
        <f t="shared" ref="BF159" si="11238">IF(LanGlo2LevelCurrent&gt;=$B159,"-",IF(LanGlo2LevelDesired&lt;$B159,"-",$D159))</f>
        <v>-</v>
      </c>
      <c r="BG159" s="21" t="str">
        <f t="shared" ref="BG159" si="11239">IF(LanGlo2LevelCurrent&gt;=$B159,"-",IF(LanGlo2LevelDesired&lt;$B159,"-",$E159))</f>
        <v>-</v>
      </c>
      <c r="BH159" s="15" t="str">
        <f t="shared" ref="BH159" si="11240">IF(LanBel2LevelCurrent&gt;=$B159,"-",IF(LanBel2LevelDesired&lt;$B159,"-",$C159))</f>
        <v>-</v>
      </c>
      <c r="BI159" s="1" t="str">
        <f t="shared" ref="BI159" si="11241">IF(LanBel2LevelCurrent&gt;=$B159,"-",IF(LanBel2LevelDesired&lt;$B159,"-",$D159))</f>
        <v>-</v>
      </c>
      <c r="BJ159" s="21" t="str">
        <f t="shared" ref="BJ159" si="11242">IF(LanBel2LevelCurrent&gt;=$B159,"-",IF(LanBel2LevelDesired&lt;$B159,"-",$E159))</f>
        <v>-</v>
      </c>
      <c r="BK159" s="15">
        <f t="shared" ref="BK159" si="11243">IF(LanBoo2LevelCurrent&gt;=$B159,"-",IF(LanBoo2LevelDesired&lt;$B159,"-",$C159))</f>
        <v>5100</v>
      </c>
      <c r="BL159" s="1" t="str">
        <f t="shared" ref="BL159" si="11244">IF(LanBoo2LevelCurrent&gt;=$B159,"-",IF(LanBoo2LevelDesired&lt;$B159,"-",$D159))</f>
        <v>-</v>
      </c>
      <c r="BM159" s="21" t="str">
        <f t="shared" ref="BM159" si="11245">IF(LanBoo2LevelCurrent&gt;=$B159,"-",IF(LanBoo2LevelDesired&lt;$B159,"-",$E159))</f>
        <v>-</v>
      </c>
      <c r="BN159" s="15">
        <f t="shared" ref="BN159" si="11246">IF(MarGog2LevelCurrent&gt;=$B159,"-",IF(MarGog2LevelDesired&lt;$B159,"-",$C159))</f>
        <v>5100</v>
      </c>
      <c r="BO159" s="1" t="str">
        <f t="shared" ref="BO159" si="11247">IF(MarGog2LevelCurrent&gt;=$B159,"-",IF(MarGog2LevelDesired&lt;$B159,"-",$D159))</f>
        <v>-</v>
      </c>
      <c r="BP159" s="21" t="str">
        <f t="shared" ref="BP159" si="11248">IF(MarGog2LevelCurrent&gt;=$B159,"-",IF(MarGog2LevelDesired&lt;$B159,"-",$E159))</f>
        <v>-</v>
      </c>
      <c r="BQ159" s="15" t="str">
        <f t="shared" ref="BQ159" si="11249">IF(MarGlo2LevelCurrent&gt;=$B159,"-",IF(MarGlo2LevelDesired&lt;$B159,"-",$C159))</f>
        <v>-</v>
      </c>
      <c r="BR159" s="1" t="str">
        <f t="shared" ref="BR159" si="11250">IF(MarGlo2LevelCurrent&gt;=$B159,"-",IF(MarGlo2LevelDesired&lt;$B159,"-",$D159))</f>
        <v>-</v>
      </c>
      <c r="BS159" s="21" t="str">
        <f t="shared" ref="BS159" si="11251">IF(MarGlo2LevelCurrent&gt;=$B159,"-",IF(MarGlo2LevelDesired&lt;$B159,"-",$E159))</f>
        <v>-</v>
      </c>
      <c r="BT159" s="15" t="str">
        <f t="shared" ref="BT159" si="11252">IF(MarBel2LevelCurrent&gt;=$B159,"-",IF(MarBel2LevelDesired&lt;$B159,"-",$C159))</f>
        <v>-</v>
      </c>
      <c r="BU159" s="1" t="str">
        <f t="shared" ref="BU159" si="11253">IF(MarBel2LevelCurrent&gt;=$B159,"-",IF(MarBel2LevelDesired&lt;$B159,"-",$D159))</f>
        <v>-</v>
      </c>
      <c r="BV159" s="21" t="str">
        <f t="shared" ref="BV159" si="11254">IF(MarBel2LevelCurrent&gt;=$B159,"-",IF(MarBel2LevelDesired&lt;$B159,"-",$E159))</f>
        <v>-</v>
      </c>
      <c r="BW159" s="15">
        <f t="shared" ref="BW159" si="11255">IF(MarBoo2LevelCurrent&gt;=$B159,"-",IF(MarBoo2LevelDesired&lt;$B159,"-",$C159))</f>
        <v>5100</v>
      </c>
      <c r="BX159" s="1" t="str">
        <f t="shared" ref="BX159" si="11256">IF(MarBoo2LevelCurrent&gt;=$B159,"-",IF(MarBoo2LevelDesired&lt;$B159,"-",$D159))</f>
        <v>-</v>
      </c>
      <c r="BY159" s="21" t="str">
        <f t="shared" ref="BY159" si="11257">IF(MarBoo2LevelCurrent&gt;=$B159,"-",IF(MarBoo2LevelDesired&lt;$B159,"-",$E159))</f>
        <v>-</v>
      </c>
      <c r="BZ159" s="15" t="str">
        <f t="shared" si="9424"/>
        <v>-</v>
      </c>
      <c r="CA159" s="1" t="str" cm="1">
        <f t="array" ref="CA159">IF(InfGog3LevelCurrent&gt;=$B159,"-",IF(InfGog3LevelDesired&lt;$B159,"-",$D159))</f>
        <v>-</v>
      </c>
      <c r="CB159" s="21" t="str" cm="1">
        <f t="array" ref="CB159">IF(InfGog3LevelCurrent&gt;=$B159,"-",IF(InfGog3LevelDesired&lt;$B159,"-",$E159))</f>
        <v>-</v>
      </c>
      <c r="CC159" s="15" t="str">
        <f t="shared" si="9425"/>
        <v>-</v>
      </c>
      <c r="CD159" s="1" t="str">
        <f t="shared" si="9426"/>
        <v>-</v>
      </c>
      <c r="CE159" s="21" t="str">
        <f t="shared" si="9427"/>
        <v>-</v>
      </c>
      <c r="CF159" s="15" t="str">
        <f t="shared" si="9428"/>
        <v>-</v>
      </c>
      <c r="CG159" s="1" t="str">
        <f t="shared" si="9429"/>
        <v>-</v>
      </c>
      <c r="CH159" s="21" t="str">
        <f t="shared" si="9430"/>
        <v>-</v>
      </c>
      <c r="CI159" s="15" t="str">
        <f t="shared" si="9431"/>
        <v>-</v>
      </c>
      <c r="CJ159" s="1" t="str">
        <f t="shared" si="9432"/>
        <v>-</v>
      </c>
      <c r="CK159" s="21" t="str">
        <f t="shared" si="9433"/>
        <v>-</v>
      </c>
      <c r="CL159" s="15" t="str">
        <f t="shared" si="9434"/>
        <v>-</v>
      </c>
      <c r="CM159" s="1" t="str">
        <f t="shared" si="9435"/>
        <v>-</v>
      </c>
      <c r="CN159" s="21" t="str">
        <f t="shared" si="9436"/>
        <v>-</v>
      </c>
      <c r="CO159" s="15" t="str">
        <f t="shared" si="9437"/>
        <v>-</v>
      </c>
      <c r="CP159" s="1" t="str">
        <f t="shared" si="9438"/>
        <v>-</v>
      </c>
      <c r="CQ159" s="21" t="str">
        <f t="shared" si="9439"/>
        <v>-</v>
      </c>
      <c r="CR159" s="15" t="str">
        <f t="shared" si="9440"/>
        <v>-</v>
      </c>
      <c r="CS159" s="1" t="str">
        <f t="shared" si="9441"/>
        <v>-</v>
      </c>
      <c r="CT159" s="21" t="str">
        <f t="shared" si="9442"/>
        <v>-</v>
      </c>
      <c r="CU159" s="15" t="str">
        <f t="shared" si="9443"/>
        <v>-</v>
      </c>
      <c r="CV159" s="1" t="str">
        <f t="shared" si="9444"/>
        <v>-</v>
      </c>
      <c r="CW159" s="21" t="str">
        <f t="shared" si="9445"/>
        <v>-</v>
      </c>
      <c r="CX159" s="15" t="str">
        <f t="shared" si="9446"/>
        <v>-</v>
      </c>
      <c r="CY159" s="1" t="str">
        <f t="shared" si="9447"/>
        <v>-</v>
      </c>
      <c r="CZ159" s="21" t="str">
        <f t="shared" si="9448"/>
        <v>-</v>
      </c>
      <c r="DA159" s="15" t="str">
        <f t="shared" si="9449"/>
        <v>-</v>
      </c>
      <c r="DB159" s="1" t="str">
        <f t="shared" si="9450"/>
        <v>-</v>
      </c>
      <c r="DC159" s="21" t="str">
        <f t="shared" si="9451"/>
        <v>-</v>
      </c>
      <c r="DD159" s="15" t="str">
        <f t="shared" si="9452"/>
        <v>-</v>
      </c>
      <c r="DE159" s="1" t="str">
        <f t="shared" si="9453"/>
        <v>-</v>
      </c>
      <c r="DF159" s="21" t="str">
        <f t="shared" si="9454"/>
        <v>-</v>
      </c>
      <c r="DG159" s="15" t="str">
        <f t="shared" si="9455"/>
        <v>-</v>
      </c>
      <c r="DH159" s="1" t="str">
        <f t="shared" si="9456"/>
        <v>-</v>
      </c>
      <c r="DI159" s="21" t="str">
        <f t="shared" si="9457"/>
        <v>-</v>
      </c>
    </row>
    <row r="160" spans="2:113" x14ac:dyDescent="0.3">
      <c r="B160" s="1">
        <v>155</v>
      </c>
      <c r="C160" s="67">
        <v>5150</v>
      </c>
      <c r="D160" s="88" t="s">
        <v>27</v>
      </c>
      <c r="E160" s="68" t="s">
        <v>27</v>
      </c>
      <c r="F160" s="15" t="str">
        <f t="shared" ref="F160" si="11258">IF(InfGog1LevelCurrent&gt;=$B160,"-",IF(InfGog1LevelDesired&lt;$B160,"-",$C160))</f>
        <v>-</v>
      </c>
      <c r="G160" s="1" t="str">
        <f t="shared" ref="G160" si="11259">IF(InfGog1LevelCurrent&gt;=$B160,"-",IF(InfGog1LevelDesired&lt;$B160,"-",$D160))</f>
        <v>-</v>
      </c>
      <c r="H160" s="21" t="str">
        <f t="shared" ref="H160" si="11260">IF(InfGog1LevelCurrent&gt;=$B160,"-",IF(InfGog1LevelDesired&lt;$B160,"-",$E160))</f>
        <v>-</v>
      </c>
      <c r="I160" s="15" t="str">
        <f t="shared" ref="I160" si="11261">IF(InfGlo1LevelCurrent&gt;=$B160,"-",IF(InfGlo1LevelDesired&lt;$B160,"-",$C160))</f>
        <v>-</v>
      </c>
      <c r="J160" s="1" t="str">
        <f t="shared" ref="J160" si="11262">IF(InfGlo1LevelCurrent&gt;=$B160,"-",IF(InfGlo1LevelDesired&lt;$B160,"-",$D160))</f>
        <v>-</v>
      </c>
      <c r="K160" s="21" t="str">
        <f t="shared" ref="K160" si="11263">IF(InfGlo1LevelCurrent&gt;=$B160,"-",IF(InfGlo1LevelDesired&lt;$B160,"-",$E160))</f>
        <v>-</v>
      </c>
      <c r="L160" s="15" t="str">
        <f t="shared" ref="L160" si="11264">IF(InfBel1LevelCurrent&gt;=$B160,"-",IF(InfBel1LevelDesired&lt;$B160,"-",$C160))</f>
        <v>-</v>
      </c>
      <c r="M160" s="1" t="str">
        <f t="shared" ref="M160" si="11265">IF(InfBel1LevelCurrent&gt;=$B160,"-",IF(InfBel1LevelDesired&lt;$B160,"-",$D160))</f>
        <v>-</v>
      </c>
      <c r="N160" s="21" t="str">
        <f t="shared" ref="N160" si="11266">IF(InfBel1LevelCurrent&gt;=$B160,"-",IF(InfBel1LevelDesired&lt;$B160,"-",$E160))</f>
        <v>-</v>
      </c>
      <c r="O160" s="15" t="str">
        <f t="shared" ref="O160" si="11267">IF(InfBoo1LevelCurrent&gt;=$B160,"-",IF(InfBoo1LevelDesired&lt;$B160,"-",$C160))</f>
        <v>-</v>
      </c>
      <c r="P160" s="1" t="str">
        <f t="shared" ref="P160" si="11268">IF(InfBoo1LevelCurrent&gt;=$B160,"-",IF(InfBoo1LevelDesired&lt;$B160,"-",$D160))</f>
        <v>-</v>
      </c>
      <c r="Q160" s="21" t="str">
        <f t="shared" ref="Q160" si="11269">IF(InfBoo1LevelCurrent&gt;=$B160,"-",IF(InfBoo1LevelDesired&lt;$B160,"-",$E160))</f>
        <v>-</v>
      </c>
      <c r="R160" s="15" t="str">
        <f t="shared" ref="R160" si="11270">IF(LanGog1LevelCurrent&gt;=$B160,"-",IF(LanGog1LevelDesired&lt;$B160,"-",$C160))</f>
        <v>-</v>
      </c>
      <c r="S160" s="1" t="str">
        <f t="shared" ref="S160" si="11271">IF(LanGog1LevelCurrent&gt;=$B160,"-",IF(LanGog1LevelDesired&lt;$B160,"-",$D160))</f>
        <v>-</v>
      </c>
      <c r="T160" s="21" t="str">
        <f t="shared" ref="T160" si="11272">IF(LanGog1LevelCurrent&gt;=$B160,"-",IF(LanGog1LevelDesired&lt;$B160,"-",$E160))</f>
        <v>-</v>
      </c>
      <c r="U160" s="15" t="str">
        <f t="shared" ref="U160" si="11273">IF(LanGlo1LevelCurrent&gt;=$B160,"-",IF(LanGlo1LevelDesired&lt;$B160,"-",$C160))</f>
        <v>-</v>
      </c>
      <c r="V160" s="1" t="str">
        <f t="shared" ref="V160" si="11274">IF(LanGlo1LevelCurrent&gt;=$B160,"-",IF(LanGlo1LevelDesired&lt;$B160,"-",$D160))</f>
        <v>-</v>
      </c>
      <c r="W160" s="21" t="str">
        <f t="shared" ref="W160" si="11275">IF(LanGlo1LevelCurrent&gt;=$B160,"-",IF(LanGlo1LevelDesired&lt;$B160,"-",$E160))</f>
        <v>-</v>
      </c>
      <c r="X160" s="15" t="str">
        <f t="shared" ref="X160" si="11276">IF(LanBel1LevelCurrent&gt;=$B160,"-",IF(LanBel1LevelDesired&lt;$B160,"-",$C160))</f>
        <v>-</v>
      </c>
      <c r="Y160" s="1" t="str">
        <f t="shared" ref="Y160" si="11277">IF(LanBel1LevelCurrent&gt;=$B160,"-",IF(LanBel1LevelDesired&lt;$B160,"-",$D160))</f>
        <v>-</v>
      </c>
      <c r="Z160" s="21" t="str">
        <f t="shared" ref="Z160" si="11278">IF(LanBel1LevelCurrent&gt;=$B160,"-",IF(LanBel1LevelDesired&lt;$B160,"-",$E160))</f>
        <v>-</v>
      </c>
      <c r="AA160" s="15" t="str">
        <f t="shared" ref="AA160" si="11279">IF(LanBoo1LevelCurrent&gt;=$B160,"-",IF(LanBoo1LevelDesired&lt;$B160,"-",$C160))</f>
        <v>-</v>
      </c>
      <c r="AB160" s="1" t="str">
        <f t="shared" ref="AB160" si="11280">IF(LanBoo1LevelCurrent&gt;=$B160,"-",IF(LanBoo1LevelDesired&lt;$B160,"-",$D160))</f>
        <v>-</v>
      </c>
      <c r="AC160" s="21" t="str">
        <f t="shared" ref="AC160" si="11281">IF(LanBoo1LevelCurrent&gt;=$B160,"-",IF(LanBoo1LevelDesired&lt;$B160,"-",$E160))</f>
        <v>-</v>
      </c>
      <c r="AD160" s="15" t="str">
        <f t="shared" ref="AD160" si="11282">IF(MarGog1LevelCurrent&gt;=$B160,"-",IF(MarGog1LevelDesired&lt;$B160,"-",$C160))</f>
        <v>-</v>
      </c>
      <c r="AE160" s="1" t="str">
        <f t="shared" ref="AE160" si="11283">IF(MarGog1LevelCurrent&gt;=$B160,"-",IF(MarGog1LevelDesired&lt;$B160,"-",$D160))</f>
        <v>-</v>
      </c>
      <c r="AF160" s="21" t="str">
        <f t="shared" ref="AF160" si="11284">IF(MarGog1LevelCurrent&gt;=$B160,"-",IF(MarGog1LevelDesired&lt;$B160,"-",$E160))</f>
        <v>-</v>
      </c>
      <c r="AG160" s="15" t="str">
        <f t="shared" ref="AG160" si="11285">IF(MarGlo1LevelCurrent&gt;=$B160,"-",IF(MarGlo1LevelDesired&lt;$B160,"-",$C160))</f>
        <v>-</v>
      </c>
      <c r="AH160" s="1" t="str">
        <f t="shared" ref="AH160" si="11286">IF(MarGlo1LevelCurrent&gt;=$B160,"-",IF(MarGlo1LevelDesired&lt;$B160,"-",$D160))</f>
        <v>-</v>
      </c>
      <c r="AI160" s="21" t="str">
        <f t="shared" ref="AI160" si="11287">IF(MarGlo1LevelCurrent&gt;=$B160,"-",IF(MarGlo1LevelDesired&lt;$B160,"-",$E160))</f>
        <v>-</v>
      </c>
      <c r="AJ160" s="15" t="str">
        <f t="shared" ref="AJ160" si="11288">IF(MarBel1LevelCurrent&gt;=$B160,"-",IF(MarBel1LevelDesired&lt;$B160,"-",$C160))</f>
        <v>-</v>
      </c>
      <c r="AK160" s="1" t="str">
        <f t="shared" ref="AK160" si="11289">IF(MarBel1LevelCurrent&gt;=$B160,"-",IF(MarBel1LevelDesired&lt;$B160,"-",$D160))</f>
        <v>-</v>
      </c>
      <c r="AL160" s="21" t="str">
        <f t="shared" ref="AL160" si="11290">IF(MarBel1LevelCurrent&gt;=$B160,"-",IF(MarBel1LevelDesired&lt;$B160,"-",$E160))</f>
        <v>-</v>
      </c>
      <c r="AM160" s="15" t="str">
        <f t="shared" ref="AM160" si="11291">IF(MarBoo1LevelCurrent&gt;=$B160,"-",IF(MarBoo1LevelDesired&lt;$B160,"-",$C160))</f>
        <v>-</v>
      </c>
      <c r="AN160" s="1" t="str">
        <f t="shared" ref="AN160" si="11292">IF(MarBoo1LevelCurrent&gt;=$B160,"-",IF(MarBoo1LevelDesired&lt;$B160,"-",$D160))</f>
        <v>-</v>
      </c>
      <c r="AO160" s="21" t="str">
        <f t="shared" ref="AO160" si="11293">IF(MarBoo1LevelCurrent&gt;=$B160,"-",IF(MarBoo1LevelDesired&lt;$B160,"-",$E160))</f>
        <v>-</v>
      </c>
      <c r="AP160" s="15" t="str">
        <f t="shared" ref="AP160" si="11294">IF(InfGog2LevelCurrent&gt;=$B160,"-",IF(InfGog2LevelDesired&lt;$B160,"-",$C160))</f>
        <v>-</v>
      </c>
      <c r="AQ160" s="1" t="str">
        <f t="shared" ref="AQ160" si="11295">IF(InfGog2LevelCurrent&gt;=$B160,"-",IF(InfGog2LevelDesired&lt;$B160,"-",$D160))</f>
        <v>-</v>
      </c>
      <c r="AR160" s="21" t="str">
        <f t="shared" ref="AR160" si="11296">IF(InfGog2LevelCurrent&gt;=$B160,"-",IF(InfGog2LevelDesired&lt;$B160,"-",$E160))</f>
        <v>-</v>
      </c>
      <c r="AS160" s="15">
        <f t="shared" ref="AS160" si="11297">IF(InfGlo2LevelCurrent&gt;=$B160,"-",IF(InfGlo2LevelDesired&lt;$B160,"-",$C160))</f>
        <v>5150</v>
      </c>
      <c r="AT160" s="1" t="str">
        <f t="shared" ref="AT160" si="11298">IF(InfGlo2LevelCurrent&gt;=$B160,"-",IF(InfGlo2LevelDesired&lt;$B160,"-",$D160))</f>
        <v>-</v>
      </c>
      <c r="AU160" s="21" t="str">
        <f t="shared" ref="AU160" si="11299">IF(InfGlo2LevelCurrent&gt;=$B160,"-",IF(InfGlo2LevelDesired&lt;$B160,"-",$E160))</f>
        <v>-</v>
      </c>
      <c r="AV160" s="15">
        <f t="shared" ref="AV160" si="11300">IF(InfBel2LevelCurrent&gt;=$B160,"-",IF(InfBel2LevelDesired&lt;$B160,"-",$C160))</f>
        <v>5150</v>
      </c>
      <c r="AW160" s="1" t="str">
        <f t="shared" ref="AW160" si="11301">IF(InfBel2LevelCurrent&gt;=$B160,"-",IF(InfBel2LevelDesired&lt;$B160,"-",$D160))</f>
        <v>-</v>
      </c>
      <c r="AX160" s="21" t="str">
        <f t="shared" ref="AX160" si="11302">IF(InfBel2LevelCurrent&gt;=$B160,"-",IF(InfBel2LevelDesired&lt;$B160,"-",$E160))</f>
        <v>-</v>
      </c>
      <c r="AY160" s="15" t="str">
        <f t="shared" ref="AY160" si="11303">IF(InfBoo2LevelCurrent&gt;=$B160,"-",IF(InfBoo2LevelDesired&lt;$B160,"-",$C160))</f>
        <v>-</v>
      </c>
      <c r="AZ160" s="1" t="str">
        <f t="shared" ref="AZ160" si="11304">IF(InfBoo2LevelCurrent&gt;=$B160,"-",IF(InfBoo2LevelDesired&lt;$B160,"-",$D160))</f>
        <v>-</v>
      </c>
      <c r="BA160" s="21" t="str">
        <f t="shared" ref="BA160" si="11305">IF(InfBoo2LevelCurrent&gt;=$B160,"-",IF(InfBoo2LevelDesired&lt;$B160,"-",$E160))</f>
        <v>-</v>
      </c>
      <c r="BB160" s="15">
        <f t="shared" ref="BB160" si="11306">IF(LanGog2LevelCurrent&gt;=$B160,"-",IF(LanGog2LevelDesired&lt;$B160,"-",$C160))</f>
        <v>5150</v>
      </c>
      <c r="BC160" s="1" t="str">
        <f t="shared" ref="BC160" si="11307">IF(LanGog2LevelCurrent&gt;=$B160,"-",IF(LanGog2LevelDesired&lt;$B160,"-",$D160))</f>
        <v>-</v>
      </c>
      <c r="BD160" s="21" t="str">
        <f t="shared" ref="BD160" si="11308">IF(LanGog2LevelCurrent&gt;=$B160,"-",IF(LanGog2LevelDesired&lt;$B160,"-",$E160))</f>
        <v>-</v>
      </c>
      <c r="BE160" s="15" t="str">
        <f t="shared" ref="BE160" si="11309">IF(LanGlo2LevelCurrent&gt;=$B160,"-",IF(LanGlo2LevelDesired&lt;$B160,"-",$C160))</f>
        <v>-</v>
      </c>
      <c r="BF160" s="1" t="str">
        <f t="shared" ref="BF160" si="11310">IF(LanGlo2LevelCurrent&gt;=$B160,"-",IF(LanGlo2LevelDesired&lt;$B160,"-",$D160))</f>
        <v>-</v>
      </c>
      <c r="BG160" s="21" t="str">
        <f t="shared" ref="BG160" si="11311">IF(LanGlo2LevelCurrent&gt;=$B160,"-",IF(LanGlo2LevelDesired&lt;$B160,"-",$E160))</f>
        <v>-</v>
      </c>
      <c r="BH160" s="15" t="str">
        <f t="shared" ref="BH160" si="11312">IF(LanBel2LevelCurrent&gt;=$B160,"-",IF(LanBel2LevelDesired&lt;$B160,"-",$C160))</f>
        <v>-</v>
      </c>
      <c r="BI160" s="1" t="str">
        <f t="shared" ref="BI160" si="11313">IF(LanBel2LevelCurrent&gt;=$B160,"-",IF(LanBel2LevelDesired&lt;$B160,"-",$D160))</f>
        <v>-</v>
      </c>
      <c r="BJ160" s="21" t="str">
        <f t="shared" ref="BJ160" si="11314">IF(LanBel2LevelCurrent&gt;=$B160,"-",IF(LanBel2LevelDesired&lt;$B160,"-",$E160))</f>
        <v>-</v>
      </c>
      <c r="BK160" s="15">
        <f t="shared" ref="BK160" si="11315">IF(LanBoo2LevelCurrent&gt;=$B160,"-",IF(LanBoo2LevelDesired&lt;$B160,"-",$C160))</f>
        <v>5150</v>
      </c>
      <c r="BL160" s="1" t="str">
        <f t="shared" ref="BL160" si="11316">IF(LanBoo2LevelCurrent&gt;=$B160,"-",IF(LanBoo2LevelDesired&lt;$B160,"-",$D160))</f>
        <v>-</v>
      </c>
      <c r="BM160" s="21" t="str">
        <f t="shared" ref="BM160" si="11317">IF(LanBoo2LevelCurrent&gt;=$B160,"-",IF(LanBoo2LevelDesired&lt;$B160,"-",$E160))</f>
        <v>-</v>
      </c>
      <c r="BN160" s="15">
        <f t="shared" ref="BN160" si="11318">IF(MarGog2LevelCurrent&gt;=$B160,"-",IF(MarGog2LevelDesired&lt;$B160,"-",$C160))</f>
        <v>5150</v>
      </c>
      <c r="BO160" s="1" t="str">
        <f t="shared" ref="BO160" si="11319">IF(MarGog2LevelCurrent&gt;=$B160,"-",IF(MarGog2LevelDesired&lt;$B160,"-",$D160))</f>
        <v>-</v>
      </c>
      <c r="BP160" s="21" t="str">
        <f t="shared" ref="BP160" si="11320">IF(MarGog2LevelCurrent&gt;=$B160,"-",IF(MarGog2LevelDesired&lt;$B160,"-",$E160))</f>
        <v>-</v>
      </c>
      <c r="BQ160" s="15" t="str">
        <f t="shared" ref="BQ160" si="11321">IF(MarGlo2LevelCurrent&gt;=$B160,"-",IF(MarGlo2LevelDesired&lt;$B160,"-",$C160))</f>
        <v>-</v>
      </c>
      <c r="BR160" s="1" t="str">
        <f t="shared" ref="BR160" si="11322">IF(MarGlo2LevelCurrent&gt;=$B160,"-",IF(MarGlo2LevelDesired&lt;$B160,"-",$D160))</f>
        <v>-</v>
      </c>
      <c r="BS160" s="21" t="str">
        <f t="shared" ref="BS160" si="11323">IF(MarGlo2LevelCurrent&gt;=$B160,"-",IF(MarGlo2LevelDesired&lt;$B160,"-",$E160))</f>
        <v>-</v>
      </c>
      <c r="BT160" s="15" t="str">
        <f t="shared" ref="BT160" si="11324">IF(MarBel2LevelCurrent&gt;=$B160,"-",IF(MarBel2LevelDesired&lt;$B160,"-",$C160))</f>
        <v>-</v>
      </c>
      <c r="BU160" s="1" t="str">
        <f t="shared" ref="BU160" si="11325">IF(MarBel2LevelCurrent&gt;=$B160,"-",IF(MarBel2LevelDesired&lt;$B160,"-",$D160))</f>
        <v>-</v>
      </c>
      <c r="BV160" s="21" t="str">
        <f t="shared" ref="BV160" si="11326">IF(MarBel2LevelCurrent&gt;=$B160,"-",IF(MarBel2LevelDesired&lt;$B160,"-",$E160))</f>
        <v>-</v>
      </c>
      <c r="BW160" s="15">
        <f t="shared" ref="BW160" si="11327">IF(MarBoo2LevelCurrent&gt;=$B160,"-",IF(MarBoo2LevelDesired&lt;$B160,"-",$C160))</f>
        <v>5150</v>
      </c>
      <c r="BX160" s="1" t="str">
        <f t="shared" ref="BX160" si="11328">IF(MarBoo2LevelCurrent&gt;=$B160,"-",IF(MarBoo2LevelDesired&lt;$B160,"-",$D160))</f>
        <v>-</v>
      </c>
      <c r="BY160" s="21" t="str">
        <f t="shared" ref="BY160" si="11329">IF(MarBoo2LevelCurrent&gt;=$B160,"-",IF(MarBoo2LevelDesired&lt;$B160,"-",$E160))</f>
        <v>-</v>
      </c>
      <c r="BZ160" s="15" t="str">
        <f t="shared" si="9424"/>
        <v>-</v>
      </c>
      <c r="CA160" s="1" t="str" cm="1">
        <f t="array" ref="CA160">IF(InfGog3LevelCurrent&gt;=$B160,"-",IF(InfGog3LevelDesired&lt;$B160,"-",$D160))</f>
        <v>-</v>
      </c>
      <c r="CB160" s="21" t="str" cm="1">
        <f t="array" ref="CB160">IF(InfGog3LevelCurrent&gt;=$B160,"-",IF(InfGog3LevelDesired&lt;$B160,"-",$E160))</f>
        <v>-</v>
      </c>
      <c r="CC160" s="15" t="str">
        <f t="shared" si="9425"/>
        <v>-</v>
      </c>
      <c r="CD160" s="1" t="str">
        <f t="shared" si="9426"/>
        <v>-</v>
      </c>
      <c r="CE160" s="21" t="str">
        <f t="shared" si="9427"/>
        <v>-</v>
      </c>
      <c r="CF160" s="15" t="str">
        <f t="shared" si="9428"/>
        <v>-</v>
      </c>
      <c r="CG160" s="1" t="str">
        <f t="shared" si="9429"/>
        <v>-</v>
      </c>
      <c r="CH160" s="21" t="str">
        <f t="shared" si="9430"/>
        <v>-</v>
      </c>
      <c r="CI160" s="15" t="str">
        <f t="shared" si="9431"/>
        <v>-</v>
      </c>
      <c r="CJ160" s="1" t="str">
        <f t="shared" si="9432"/>
        <v>-</v>
      </c>
      <c r="CK160" s="21" t="str">
        <f t="shared" si="9433"/>
        <v>-</v>
      </c>
      <c r="CL160" s="15" t="str">
        <f t="shared" si="9434"/>
        <v>-</v>
      </c>
      <c r="CM160" s="1" t="str">
        <f t="shared" si="9435"/>
        <v>-</v>
      </c>
      <c r="CN160" s="21" t="str">
        <f t="shared" si="9436"/>
        <v>-</v>
      </c>
      <c r="CO160" s="15" t="str">
        <f t="shared" si="9437"/>
        <v>-</v>
      </c>
      <c r="CP160" s="1" t="str">
        <f t="shared" si="9438"/>
        <v>-</v>
      </c>
      <c r="CQ160" s="21" t="str">
        <f t="shared" si="9439"/>
        <v>-</v>
      </c>
      <c r="CR160" s="15" t="str">
        <f t="shared" si="9440"/>
        <v>-</v>
      </c>
      <c r="CS160" s="1" t="str">
        <f t="shared" si="9441"/>
        <v>-</v>
      </c>
      <c r="CT160" s="21" t="str">
        <f t="shared" si="9442"/>
        <v>-</v>
      </c>
      <c r="CU160" s="15" t="str">
        <f t="shared" si="9443"/>
        <v>-</v>
      </c>
      <c r="CV160" s="1" t="str">
        <f t="shared" si="9444"/>
        <v>-</v>
      </c>
      <c r="CW160" s="21" t="str">
        <f t="shared" si="9445"/>
        <v>-</v>
      </c>
      <c r="CX160" s="15" t="str">
        <f t="shared" si="9446"/>
        <v>-</v>
      </c>
      <c r="CY160" s="1" t="str">
        <f t="shared" si="9447"/>
        <v>-</v>
      </c>
      <c r="CZ160" s="21" t="str">
        <f t="shared" si="9448"/>
        <v>-</v>
      </c>
      <c r="DA160" s="15" t="str">
        <f t="shared" si="9449"/>
        <v>-</v>
      </c>
      <c r="DB160" s="1" t="str">
        <f t="shared" si="9450"/>
        <v>-</v>
      </c>
      <c r="DC160" s="21" t="str">
        <f t="shared" si="9451"/>
        <v>-</v>
      </c>
      <c r="DD160" s="15" t="str">
        <f t="shared" si="9452"/>
        <v>-</v>
      </c>
      <c r="DE160" s="1" t="str">
        <f t="shared" si="9453"/>
        <v>-</v>
      </c>
      <c r="DF160" s="21" t="str">
        <f t="shared" si="9454"/>
        <v>-</v>
      </c>
      <c r="DG160" s="15" t="str">
        <f t="shared" si="9455"/>
        <v>-</v>
      </c>
      <c r="DH160" s="1" t="str">
        <f t="shared" si="9456"/>
        <v>-</v>
      </c>
      <c r="DI160" s="21" t="str">
        <f t="shared" si="9457"/>
        <v>-</v>
      </c>
    </row>
    <row r="161" spans="2:113" x14ac:dyDescent="0.3">
      <c r="B161" s="1">
        <v>156</v>
      </c>
      <c r="C161" s="67">
        <v>5200</v>
      </c>
      <c r="D161" s="88" t="s">
        <v>27</v>
      </c>
      <c r="E161" s="68" t="s">
        <v>27</v>
      </c>
      <c r="F161" s="15" t="str">
        <f t="shared" ref="F161" si="11330">IF(InfGog1LevelCurrent&gt;=$B161,"-",IF(InfGog1LevelDesired&lt;$B161,"-",$C161))</f>
        <v>-</v>
      </c>
      <c r="G161" s="1" t="str">
        <f t="shared" ref="G161" si="11331">IF(InfGog1LevelCurrent&gt;=$B161,"-",IF(InfGog1LevelDesired&lt;$B161,"-",$D161))</f>
        <v>-</v>
      </c>
      <c r="H161" s="21" t="str">
        <f t="shared" ref="H161" si="11332">IF(InfGog1LevelCurrent&gt;=$B161,"-",IF(InfGog1LevelDesired&lt;$B161,"-",$E161))</f>
        <v>-</v>
      </c>
      <c r="I161" s="15" t="str">
        <f t="shared" ref="I161" si="11333">IF(InfGlo1LevelCurrent&gt;=$B161,"-",IF(InfGlo1LevelDesired&lt;$B161,"-",$C161))</f>
        <v>-</v>
      </c>
      <c r="J161" s="1" t="str">
        <f t="shared" ref="J161" si="11334">IF(InfGlo1LevelCurrent&gt;=$B161,"-",IF(InfGlo1LevelDesired&lt;$B161,"-",$D161))</f>
        <v>-</v>
      </c>
      <c r="K161" s="21" t="str">
        <f t="shared" ref="K161" si="11335">IF(InfGlo1LevelCurrent&gt;=$B161,"-",IF(InfGlo1LevelDesired&lt;$B161,"-",$E161))</f>
        <v>-</v>
      </c>
      <c r="L161" s="15" t="str">
        <f t="shared" ref="L161" si="11336">IF(InfBel1LevelCurrent&gt;=$B161,"-",IF(InfBel1LevelDesired&lt;$B161,"-",$C161))</f>
        <v>-</v>
      </c>
      <c r="M161" s="1" t="str">
        <f t="shared" ref="M161" si="11337">IF(InfBel1LevelCurrent&gt;=$B161,"-",IF(InfBel1LevelDesired&lt;$B161,"-",$D161))</f>
        <v>-</v>
      </c>
      <c r="N161" s="21" t="str">
        <f t="shared" ref="N161" si="11338">IF(InfBel1LevelCurrent&gt;=$B161,"-",IF(InfBel1LevelDesired&lt;$B161,"-",$E161))</f>
        <v>-</v>
      </c>
      <c r="O161" s="15" t="str">
        <f t="shared" ref="O161" si="11339">IF(InfBoo1LevelCurrent&gt;=$B161,"-",IF(InfBoo1LevelDesired&lt;$B161,"-",$C161))</f>
        <v>-</v>
      </c>
      <c r="P161" s="1" t="str">
        <f t="shared" ref="P161" si="11340">IF(InfBoo1LevelCurrent&gt;=$B161,"-",IF(InfBoo1LevelDesired&lt;$B161,"-",$D161))</f>
        <v>-</v>
      </c>
      <c r="Q161" s="21" t="str">
        <f t="shared" ref="Q161" si="11341">IF(InfBoo1LevelCurrent&gt;=$B161,"-",IF(InfBoo1LevelDesired&lt;$B161,"-",$E161))</f>
        <v>-</v>
      </c>
      <c r="R161" s="15" t="str">
        <f t="shared" ref="R161" si="11342">IF(LanGog1LevelCurrent&gt;=$B161,"-",IF(LanGog1LevelDesired&lt;$B161,"-",$C161))</f>
        <v>-</v>
      </c>
      <c r="S161" s="1" t="str">
        <f t="shared" ref="S161" si="11343">IF(LanGog1LevelCurrent&gt;=$B161,"-",IF(LanGog1LevelDesired&lt;$B161,"-",$D161))</f>
        <v>-</v>
      </c>
      <c r="T161" s="21" t="str">
        <f t="shared" ref="T161" si="11344">IF(LanGog1LevelCurrent&gt;=$B161,"-",IF(LanGog1LevelDesired&lt;$B161,"-",$E161))</f>
        <v>-</v>
      </c>
      <c r="U161" s="15" t="str">
        <f t="shared" ref="U161" si="11345">IF(LanGlo1LevelCurrent&gt;=$B161,"-",IF(LanGlo1LevelDesired&lt;$B161,"-",$C161))</f>
        <v>-</v>
      </c>
      <c r="V161" s="1" t="str">
        <f t="shared" ref="V161" si="11346">IF(LanGlo1LevelCurrent&gt;=$B161,"-",IF(LanGlo1LevelDesired&lt;$B161,"-",$D161))</f>
        <v>-</v>
      </c>
      <c r="W161" s="21" t="str">
        <f t="shared" ref="W161" si="11347">IF(LanGlo1LevelCurrent&gt;=$B161,"-",IF(LanGlo1LevelDesired&lt;$B161,"-",$E161))</f>
        <v>-</v>
      </c>
      <c r="X161" s="15" t="str">
        <f t="shared" ref="X161" si="11348">IF(LanBel1LevelCurrent&gt;=$B161,"-",IF(LanBel1LevelDesired&lt;$B161,"-",$C161))</f>
        <v>-</v>
      </c>
      <c r="Y161" s="1" t="str">
        <f t="shared" ref="Y161" si="11349">IF(LanBel1LevelCurrent&gt;=$B161,"-",IF(LanBel1LevelDesired&lt;$B161,"-",$D161))</f>
        <v>-</v>
      </c>
      <c r="Z161" s="21" t="str">
        <f t="shared" ref="Z161" si="11350">IF(LanBel1LevelCurrent&gt;=$B161,"-",IF(LanBel1LevelDesired&lt;$B161,"-",$E161))</f>
        <v>-</v>
      </c>
      <c r="AA161" s="15" t="str">
        <f t="shared" ref="AA161" si="11351">IF(LanBoo1LevelCurrent&gt;=$B161,"-",IF(LanBoo1LevelDesired&lt;$B161,"-",$C161))</f>
        <v>-</v>
      </c>
      <c r="AB161" s="1" t="str">
        <f t="shared" ref="AB161" si="11352">IF(LanBoo1LevelCurrent&gt;=$B161,"-",IF(LanBoo1LevelDesired&lt;$B161,"-",$D161))</f>
        <v>-</v>
      </c>
      <c r="AC161" s="21" t="str">
        <f t="shared" ref="AC161" si="11353">IF(LanBoo1LevelCurrent&gt;=$B161,"-",IF(LanBoo1LevelDesired&lt;$B161,"-",$E161))</f>
        <v>-</v>
      </c>
      <c r="AD161" s="15" t="str">
        <f t="shared" ref="AD161" si="11354">IF(MarGog1LevelCurrent&gt;=$B161,"-",IF(MarGog1LevelDesired&lt;$B161,"-",$C161))</f>
        <v>-</v>
      </c>
      <c r="AE161" s="1" t="str">
        <f t="shared" ref="AE161" si="11355">IF(MarGog1LevelCurrent&gt;=$B161,"-",IF(MarGog1LevelDesired&lt;$B161,"-",$D161))</f>
        <v>-</v>
      </c>
      <c r="AF161" s="21" t="str">
        <f t="shared" ref="AF161" si="11356">IF(MarGog1LevelCurrent&gt;=$B161,"-",IF(MarGog1LevelDesired&lt;$B161,"-",$E161))</f>
        <v>-</v>
      </c>
      <c r="AG161" s="15" t="str">
        <f t="shared" ref="AG161" si="11357">IF(MarGlo1LevelCurrent&gt;=$B161,"-",IF(MarGlo1LevelDesired&lt;$B161,"-",$C161))</f>
        <v>-</v>
      </c>
      <c r="AH161" s="1" t="str">
        <f t="shared" ref="AH161" si="11358">IF(MarGlo1LevelCurrent&gt;=$B161,"-",IF(MarGlo1LevelDesired&lt;$B161,"-",$D161))</f>
        <v>-</v>
      </c>
      <c r="AI161" s="21" t="str">
        <f t="shared" ref="AI161" si="11359">IF(MarGlo1LevelCurrent&gt;=$B161,"-",IF(MarGlo1LevelDesired&lt;$B161,"-",$E161))</f>
        <v>-</v>
      </c>
      <c r="AJ161" s="15" t="str">
        <f t="shared" ref="AJ161" si="11360">IF(MarBel1LevelCurrent&gt;=$B161,"-",IF(MarBel1LevelDesired&lt;$B161,"-",$C161))</f>
        <v>-</v>
      </c>
      <c r="AK161" s="1" t="str">
        <f t="shared" ref="AK161" si="11361">IF(MarBel1LevelCurrent&gt;=$B161,"-",IF(MarBel1LevelDesired&lt;$B161,"-",$D161))</f>
        <v>-</v>
      </c>
      <c r="AL161" s="21" t="str">
        <f t="shared" ref="AL161" si="11362">IF(MarBel1LevelCurrent&gt;=$B161,"-",IF(MarBel1LevelDesired&lt;$B161,"-",$E161))</f>
        <v>-</v>
      </c>
      <c r="AM161" s="15" t="str">
        <f t="shared" ref="AM161" si="11363">IF(MarBoo1LevelCurrent&gt;=$B161,"-",IF(MarBoo1LevelDesired&lt;$B161,"-",$C161))</f>
        <v>-</v>
      </c>
      <c r="AN161" s="1" t="str">
        <f t="shared" ref="AN161" si="11364">IF(MarBoo1LevelCurrent&gt;=$B161,"-",IF(MarBoo1LevelDesired&lt;$B161,"-",$D161))</f>
        <v>-</v>
      </c>
      <c r="AO161" s="21" t="str">
        <f t="shared" ref="AO161" si="11365">IF(MarBoo1LevelCurrent&gt;=$B161,"-",IF(MarBoo1LevelDesired&lt;$B161,"-",$E161))</f>
        <v>-</v>
      </c>
      <c r="AP161" s="15" t="str">
        <f t="shared" ref="AP161" si="11366">IF(InfGog2LevelCurrent&gt;=$B161,"-",IF(InfGog2LevelDesired&lt;$B161,"-",$C161))</f>
        <v>-</v>
      </c>
      <c r="AQ161" s="1" t="str">
        <f t="shared" ref="AQ161" si="11367">IF(InfGog2LevelCurrent&gt;=$B161,"-",IF(InfGog2LevelDesired&lt;$B161,"-",$D161))</f>
        <v>-</v>
      </c>
      <c r="AR161" s="21" t="str">
        <f t="shared" ref="AR161" si="11368">IF(InfGog2LevelCurrent&gt;=$B161,"-",IF(InfGog2LevelDesired&lt;$B161,"-",$E161))</f>
        <v>-</v>
      </c>
      <c r="AS161" s="15">
        <f t="shared" ref="AS161" si="11369">IF(InfGlo2LevelCurrent&gt;=$B161,"-",IF(InfGlo2LevelDesired&lt;$B161,"-",$C161))</f>
        <v>5200</v>
      </c>
      <c r="AT161" s="1" t="str">
        <f t="shared" ref="AT161" si="11370">IF(InfGlo2LevelCurrent&gt;=$B161,"-",IF(InfGlo2LevelDesired&lt;$B161,"-",$D161))</f>
        <v>-</v>
      </c>
      <c r="AU161" s="21" t="str">
        <f t="shared" ref="AU161" si="11371">IF(InfGlo2LevelCurrent&gt;=$B161,"-",IF(InfGlo2LevelDesired&lt;$B161,"-",$E161))</f>
        <v>-</v>
      </c>
      <c r="AV161" s="15">
        <f t="shared" ref="AV161" si="11372">IF(InfBel2LevelCurrent&gt;=$B161,"-",IF(InfBel2LevelDesired&lt;$B161,"-",$C161))</f>
        <v>5200</v>
      </c>
      <c r="AW161" s="1" t="str">
        <f t="shared" ref="AW161" si="11373">IF(InfBel2LevelCurrent&gt;=$B161,"-",IF(InfBel2LevelDesired&lt;$B161,"-",$D161))</f>
        <v>-</v>
      </c>
      <c r="AX161" s="21" t="str">
        <f t="shared" ref="AX161" si="11374">IF(InfBel2LevelCurrent&gt;=$B161,"-",IF(InfBel2LevelDesired&lt;$B161,"-",$E161))</f>
        <v>-</v>
      </c>
      <c r="AY161" s="15" t="str">
        <f t="shared" ref="AY161" si="11375">IF(InfBoo2LevelCurrent&gt;=$B161,"-",IF(InfBoo2LevelDesired&lt;$B161,"-",$C161))</f>
        <v>-</v>
      </c>
      <c r="AZ161" s="1" t="str">
        <f t="shared" ref="AZ161" si="11376">IF(InfBoo2LevelCurrent&gt;=$B161,"-",IF(InfBoo2LevelDesired&lt;$B161,"-",$D161))</f>
        <v>-</v>
      </c>
      <c r="BA161" s="21" t="str">
        <f t="shared" ref="BA161" si="11377">IF(InfBoo2LevelCurrent&gt;=$B161,"-",IF(InfBoo2LevelDesired&lt;$B161,"-",$E161))</f>
        <v>-</v>
      </c>
      <c r="BB161" s="15">
        <f t="shared" ref="BB161" si="11378">IF(LanGog2LevelCurrent&gt;=$B161,"-",IF(LanGog2LevelDesired&lt;$B161,"-",$C161))</f>
        <v>5200</v>
      </c>
      <c r="BC161" s="1" t="str">
        <f t="shared" ref="BC161" si="11379">IF(LanGog2LevelCurrent&gt;=$B161,"-",IF(LanGog2LevelDesired&lt;$B161,"-",$D161))</f>
        <v>-</v>
      </c>
      <c r="BD161" s="21" t="str">
        <f t="shared" ref="BD161" si="11380">IF(LanGog2LevelCurrent&gt;=$B161,"-",IF(LanGog2LevelDesired&lt;$B161,"-",$E161))</f>
        <v>-</v>
      </c>
      <c r="BE161" s="15" t="str">
        <f t="shared" ref="BE161" si="11381">IF(LanGlo2LevelCurrent&gt;=$B161,"-",IF(LanGlo2LevelDesired&lt;$B161,"-",$C161))</f>
        <v>-</v>
      </c>
      <c r="BF161" s="1" t="str">
        <f t="shared" ref="BF161" si="11382">IF(LanGlo2LevelCurrent&gt;=$B161,"-",IF(LanGlo2LevelDesired&lt;$B161,"-",$D161))</f>
        <v>-</v>
      </c>
      <c r="BG161" s="21" t="str">
        <f t="shared" ref="BG161" si="11383">IF(LanGlo2LevelCurrent&gt;=$B161,"-",IF(LanGlo2LevelDesired&lt;$B161,"-",$E161))</f>
        <v>-</v>
      </c>
      <c r="BH161" s="15" t="str">
        <f t="shared" ref="BH161" si="11384">IF(LanBel2LevelCurrent&gt;=$B161,"-",IF(LanBel2LevelDesired&lt;$B161,"-",$C161))</f>
        <v>-</v>
      </c>
      <c r="BI161" s="1" t="str">
        <f t="shared" ref="BI161" si="11385">IF(LanBel2LevelCurrent&gt;=$B161,"-",IF(LanBel2LevelDesired&lt;$B161,"-",$D161))</f>
        <v>-</v>
      </c>
      <c r="BJ161" s="21" t="str">
        <f t="shared" ref="BJ161" si="11386">IF(LanBel2LevelCurrent&gt;=$B161,"-",IF(LanBel2LevelDesired&lt;$B161,"-",$E161))</f>
        <v>-</v>
      </c>
      <c r="BK161" s="15">
        <f t="shared" ref="BK161" si="11387">IF(LanBoo2LevelCurrent&gt;=$B161,"-",IF(LanBoo2LevelDesired&lt;$B161,"-",$C161))</f>
        <v>5200</v>
      </c>
      <c r="BL161" s="1" t="str">
        <f t="shared" ref="BL161" si="11388">IF(LanBoo2LevelCurrent&gt;=$B161,"-",IF(LanBoo2LevelDesired&lt;$B161,"-",$D161))</f>
        <v>-</v>
      </c>
      <c r="BM161" s="21" t="str">
        <f t="shared" ref="BM161" si="11389">IF(LanBoo2LevelCurrent&gt;=$B161,"-",IF(LanBoo2LevelDesired&lt;$B161,"-",$E161))</f>
        <v>-</v>
      </c>
      <c r="BN161" s="15">
        <f t="shared" ref="BN161" si="11390">IF(MarGog2LevelCurrent&gt;=$B161,"-",IF(MarGog2LevelDesired&lt;$B161,"-",$C161))</f>
        <v>5200</v>
      </c>
      <c r="BO161" s="1" t="str">
        <f t="shared" ref="BO161" si="11391">IF(MarGog2LevelCurrent&gt;=$B161,"-",IF(MarGog2LevelDesired&lt;$B161,"-",$D161))</f>
        <v>-</v>
      </c>
      <c r="BP161" s="21" t="str">
        <f t="shared" ref="BP161" si="11392">IF(MarGog2LevelCurrent&gt;=$B161,"-",IF(MarGog2LevelDesired&lt;$B161,"-",$E161))</f>
        <v>-</v>
      </c>
      <c r="BQ161" s="15" t="str">
        <f t="shared" ref="BQ161" si="11393">IF(MarGlo2LevelCurrent&gt;=$B161,"-",IF(MarGlo2LevelDesired&lt;$B161,"-",$C161))</f>
        <v>-</v>
      </c>
      <c r="BR161" s="1" t="str">
        <f t="shared" ref="BR161" si="11394">IF(MarGlo2LevelCurrent&gt;=$B161,"-",IF(MarGlo2LevelDesired&lt;$B161,"-",$D161))</f>
        <v>-</v>
      </c>
      <c r="BS161" s="21" t="str">
        <f t="shared" ref="BS161" si="11395">IF(MarGlo2LevelCurrent&gt;=$B161,"-",IF(MarGlo2LevelDesired&lt;$B161,"-",$E161))</f>
        <v>-</v>
      </c>
      <c r="BT161" s="15" t="str">
        <f t="shared" ref="BT161" si="11396">IF(MarBel2LevelCurrent&gt;=$B161,"-",IF(MarBel2LevelDesired&lt;$B161,"-",$C161))</f>
        <v>-</v>
      </c>
      <c r="BU161" s="1" t="str">
        <f t="shared" ref="BU161" si="11397">IF(MarBel2LevelCurrent&gt;=$B161,"-",IF(MarBel2LevelDesired&lt;$B161,"-",$D161))</f>
        <v>-</v>
      </c>
      <c r="BV161" s="21" t="str">
        <f t="shared" ref="BV161" si="11398">IF(MarBel2LevelCurrent&gt;=$B161,"-",IF(MarBel2LevelDesired&lt;$B161,"-",$E161))</f>
        <v>-</v>
      </c>
      <c r="BW161" s="15">
        <f t="shared" ref="BW161" si="11399">IF(MarBoo2LevelCurrent&gt;=$B161,"-",IF(MarBoo2LevelDesired&lt;$B161,"-",$C161))</f>
        <v>5200</v>
      </c>
      <c r="BX161" s="1" t="str">
        <f t="shared" ref="BX161" si="11400">IF(MarBoo2LevelCurrent&gt;=$B161,"-",IF(MarBoo2LevelDesired&lt;$B161,"-",$D161))</f>
        <v>-</v>
      </c>
      <c r="BY161" s="21" t="str">
        <f t="shared" ref="BY161" si="11401">IF(MarBoo2LevelCurrent&gt;=$B161,"-",IF(MarBoo2LevelDesired&lt;$B161,"-",$E161))</f>
        <v>-</v>
      </c>
      <c r="BZ161" s="15" t="str">
        <f t="shared" si="9424"/>
        <v>-</v>
      </c>
      <c r="CA161" s="1" t="str" cm="1">
        <f t="array" ref="CA161">IF(InfGog3LevelCurrent&gt;=$B161,"-",IF(InfGog3LevelDesired&lt;$B161,"-",$D161))</f>
        <v>-</v>
      </c>
      <c r="CB161" s="21" t="str" cm="1">
        <f t="array" ref="CB161">IF(InfGog3LevelCurrent&gt;=$B161,"-",IF(InfGog3LevelDesired&lt;$B161,"-",$E161))</f>
        <v>-</v>
      </c>
      <c r="CC161" s="15" t="str">
        <f t="shared" si="9425"/>
        <v>-</v>
      </c>
      <c r="CD161" s="1" t="str">
        <f t="shared" si="9426"/>
        <v>-</v>
      </c>
      <c r="CE161" s="21" t="str">
        <f t="shared" si="9427"/>
        <v>-</v>
      </c>
      <c r="CF161" s="15" t="str">
        <f t="shared" si="9428"/>
        <v>-</v>
      </c>
      <c r="CG161" s="1" t="str">
        <f t="shared" si="9429"/>
        <v>-</v>
      </c>
      <c r="CH161" s="21" t="str">
        <f t="shared" si="9430"/>
        <v>-</v>
      </c>
      <c r="CI161" s="15" t="str">
        <f t="shared" si="9431"/>
        <v>-</v>
      </c>
      <c r="CJ161" s="1" t="str">
        <f t="shared" si="9432"/>
        <v>-</v>
      </c>
      <c r="CK161" s="21" t="str">
        <f t="shared" si="9433"/>
        <v>-</v>
      </c>
      <c r="CL161" s="15" t="str">
        <f t="shared" si="9434"/>
        <v>-</v>
      </c>
      <c r="CM161" s="1" t="str">
        <f t="shared" si="9435"/>
        <v>-</v>
      </c>
      <c r="CN161" s="21" t="str">
        <f t="shared" si="9436"/>
        <v>-</v>
      </c>
      <c r="CO161" s="15" t="str">
        <f t="shared" si="9437"/>
        <v>-</v>
      </c>
      <c r="CP161" s="1" t="str">
        <f t="shared" si="9438"/>
        <v>-</v>
      </c>
      <c r="CQ161" s="21" t="str">
        <f t="shared" si="9439"/>
        <v>-</v>
      </c>
      <c r="CR161" s="15" t="str">
        <f t="shared" si="9440"/>
        <v>-</v>
      </c>
      <c r="CS161" s="1" t="str">
        <f t="shared" si="9441"/>
        <v>-</v>
      </c>
      <c r="CT161" s="21" t="str">
        <f t="shared" si="9442"/>
        <v>-</v>
      </c>
      <c r="CU161" s="15" t="str">
        <f t="shared" si="9443"/>
        <v>-</v>
      </c>
      <c r="CV161" s="1" t="str">
        <f t="shared" si="9444"/>
        <v>-</v>
      </c>
      <c r="CW161" s="21" t="str">
        <f t="shared" si="9445"/>
        <v>-</v>
      </c>
      <c r="CX161" s="15" t="str">
        <f t="shared" si="9446"/>
        <v>-</v>
      </c>
      <c r="CY161" s="1" t="str">
        <f t="shared" si="9447"/>
        <v>-</v>
      </c>
      <c r="CZ161" s="21" t="str">
        <f t="shared" si="9448"/>
        <v>-</v>
      </c>
      <c r="DA161" s="15" t="str">
        <f t="shared" si="9449"/>
        <v>-</v>
      </c>
      <c r="DB161" s="1" t="str">
        <f t="shared" si="9450"/>
        <v>-</v>
      </c>
      <c r="DC161" s="21" t="str">
        <f t="shared" si="9451"/>
        <v>-</v>
      </c>
      <c r="DD161" s="15" t="str">
        <f t="shared" si="9452"/>
        <v>-</v>
      </c>
      <c r="DE161" s="1" t="str">
        <f t="shared" si="9453"/>
        <v>-</v>
      </c>
      <c r="DF161" s="21" t="str">
        <f t="shared" si="9454"/>
        <v>-</v>
      </c>
      <c r="DG161" s="15" t="str">
        <f t="shared" si="9455"/>
        <v>-</v>
      </c>
      <c r="DH161" s="1" t="str">
        <f t="shared" si="9456"/>
        <v>-</v>
      </c>
      <c r="DI161" s="21" t="str">
        <f t="shared" si="9457"/>
        <v>-</v>
      </c>
    </row>
    <row r="162" spans="2:113" x14ac:dyDescent="0.3">
      <c r="B162" s="1">
        <v>157</v>
      </c>
      <c r="C162" s="67">
        <v>5250</v>
      </c>
      <c r="D162" s="88" t="s">
        <v>27</v>
      </c>
      <c r="E162" s="68" t="s">
        <v>27</v>
      </c>
      <c r="F162" s="15" t="str">
        <f t="shared" ref="F162" si="11402">IF(InfGog1LevelCurrent&gt;=$B162,"-",IF(InfGog1LevelDesired&lt;$B162,"-",$C162))</f>
        <v>-</v>
      </c>
      <c r="G162" s="1" t="str">
        <f t="shared" ref="G162" si="11403">IF(InfGog1LevelCurrent&gt;=$B162,"-",IF(InfGog1LevelDesired&lt;$B162,"-",$D162))</f>
        <v>-</v>
      </c>
      <c r="H162" s="21" t="str">
        <f t="shared" ref="H162" si="11404">IF(InfGog1LevelCurrent&gt;=$B162,"-",IF(InfGog1LevelDesired&lt;$B162,"-",$E162))</f>
        <v>-</v>
      </c>
      <c r="I162" s="15" t="str">
        <f t="shared" ref="I162" si="11405">IF(InfGlo1LevelCurrent&gt;=$B162,"-",IF(InfGlo1LevelDesired&lt;$B162,"-",$C162))</f>
        <v>-</v>
      </c>
      <c r="J162" s="1" t="str">
        <f t="shared" ref="J162" si="11406">IF(InfGlo1LevelCurrent&gt;=$B162,"-",IF(InfGlo1LevelDesired&lt;$B162,"-",$D162))</f>
        <v>-</v>
      </c>
      <c r="K162" s="21" t="str">
        <f t="shared" ref="K162" si="11407">IF(InfGlo1LevelCurrent&gt;=$B162,"-",IF(InfGlo1LevelDesired&lt;$B162,"-",$E162))</f>
        <v>-</v>
      </c>
      <c r="L162" s="15" t="str">
        <f t="shared" ref="L162" si="11408">IF(InfBel1LevelCurrent&gt;=$B162,"-",IF(InfBel1LevelDesired&lt;$B162,"-",$C162))</f>
        <v>-</v>
      </c>
      <c r="M162" s="1" t="str">
        <f t="shared" ref="M162" si="11409">IF(InfBel1LevelCurrent&gt;=$B162,"-",IF(InfBel1LevelDesired&lt;$B162,"-",$D162))</f>
        <v>-</v>
      </c>
      <c r="N162" s="21" t="str">
        <f t="shared" ref="N162" si="11410">IF(InfBel1LevelCurrent&gt;=$B162,"-",IF(InfBel1LevelDesired&lt;$B162,"-",$E162))</f>
        <v>-</v>
      </c>
      <c r="O162" s="15" t="str">
        <f t="shared" ref="O162" si="11411">IF(InfBoo1LevelCurrent&gt;=$B162,"-",IF(InfBoo1LevelDesired&lt;$B162,"-",$C162))</f>
        <v>-</v>
      </c>
      <c r="P162" s="1" t="str">
        <f t="shared" ref="P162" si="11412">IF(InfBoo1LevelCurrent&gt;=$B162,"-",IF(InfBoo1LevelDesired&lt;$B162,"-",$D162))</f>
        <v>-</v>
      </c>
      <c r="Q162" s="21" t="str">
        <f t="shared" ref="Q162" si="11413">IF(InfBoo1LevelCurrent&gt;=$B162,"-",IF(InfBoo1LevelDesired&lt;$B162,"-",$E162))</f>
        <v>-</v>
      </c>
      <c r="R162" s="15" t="str">
        <f t="shared" ref="R162" si="11414">IF(LanGog1LevelCurrent&gt;=$B162,"-",IF(LanGog1LevelDesired&lt;$B162,"-",$C162))</f>
        <v>-</v>
      </c>
      <c r="S162" s="1" t="str">
        <f t="shared" ref="S162" si="11415">IF(LanGog1LevelCurrent&gt;=$B162,"-",IF(LanGog1LevelDesired&lt;$B162,"-",$D162))</f>
        <v>-</v>
      </c>
      <c r="T162" s="21" t="str">
        <f t="shared" ref="T162" si="11416">IF(LanGog1LevelCurrent&gt;=$B162,"-",IF(LanGog1LevelDesired&lt;$B162,"-",$E162))</f>
        <v>-</v>
      </c>
      <c r="U162" s="15" t="str">
        <f t="shared" ref="U162" si="11417">IF(LanGlo1LevelCurrent&gt;=$B162,"-",IF(LanGlo1LevelDesired&lt;$B162,"-",$C162))</f>
        <v>-</v>
      </c>
      <c r="V162" s="1" t="str">
        <f t="shared" ref="V162" si="11418">IF(LanGlo1LevelCurrent&gt;=$B162,"-",IF(LanGlo1LevelDesired&lt;$B162,"-",$D162))</f>
        <v>-</v>
      </c>
      <c r="W162" s="21" t="str">
        <f t="shared" ref="W162" si="11419">IF(LanGlo1LevelCurrent&gt;=$B162,"-",IF(LanGlo1LevelDesired&lt;$B162,"-",$E162))</f>
        <v>-</v>
      </c>
      <c r="X162" s="15" t="str">
        <f t="shared" ref="X162" si="11420">IF(LanBel1LevelCurrent&gt;=$B162,"-",IF(LanBel1LevelDesired&lt;$B162,"-",$C162))</f>
        <v>-</v>
      </c>
      <c r="Y162" s="1" t="str">
        <f t="shared" ref="Y162" si="11421">IF(LanBel1LevelCurrent&gt;=$B162,"-",IF(LanBel1LevelDesired&lt;$B162,"-",$D162))</f>
        <v>-</v>
      </c>
      <c r="Z162" s="21" t="str">
        <f t="shared" ref="Z162" si="11422">IF(LanBel1LevelCurrent&gt;=$B162,"-",IF(LanBel1LevelDesired&lt;$B162,"-",$E162))</f>
        <v>-</v>
      </c>
      <c r="AA162" s="15" t="str">
        <f t="shared" ref="AA162" si="11423">IF(LanBoo1LevelCurrent&gt;=$B162,"-",IF(LanBoo1LevelDesired&lt;$B162,"-",$C162))</f>
        <v>-</v>
      </c>
      <c r="AB162" s="1" t="str">
        <f t="shared" ref="AB162" si="11424">IF(LanBoo1LevelCurrent&gt;=$B162,"-",IF(LanBoo1LevelDesired&lt;$B162,"-",$D162))</f>
        <v>-</v>
      </c>
      <c r="AC162" s="21" t="str">
        <f t="shared" ref="AC162" si="11425">IF(LanBoo1LevelCurrent&gt;=$B162,"-",IF(LanBoo1LevelDesired&lt;$B162,"-",$E162))</f>
        <v>-</v>
      </c>
      <c r="AD162" s="15" t="str">
        <f t="shared" ref="AD162" si="11426">IF(MarGog1LevelCurrent&gt;=$B162,"-",IF(MarGog1LevelDesired&lt;$B162,"-",$C162))</f>
        <v>-</v>
      </c>
      <c r="AE162" s="1" t="str">
        <f t="shared" ref="AE162" si="11427">IF(MarGog1LevelCurrent&gt;=$B162,"-",IF(MarGog1LevelDesired&lt;$B162,"-",$D162))</f>
        <v>-</v>
      </c>
      <c r="AF162" s="21" t="str">
        <f t="shared" ref="AF162" si="11428">IF(MarGog1LevelCurrent&gt;=$B162,"-",IF(MarGog1LevelDesired&lt;$B162,"-",$E162))</f>
        <v>-</v>
      </c>
      <c r="AG162" s="15" t="str">
        <f t="shared" ref="AG162" si="11429">IF(MarGlo1LevelCurrent&gt;=$B162,"-",IF(MarGlo1LevelDesired&lt;$B162,"-",$C162))</f>
        <v>-</v>
      </c>
      <c r="AH162" s="1" t="str">
        <f t="shared" ref="AH162" si="11430">IF(MarGlo1LevelCurrent&gt;=$B162,"-",IF(MarGlo1LevelDesired&lt;$B162,"-",$D162))</f>
        <v>-</v>
      </c>
      <c r="AI162" s="21" t="str">
        <f t="shared" ref="AI162" si="11431">IF(MarGlo1LevelCurrent&gt;=$B162,"-",IF(MarGlo1LevelDesired&lt;$B162,"-",$E162))</f>
        <v>-</v>
      </c>
      <c r="AJ162" s="15" t="str">
        <f t="shared" ref="AJ162" si="11432">IF(MarBel1LevelCurrent&gt;=$B162,"-",IF(MarBel1LevelDesired&lt;$B162,"-",$C162))</f>
        <v>-</v>
      </c>
      <c r="AK162" s="1" t="str">
        <f t="shared" ref="AK162" si="11433">IF(MarBel1LevelCurrent&gt;=$B162,"-",IF(MarBel1LevelDesired&lt;$B162,"-",$D162))</f>
        <v>-</v>
      </c>
      <c r="AL162" s="21" t="str">
        <f t="shared" ref="AL162" si="11434">IF(MarBel1LevelCurrent&gt;=$B162,"-",IF(MarBel1LevelDesired&lt;$B162,"-",$E162))</f>
        <v>-</v>
      </c>
      <c r="AM162" s="15" t="str">
        <f t="shared" ref="AM162" si="11435">IF(MarBoo1LevelCurrent&gt;=$B162,"-",IF(MarBoo1LevelDesired&lt;$B162,"-",$C162))</f>
        <v>-</v>
      </c>
      <c r="AN162" s="1" t="str">
        <f t="shared" ref="AN162" si="11436">IF(MarBoo1LevelCurrent&gt;=$B162,"-",IF(MarBoo1LevelDesired&lt;$B162,"-",$D162))</f>
        <v>-</v>
      </c>
      <c r="AO162" s="21" t="str">
        <f t="shared" ref="AO162" si="11437">IF(MarBoo1LevelCurrent&gt;=$B162,"-",IF(MarBoo1LevelDesired&lt;$B162,"-",$E162))</f>
        <v>-</v>
      </c>
      <c r="AP162" s="15" t="str">
        <f t="shared" ref="AP162" si="11438">IF(InfGog2LevelCurrent&gt;=$B162,"-",IF(InfGog2LevelDesired&lt;$B162,"-",$C162))</f>
        <v>-</v>
      </c>
      <c r="AQ162" s="1" t="str">
        <f t="shared" ref="AQ162" si="11439">IF(InfGog2LevelCurrent&gt;=$B162,"-",IF(InfGog2LevelDesired&lt;$B162,"-",$D162))</f>
        <v>-</v>
      </c>
      <c r="AR162" s="21" t="str">
        <f t="shared" ref="AR162" si="11440">IF(InfGog2LevelCurrent&gt;=$B162,"-",IF(InfGog2LevelDesired&lt;$B162,"-",$E162))</f>
        <v>-</v>
      </c>
      <c r="AS162" s="15">
        <f t="shared" ref="AS162" si="11441">IF(InfGlo2LevelCurrent&gt;=$B162,"-",IF(InfGlo2LevelDesired&lt;$B162,"-",$C162))</f>
        <v>5250</v>
      </c>
      <c r="AT162" s="1" t="str">
        <f t="shared" ref="AT162" si="11442">IF(InfGlo2LevelCurrent&gt;=$B162,"-",IF(InfGlo2LevelDesired&lt;$B162,"-",$D162))</f>
        <v>-</v>
      </c>
      <c r="AU162" s="21" t="str">
        <f t="shared" ref="AU162" si="11443">IF(InfGlo2LevelCurrent&gt;=$B162,"-",IF(InfGlo2LevelDesired&lt;$B162,"-",$E162))</f>
        <v>-</v>
      </c>
      <c r="AV162" s="15">
        <f t="shared" ref="AV162" si="11444">IF(InfBel2LevelCurrent&gt;=$B162,"-",IF(InfBel2LevelDesired&lt;$B162,"-",$C162))</f>
        <v>5250</v>
      </c>
      <c r="AW162" s="1" t="str">
        <f t="shared" ref="AW162" si="11445">IF(InfBel2LevelCurrent&gt;=$B162,"-",IF(InfBel2LevelDesired&lt;$B162,"-",$D162))</f>
        <v>-</v>
      </c>
      <c r="AX162" s="21" t="str">
        <f t="shared" ref="AX162" si="11446">IF(InfBel2LevelCurrent&gt;=$B162,"-",IF(InfBel2LevelDesired&lt;$B162,"-",$E162))</f>
        <v>-</v>
      </c>
      <c r="AY162" s="15" t="str">
        <f t="shared" ref="AY162" si="11447">IF(InfBoo2LevelCurrent&gt;=$B162,"-",IF(InfBoo2LevelDesired&lt;$B162,"-",$C162))</f>
        <v>-</v>
      </c>
      <c r="AZ162" s="1" t="str">
        <f t="shared" ref="AZ162" si="11448">IF(InfBoo2LevelCurrent&gt;=$B162,"-",IF(InfBoo2LevelDesired&lt;$B162,"-",$D162))</f>
        <v>-</v>
      </c>
      <c r="BA162" s="21" t="str">
        <f t="shared" ref="BA162" si="11449">IF(InfBoo2LevelCurrent&gt;=$B162,"-",IF(InfBoo2LevelDesired&lt;$B162,"-",$E162))</f>
        <v>-</v>
      </c>
      <c r="BB162" s="15">
        <f t="shared" ref="BB162" si="11450">IF(LanGog2LevelCurrent&gt;=$B162,"-",IF(LanGog2LevelDesired&lt;$B162,"-",$C162))</f>
        <v>5250</v>
      </c>
      <c r="BC162" s="1" t="str">
        <f t="shared" ref="BC162" si="11451">IF(LanGog2LevelCurrent&gt;=$B162,"-",IF(LanGog2LevelDesired&lt;$B162,"-",$D162))</f>
        <v>-</v>
      </c>
      <c r="BD162" s="21" t="str">
        <f t="shared" ref="BD162" si="11452">IF(LanGog2LevelCurrent&gt;=$B162,"-",IF(LanGog2LevelDesired&lt;$B162,"-",$E162))</f>
        <v>-</v>
      </c>
      <c r="BE162" s="15" t="str">
        <f t="shared" ref="BE162" si="11453">IF(LanGlo2LevelCurrent&gt;=$B162,"-",IF(LanGlo2LevelDesired&lt;$B162,"-",$C162))</f>
        <v>-</v>
      </c>
      <c r="BF162" s="1" t="str">
        <f t="shared" ref="BF162" si="11454">IF(LanGlo2LevelCurrent&gt;=$B162,"-",IF(LanGlo2LevelDesired&lt;$B162,"-",$D162))</f>
        <v>-</v>
      </c>
      <c r="BG162" s="21" t="str">
        <f t="shared" ref="BG162" si="11455">IF(LanGlo2LevelCurrent&gt;=$B162,"-",IF(LanGlo2LevelDesired&lt;$B162,"-",$E162))</f>
        <v>-</v>
      </c>
      <c r="BH162" s="15" t="str">
        <f t="shared" ref="BH162" si="11456">IF(LanBel2LevelCurrent&gt;=$B162,"-",IF(LanBel2LevelDesired&lt;$B162,"-",$C162))</f>
        <v>-</v>
      </c>
      <c r="BI162" s="1" t="str">
        <f t="shared" ref="BI162" si="11457">IF(LanBel2LevelCurrent&gt;=$B162,"-",IF(LanBel2LevelDesired&lt;$B162,"-",$D162))</f>
        <v>-</v>
      </c>
      <c r="BJ162" s="21" t="str">
        <f t="shared" ref="BJ162" si="11458">IF(LanBel2LevelCurrent&gt;=$B162,"-",IF(LanBel2LevelDesired&lt;$B162,"-",$E162))</f>
        <v>-</v>
      </c>
      <c r="BK162" s="15">
        <f t="shared" ref="BK162" si="11459">IF(LanBoo2LevelCurrent&gt;=$B162,"-",IF(LanBoo2LevelDesired&lt;$B162,"-",$C162))</f>
        <v>5250</v>
      </c>
      <c r="BL162" s="1" t="str">
        <f t="shared" ref="BL162" si="11460">IF(LanBoo2LevelCurrent&gt;=$B162,"-",IF(LanBoo2LevelDesired&lt;$B162,"-",$D162))</f>
        <v>-</v>
      </c>
      <c r="BM162" s="21" t="str">
        <f t="shared" ref="BM162" si="11461">IF(LanBoo2LevelCurrent&gt;=$B162,"-",IF(LanBoo2LevelDesired&lt;$B162,"-",$E162))</f>
        <v>-</v>
      </c>
      <c r="BN162" s="15">
        <f t="shared" ref="BN162" si="11462">IF(MarGog2LevelCurrent&gt;=$B162,"-",IF(MarGog2LevelDesired&lt;$B162,"-",$C162))</f>
        <v>5250</v>
      </c>
      <c r="BO162" s="1" t="str">
        <f t="shared" ref="BO162" si="11463">IF(MarGog2LevelCurrent&gt;=$B162,"-",IF(MarGog2LevelDesired&lt;$B162,"-",$D162))</f>
        <v>-</v>
      </c>
      <c r="BP162" s="21" t="str">
        <f t="shared" ref="BP162" si="11464">IF(MarGog2LevelCurrent&gt;=$B162,"-",IF(MarGog2LevelDesired&lt;$B162,"-",$E162))</f>
        <v>-</v>
      </c>
      <c r="BQ162" s="15" t="str">
        <f t="shared" ref="BQ162" si="11465">IF(MarGlo2LevelCurrent&gt;=$B162,"-",IF(MarGlo2LevelDesired&lt;$B162,"-",$C162))</f>
        <v>-</v>
      </c>
      <c r="BR162" s="1" t="str">
        <f t="shared" ref="BR162" si="11466">IF(MarGlo2LevelCurrent&gt;=$B162,"-",IF(MarGlo2LevelDesired&lt;$B162,"-",$D162))</f>
        <v>-</v>
      </c>
      <c r="BS162" s="21" t="str">
        <f t="shared" ref="BS162" si="11467">IF(MarGlo2LevelCurrent&gt;=$B162,"-",IF(MarGlo2LevelDesired&lt;$B162,"-",$E162))</f>
        <v>-</v>
      </c>
      <c r="BT162" s="15" t="str">
        <f t="shared" ref="BT162" si="11468">IF(MarBel2LevelCurrent&gt;=$B162,"-",IF(MarBel2LevelDesired&lt;$B162,"-",$C162))</f>
        <v>-</v>
      </c>
      <c r="BU162" s="1" t="str">
        <f t="shared" ref="BU162" si="11469">IF(MarBel2LevelCurrent&gt;=$B162,"-",IF(MarBel2LevelDesired&lt;$B162,"-",$D162))</f>
        <v>-</v>
      </c>
      <c r="BV162" s="21" t="str">
        <f t="shared" ref="BV162" si="11470">IF(MarBel2LevelCurrent&gt;=$B162,"-",IF(MarBel2LevelDesired&lt;$B162,"-",$E162))</f>
        <v>-</v>
      </c>
      <c r="BW162" s="15">
        <f t="shared" ref="BW162" si="11471">IF(MarBoo2LevelCurrent&gt;=$B162,"-",IF(MarBoo2LevelDesired&lt;$B162,"-",$C162))</f>
        <v>5250</v>
      </c>
      <c r="BX162" s="1" t="str">
        <f t="shared" ref="BX162" si="11472">IF(MarBoo2LevelCurrent&gt;=$B162,"-",IF(MarBoo2LevelDesired&lt;$B162,"-",$D162))</f>
        <v>-</v>
      </c>
      <c r="BY162" s="21" t="str">
        <f t="shared" ref="BY162" si="11473">IF(MarBoo2LevelCurrent&gt;=$B162,"-",IF(MarBoo2LevelDesired&lt;$B162,"-",$E162))</f>
        <v>-</v>
      </c>
      <c r="BZ162" s="15" t="str">
        <f t="shared" si="9424"/>
        <v>-</v>
      </c>
      <c r="CA162" s="1" t="str" cm="1">
        <f t="array" ref="CA162">IF(InfGog3LevelCurrent&gt;=$B162,"-",IF(InfGog3LevelDesired&lt;$B162,"-",$D162))</f>
        <v>-</v>
      </c>
      <c r="CB162" s="21" t="str" cm="1">
        <f t="array" ref="CB162">IF(InfGog3LevelCurrent&gt;=$B162,"-",IF(InfGog3LevelDesired&lt;$B162,"-",$E162))</f>
        <v>-</v>
      </c>
      <c r="CC162" s="15" t="str">
        <f t="shared" si="9425"/>
        <v>-</v>
      </c>
      <c r="CD162" s="1" t="str">
        <f t="shared" si="9426"/>
        <v>-</v>
      </c>
      <c r="CE162" s="21" t="str">
        <f t="shared" si="9427"/>
        <v>-</v>
      </c>
      <c r="CF162" s="15" t="str">
        <f t="shared" si="9428"/>
        <v>-</v>
      </c>
      <c r="CG162" s="1" t="str">
        <f t="shared" si="9429"/>
        <v>-</v>
      </c>
      <c r="CH162" s="21" t="str">
        <f t="shared" si="9430"/>
        <v>-</v>
      </c>
      <c r="CI162" s="15" t="str">
        <f t="shared" si="9431"/>
        <v>-</v>
      </c>
      <c r="CJ162" s="1" t="str">
        <f t="shared" si="9432"/>
        <v>-</v>
      </c>
      <c r="CK162" s="21" t="str">
        <f t="shared" si="9433"/>
        <v>-</v>
      </c>
      <c r="CL162" s="15" t="str">
        <f t="shared" si="9434"/>
        <v>-</v>
      </c>
      <c r="CM162" s="1" t="str">
        <f t="shared" si="9435"/>
        <v>-</v>
      </c>
      <c r="CN162" s="21" t="str">
        <f t="shared" si="9436"/>
        <v>-</v>
      </c>
      <c r="CO162" s="15" t="str">
        <f t="shared" si="9437"/>
        <v>-</v>
      </c>
      <c r="CP162" s="1" t="str">
        <f t="shared" si="9438"/>
        <v>-</v>
      </c>
      <c r="CQ162" s="21" t="str">
        <f t="shared" si="9439"/>
        <v>-</v>
      </c>
      <c r="CR162" s="15" t="str">
        <f t="shared" si="9440"/>
        <v>-</v>
      </c>
      <c r="CS162" s="1" t="str">
        <f t="shared" si="9441"/>
        <v>-</v>
      </c>
      <c r="CT162" s="21" t="str">
        <f t="shared" si="9442"/>
        <v>-</v>
      </c>
      <c r="CU162" s="15" t="str">
        <f t="shared" si="9443"/>
        <v>-</v>
      </c>
      <c r="CV162" s="1" t="str">
        <f t="shared" si="9444"/>
        <v>-</v>
      </c>
      <c r="CW162" s="21" t="str">
        <f t="shared" si="9445"/>
        <v>-</v>
      </c>
      <c r="CX162" s="15" t="str">
        <f t="shared" si="9446"/>
        <v>-</v>
      </c>
      <c r="CY162" s="1" t="str">
        <f t="shared" si="9447"/>
        <v>-</v>
      </c>
      <c r="CZ162" s="21" t="str">
        <f t="shared" si="9448"/>
        <v>-</v>
      </c>
      <c r="DA162" s="15" t="str">
        <f t="shared" si="9449"/>
        <v>-</v>
      </c>
      <c r="DB162" s="1" t="str">
        <f t="shared" si="9450"/>
        <v>-</v>
      </c>
      <c r="DC162" s="21" t="str">
        <f t="shared" si="9451"/>
        <v>-</v>
      </c>
      <c r="DD162" s="15" t="str">
        <f t="shared" si="9452"/>
        <v>-</v>
      </c>
      <c r="DE162" s="1" t="str">
        <f t="shared" si="9453"/>
        <v>-</v>
      </c>
      <c r="DF162" s="21" t="str">
        <f t="shared" si="9454"/>
        <v>-</v>
      </c>
      <c r="DG162" s="15" t="str">
        <f t="shared" si="9455"/>
        <v>-</v>
      </c>
      <c r="DH162" s="1" t="str">
        <f t="shared" si="9456"/>
        <v>-</v>
      </c>
      <c r="DI162" s="21" t="str">
        <f t="shared" si="9457"/>
        <v>-</v>
      </c>
    </row>
    <row r="163" spans="2:113" x14ac:dyDescent="0.3">
      <c r="B163" s="1">
        <v>158</v>
      </c>
      <c r="C163" s="67">
        <v>5300</v>
      </c>
      <c r="D163" s="88" t="s">
        <v>27</v>
      </c>
      <c r="E163" s="68" t="s">
        <v>27</v>
      </c>
      <c r="F163" s="15" t="str">
        <f t="shared" ref="F163" si="11474">IF(InfGog1LevelCurrent&gt;=$B163,"-",IF(InfGog1LevelDesired&lt;$B163,"-",$C163))</f>
        <v>-</v>
      </c>
      <c r="G163" s="1" t="str">
        <f t="shared" ref="G163" si="11475">IF(InfGog1LevelCurrent&gt;=$B163,"-",IF(InfGog1LevelDesired&lt;$B163,"-",$D163))</f>
        <v>-</v>
      </c>
      <c r="H163" s="21" t="str">
        <f t="shared" ref="H163" si="11476">IF(InfGog1LevelCurrent&gt;=$B163,"-",IF(InfGog1LevelDesired&lt;$B163,"-",$E163))</f>
        <v>-</v>
      </c>
      <c r="I163" s="15" t="str">
        <f t="shared" ref="I163" si="11477">IF(InfGlo1LevelCurrent&gt;=$B163,"-",IF(InfGlo1LevelDesired&lt;$B163,"-",$C163))</f>
        <v>-</v>
      </c>
      <c r="J163" s="1" t="str">
        <f t="shared" ref="J163" si="11478">IF(InfGlo1LevelCurrent&gt;=$B163,"-",IF(InfGlo1LevelDesired&lt;$B163,"-",$D163))</f>
        <v>-</v>
      </c>
      <c r="K163" s="21" t="str">
        <f t="shared" ref="K163" si="11479">IF(InfGlo1LevelCurrent&gt;=$B163,"-",IF(InfGlo1LevelDesired&lt;$B163,"-",$E163))</f>
        <v>-</v>
      </c>
      <c r="L163" s="15" t="str">
        <f t="shared" ref="L163" si="11480">IF(InfBel1LevelCurrent&gt;=$B163,"-",IF(InfBel1LevelDesired&lt;$B163,"-",$C163))</f>
        <v>-</v>
      </c>
      <c r="M163" s="1" t="str">
        <f t="shared" ref="M163" si="11481">IF(InfBel1LevelCurrent&gt;=$B163,"-",IF(InfBel1LevelDesired&lt;$B163,"-",$D163))</f>
        <v>-</v>
      </c>
      <c r="N163" s="21" t="str">
        <f t="shared" ref="N163" si="11482">IF(InfBel1LevelCurrent&gt;=$B163,"-",IF(InfBel1LevelDesired&lt;$B163,"-",$E163))</f>
        <v>-</v>
      </c>
      <c r="O163" s="15" t="str">
        <f t="shared" ref="O163" si="11483">IF(InfBoo1LevelCurrent&gt;=$B163,"-",IF(InfBoo1LevelDesired&lt;$B163,"-",$C163))</f>
        <v>-</v>
      </c>
      <c r="P163" s="1" t="str">
        <f t="shared" ref="P163" si="11484">IF(InfBoo1LevelCurrent&gt;=$B163,"-",IF(InfBoo1LevelDesired&lt;$B163,"-",$D163))</f>
        <v>-</v>
      </c>
      <c r="Q163" s="21" t="str">
        <f t="shared" ref="Q163" si="11485">IF(InfBoo1LevelCurrent&gt;=$B163,"-",IF(InfBoo1LevelDesired&lt;$B163,"-",$E163))</f>
        <v>-</v>
      </c>
      <c r="R163" s="15" t="str">
        <f t="shared" ref="R163" si="11486">IF(LanGog1LevelCurrent&gt;=$B163,"-",IF(LanGog1LevelDesired&lt;$B163,"-",$C163))</f>
        <v>-</v>
      </c>
      <c r="S163" s="1" t="str">
        <f t="shared" ref="S163" si="11487">IF(LanGog1LevelCurrent&gt;=$B163,"-",IF(LanGog1LevelDesired&lt;$B163,"-",$D163))</f>
        <v>-</v>
      </c>
      <c r="T163" s="21" t="str">
        <f t="shared" ref="T163" si="11488">IF(LanGog1LevelCurrent&gt;=$B163,"-",IF(LanGog1LevelDesired&lt;$B163,"-",$E163))</f>
        <v>-</v>
      </c>
      <c r="U163" s="15" t="str">
        <f t="shared" ref="U163" si="11489">IF(LanGlo1LevelCurrent&gt;=$B163,"-",IF(LanGlo1LevelDesired&lt;$B163,"-",$C163))</f>
        <v>-</v>
      </c>
      <c r="V163" s="1" t="str">
        <f t="shared" ref="V163" si="11490">IF(LanGlo1LevelCurrent&gt;=$B163,"-",IF(LanGlo1LevelDesired&lt;$B163,"-",$D163))</f>
        <v>-</v>
      </c>
      <c r="W163" s="21" t="str">
        <f t="shared" ref="W163" si="11491">IF(LanGlo1LevelCurrent&gt;=$B163,"-",IF(LanGlo1LevelDesired&lt;$B163,"-",$E163))</f>
        <v>-</v>
      </c>
      <c r="X163" s="15" t="str">
        <f t="shared" ref="X163" si="11492">IF(LanBel1LevelCurrent&gt;=$B163,"-",IF(LanBel1LevelDesired&lt;$B163,"-",$C163))</f>
        <v>-</v>
      </c>
      <c r="Y163" s="1" t="str">
        <f t="shared" ref="Y163" si="11493">IF(LanBel1LevelCurrent&gt;=$B163,"-",IF(LanBel1LevelDesired&lt;$B163,"-",$D163))</f>
        <v>-</v>
      </c>
      <c r="Z163" s="21" t="str">
        <f t="shared" ref="Z163" si="11494">IF(LanBel1LevelCurrent&gt;=$B163,"-",IF(LanBel1LevelDesired&lt;$B163,"-",$E163))</f>
        <v>-</v>
      </c>
      <c r="AA163" s="15" t="str">
        <f t="shared" ref="AA163" si="11495">IF(LanBoo1LevelCurrent&gt;=$B163,"-",IF(LanBoo1LevelDesired&lt;$B163,"-",$C163))</f>
        <v>-</v>
      </c>
      <c r="AB163" s="1" t="str">
        <f t="shared" ref="AB163" si="11496">IF(LanBoo1LevelCurrent&gt;=$B163,"-",IF(LanBoo1LevelDesired&lt;$B163,"-",$D163))</f>
        <v>-</v>
      </c>
      <c r="AC163" s="21" t="str">
        <f t="shared" ref="AC163" si="11497">IF(LanBoo1LevelCurrent&gt;=$B163,"-",IF(LanBoo1LevelDesired&lt;$B163,"-",$E163))</f>
        <v>-</v>
      </c>
      <c r="AD163" s="15" t="str">
        <f t="shared" ref="AD163" si="11498">IF(MarGog1LevelCurrent&gt;=$B163,"-",IF(MarGog1LevelDesired&lt;$B163,"-",$C163))</f>
        <v>-</v>
      </c>
      <c r="AE163" s="1" t="str">
        <f t="shared" ref="AE163" si="11499">IF(MarGog1LevelCurrent&gt;=$B163,"-",IF(MarGog1LevelDesired&lt;$B163,"-",$D163))</f>
        <v>-</v>
      </c>
      <c r="AF163" s="21" t="str">
        <f t="shared" ref="AF163" si="11500">IF(MarGog1LevelCurrent&gt;=$B163,"-",IF(MarGog1LevelDesired&lt;$B163,"-",$E163))</f>
        <v>-</v>
      </c>
      <c r="AG163" s="15" t="str">
        <f t="shared" ref="AG163" si="11501">IF(MarGlo1LevelCurrent&gt;=$B163,"-",IF(MarGlo1LevelDesired&lt;$B163,"-",$C163))</f>
        <v>-</v>
      </c>
      <c r="AH163" s="1" t="str">
        <f t="shared" ref="AH163" si="11502">IF(MarGlo1LevelCurrent&gt;=$B163,"-",IF(MarGlo1LevelDesired&lt;$B163,"-",$D163))</f>
        <v>-</v>
      </c>
      <c r="AI163" s="21" t="str">
        <f t="shared" ref="AI163" si="11503">IF(MarGlo1LevelCurrent&gt;=$B163,"-",IF(MarGlo1LevelDesired&lt;$B163,"-",$E163))</f>
        <v>-</v>
      </c>
      <c r="AJ163" s="15" t="str">
        <f t="shared" ref="AJ163" si="11504">IF(MarBel1LevelCurrent&gt;=$B163,"-",IF(MarBel1LevelDesired&lt;$B163,"-",$C163))</f>
        <v>-</v>
      </c>
      <c r="AK163" s="1" t="str">
        <f t="shared" ref="AK163" si="11505">IF(MarBel1LevelCurrent&gt;=$B163,"-",IF(MarBel1LevelDesired&lt;$B163,"-",$D163))</f>
        <v>-</v>
      </c>
      <c r="AL163" s="21" t="str">
        <f t="shared" ref="AL163" si="11506">IF(MarBel1LevelCurrent&gt;=$B163,"-",IF(MarBel1LevelDesired&lt;$B163,"-",$E163))</f>
        <v>-</v>
      </c>
      <c r="AM163" s="15" t="str">
        <f t="shared" ref="AM163" si="11507">IF(MarBoo1LevelCurrent&gt;=$B163,"-",IF(MarBoo1LevelDesired&lt;$B163,"-",$C163))</f>
        <v>-</v>
      </c>
      <c r="AN163" s="1" t="str">
        <f t="shared" ref="AN163" si="11508">IF(MarBoo1LevelCurrent&gt;=$B163,"-",IF(MarBoo1LevelDesired&lt;$B163,"-",$D163))</f>
        <v>-</v>
      </c>
      <c r="AO163" s="21" t="str">
        <f t="shared" ref="AO163" si="11509">IF(MarBoo1LevelCurrent&gt;=$B163,"-",IF(MarBoo1LevelDesired&lt;$B163,"-",$E163))</f>
        <v>-</v>
      </c>
      <c r="AP163" s="15" t="str">
        <f t="shared" ref="AP163" si="11510">IF(InfGog2LevelCurrent&gt;=$B163,"-",IF(InfGog2LevelDesired&lt;$B163,"-",$C163))</f>
        <v>-</v>
      </c>
      <c r="AQ163" s="1" t="str">
        <f t="shared" ref="AQ163" si="11511">IF(InfGog2LevelCurrent&gt;=$B163,"-",IF(InfGog2LevelDesired&lt;$B163,"-",$D163))</f>
        <v>-</v>
      </c>
      <c r="AR163" s="21" t="str">
        <f t="shared" ref="AR163" si="11512">IF(InfGog2LevelCurrent&gt;=$B163,"-",IF(InfGog2LevelDesired&lt;$B163,"-",$E163))</f>
        <v>-</v>
      </c>
      <c r="AS163" s="15">
        <f t="shared" ref="AS163" si="11513">IF(InfGlo2LevelCurrent&gt;=$B163,"-",IF(InfGlo2LevelDesired&lt;$B163,"-",$C163))</f>
        <v>5300</v>
      </c>
      <c r="AT163" s="1" t="str">
        <f t="shared" ref="AT163" si="11514">IF(InfGlo2LevelCurrent&gt;=$B163,"-",IF(InfGlo2LevelDesired&lt;$B163,"-",$D163))</f>
        <v>-</v>
      </c>
      <c r="AU163" s="21" t="str">
        <f t="shared" ref="AU163" si="11515">IF(InfGlo2LevelCurrent&gt;=$B163,"-",IF(InfGlo2LevelDesired&lt;$B163,"-",$E163))</f>
        <v>-</v>
      </c>
      <c r="AV163" s="15">
        <f t="shared" ref="AV163" si="11516">IF(InfBel2LevelCurrent&gt;=$B163,"-",IF(InfBel2LevelDesired&lt;$B163,"-",$C163))</f>
        <v>5300</v>
      </c>
      <c r="AW163" s="1" t="str">
        <f t="shared" ref="AW163" si="11517">IF(InfBel2LevelCurrent&gt;=$B163,"-",IF(InfBel2LevelDesired&lt;$B163,"-",$D163))</f>
        <v>-</v>
      </c>
      <c r="AX163" s="21" t="str">
        <f t="shared" ref="AX163" si="11518">IF(InfBel2LevelCurrent&gt;=$B163,"-",IF(InfBel2LevelDesired&lt;$B163,"-",$E163))</f>
        <v>-</v>
      </c>
      <c r="AY163" s="15" t="str">
        <f t="shared" ref="AY163" si="11519">IF(InfBoo2LevelCurrent&gt;=$B163,"-",IF(InfBoo2LevelDesired&lt;$B163,"-",$C163))</f>
        <v>-</v>
      </c>
      <c r="AZ163" s="1" t="str">
        <f t="shared" ref="AZ163" si="11520">IF(InfBoo2LevelCurrent&gt;=$B163,"-",IF(InfBoo2LevelDesired&lt;$B163,"-",$D163))</f>
        <v>-</v>
      </c>
      <c r="BA163" s="21" t="str">
        <f t="shared" ref="BA163" si="11521">IF(InfBoo2LevelCurrent&gt;=$B163,"-",IF(InfBoo2LevelDesired&lt;$B163,"-",$E163))</f>
        <v>-</v>
      </c>
      <c r="BB163" s="15">
        <f t="shared" ref="BB163" si="11522">IF(LanGog2LevelCurrent&gt;=$B163,"-",IF(LanGog2LevelDesired&lt;$B163,"-",$C163))</f>
        <v>5300</v>
      </c>
      <c r="BC163" s="1" t="str">
        <f t="shared" ref="BC163" si="11523">IF(LanGog2LevelCurrent&gt;=$B163,"-",IF(LanGog2LevelDesired&lt;$B163,"-",$D163))</f>
        <v>-</v>
      </c>
      <c r="BD163" s="21" t="str">
        <f t="shared" ref="BD163" si="11524">IF(LanGog2LevelCurrent&gt;=$B163,"-",IF(LanGog2LevelDesired&lt;$B163,"-",$E163))</f>
        <v>-</v>
      </c>
      <c r="BE163" s="15" t="str">
        <f t="shared" ref="BE163" si="11525">IF(LanGlo2LevelCurrent&gt;=$B163,"-",IF(LanGlo2LevelDesired&lt;$B163,"-",$C163))</f>
        <v>-</v>
      </c>
      <c r="BF163" s="1" t="str">
        <f t="shared" ref="BF163" si="11526">IF(LanGlo2LevelCurrent&gt;=$B163,"-",IF(LanGlo2LevelDesired&lt;$B163,"-",$D163))</f>
        <v>-</v>
      </c>
      <c r="BG163" s="21" t="str">
        <f t="shared" ref="BG163" si="11527">IF(LanGlo2LevelCurrent&gt;=$B163,"-",IF(LanGlo2LevelDesired&lt;$B163,"-",$E163))</f>
        <v>-</v>
      </c>
      <c r="BH163" s="15" t="str">
        <f t="shared" ref="BH163" si="11528">IF(LanBel2LevelCurrent&gt;=$B163,"-",IF(LanBel2LevelDesired&lt;$B163,"-",$C163))</f>
        <v>-</v>
      </c>
      <c r="BI163" s="1" t="str">
        <f t="shared" ref="BI163" si="11529">IF(LanBel2LevelCurrent&gt;=$B163,"-",IF(LanBel2LevelDesired&lt;$B163,"-",$D163))</f>
        <v>-</v>
      </c>
      <c r="BJ163" s="21" t="str">
        <f t="shared" ref="BJ163" si="11530">IF(LanBel2LevelCurrent&gt;=$B163,"-",IF(LanBel2LevelDesired&lt;$B163,"-",$E163))</f>
        <v>-</v>
      </c>
      <c r="BK163" s="15">
        <f t="shared" ref="BK163" si="11531">IF(LanBoo2LevelCurrent&gt;=$B163,"-",IF(LanBoo2LevelDesired&lt;$B163,"-",$C163))</f>
        <v>5300</v>
      </c>
      <c r="BL163" s="1" t="str">
        <f t="shared" ref="BL163" si="11532">IF(LanBoo2LevelCurrent&gt;=$B163,"-",IF(LanBoo2LevelDesired&lt;$B163,"-",$D163))</f>
        <v>-</v>
      </c>
      <c r="BM163" s="21" t="str">
        <f t="shared" ref="BM163" si="11533">IF(LanBoo2LevelCurrent&gt;=$B163,"-",IF(LanBoo2LevelDesired&lt;$B163,"-",$E163))</f>
        <v>-</v>
      </c>
      <c r="BN163" s="15">
        <f t="shared" ref="BN163" si="11534">IF(MarGog2LevelCurrent&gt;=$B163,"-",IF(MarGog2LevelDesired&lt;$B163,"-",$C163))</f>
        <v>5300</v>
      </c>
      <c r="BO163" s="1" t="str">
        <f t="shared" ref="BO163" si="11535">IF(MarGog2LevelCurrent&gt;=$B163,"-",IF(MarGog2LevelDesired&lt;$B163,"-",$D163))</f>
        <v>-</v>
      </c>
      <c r="BP163" s="21" t="str">
        <f t="shared" ref="BP163" si="11536">IF(MarGog2LevelCurrent&gt;=$B163,"-",IF(MarGog2LevelDesired&lt;$B163,"-",$E163))</f>
        <v>-</v>
      </c>
      <c r="BQ163" s="15" t="str">
        <f t="shared" ref="BQ163" si="11537">IF(MarGlo2LevelCurrent&gt;=$B163,"-",IF(MarGlo2LevelDesired&lt;$B163,"-",$C163))</f>
        <v>-</v>
      </c>
      <c r="BR163" s="1" t="str">
        <f t="shared" ref="BR163" si="11538">IF(MarGlo2LevelCurrent&gt;=$B163,"-",IF(MarGlo2LevelDesired&lt;$B163,"-",$D163))</f>
        <v>-</v>
      </c>
      <c r="BS163" s="21" t="str">
        <f t="shared" ref="BS163" si="11539">IF(MarGlo2LevelCurrent&gt;=$B163,"-",IF(MarGlo2LevelDesired&lt;$B163,"-",$E163))</f>
        <v>-</v>
      </c>
      <c r="BT163" s="15" t="str">
        <f t="shared" ref="BT163" si="11540">IF(MarBel2LevelCurrent&gt;=$B163,"-",IF(MarBel2LevelDesired&lt;$B163,"-",$C163))</f>
        <v>-</v>
      </c>
      <c r="BU163" s="1" t="str">
        <f t="shared" ref="BU163" si="11541">IF(MarBel2LevelCurrent&gt;=$B163,"-",IF(MarBel2LevelDesired&lt;$B163,"-",$D163))</f>
        <v>-</v>
      </c>
      <c r="BV163" s="21" t="str">
        <f t="shared" ref="BV163" si="11542">IF(MarBel2LevelCurrent&gt;=$B163,"-",IF(MarBel2LevelDesired&lt;$B163,"-",$E163))</f>
        <v>-</v>
      </c>
      <c r="BW163" s="15">
        <f t="shared" ref="BW163" si="11543">IF(MarBoo2LevelCurrent&gt;=$B163,"-",IF(MarBoo2LevelDesired&lt;$B163,"-",$C163))</f>
        <v>5300</v>
      </c>
      <c r="BX163" s="1" t="str">
        <f t="shared" ref="BX163" si="11544">IF(MarBoo2LevelCurrent&gt;=$B163,"-",IF(MarBoo2LevelDesired&lt;$B163,"-",$D163))</f>
        <v>-</v>
      </c>
      <c r="BY163" s="21" t="str">
        <f t="shared" ref="BY163" si="11545">IF(MarBoo2LevelCurrent&gt;=$B163,"-",IF(MarBoo2LevelDesired&lt;$B163,"-",$E163))</f>
        <v>-</v>
      </c>
      <c r="BZ163" s="15" t="str">
        <f t="shared" si="9424"/>
        <v>-</v>
      </c>
      <c r="CA163" s="1" t="str" cm="1">
        <f t="array" ref="CA163">IF(InfGog3LevelCurrent&gt;=$B163,"-",IF(InfGog3LevelDesired&lt;$B163,"-",$D163))</f>
        <v>-</v>
      </c>
      <c r="CB163" s="21" t="str" cm="1">
        <f t="array" ref="CB163">IF(InfGog3LevelCurrent&gt;=$B163,"-",IF(InfGog3LevelDesired&lt;$B163,"-",$E163))</f>
        <v>-</v>
      </c>
      <c r="CC163" s="15" t="str">
        <f t="shared" si="9425"/>
        <v>-</v>
      </c>
      <c r="CD163" s="1" t="str">
        <f t="shared" si="9426"/>
        <v>-</v>
      </c>
      <c r="CE163" s="21" t="str">
        <f t="shared" si="9427"/>
        <v>-</v>
      </c>
      <c r="CF163" s="15" t="str">
        <f t="shared" si="9428"/>
        <v>-</v>
      </c>
      <c r="CG163" s="1" t="str">
        <f t="shared" si="9429"/>
        <v>-</v>
      </c>
      <c r="CH163" s="21" t="str">
        <f t="shared" si="9430"/>
        <v>-</v>
      </c>
      <c r="CI163" s="15" t="str">
        <f t="shared" si="9431"/>
        <v>-</v>
      </c>
      <c r="CJ163" s="1" t="str">
        <f t="shared" si="9432"/>
        <v>-</v>
      </c>
      <c r="CK163" s="21" t="str">
        <f t="shared" si="9433"/>
        <v>-</v>
      </c>
      <c r="CL163" s="15" t="str">
        <f t="shared" si="9434"/>
        <v>-</v>
      </c>
      <c r="CM163" s="1" t="str">
        <f t="shared" si="9435"/>
        <v>-</v>
      </c>
      <c r="CN163" s="21" t="str">
        <f t="shared" si="9436"/>
        <v>-</v>
      </c>
      <c r="CO163" s="15" t="str">
        <f t="shared" si="9437"/>
        <v>-</v>
      </c>
      <c r="CP163" s="1" t="str">
        <f t="shared" si="9438"/>
        <v>-</v>
      </c>
      <c r="CQ163" s="21" t="str">
        <f t="shared" si="9439"/>
        <v>-</v>
      </c>
      <c r="CR163" s="15" t="str">
        <f t="shared" si="9440"/>
        <v>-</v>
      </c>
      <c r="CS163" s="1" t="str">
        <f t="shared" si="9441"/>
        <v>-</v>
      </c>
      <c r="CT163" s="21" t="str">
        <f t="shared" si="9442"/>
        <v>-</v>
      </c>
      <c r="CU163" s="15" t="str">
        <f t="shared" si="9443"/>
        <v>-</v>
      </c>
      <c r="CV163" s="1" t="str">
        <f t="shared" si="9444"/>
        <v>-</v>
      </c>
      <c r="CW163" s="21" t="str">
        <f t="shared" si="9445"/>
        <v>-</v>
      </c>
      <c r="CX163" s="15" t="str">
        <f t="shared" si="9446"/>
        <v>-</v>
      </c>
      <c r="CY163" s="1" t="str">
        <f t="shared" si="9447"/>
        <v>-</v>
      </c>
      <c r="CZ163" s="21" t="str">
        <f t="shared" si="9448"/>
        <v>-</v>
      </c>
      <c r="DA163" s="15" t="str">
        <f t="shared" si="9449"/>
        <v>-</v>
      </c>
      <c r="DB163" s="1" t="str">
        <f t="shared" si="9450"/>
        <v>-</v>
      </c>
      <c r="DC163" s="21" t="str">
        <f t="shared" si="9451"/>
        <v>-</v>
      </c>
      <c r="DD163" s="15" t="str">
        <f t="shared" si="9452"/>
        <v>-</v>
      </c>
      <c r="DE163" s="1" t="str">
        <f t="shared" si="9453"/>
        <v>-</v>
      </c>
      <c r="DF163" s="21" t="str">
        <f t="shared" si="9454"/>
        <v>-</v>
      </c>
      <c r="DG163" s="15" t="str">
        <f t="shared" si="9455"/>
        <v>-</v>
      </c>
      <c r="DH163" s="1" t="str">
        <f t="shared" si="9456"/>
        <v>-</v>
      </c>
      <c r="DI163" s="21" t="str">
        <f t="shared" si="9457"/>
        <v>-</v>
      </c>
    </row>
    <row r="164" spans="2:113" x14ac:dyDescent="0.3">
      <c r="B164" s="1">
        <v>159</v>
      </c>
      <c r="C164" s="67">
        <v>5350</v>
      </c>
      <c r="D164" s="88" t="s">
        <v>27</v>
      </c>
      <c r="E164" s="68" t="s">
        <v>27</v>
      </c>
      <c r="F164" s="15" t="str">
        <f t="shared" ref="F164" si="11546">IF(InfGog1LevelCurrent&gt;=$B164,"-",IF(InfGog1LevelDesired&lt;$B164,"-",$C164))</f>
        <v>-</v>
      </c>
      <c r="G164" s="1" t="str">
        <f t="shared" ref="G164" si="11547">IF(InfGog1LevelCurrent&gt;=$B164,"-",IF(InfGog1LevelDesired&lt;$B164,"-",$D164))</f>
        <v>-</v>
      </c>
      <c r="H164" s="21" t="str">
        <f t="shared" ref="H164" si="11548">IF(InfGog1LevelCurrent&gt;=$B164,"-",IF(InfGog1LevelDesired&lt;$B164,"-",$E164))</f>
        <v>-</v>
      </c>
      <c r="I164" s="15" t="str">
        <f t="shared" ref="I164" si="11549">IF(InfGlo1LevelCurrent&gt;=$B164,"-",IF(InfGlo1LevelDesired&lt;$B164,"-",$C164))</f>
        <v>-</v>
      </c>
      <c r="J164" s="1" t="str">
        <f t="shared" ref="J164" si="11550">IF(InfGlo1LevelCurrent&gt;=$B164,"-",IF(InfGlo1LevelDesired&lt;$B164,"-",$D164))</f>
        <v>-</v>
      </c>
      <c r="K164" s="21" t="str">
        <f t="shared" ref="K164" si="11551">IF(InfGlo1LevelCurrent&gt;=$B164,"-",IF(InfGlo1LevelDesired&lt;$B164,"-",$E164))</f>
        <v>-</v>
      </c>
      <c r="L164" s="15" t="str">
        <f t="shared" ref="L164" si="11552">IF(InfBel1LevelCurrent&gt;=$B164,"-",IF(InfBel1LevelDesired&lt;$B164,"-",$C164))</f>
        <v>-</v>
      </c>
      <c r="M164" s="1" t="str">
        <f t="shared" ref="M164" si="11553">IF(InfBel1LevelCurrent&gt;=$B164,"-",IF(InfBel1LevelDesired&lt;$B164,"-",$D164))</f>
        <v>-</v>
      </c>
      <c r="N164" s="21" t="str">
        <f t="shared" ref="N164" si="11554">IF(InfBel1LevelCurrent&gt;=$B164,"-",IF(InfBel1LevelDesired&lt;$B164,"-",$E164))</f>
        <v>-</v>
      </c>
      <c r="O164" s="15" t="str">
        <f t="shared" ref="O164" si="11555">IF(InfBoo1LevelCurrent&gt;=$B164,"-",IF(InfBoo1LevelDesired&lt;$B164,"-",$C164))</f>
        <v>-</v>
      </c>
      <c r="P164" s="1" t="str">
        <f t="shared" ref="P164" si="11556">IF(InfBoo1LevelCurrent&gt;=$B164,"-",IF(InfBoo1LevelDesired&lt;$B164,"-",$D164))</f>
        <v>-</v>
      </c>
      <c r="Q164" s="21" t="str">
        <f t="shared" ref="Q164" si="11557">IF(InfBoo1LevelCurrent&gt;=$B164,"-",IF(InfBoo1LevelDesired&lt;$B164,"-",$E164))</f>
        <v>-</v>
      </c>
      <c r="R164" s="15" t="str">
        <f t="shared" ref="R164" si="11558">IF(LanGog1LevelCurrent&gt;=$B164,"-",IF(LanGog1LevelDesired&lt;$B164,"-",$C164))</f>
        <v>-</v>
      </c>
      <c r="S164" s="1" t="str">
        <f t="shared" ref="S164" si="11559">IF(LanGog1LevelCurrent&gt;=$B164,"-",IF(LanGog1LevelDesired&lt;$B164,"-",$D164))</f>
        <v>-</v>
      </c>
      <c r="T164" s="21" t="str">
        <f t="shared" ref="T164" si="11560">IF(LanGog1LevelCurrent&gt;=$B164,"-",IF(LanGog1LevelDesired&lt;$B164,"-",$E164))</f>
        <v>-</v>
      </c>
      <c r="U164" s="15" t="str">
        <f t="shared" ref="U164" si="11561">IF(LanGlo1LevelCurrent&gt;=$B164,"-",IF(LanGlo1LevelDesired&lt;$B164,"-",$C164))</f>
        <v>-</v>
      </c>
      <c r="V164" s="1" t="str">
        <f t="shared" ref="V164" si="11562">IF(LanGlo1LevelCurrent&gt;=$B164,"-",IF(LanGlo1LevelDesired&lt;$B164,"-",$D164))</f>
        <v>-</v>
      </c>
      <c r="W164" s="21" t="str">
        <f t="shared" ref="W164" si="11563">IF(LanGlo1LevelCurrent&gt;=$B164,"-",IF(LanGlo1LevelDesired&lt;$B164,"-",$E164))</f>
        <v>-</v>
      </c>
      <c r="X164" s="15" t="str">
        <f t="shared" ref="X164" si="11564">IF(LanBel1LevelCurrent&gt;=$B164,"-",IF(LanBel1LevelDesired&lt;$B164,"-",$C164))</f>
        <v>-</v>
      </c>
      <c r="Y164" s="1" t="str">
        <f t="shared" ref="Y164" si="11565">IF(LanBel1LevelCurrent&gt;=$B164,"-",IF(LanBel1LevelDesired&lt;$B164,"-",$D164))</f>
        <v>-</v>
      </c>
      <c r="Z164" s="21" t="str">
        <f t="shared" ref="Z164" si="11566">IF(LanBel1LevelCurrent&gt;=$B164,"-",IF(LanBel1LevelDesired&lt;$B164,"-",$E164))</f>
        <v>-</v>
      </c>
      <c r="AA164" s="15" t="str">
        <f t="shared" ref="AA164" si="11567">IF(LanBoo1LevelCurrent&gt;=$B164,"-",IF(LanBoo1LevelDesired&lt;$B164,"-",$C164))</f>
        <v>-</v>
      </c>
      <c r="AB164" s="1" t="str">
        <f t="shared" ref="AB164" si="11568">IF(LanBoo1LevelCurrent&gt;=$B164,"-",IF(LanBoo1LevelDesired&lt;$B164,"-",$D164))</f>
        <v>-</v>
      </c>
      <c r="AC164" s="21" t="str">
        <f t="shared" ref="AC164" si="11569">IF(LanBoo1LevelCurrent&gt;=$B164,"-",IF(LanBoo1LevelDesired&lt;$B164,"-",$E164))</f>
        <v>-</v>
      </c>
      <c r="AD164" s="15" t="str">
        <f t="shared" ref="AD164" si="11570">IF(MarGog1LevelCurrent&gt;=$B164,"-",IF(MarGog1LevelDesired&lt;$B164,"-",$C164))</f>
        <v>-</v>
      </c>
      <c r="AE164" s="1" t="str">
        <f t="shared" ref="AE164" si="11571">IF(MarGog1LevelCurrent&gt;=$B164,"-",IF(MarGog1LevelDesired&lt;$B164,"-",$D164))</f>
        <v>-</v>
      </c>
      <c r="AF164" s="21" t="str">
        <f t="shared" ref="AF164" si="11572">IF(MarGog1LevelCurrent&gt;=$B164,"-",IF(MarGog1LevelDesired&lt;$B164,"-",$E164))</f>
        <v>-</v>
      </c>
      <c r="AG164" s="15" t="str">
        <f t="shared" ref="AG164" si="11573">IF(MarGlo1LevelCurrent&gt;=$B164,"-",IF(MarGlo1LevelDesired&lt;$B164,"-",$C164))</f>
        <v>-</v>
      </c>
      <c r="AH164" s="1" t="str">
        <f t="shared" ref="AH164" si="11574">IF(MarGlo1LevelCurrent&gt;=$B164,"-",IF(MarGlo1LevelDesired&lt;$B164,"-",$D164))</f>
        <v>-</v>
      </c>
      <c r="AI164" s="21" t="str">
        <f t="shared" ref="AI164" si="11575">IF(MarGlo1LevelCurrent&gt;=$B164,"-",IF(MarGlo1LevelDesired&lt;$B164,"-",$E164))</f>
        <v>-</v>
      </c>
      <c r="AJ164" s="15" t="str">
        <f t="shared" ref="AJ164" si="11576">IF(MarBel1LevelCurrent&gt;=$B164,"-",IF(MarBel1LevelDesired&lt;$B164,"-",$C164))</f>
        <v>-</v>
      </c>
      <c r="AK164" s="1" t="str">
        <f t="shared" ref="AK164" si="11577">IF(MarBel1LevelCurrent&gt;=$B164,"-",IF(MarBel1LevelDesired&lt;$B164,"-",$D164))</f>
        <v>-</v>
      </c>
      <c r="AL164" s="21" t="str">
        <f t="shared" ref="AL164" si="11578">IF(MarBel1LevelCurrent&gt;=$B164,"-",IF(MarBel1LevelDesired&lt;$B164,"-",$E164))</f>
        <v>-</v>
      </c>
      <c r="AM164" s="15" t="str">
        <f t="shared" ref="AM164" si="11579">IF(MarBoo1LevelCurrent&gt;=$B164,"-",IF(MarBoo1LevelDesired&lt;$B164,"-",$C164))</f>
        <v>-</v>
      </c>
      <c r="AN164" s="1" t="str">
        <f t="shared" ref="AN164" si="11580">IF(MarBoo1LevelCurrent&gt;=$B164,"-",IF(MarBoo1LevelDesired&lt;$B164,"-",$D164))</f>
        <v>-</v>
      </c>
      <c r="AO164" s="21" t="str">
        <f t="shared" ref="AO164" si="11581">IF(MarBoo1LevelCurrent&gt;=$B164,"-",IF(MarBoo1LevelDesired&lt;$B164,"-",$E164))</f>
        <v>-</v>
      </c>
      <c r="AP164" s="15" t="str">
        <f t="shared" ref="AP164" si="11582">IF(InfGog2LevelCurrent&gt;=$B164,"-",IF(InfGog2LevelDesired&lt;$B164,"-",$C164))</f>
        <v>-</v>
      </c>
      <c r="AQ164" s="1" t="str">
        <f t="shared" ref="AQ164" si="11583">IF(InfGog2LevelCurrent&gt;=$B164,"-",IF(InfGog2LevelDesired&lt;$B164,"-",$D164))</f>
        <v>-</v>
      </c>
      <c r="AR164" s="21" t="str">
        <f t="shared" ref="AR164" si="11584">IF(InfGog2LevelCurrent&gt;=$B164,"-",IF(InfGog2LevelDesired&lt;$B164,"-",$E164))</f>
        <v>-</v>
      </c>
      <c r="AS164" s="15">
        <f t="shared" ref="AS164" si="11585">IF(InfGlo2LevelCurrent&gt;=$B164,"-",IF(InfGlo2LevelDesired&lt;$B164,"-",$C164))</f>
        <v>5350</v>
      </c>
      <c r="AT164" s="1" t="str">
        <f t="shared" ref="AT164" si="11586">IF(InfGlo2LevelCurrent&gt;=$B164,"-",IF(InfGlo2LevelDesired&lt;$B164,"-",$D164))</f>
        <v>-</v>
      </c>
      <c r="AU164" s="21" t="str">
        <f t="shared" ref="AU164" si="11587">IF(InfGlo2LevelCurrent&gt;=$B164,"-",IF(InfGlo2LevelDesired&lt;$B164,"-",$E164))</f>
        <v>-</v>
      </c>
      <c r="AV164" s="15">
        <f t="shared" ref="AV164" si="11588">IF(InfBel2LevelCurrent&gt;=$B164,"-",IF(InfBel2LevelDesired&lt;$B164,"-",$C164))</f>
        <v>5350</v>
      </c>
      <c r="AW164" s="1" t="str">
        <f t="shared" ref="AW164" si="11589">IF(InfBel2LevelCurrent&gt;=$B164,"-",IF(InfBel2LevelDesired&lt;$B164,"-",$D164))</f>
        <v>-</v>
      </c>
      <c r="AX164" s="21" t="str">
        <f t="shared" ref="AX164" si="11590">IF(InfBel2LevelCurrent&gt;=$B164,"-",IF(InfBel2LevelDesired&lt;$B164,"-",$E164))</f>
        <v>-</v>
      </c>
      <c r="AY164" s="15" t="str">
        <f t="shared" ref="AY164" si="11591">IF(InfBoo2LevelCurrent&gt;=$B164,"-",IF(InfBoo2LevelDesired&lt;$B164,"-",$C164))</f>
        <v>-</v>
      </c>
      <c r="AZ164" s="1" t="str">
        <f t="shared" ref="AZ164" si="11592">IF(InfBoo2LevelCurrent&gt;=$B164,"-",IF(InfBoo2LevelDesired&lt;$B164,"-",$D164))</f>
        <v>-</v>
      </c>
      <c r="BA164" s="21" t="str">
        <f t="shared" ref="BA164" si="11593">IF(InfBoo2LevelCurrent&gt;=$B164,"-",IF(InfBoo2LevelDesired&lt;$B164,"-",$E164))</f>
        <v>-</v>
      </c>
      <c r="BB164" s="15">
        <f t="shared" ref="BB164" si="11594">IF(LanGog2LevelCurrent&gt;=$B164,"-",IF(LanGog2LevelDesired&lt;$B164,"-",$C164))</f>
        <v>5350</v>
      </c>
      <c r="BC164" s="1" t="str">
        <f t="shared" ref="BC164" si="11595">IF(LanGog2LevelCurrent&gt;=$B164,"-",IF(LanGog2LevelDesired&lt;$B164,"-",$D164))</f>
        <v>-</v>
      </c>
      <c r="BD164" s="21" t="str">
        <f t="shared" ref="BD164" si="11596">IF(LanGog2LevelCurrent&gt;=$B164,"-",IF(LanGog2LevelDesired&lt;$B164,"-",$E164))</f>
        <v>-</v>
      </c>
      <c r="BE164" s="15" t="str">
        <f t="shared" ref="BE164" si="11597">IF(LanGlo2LevelCurrent&gt;=$B164,"-",IF(LanGlo2LevelDesired&lt;$B164,"-",$C164))</f>
        <v>-</v>
      </c>
      <c r="BF164" s="1" t="str">
        <f t="shared" ref="BF164" si="11598">IF(LanGlo2LevelCurrent&gt;=$B164,"-",IF(LanGlo2LevelDesired&lt;$B164,"-",$D164))</f>
        <v>-</v>
      </c>
      <c r="BG164" s="21" t="str">
        <f t="shared" ref="BG164" si="11599">IF(LanGlo2LevelCurrent&gt;=$B164,"-",IF(LanGlo2LevelDesired&lt;$B164,"-",$E164))</f>
        <v>-</v>
      </c>
      <c r="BH164" s="15" t="str">
        <f t="shared" ref="BH164" si="11600">IF(LanBel2LevelCurrent&gt;=$B164,"-",IF(LanBel2LevelDesired&lt;$B164,"-",$C164))</f>
        <v>-</v>
      </c>
      <c r="BI164" s="1" t="str">
        <f t="shared" ref="BI164" si="11601">IF(LanBel2LevelCurrent&gt;=$B164,"-",IF(LanBel2LevelDesired&lt;$B164,"-",$D164))</f>
        <v>-</v>
      </c>
      <c r="BJ164" s="21" t="str">
        <f t="shared" ref="BJ164" si="11602">IF(LanBel2LevelCurrent&gt;=$B164,"-",IF(LanBel2LevelDesired&lt;$B164,"-",$E164))</f>
        <v>-</v>
      </c>
      <c r="BK164" s="15">
        <f t="shared" ref="BK164" si="11603">IF(LanBoo2LevelCurrent&gt;=$B164,"-",IF(LanBoo2LevelDesired&lt;$B164,"-",$C164))</f>
        <v>5350</v>
      </c>
      <c r="BL164" s="1" t="str">
        <f t="shared" ref="BL164" si="11604">IF(LanBoo2LevelCurrent&gt;=$B164,"-",IF(LanBoo2LevelDesired&lt;$B164,"-",$D164))</f>
        <v>-</v>
      </c>
      <c r="BM164" s="21" t="str">
        <f t="shared" ref="BM164" si="11605">IF(LanBoo2LevelCurrent&gt;=$B164,"-",IF(LanBoo2LevelDesired&lt;$B164,"-",$E164))</f>
        <v>-</v>
      </c>
      <c r="BN164" s="15">
        <f t="shared" ref="BN164" si="11606">IF(MarGog2LevelCurrent&gt;=$B164,"-",IF(MarGog2LevelDesired&lt;$B164,"-",$C164))</f>
        <v>5350</v>
      </c>
      <c r="BO164" s="1" t="str">
        <f t="shared" ref="BO164" si="11607">IF(MarGog2LevelCurrent&gt;=$B164,"-",IF(MarGog2LevelDesired&lt;$B164,"-",$D164))</f>
        <v>-</v>
      </c>
      <c r="BP164" s="21" t="str">
        <f t="shared" ref="BP164" si="11608">IF(MarGog2LevelCurrent&gt;=$B164,"-",IF(MarGog2LevelDesired&lt;$B164,"-",$E164))</f>
        <v>-</v>
      </c>
      <c r="BQ164" s="15" t="str">
        <f t="shared" ref="BQ164" si="11609">IF(MarGlo2LevelCurrent&gt;=$B164,"-",IF(MarGlo2LevelDesired&lt;$B164,"-",$C164))</f>
        <v>-</v>
      </c>
      <c r="BR164" s="1" t="str">
        <f t="shared" ref="BR164" si="11610">IF(MarGlo2LevelCurrent&gt;=$B164,"-",IF(MarGlo2LevelDesired&lt;$B164,"-",$D164))</f>
        <v>-</v>
      </c>
      <c r="BS164" s="21" t="str">
        <f t="shared" ref="BS164" si="11611">IF(MarGlo2LevelCurrent&gt;=$B164,"-",IF(MarGlo2LevelDesired&lt;$B164,"-",$E164))</f>
        <v>-</v>
      </c>
      <c r="BT164" s="15" t="str">
        <f t="shared" ref="BT164" si="11612">IF(MarBel2LevelCurrent&gt;=$B164,"-",IF(MarBel2LevelDesired&lt;$B164,"-",$C164))</f>
        <v>-</v>
      </c>
      <c r="BU164" s="1" t="str">
        <f t="shared" ref="BU164" si="11613">IF(MarBel2LevelCurrent&gt;=$B164,"-",IF(MarBel2LevelDesired&lt;$B164,"-",$D164))</f>
        <v>-</v>
      </c>
      <c r="BV164" s="21" t="str">
        <f t="shared" ref="BV164" si="11614">IF(MarBel2LevelCurrent&gt;=$B164,"-",IF(MarBel2LevelDesired&lt;$B164,"-",$E164))</f>
        <v>-</v>
      </c>
      <c r="BW164" s="15">
        <f t="shared" ref="BW164" si="11615">IF(MarBoo2LevelCurrent&gt;=$B164,"-",IF(MarBoo2LevelDesired&lt;$B164,"-",$C164))</f>
        <v>5350</v>
      </c>
      <c r="BX164" s="1" t="str">
        <f t="shared" ref="BX164" si="11616">IF(MarBoo2LevelCurrent&gt;=$B164,"-",IF(MarBoo2LevelDesired&lt;$B164,"-",$D164))</f>
        <v>-</v>
      </c>
      <c r="BY164" s="21" t="str">
        <f t="shared" ref="BY164" si="11617">IF(MarBoo2LevelCurrent&gt;=$B164,"-",IF(MarBoo2LevelDesired&lt;$B164,"-",$E164))</f>
        <v>-</v>
      </c>
      <c r="BZ164" s="15" t="str">
        <f t="shared" si="9424"/>
        <v>-</v>
      </c>
      <c r="CA164" s="1" t="str" cm="1">
        <f t="array" ref="CA164">IF(InfGog3LevelCurrent&gt;=$B164,"-",IF(InfGog3LevelDesired&lt;$B164,"-",$D164))</f>
        <v>-</v>
      </c>
      <c r="CB164" s="21" t="str" cm="1">
        <f t="array" ref="CB164">IF(InfGog3LevelCurrent&gt;=$B164,"-",IF(InfGog3LevelDesired&lt;$B164,"-",$E164))</f>
        <v>-</v>
      </c>
      <c r="CC164" s="15" t="str">
        <f t="shared" si="9425"/>
        <v>-</v>
      </c>
      <c r="CD164" s="1" t="str">
        <f t="shared" si="9426"/>
        <v>-</v>
      </c>
      <c r="CE164" s="21" t="str">
        <f t="shared" si="9427"/>
        <v>-</v>
      </c>
      <c r="CF164" s="15" t="str">
        <f t="shared" si="9428"/>
        <v>-</v>
      </c>
      <c r="CG164" s="1" t="str">
        <f t="shared" si="9429"/>
        <v>-</v>
      </c>
      <c r="CH164" s="21" t="str">
        <f t="shared" si="9430"/>
        <v>-</v>
      </c>
      <c r="CI164" s="15" t="str">
        <f t="shared" si="9431"/>
        <v>-</v>
      </c>
      <c r="CJ164" s="1" t="str">
        <f t="shared" si="9432"/>
        <v>-</v>
      </c>
      <c r="CK164" s="21" t="str">
        <f t="shared" si="9433"/>
        <v>-</v>
      </c>
      <c r="CL164" s="15" t="str">
        <f t="shared" si="9434"/>
        <v>-</v>
      </c>
      <c r="CM164" s="1" t="str">
        <f t="shared" si="9435"/>
        <v>-</v>
      </c>
      <c r="CN164" s="21" t="str">
        <f t="shared" si="9436"/>
        <v>-</v>
      </c>
      <c r="CO164" s="15" t="str">
        <f t="shared" si="9437"/>
        <v>-</v>
      </c>
      <c r="CP164" s="1" t="str">
        <f t="shared" si="9438"/>
        <v>-</v>
      </c>
      <c r="CQ164" s="21" t="str">
        <f t="shared" si="9439"/>
        <v>-</v>
      </c>
      <c r="CR164" s="15" t="str">
        <f t="shared" si="9440"/>
        <v>-</v>
      </c>
      <c r="CS164" s="1" t="str">
        <f t="shared" si="9441"/>
        <v>-</v>
      </c>
      <c r="CT164" s="21" t="str">
        <f t="shared" si="9442"/>
        <v>-</v>
      </c>
      <c r="CU164" s="15" t="str">
        <f t="shared" si="9443"/>
        <v>-</v>
      </c>
      <c r="CV164" s="1" t="str">
        <f t="shared" si="9444"/>
        <v>-</v>
      </c>
      <c r="CW164" s="21" t="str">
        <f t="shared" si="9445"/>
        <v>-</v>
      </c>
      <c r="CX164" s="15" t="str">
        <f t="shared" si="9446"/>
        <v>-</v>
      </c>
      <c r="CY164" s="1" t="str">
        <f t="shared" si="9447"/>
        <v>-</v>
      </c>
      <c r="CZ164" s="21" t="str">
        <f t="shared" si="9448"/>
        <v>-</v>
      </c>
      <c r="DA164" s="15" t="str">
        <f t="shared" si="9449"/>
        <v>-</v>
      </c>
      <c r="DB164" s="1" t="str">
        <f t="shared" si="9450"/>
        <v>-</v>
      </c>
      <c r="DC164" s="21" t="str">
        <f t="shared" si="9451"/>
        <v>-</v>
      </c>
      <c r="DD164" s="15" t="str">
        <f t="shared" si="9452"/>
        <v>-</v>
      </c>
      <c r="DE164" s="1" t="str">
        <f t="shared" si="9453"/>
        <v>-</v>
      </c>
      <c r="DF164" s="21" t="str">
        <f t="shared" si="9454"/>
        <v>-</v>
      </c>
      <c r="DG164" s="15" t="str">
        <f t="shared" si="9455"/>
        <v>-</v>
      </c>
      <c r="DH164" s="1" t="str">
        <f t="shared" si="9456"/>
        <v>-</v>
      </c>
      <c r="DI164" s="21" t="str">
        <f t="shared" si="9457"/>
        <v>-</v>
      </c>
    </row>
    <row r="165" spans="2:113" x14ac:dyDescent="0.3">
      <c r="B165" s="1">
        <v>160</v>
      </c>
      <c r="C165" s="67">
        <v>0</v>
      </c>
      <c r="D165" s="88">
        <v>5</v>
      </c>
      <c r="E165" s="68">
        <v>30</v>
      </c>
      <c r="F165" s="15" t="str">
        <f t="shared" ref="F165" si="11618">IF(InfGog1LevelCurrent&gt;=$B165,"-",IF(InfGog1LevelDesired&lt;$B165,"-",$C165))</f>
        <v>-</v>
      </c>
      <c r="G165" s="1" t="str">
        <f t="shared" ref="G165" si="11619">IF(InfGog1LevelCurrent&gt;=$B165,"-",IF(InfGog1LevelDesired&lt;$B165,"-",$D165))</f>
        <v>-</v>
      </c>
      <c r="H165" s="21" t="str">
        <f t="shared" ref="H165" si="11620">IF(InfGog1LevelCurrent&gt;=$B165,"-",IF(InfGog1LevelDesired&lt;$B165,"-",$E165))</f>
        <v>-</v>
      </c>
      <c r="I165" s="15" t="str">
        <f t="shared" ref="I165" si="11621">IF(InfGlo1LevelCurrent&gt;=$B165,"-",IF(InfGlo1LevelDesired&lt;$B165,"-",$C165))</f>
        <v>-</v>
      </c>
      <c r="J165" s="1" t="str">
        <f t="shared" ref="J165" si="11622">IF(InfGlo1LevelCurrent&gt;=$B165,"-",IF(InfGlo1LevelDesired&lt;$B165,"-",$D165))</f>
        <v>-</v>
      </c>
      <c r="K165" s="21" t="str">
        <f t="shared" ref="K165" si="11623">IF(InfGlo1LevelCurrent&gt;=$B165,"-",IF(InfGlo1LevelDesired&lt;$B165,"-",$E165))</f>
        <v>-</v>
      </c>
      <c r="L165" s="15" t="str">
        <f t="shared" ref="L165" si="11624">IF(InfBel1LevelCurrent&gt;=$B165,"-",IF(InfBel1LevelDesired&lt;$B165,"-",$C165))</f>
        <v>-</v>
      </c>
      <c r="M165" s="1" t="str">
        <f t="shared" ref="M165" si="11625">IF(InfBel1LevelCurrent&gt;=$B165,"-",IF(InfBel1LevelDesired&lt;$B165,"-",$D165))</f>
        <v>-</v>
      </c>
      <c r="N165" s="21" t="str">
        <f t="shared" ref="N165" si="11626">IF(InfBel1LevelCurrent&gt;=$B165,"-",IF(InfBel1LevelDesired&lt;$B165,"-",$E165))</f>
        <v>-</v>
      </c>
      <c r="O165" s="15" t="str">
        <f t="shared" ref="O165" si="11627">IF(InfBoo1LevelCurrent&gt;=$B165,"-",IF(InfBoo1LevelDesired&lt;$B165,"-",$C165))</f>
        <v>-</v>
      </c>
      <c r="P165" s="1" t="str">
        <f t="shared" ref="P165" si="11628">IF(InfBoo1LevelCurrent&gt;=$B165,"-",IF(InfBoo1LevelDesired&lt;$B165,"-",$D165))</f>
        <v>-</v>
      </c>
      <c r="Q165" s="21" t="str">
        <f t="shared" ref="Q165" si="11629">IF(InfBoo1LevelCurrent&gt;=$B165,"-",IF(InfBoo1LevelDesired&lt;$B165,"-",$E165))</f>
        <v>-</v>
      </c>
      <c r="R165" s="15" t="str">
        <f t="shared" ref="R165" si="11630">IF(LanGog1LevelCurrent&gt;=$B165,"-",IF(LanGog1LevelDesired&lt;$B165,"-",$C165))</f>
        <v>-</v>
      </c>
      <c r="S165" s="1" t="str">
        <f t="shared" ref="S165" si="11631">IF(LanGog1LevelCurrent&gt;=$B165,"-",IF(LanGog1LevelDesired&lt;$B165,"-",$D165))</f>
        <v>-</v>
      </c>
      <c r="T165" s="21" t="str">
        <f t="shared" ref="T165" si="11632">IF(LanGog1LevelCurrent&gt;=$B165,"-",IF(LanGog1LevelDesired&lt;$B165,"-",$E165))</f>
        <v>-</v>
      </c>
      <c r="U165" s="15" t="str">
        <f t="shared" ref="U165" si="11633">IF(LanGlo1LevelCurrent&gt;=$B165,"-",IF(LanGlo1LevelDesired&lt;$B165,"-",$C165))</f>
        <v>-</v>
      </c>
      <c r="V165" s="1" t="str">
        <f t="shared" ref="V165" si="11634">IF(LanGlo1LevelCurrent&gt;=$B165,"-",IF(LanGlo1LevelDesired&lt;$B165,"-",$D165))</f>
        <v>-</v>
      </c>
      <c r="W165" s="21" t="str">
        <f t="shared" ref="W165" si="11635">IF(LanGlo1LevelCurrent&gt;=$B165,"-",IF(LanGlo1LevelDesired&lt;$B165,"-",$E165))</f>
        <v>-</v>
      </c>
      <c r="X165" s="15" t="str">
        <f t="shared" ref="X165" si="11636">IF(LanBel1LevelCurrent&gt;=$B165,"-",IF(LanBel1LevelDesired&lt;$B165,"-",$C165))</f>
        <v>-</v>
      </c>
      <c r="Y165" s="1" t="str">
        <f t="shared" ref="Y165" si="11637">IF(LanBel1LevelCurrent&gt;=$B165,"-",IF(LanBel1LevelDesired&lt;$B165,"-",$D165))</f>
        <v>-</v>
      </c>
      <c r="Z165" s="21" t="str">
        <f t="shared" ref="Z165" si="11638">IF(LanBel1LevelCurrent&gt;=$B165,"-",IF(LanBel1LevelDesired&lt;$B165,"-",$E165))</f>
        <v>-</v>
      </c>
      <c r="AA165" s="15" t="str">
        <f t="shared" ref="AA165" si="11639">IF(LanBoo1LevelCurrent&gt;=$B165,"-",IF(LanBoo1LevelDesired&lt;$B165,"-",$C165))</f>
        <v>-</v>
      </c>
      <c r="AB165" s="1" t="str">
        <f t="shared" ref="AB165" si="11640">IF(LanBoo1LevelCurrent&gt;=$B165,"-",IF(LanBoo1LevelDesired&lt;$B165,"-",$D165))</f>
        <v>-</v>
      </c>
      <c r="AC165" s="21" t="str">
        <f t="shared" ref="AC165" si="11641">IF(LanBoo1LevelCurrent&gt;=$B165,"-",IF(LanBoo1LevelDesired&lt;$B165,"-",$E165))</f>
        <v>-</v>
      </c>
      <c r="AD165" s="15" t="str">
        <f t="shared" ref="AD165" si="11642">IF(MarGog1LevelCurrent&gt;=$B165,"-",IF(MarGog1LevelDesired&lt;$B165,"-",$C165))</f>
        <v>-</v>
      </c>
      <c r="AE165" s="1" t="str">
        <f t="shared" ref="AE165" si="11643">IF(MarGog1LevelCurrent&gt;=$B165,"-",IF(MarGog1LevelDesired&lt;$B165,"-",$D165))</f>
        <v>-</v>
      </c>
      <c r="AF165" s="21" t="str">
        <f t="shared" ref="AF165" si="11644">IF(MarGog1LevelCurrent&gt;=$B165,"-",IF(MarGog1LevelDesired&lt;$B165,"-",$E165))</f>
        <v>-</v>
      </c>
      <c r="AG165" s="15" t="str">
        <f t="shared" ref="AG165" si="11645">IF(MarGlo1LevelCurrent&gt;=$B165,"-",IF(MarGlo1LevelDesired&lt;$B165,"-",$C165))</f>
        <v>-</v>
      </c>
      <c r="AH165" s="1" t="str">
        <f t="shared" ref="AH165" si="11646">IF(MarGlo1LevelCurrent&gt;=$B165,"-",IF(MarGlo1LevelDesired&lt;$B165,"-",$D165))</f>
        <v>-</v>
      </c>
      <c r="AI165" s="21" t="str">
        <f t="shared" ref="AI165" si="11647">IF(MarGlo1LevelCurrent&gt;=$B165,"-",IF(MarGlo1LevelDesired&lt;$B165,"-",$E165))</f>
        <v>-</v>
      </c>
      <c r="AJ165" s="15" t="str">
        <f t="shared" ref="AJ165" si="11648">IF(MarBel1LevelCurrent&gt;=$B165,"-",IF(MarBel1LevelDesired&lt;$B165,"-",$C165))</f>
        <v>-</v>
      </c>
      <c r="AK165" s="1" t="str">
        <f t="shared" ref="AK165" si="11649">IF(MarBel1LevelCurrent&gt;=$B165,"-",IF(MarBel1LevelDesired&lt;$B165,"-",$D165))</f>
        <v>-</v>
      </c>
      <c r="AL165" s="21" t="str">
        <f t="shared" ref="AL165" si="11650">IF(MarBel1LevelCurrent&gt;=$B165,"-",IF(MarBel1LevelDesired&lt;$B165,"-",$E165))</f>
        <v>-</v>
      </c>
      <c r="AM165" s="15" t="str">
        <f t="shared" ref="AM165" si="11651">IF(MarBoo1LevelCurrent&gt;=$B165,"-",IF(MarBoo1LevelDesired&lt;$B165,"-",$C165))</f>
        <v>-</v>
      </c>
      <c r="AN165" s="1" t="str">
        <f t="shared" ref="AN165" si="11652">IF(MarBoo1LevelCurrent&gt;=$B165,"-",IF(MarBoo1LevelDesired&lt;$B165,"-",$D165))</f>
        <v>-</v>
      </c>
      <c r="AO165" s="21" t="str">
        <f t="shared" ref="AO165" si="11653">IF(MarBoo1LevelCurrent&gt;=$B165,"-",IF(MarBoo1LevelDesired&lt;$B165,"-",$E165))</f>
        <v>-</v>
      </c>
      <c r="AP165" s="15" t="str">
        <f t="shared" ref="AP165" si="11654">IF(InfGog2LevelCurrent&gt;=$B165,"-",IF(InfGog2LevelDesired&lt;$B165,"-",$C165))</f>
        <v>-</v>
      </c>
      <c r="AQ165" s="1" t="str">
        <f t="shared" ref="AQ165" si="11655">IF(InfGog2LevelCurrent&gt;=$B165,"-",IF(InfGog2LevelDesired&lt;$B165,"-",$D165))</f>
        <v>-</v>
      </c>
      <c r="AR165" s="21" t="str">
        <f t="shared" ref="AR165" si="11656">IF(InfGog2LevelCurrent&gt;=$B165,"-",IF(InfGog2LevelDesired&lt;$B165,"-",$E165))</f>
        <v>-</v>
      </c>
      <c r="AS165" s="15" t="str">
        <f t="shared" ref="AS165" si="11657">IF(InfGlo2LevelCurrent&gt;=$B165,"-",IF(InfGlo2LevelDesired&lt;$B165,"-",$C165))</f>
        <v>-</v>
      </c>
      <c r="AT165" s="1" t="str">
        <f t="shared" ref="AT165" si="11658">IF(InfGlo2LevelCurrent&gt;=$B165,"-",IF(InfGlo2LevelDesired&lt;$B165,"-",$D165))</f>
        <v>-</v>
      </c>
      <c r="AU165" s="21" t="str">
        <f t="shared" ref="AU165" si="11659">IF(InfGlo2LevelCurrent&gt;=$B165,"-",IF(InfGlo2LevelDesired&lt;$B165,"-",$E165))</f>
        <v>-</v>
      </c>
      <c r="AV165" s="15" t="str">
        <f t="shared" ref="AV165" si="11660">IF(InfBel2LevelCurrent&gt;=$B165,"-",IF(InfBel2LevelDesired&lt;$B165,"-",$C165))</f>
        <v>-</v>
      </c>
      <c r="AW165" s="1" t="str">
        <f t="shared" ref="AW165" si="11661">IF(InfBel2LevelCurrent&gt;=$B165,"-",IF(InfBel2LevelDesired&lt;$B165,"-",$D165))</f>
        <v>-</v>
      </c>
      <c r="AX165" s="21" t="str">
        <f t="shared" ref="AX165" si="11662">IF(InfBel2LevelCurrent&gt;=$B165,"-",IF(InfBel2LevelDesired&lt;$B165,"-",$E165))</f>
        <v>-</v>
      </c>
      <c r="AY165" s="15" t="str">
        <f t="shared" ref="AY165" si="11663">IF(InfBoo2LevelCurrent&gt;=$B165,"-",IF(InfBoo2LevelDesired&lt;$B165,"-",$C165))</f>
        <v>-</v>
      </c>
      <c r="AZ165" s="1" t="str">
        <f t="shared" ref="AZ165" si="11664">IF(InfBoo2LevelCurrent&gt;=$B165,"-",IF(InfBoo2LevelDesired&lt;$B165,"-",$D165))</f>
        <v>-</v>
      </c>
      <c r="BA165" s="21" t="str">
        <f t="shared" ref="BA165" si="11665">IF(InfBoo2LevelCurrent&gt;=$B165,"-",IF(InfBoo2LevelDesired&lt;$B165,"-",$E165))</f>
        <v>-</v>
      </c>
      <c r="BB165" s="15" t="str">
        <f t="shared" ref="BB165" si="11666">IF(LanGog2LevelCurrent&gt;=$B165,"-",IF(LanGog2LevelDesired&lt;$B165,"-",$C165))</f>
        <v>-</v>
      </c>
      <c r="BC165" s="1" t="str">
        <f t="shared" ref="BC165" si="11667">IF(LanGog2LevelCurrent&gt;=$B165,"-",IF(LanGog2LevelDesired&lt;$B165,"-",$D165))</f>
        <v>-</v>
      </c>
      <c r="BD165" s="21" t="str">
        <f t="shared" ref="BD165" si="11668">IF(LanGog2LevelCurrent&gt;=$B165,"-",IF(LanGog2LevelDesired&lt;$B165,"-",$E165))</f>
        <v>-</v>
      </c>
      <c r="BE165" s="15" t="str">
        <f t="shared" ref="BE165" si="11669">IF(LanGlo2LevelCurrent&gt;=$B165,"-",IF(LanGlo2LevelDesired&lt;$B165,"-",$C165))</f>
        <v>-</v>
      </c>
      <c r="BF165" s="1" t="str">
        <f t="shared" ref="BF165" si="11670">IF(LanGlo2LevelCurrent&gt;=$B165,"-",IF(LanGlo2LevelDesired&lt;$B165,"-",$D165))</f>
        <v>-</v>
      </c>
      <c r="BG165" s="21" t="str">
        <f t="shared" ref="BG165" si="11671">IF(LanGlo2LevelCurrent&gt;=$B165,"-",IF(LanGlo2LevelDesired&lt;$B165,"-",$E165))</f>
        <v>-</v>
      </c>
      <c r="BH165" s="15" t="str">
        <f t="shared" ref="BH165" si="11672">IF(LanBel2LevelCurrent&gt;=$B165,"-",IF(LanBel2LevelDesired&lt;$B165,"-",$C165))</f>
        <v>-</v>
      </c>
      <c r="BI165" s="1" t="str">
        <f t="shared" ref="BI165" si="11673">IF(LanBel2LevelCurrent&gt;=$B165,"-",IF(LanBel2LevelDesired&lt;$B165,"-",$D165))</f>
        <v>-</v>
      </c>
      <c r="BJ165" s="21" t="str">
        <f t="shared" ref="BJ165" si="11674">IF(LanBel2LevelCurrent&gt;=$B165,"-",IF(LanBel2LevelDesired&lt;$B165,"-",$E165))</f>
        <v>-</v>
      </c>
      <c r="BK165" s="15" t="str">
        <f t="shared" ref="BK165" si="11675">IF(LanBoo2LevelCurrent&gt;=$B165,"-",IF(LanBoo2LevelDesired&lt;$B165,"-",$C165))</f>
        <v>-</v>
      </c>
      <c r="BL165" s="1" t="str">
        <f t="shared" ref="BL165" si="11676">IF(LanBoo2LevelCurrent&gt;=$B165,"-",IF(LanBoo2LevelDesired&lt;$B165,"-",$D165))</f>
        <v>-</v>
      </c>
      <c r="BM165" s="21" t="str">
        <f t="shared" ref="BM165" si="11677">IF(LanBoo2LevelCurrent&gt;=$B165,"-",IF(LanBoo2LevelDesired&lt;$B165,"-",$E165))</f>
        <v>-</v>
      </c>
      <c r="BN165" s="15" t="str">
        <f t="shared" ref="BN165" si="11678">IF(MarGog2LevelCurrent&gt;=$B165,"-",IF(MarGog2LevelDesired&lt;$B165,"-",$C165))</f>
        <v>-</v>
      </c>
      <c r="BO165" s="1" t="str">
        <f t="shared" ref="BO165" si="11679">IF(MarGog2LevelCurrent&gt;=$B165,"-",IF(MarGog2LevelDesired&lt;$B165,"-",$D165))</f>
        <v>-</v>
      </c>
      <c r="BP165" s="21" t="str">
        <f t="shared" ref="BP165" si="11680">IF(MarGog2LevelCurrent&gt;=$B165,"-",IF(MarGog2LevelDesired&lt;$B165,"-",$E165))</f>
        <v>-</v>
      </c>
      <c r="BQ165" s="15" t="str">
        <f t="shared" ref="BQ165" si="11681">IF(MarGlo2LevelCurrent&gt;=$B165,"-",IF(MarGlo2LevelDesired&lt;$B165,"-",$C165))</f>
        <v>-</v>
      </c>
      <c r="BR165" s="1" t="str">
        <f t="shared" ref="BR165" si="11682">IF(MarGlo2LevelCurrent&gt;=$B165,"-",IF(MarGlo2LevelDesired&lt;$B165,"-",$D165))</f>
        <v>-</v>
      </c>
      <c r="BS165" s="21" t="str">
        <f t="shared" ref="BS165" si="11683">IF(MarGlo2LevelCurrent&gt;=$B165,"-",IF(MarGlo2LevelDesired&lt;$B165,"-",$E165))</f>
        <v>-</v>
      </c>
      <c r="BT165" s="15" t="str">
        <f t="shared" ref="BT165" si="11684">IF(MarBel2LevelCurrent&gt;=$B165,"-",IF(MarBel2LevelDesired&lt;$B165,"-",$C165))</f>
        <v>-</v>
      </c>
      <c r="BU165" s="1" t="str">
        <f t="shared" ref="BU165" si="11685">IF(MarBel2LevelCurrent&gt;=$B165,"-",IF(MarBel2LevelDesired&lt;$B165,"-",$D165))</f>
        <v>-</v>
      </c>
      <c r="BV165" s="21" t="str">
        <f t="shared" ref="BV165" si="11686">IF(MarBel2LevelCurrent&gt;=$B165,"-",IF(MarBel2LevelDesired&lt;$B165,"-",$E165))</f>
        <v>-</v>
      </c>
      <c r="BW165" s="15" t="str">
        <f t="shared" ref="BW165" si="11687">IF(MarBoo2LevelCurrent&gt;=$B165,"-",IF(MarBoo2LevelDesired&lt;$B165,"-",$C165))</f>
        <v>-</v>
      </c>
      <c r="BX165" s="1" t="str">
        <f t="shared" ref="BX165" si="11688">IF(MarBoo2LevelCurrent&gt;=$B165,"-",IF(MarBoo2LevelDesired&lt;$B165,"-",$D165))</f>
        <v>-</v>
      </c>
      <c r="BY165" s="21" t="str">
        <f t="shared" ref="BY165" si="11689">IF(MarBoo2LevelCurrent&gt;=$B165,"-",IF(MarBoo2LevelDesired&lt;$B165,"-",$E165))</f>
        <v>-</v>
      </c>
      <c r="BZ165" s="15" t="str">
        <f t="shared" si="9424"/>
        <v>-</v>
      </c>
      <c r="CA165" s="1" t="str" cm="1">
        <f t="array" ref="CA165">IF(InfGog3LevelCurrent&gt;=$B165,"-",IF(InfGog3LevelDesired&lt;$B165,"-",$D165))</f>
        <v>-</v>
      </c>
      <c r="CB165" s="21" t="str" cm="1">
        <f t="array" ref="CB165">IF(InfGog3LevelCurrent&gt;=$B165,"-",IF(InfGog3LevelDesired&lt;$B165,"-",$E165))</f>
        <v>-</v>
      </c>
      <c r="CC165" s="15" t="str">
        <f t="shared" si="9425"/>
        <v>-</v>
      </c>
      <c r="CD165" s="1" t="str">
        <f t="shared" si="9426"/>
        <v>-</v>
      </c>
      <c r="CE165" s="21" t="str">
        <f t="shared" si="9427"/>
        <v>-</v>
      </c>
      <c r="CF165" s="15" t="str">
        <f t="shared" si="9428"/>
        <v>-</v>
      </c>
      <c r="CG165" s="1" t="str">
        <f t="shared" si="9429"/>
        <v>-</v>
      </c>
      <c r="CH165" s="21" t="str">
        <f t="shared" si="9430"/>
        <v>-</v>
      </c>
      <c r="CI165" s="15" t="str">
        <f t="shared" si="9431"/>
        <v>-</v>
      </c>
      <c r="CJ165" s="1" t="str">
        <f t="shared" si="9432"/>
        <v>-</v>
      </c>
      <c r="CK165" s="21" t="str">
        <f t="shared" si="9433"/>
        <v>-</v>
      </c>
      <c r="CL165" s="15" t="str">
        <f t="shared" si="9434"/>
        <v>-</v>
      </c>
      <c r="CM165" s="1" t="str">
        <f t="shared" si="9435"/>
        <v>-</v>
      </c>
      <c r="CN165" s="21" t="str">
        <f t="shared" si="9436"/>
        <v>-</v>
      </c>
      <c r="CO165" s="15" t="str">
        <f t="shared" si="9437"/>
        <v>-</v>
      </c>
      <c r="CP165" s="1" t="str">
        <f t="shared" si="9438"/>
        <v>-</v>
      </c>
      <c r="CQ165" s="21" t="str">
        <f t="shared" si="9439"/>
        <v>-</v>
      </c>
      <c r="CR165" s="15" t="str">
        <f t="shared" si="9440"/>
        <v>-</v>
      </c>
      <c r="CS165" s="1" t="str">
        <f t="shared" si="9441"/>
        <v>-</v>
      </c>
      <c r="CT165" s="21" t="str">
        <f t="shared" si="9442"/>
        <v>-</v>
      </c>
      <c r="CU165" s="15" t="str">
        <f t="shared" si="9443"/>
        <v>-</v>
      </c>
      <c r="CV165" s="1" t="str">
        <f t="shared" si="9444"/>
        <v>-</v>
      </c>
      <c r="CW165" s="21" t="str">
        <f t="shared" si="9445"/>
        <v>-</v>
      </c>
      <c r="CX165" s="15" t="str">
        <f t="shared" si="9446"/>
        <v>-</v>
      </c>
      <c r="CY165" s="1" t="str">
        <f t="shared" si="9447"/>
        <v>-</v>
      </c>
      <c r="CZ165" s="21" t="str">
        <f t="shared" si="9448"/>
        <v>-</v>
      </c>
      <c r="DA165" s="15" t="str">
        <f t="shared" si="9449"/>
        <v>-</v>
      </c>
      <c r="DB165" s="1" t="str">
        <f t="shared" si="9450"/>
        <v>-</v>
      </c>
      <c r="DC165" s="21" t="str">
        <f t="shared" si="9451"/>
        <v>-</v>
      </c>
      <c r="DD165" s="15" t="str">
        <f t="shared" si="9452"/>
        <v>-</v>
      </c>
      <c r="DE165" s="1" t="str">
        <f t="shared" si="9453"/>
        <v>-</v>
      </c>
      <c r="DF165" s="21" t="str">
        <f t="shared" si="9454"/>
        <v>-</v>
      </c>
      <c r="DG165" s="15" t="str">
        <f t="shared" si="9455"/>
        <v>-</v>
      </c>
      <c r="DH165" s="1" t="str">
        <f t="shared" si="9456"/>
        <v>-</v>
      </c>
      <c r="DI165" s="21" t="str">
        <f t="shared" si="9457"/>
        <v>-</v>
      </c>
    </row>
    <row r="166" spans="2:113" x14ac:dyDescent="0.3">
      <c r="B166" s="1">
        <v>161</v>
      </c>
      <c r="C166" s="67">
        <v>5500</v>
      </c>
      <c r="D166" s="88" t="s">
        <v>27</v>
      </c>
      <c r="E166" s="68" t="s">
        <v>27</v>
      </c>
      <c r="F166" s="15" t="str">
        <f t="shared" ref="F166" si="11690">IF(InfGog1LevelCurrent&gt;=$B166,"-",IF(InfGog1LevelDesired&lt;$B166,"-",$C166))</f>
        <v>-</v>
      </c>
      <c r="G166" s="1" t="str">
        <f t="shared" ref="G166" si="11691">IF(InfGog1LevelCurrent&gt;=$B166,"-",IF(InfGog1LevelDesired&lt;$B166,"-",$D166))</f>
        <v>-</v>
      </c>
      <c r="H166" s="21" t="str">
        <f t="shared" ref="H166" si="11692">IF(InfGog1LevelCurrent&gt;=$B166,"-",IF(InfGog1LevelDesired&lt;$B166,"-",$E166))</f>
        <v>-</v>
      </c>
      <c r="I166" s="15" t="str">
        <f t="shared" ref="I166" si="11693">IF(InfGlo1LevelCurrent&gt;=$B166,"-",IF(InfGlo1LevelDesired&lt;$B166,"-",$C166))</f>
        <v>-</v>
      </c>
      <c r="J166" s="1" t="str">
        <f t="shared" ref="J166" si="11694">IF(InfGlo1LevelCurrent&gt;=$B166,"-",IF(InfGlo1LevelDesired&lt;$B166,"-",$D166))</f>
        <v>-</v>
      </c>
      <c r="K166" s="21" t="str">
        <f t="shared" ref="K166" si="11695">IF(InfGlo1LevelCurrent&gt;=$B166,"-",IF(InfGlo1LevelDesired&lt;$B166,"-",$E166))</f>
        <v>-</v>
      </c>
      <c r="L166" s="15" t="str">
        <f t="shared" ref="L166" si="11696">IF(InfBel1LevelCurrent&gt;=$B166,"-",IF(InfBel1LevelDesired&lt;$B166,"-",$C166))</f>
        <v>-</v>
      </c>
      <c r="M166" s="1" t="str">
        <f t="shared" ref="M166" si="11697">IF(InfBel1LevelCurrent&gt;=$B166,"-",IF(InfBel1LevelDesired&lt;$B166,"-",$D166))</f>
        <v>-</v>
      </c>
      <c r="N166" s="21" t="str">
        <f t="shared" ref="N166" si="11698">IF(InfBel1LevelCurrent&gt;=$B166,"-",IF(InfBel1LevelDesired&lt;$B166,"-",$E166))</f>
        <v>-</v>
      </c>
      <c r="O166" s="15" t="str">
        <f t="shared" ref="O166" si="11699">IF(InfBoo1LevelCurrent&gt;=$B166,"-",IF(InfBoo1LevelDesired&lt;$B166,"-",$C166))</f>
        <v>-</v>
      </c>
      <c r="P166" s="1" t="str">
        <f t="shared" ref="P166" si="11700">IF(InfBoo1LevelCurrent&gt;=$B166,"-",IF(InfBoo1LevelDesired&lt;$B166,"-",$D166))</f>
        <v>-</v>
      </c>
      <c r="Q166" s="21" t="str">
        <f t="shared" ref="Q166" si="11701">IF(InfBoo1LevelCurrent&gt;=$B166,"-",IF(InfBoo1LevelDesired&lt;$B166,"-",$E166))</f>
        <v>-</v>
      </c>
      <c r="R166" s="15" t="str">
        <f t="shared" ref="R166" si="11702">IF(LanGog1LevelCurrent&gt;=$B166,"-",IF(LanGog1LevelDesired&lt;$B166,"-",$C166))</f>
        <v>-</v>
      </c>
      <c r="S166" s="1" t="str">
        <f t="shared" ref="S166" si="11703">IF(LanGog1LevelCurrent&gt;=$B166,"-",IF(LanGog1LevelDesired&lt;$B166,"-",$D166))</f>
        <v>-</v>
      </c>
      <c r="T166" s="21" t="str">
        <f t="shared" ref="T166" si="11704">IF(LanGog1LevelCurrent&gt;=$B166,"-",IF(LanGog1LevelDesired&lt;$B166,"-",$E166))</f>
        <v>-</v>
      </c>
      <c r="U166" s="15" t="str">
        <f t="shared" ref="U166" si="11705">IF(LanGlo1LevelCurrent&gt;=$B166,"-",IF(LanGlo1LevelDesired&lt;$B166,"-",$C166))</f>
        <v>-</v>
      </c>
      <c r="V166" s="1" t="str">
        <f t="shared" ref="V166" si="11706">IF(LanGlo1LevelCurrent&gt;=$B166,"-",IF(LanGlo1LevelDesired&lt;$B166,"-",$D166))</f>
        <v>-</v>
      </c>
      <c r="W166" s="21" t="str">
        <f t="shared" ref="W166" si="11707">IF(LanGlo1LevelCurrent&gt;=$B166,"-",IF(LanGlo1LevelDesired&lt;$B166,"-",$E166))</f>
        <v>-</v>
      </c>
      <c r="X166" s="15" t="str">
        <f t="shared" ref="X166" si="11708">IF(LanBel1LevelCurrent&gt;=$B166,"-",IF(LanBel1LevelDesired&lt;$B166,"-",$C166))</f>
        <v>-</v>
      </c>
      <c r="Y166" s="1" t="str">
        <f t="shared" ref="Y166" si="11709">IF(LanBel1LevelCurrent&gt;=$B166,"-",IF(LanBel1LevelDesired&lt;$B166,"-",$D166))</f>
        <v>-</v>
      </c>
      <c r="Z166" s="21" t="str">
        <f t="shared" ref="Z166" si="11710">IF(LanBel1LevelCurrent&gt;=$B166,"-",IF(LanBel1LevelDesired&lt;$B166,"-",$E166))</f>
        <v>-</v>
      </c>
      <c r="AA166" s="15" t="str">
        <f t="shared" ref="AA166" si="11711">IF(LanBoo1LevelCurrent&gt;=$B166,"-",IF(LanBoo1LevelDesired&lt;$B166,"-",$C166))</f>
        <v>-</v>
      </c>
      <c r="AB166" s="1" t="str">
        <f t="shared" ref="AB166" si="11712">IF(LanBoo1LevelCurrent&gt;=$B166,"-",IF(LanBoo1LevelDesired&lt;$B166,"-",$D166))</f>
        <v>-</v>
      </c>
      <c r="AC166" s="21" t="str">
        <f t="shared" ref="AC166" si="11713">IF(LanBoo1LevelCurrent&gt;=$B166,"-",IF(LanBoo1LevelDesired&lt;$B166,"-",$E166))</f>
        <v>-</v>
      </c>
      <c r="AD166" s="15" t="str">
        <f t="shared" ref="AD166" si="11714">IF(MarGog1LevelCurrent&gt;=$B166,"-",IF(MarGog1LevelDesired&lt;$B166,"-",$C166))</f>
        <v>-</v>
      </c>
      <c r="AE166" s="1" t="str">
        <f t="shared" ref="AE166" si="11715">IF(MarGog1LevelCurrent&gt;=$B166,"-",IF(MarGog1LevelDesired&lt;$B166,"-",$D166))</f>
        <v>-</v>
      </c>
      <c r="AF166" s="21" t="str">
        <f t="shared" ref="AF166" si="11716">IF(MarGog1LevelCurrent&gt;=$B166,"-",IF(MarGog1LevelDesired&lt;$B166,"-",$E166))</f>
        <v>-</v>
      </c>
      <c r="AG166" s="15" t="str">
        <f t="shared" ref="AG166" si="11717">IF(MarGlo1LevelCurrent&gt;=$B166,"-",IF(MarGlo1LevelDesired&lt;$B166,"-",$C166))</f>
        <v>-</v>
      </c>
      <c r="AH166" s="1" t="str">
        <f t="shared" ref="AH166" si="11718">IF(MarGlo1LevelCurrent&gt;=$B166,"-",IF(MarGlo1LevelDesired&lt;$B166,"-",$D166))</f>
        <v>-</v>
      </c>
      <c r="AI166" s="21" t="str">
        <f t="shared" ref="AI166" si="11719">IF(MarGlo1LevelCurrent&gt;=$B166,"-",IF(MarGlo1LevelDesired&lt;$B166,"-",$E166))</f>
        <v>-</v>
      </c>
      <c r="AJ166" s="15" t="str">
        <f t="shared" ref="AJ166" si="11720">IF(MarBel1LevelCurrent&gt;=$B166,"-",IF(MarBel1LevelDesired&lt;$B166,"-",$C166))</f>
        <v>-</v>
      </c>
      <c r="AK166" s="1" t="str">
        <f t="shared" ref="AK166" si="11721">IF(MarBel1LevelCurrent&gt;=$B166,"-",IF(MarBel1LevelDesired&lt;$B166,"-",$D166))</f>
        <v>-</v>
      </c>
      <c r="AL166" s="21" t="str">
        <f t="shared" ref="AL166" si="11722">IF(MarBel1LevelCurrent&gt;=$B166,"-",IF(MarBel1LevelDesired&lt;$B166,"-",$E166))</f>
        <v>-</v>
      </c>
      <c r="AM166" s="15" t="str">
        <f t="shared" ref="AM166" si="11723">IF(MarBoo1LevelCurrent&gt;=$B166,"-",IF(MarBoo1LevelDesired&lt;$B166,"-",$C166))</f>
        <v>-</v>
      </c>
      <c r="AN166" s="1" t="str">
        <f t="shared" ref="AN166" si="11724">IF(MarBoo1LevelCurrent&gt;=$B166,"-",IF(MarBoo1LevelDesired&lt;$B166,"-",$D166))</f>
        <v>-</v>
      </c>
      <c r="AO166" s="21" t="str">
        <f t="shared" ref="AO166" si="11725">IF(MarBoo1LevelCurrent&gt;=$B166,"-",IF(MarBoo1LevelDesired&lt;$B166,"-",$E166))</f>
        <v>-</v>
      </c>
      <c r="AP166" s="15" t="str">
        <f t="shared" ref="AP166" si="11726">IF(InfGog2LevelCurrent&gt;=$B166,"-",IF(InfGog2LevelDesired&lt;$B166,"-",$C166))</f>
        <v>-</v>
      </c>
      <c r="AQ166" s="1" t="str">
        <f t="shared" ref="AQ166" si="11727">IF(InfGog2LevelCurrent&gt;=$B166,"-",IF(InfGog2LevelDesired&lt;$B166,"-",$D166))</f>
        <v>-</v>
      </c>
      <c r="AR166" s="21" t="str">
        <f t="shared" ref="AR166" si="11728">IF(InfGog2LevelCurrent&gt;=$B166,"-",IF(InfGog2LevelDesired&lt;$B166,"-",$E166))</f>
        <v>-</v>
      </c>
      <c r="AS166" s="15" t="str">
        <f t="shared" ref="AS166" si="11729">IF(InfGlo2LevelCurrent&gt;=$B166,"-",IF(InfGlo2LevelDesired&lt;$B166,"-",$C166))</f>
        <v>-</v>
      </c>
      <c r="AT166" s="1" t="str">
        <f t="shared" ref="AT166" si="11730">IF(InfGlo2LevelCurrent&gt;=$B166,"-",IF(InfGlo2LevelDesired&lt;$B166,"-",$D166))</f>
        <v>-</v>
      </c>
      <c r="AU166" s="21" t="str">
        <f t="shared" ref="AU166" si="11731">IF(InfGlo2LevelCurrent&gt;=$B166,"-",IF(InfGlo2LevelDesired&lt;$B166,"-",$E166))</f>
        <v>-</v>
      </c>
      <c r="AV166" s="15" t="str">
        <f t="shared" ref="AV166" si="11732">IF(InfBel2LevelCurrent&gt;=$B166,"-",IF(InfBel2LevelDesired&lt;$B166,"-",$C166))</f>
        <v>-</v>
      </c>
      <c r="AW166" s="1" t="str">
        <f t="shared" ref="AW166" si="11733">IF(InfBel2LevelCurrent&gt;=$B166,"-",IF(InfBel2LevelDesired&lt;$B166,"-",$D166))</f>
        <v>-</v>
      </c>
      <c r="AX166" s="21" t="str">
        <f t="shared" ref="AX166" si="11734">IF(InfBel2LevelCurrent&gt;=$B166,"-",IF(InfBel2LevelDesired&lt;$B166,"-",$E166))</f>
        <v>-</v>
      </c>
      <c r="AY166" s="15" t="str">
        <f t="shared" ref="AY166" si="11735">IF(InfBoo2LevelCurrent&gt;=$B166,"-",IF(InfBoo2LevelDesired&lt;$B166,"-",$C166))</f>
        <v>-</v>
      </c>
      <c r="AZ166" s="1" t="str">
        <f t="shared" ref="AZ166" si="11736">IF(InfBoo2LevelCurrent&gt;=$B166,"-",IF(InfBoo2LevelDesired&lt;$B166,"-",$D166))</f>
        <v>-</v>
      </c>
      <c r="BA166" s="21" t="str">
        <f t="shared" ref="BA166" si="11737">IF(InfBoo2LevelCurrent&gt;=$B166,"-",IF(InfBoo2LevelDesired&lt;$B166,"-",$E166))</f>
        <v>-</v>
      </c>
      <c r="BB166" s="15" t="str">
        <f t="shared" ref="BB166" si="11738">IF(LanGog2LevelCurrent&gt;=$B166,"-",IF(LanGog2LevelDesired&lt;$B166,"-",$C166))</f>
        <v>-</v>
      </c>
      <c r="BC166" s="1" t="str">
        <f t="shared" ref="BC166" si="11739">IF(LanGog2LevelCurrent&gt;=$B166,"-",IF(LanGog2LevelDesired&lt;$B166,"-",$D166))</f>
        <v>-</v>
      </c>
      <c r="BD166" s="21" t="str">
        <f t="shared" ref="BD166" si="11740">IF(LanGog2LevelCurrent&gt;=$B166,"-",IF(LanGog2LevelDesired&lt;$B166,"-",$E166))</f>
        <v>-</v>
      </c>
      <c r="BE166" s="15" t="str">
        <f t="shared" ref="BE166" si="11741">IF(LanGlo2LevelCurrent&gt;=$B166,"-",IF(LanGlo2LevelDesired&lt;$B166,"-",$C166))</f>
        <v>-</v>
      </c>
      <c r="BF166" s="1" t="str">
        <f t="shared" ref="BF166" si="11742">IF(LanGlo2LevelCurrent&gt;=$B166,"-",IF(LanGlo2LevelDesired&lt;$B166,"-",$D166))</f>
        <v>-</v>
      </c>
      <c r="BG166" s="21" t="str">
        <f t="shared" ref="BG166" si="11743">IF(LanGlo2LevelCurrent&gt;=$B166,"-",IF(LanGlo2LevelDesired&lt;$B166,"-",$E166))</f>
        <v>-</v>
      </c>
      <c r="BH166" s="15" t="str">
        <f t="shared" ref="BH166" si="11744">IF(LanBel2LevelCurrent&gt;=$B166,"-",IF(LanBel2LevelDesired&lt;$B166,"-",$C166))</f>
        <v>-</v>
      </c>
      <c r="BI166" s="1" t="str">
        <f t="shared" ref="BI166" si="11745">IF(LanBel2LevelCurrent&gt;=$B166,"-",IF(LanBel2LevelDesired&lt;$B166,"-",$D166))</f>
        <v>-</v>
      </c>
      <c r="BJ166" s="21" t="str">
        <f t="shared" ref="BJ166" si="11746">IF(LanBel2LevelCurrent&gt;=$B166,"-",IF(LanBel2LevelDesired&lt;$B166,"-",$E166))</f>
        <v>-</v>
      </c>
      <c r="BK166" s="15" t="str">
        <f t="shared" ref="BK166" si="11747">IF(LanBoo2LevelCurrent&gt;=$B166,"-",IF(LanBoo2LevelDesired&lt;$B166,"-",$C166))</f>
        <v>-</v>
      </c>
      <c r="BL166" s="1" t="str">
        <f t="shared" ref="BL166" si="11748">IF(LanBoo2LevelCurrent&gt;=$B166,"-",IF(LanBoo2LevelDesired&lt;$B166,"-",$D166))</f>
        <v>-</v>
      </c>
      <c r="BM166" s="21" t="str">
        <f t="shared" ref="BM166" si="11749">IF(LanBoo2LevelCurrent&gt;=$B166,"-",IF(LanBoo2LevelDesired&lt;$B166,"-",$E166))</f>
        <v>-</v>
      </c>
      <c r="BN166" s="15" t="str">
        <f t="shared" ref="BN166" si="11750">IF(MarGog2LevelCurrent&gt;=$B166,"-",IF(MarGog2LevelDesired&lt;$B166,"-",$C166))</f>
        <v>-</v>
      </c>
      <c r="BO166" s="1" t="str">
        <f t="shared" ref="BO166" si="11751">IF(MarGog2LevelCurrent&gt;=$B166,"-",IF(MarGog2LevelDesired&lt;$B166,"-",$D166))</f>
        <v>-</v>
      </c>
      <c r="BP166" s="21" t="str">
        <f t="shared" ref="BP166" si="11752">IF(MarGog2LevelCurrent&gt;=$B166,"-",IF(MarGog2LevelDesired&lt;$B166,"-",$E166))</f>
        <v>-</v>
      </c>
      <c r="BQ166" s="15" t="str">
        <f t="shared" ref="BQ166" si="11753">IF(MarGlo2LevelCurrent&gt;=$B166,"-",IF(MarGlo2LevelDesired&lt;$B166,"-",$C166))</f>
        <v>-</v>
      </c>
      <c r="BR166" s="1" t="str">
        <f t="shared" ref="BR166" si="11754">IF(MarGlo2LevelCurrent&gt;=$B166,"-",IF(MarGlo2LevelDesired&lt;$B166,"-",$D166))</f>
        <v>-</v>
      </c>
      <c r="BS166" s="21" t="str">
        <f t="shared" ref="BS166" si="11755">IF(MarGlo2LevelCurrent&gt;=$B166,"-",IF(MarGlo2LevelDesired&lt;$B166,"-",$E166))</f>
        <v>-</v>
      </c>
      <c r="BT166" s="15" t="str">
        <f t="shared" ref="BT166" si="11756">IF(MarBel2LevelCurrent&gt;=$B166,"-",IF(MarBel2LevelDesired&lt;$B166,"-",$C166))</f>
        <v>-</v>
      </c>
      <c r="BU166" s="1" t="str">
        <f t="shared" ref="BU166" si="11757">IF(MarBel2LevelCurrent&gt;=$B166,"-",IF(MarBel2LevelDesired&lt;$B166,"-",$D166))</f>
        <v>-</v>
      </c>
      <c r="BV166" s="21" t="str">
        <f t="shared" ref="BV166" si="11758">IF(MarBel2LevelCurrent&gt;=$B166,"-",IF(MarBel2LevelDesired&lt;$B166,"-",$E166))</f>
        <v>-</v>
      </c>
      <c r="BW166" s="15" t="str">
        <f t="shared" ref="BW166" si="11759">IF(MarBoo2LevelCurrent&gt;=$B166,"-",IF(MarBoo2LevelDesired&lt;$B166,"-",$C166))</f>
        <v>-</v>
      </c>
      <c r="BX166" s="1" t="str">
        <f t="shared" ref="BX166" si="11760">IF(MarBoo2LevelCurrent&gt;=$B166,"-",IF(MarBoo2LevelDesired&lt;$B166,"-",$D166))</f>
        <v>-</v>
      </c>
      <c r="BY166" s="21" t="str">
        <f t="shared" ref="BY166" si="11761">IF(MarBoo2LevelCurrent&gt;=$B166,"-",IF(MarBoo2LevelDesired&lt;$B166,"-",$E166))</f>
        <v>-</v>
      </c>
      <c r="BZ166" s="15" t="str">
        <f t="shared" ref="BZ166:BZ197" si="11762">IF(InfGog3LevelCurrent&gt;=$B166,"-",IF(InfGog3LevelDesired&lt;$B166,"-",$C166))</f>
        <v>-</v>
      </c>
      <c r="CA166" s="1" t="str" cm="1">
        <f t="array" ref="CA166">IF(InfGog3LevelCurrent&gt;=$B166,"-",IF(InfGog3LevelDesired&lt;$B166,"-",$D166))</f>
        <v>-</v>
      </c>
      <c r="CB166" s="21" t="str" cm="1">
        <f t="array" ref="CB166">IF(InfGog3LevelCurrent&gt;=$B166,"-",IF(InfGog3LevelDesired&lt;$B166,"-",$E166))</f>
        <v>-</v>
      </c>
      <c r="CC166" s="15" t="str">
        <f t="shared" ref="CC166:CC197" si="11763">IF(InfGlo3LevelCurrent&gt;=$B166,"-",IF(InfGlo3LevelDesired&lt;$B166,"-",$C166))</f>
        <v>-</v>
      </c>
      <c r="CD166" s="1" t="str">
        <f t="shared" ref="CD166:CD197" si="11764">IF(InfGlo3LevelCurrent&gt;=$B166,"-",IF(InfGlo3LevelDesired&lt;$B166,"-",$D166))</f>
        <v>-</v>
      </c>
      <c r="CE166" s="21" t="str">
        <f t="shared" ref="CE166:CE197" si="11765">IF(InfGlo3LevelCurrent&gt;=$B166,"-",IF(InfGlo3LevelDesired&lt;$B166,"-",$E166))</f>
        <v>-</v>
      </c>
      <c r="CF166" s="15" t="str">
        <f t="shared" ref="CF166:CF197" si="11766">IF(InfBel3LevelCurrent&gt;=$B166,"-",IF(InfBel3LevelDesired&lt;$B166,"-",$C166))</f>
        <v>-</v>
      </c>
      <c r="CG166" s="1" t="str">
        <f t="shared" ref="CG166:CG197" si="11767">IF(InfBel3LevelCurrent&gt;=$B166,"-",IF(InfBel3LevelDesired&lt;$B166,"-",$D166))</f>
        <v>-</v>
      </c>
      <c r="CH166" s="21" t="str">
        <f t="shared" ref="CH166:CH197" si="11768">IF(InfBel3LevelCurrent&gt;=$B166,"-",IF(InfBel3LevelDesired&lt;$B166,"-",$E166))</f>
        <v>-</v>
      </c>
      <c r="CI166" s="15" t="str">
        <f t="shared" ref="CI166:CI197" si="11769">IF(InfBoo3LevelCurrent&gt;=$B166,"-",IF(InfBoo3LevelDesired&lt;$B166,"-",$C166))</f>
        <v>-</v>
      </c>
      <c r="CJ166" s="1" t="str">
        <f t="shared" ref="CJ166:CJ197" si="11770">IF(InfBoo3LevelCurrent&gt;=$B166,"-",IF(InfBoo3LevelDesired&lt;$B166,"-",$D166))</f>
        <v>-</v>
      </c>
      <c r="CK166" s="21" t="str">
        <f t="shared" ref="CK166:CK197" si="11771">IF(InfBoo3LevelCurrent&gt;=$B166,"-",IF(InfBoo3LevelDesired&lt;$B166,"-",$E166))</f>
        <v>-</v>
      </c>
      <c r="CL166" s="15" t="str">
        <f t="shared" ref="CL166:CL197" si="11772">IF(LanGog3LevelCurrent&gt;=$B166,"-",IF(LanGog3LevelDesired&lt;$B166,"-",$C166))</f>
        <v>-</v>
      </c>
      <c r="CM166" s="1" t="str">
        <f t="shared" ref="CM166:CM197" si="11773">IF(LanGog3LevelCurrent&gt;=$B166,"-",IF(LanGog3LevelDesired&lt;$B166,"-",$D166))</f>
        <v>-</v>
      </c>
      <c r="CN166" s="21" t="str">
        <f t="shared" ref="CN166:CN197" si="11774">IF(LanGog3LevelCurrent&gt;=$B166,"-",IF(LanGog3LevelDesired&lt;$B166,"-",$E166))</f>
        <v>-</v>
      </c>
      <c r="CO166" s="15" t="str">
        <f t="shared" ref="CO166:CO197" si="11775">IF(LanGlo3LevelCurrent&gt;=$B166,"-",IF(LanGlo3LevelDesired&lt;$B166,"-",$C166))</f>
        <v>-</v>
      </c>
      <c r="CP166" s="1" t="str">
        <f t="shared" ref="CP166:CP197" si="11776">IF(LanGlo3LevelCurrent&gt;=$B166,"-",IF(LanGlo3LevelDesired&lt;$B166,"-",$D166))</f>
        <v>-</v>
      </c>
      <c r="CQ166" s="21" t="str">
        <f t="shared" ref="CQ166:CQ197" si="11777">IF(LanGlo3LevelCurrent&gt;=$B166,"-",IF(LanGlo3LevelDesired&lt;$B166,"-",$E166))</f>
        <v>-</v>
      </c>
      <c r="CR166" s="15" t="str">
        <f t="shared" ref="CR166:CR197" si="11778">IF(LanBel3LevelCurrent&gt;=$B166,"-",IF(LanBel3LevelDesired&lt;$B166,"-",$C166))</f>
        <v>-</v>
      </c>
      <c r="CS166" s="1" t="str">
        <f t="shared" ref="CS166:CS197" si="11779">IF(LanBel3LevelCurrent&gt;=$B166,"-",IF(LanBel3LevelDesired&lt;$B166,"-",$D166))</f>
        <v>-</v>
      </c>
      <c r="CT166" s="21" t="str">
        <f t="shared" ref="CT166:CT197" si="11780">IF(LanBel3LevelCurrent&gt;=$B166,"-",IF(LanBel3LevelDesired&lt;$B166,"-",$E166))</f>
        <v>-</v>
      </c>
      <c r="CU166" s="15" t="str">
        <f t="shared" ref="CU166:CU197" si="11781">IF(LanBoo3LevelCurrent&gt;=$B166,"-",IF(LanBoo3LevelDesired&lt;$B166,"-",$C166))</f>
        <v>-</v>
      </c>
      <c r="CV166" s="1" t="str">
        <f t="shared" ref="CV166:CV197" si="11782">IF(LanBoo3LevelCurrent&gt;=$B166,"-",IF(LanBoo3LevelDesired&lt;$B166,"-",$D166))</f>
        <v>-</v>
      </c>
      <c r="CW166" s="21" t="str">
        <f t="shared" ref="CW166:CW197" si="11783">IF(LanBoo3LevelCurrent&gt;=$B166,"-",IF(LanBoo3LevelDesired&lt;$B166,"-",$E166))</f>
        <v>-</v>
      </c>
      <c r="CX166" s="15" t="str">
        <f t="shared" ref="CX166:CX197" si="11784">IF(MarGog3LevelCurrent&gt;=$B166,"-",IF(MarGog3LevelDesired&lt;$B166,"-",$C166))</f>
        <v>-</v>
      </c>
      <c r="CY166" s="1" t="str">
        <f t="shared" ref="CY166:CY197" si="11785">IF(MarGog3LevelCurrent&gt;=$B166,"-",IF(MarGog3LevelDesired&lt;$B166,"-",$D166))</f>
        <v>-</v>
      </c>
      <c r="CZ166" s="21" t="str">
        <f t="shared" ref="CZ166:CZ197" si="11786">IF(MarGog3LevelCurrent&gt;=$B166,"-",IF(MarGog3LevelDesired&lt;$B166,"-",$E166))</f>
        <v>-</v>
      </c>
      <c r="DA166" s="15" t="str">
        <f t="shared" ref="DA166:DA197" si="11787">IF(MarGlo3LevelCurrent&gt;=$B166,"-",IF(MarGlo3LevelDesired&lt;$B166,"-",$C166))</f>
        <v>-</v>
      </c>
      <c r="DB166" s="1" t="str">
        <f t="shared" ref="DB166:DB197" si="11788">IF(MarGlo3LevelCurrent&gt;=$B166,"-",IF(MarGlo3LevelDesired&lt;$B166,"-",$D166))</f>
        <v>-</v>
      </c>
      <c r="DC166" s="21" t="str">
        <f t="shared" ref="DC166:DC197" si="11789">IF(MarGlo3LevelCurrent&gt;=$B166,"-",IF(MarGlo3LevelDesired&lt;$B166,"-",$E166))</f>
        <v>-</v>
      </c>
      <c r="DD166" s="15" t="str">
        <f t="shared" ref="DD166:DD197" si="11790">IF(MarBel3LevelCurrent&gt;=$B166,"-",IF(MarBel3LevelDesired&lt;$B166,"-",$C166))</f>
        <v>-</v>
      </c>
      <c r="DE166" s="1" t="str">
        <f t="shared" ref="DE166:DE197" si="11791">IF(MarBel3LevelCurrent&gt;=$B166,"-",IF(MarBel3LevelDesired&lt;$B166,"-",$D166))</f>
        <v>-</v>
      </c>
      <c r="DF166" s="21" t="str">
        <f t="shared" ref="DF166:DF197" si="11792">IF(MarBel3LevelCurrent&gt;=$B166,"-",IF(MarBel3LevelDesired&lt;$B166,"-",$E166))</f>
        <v>-</v>
      </c>
      <c r="DG166" s="15" t="str">
        <f t="shared" ref="DG166:DG197" si="11793">IF(MarBoo3LevelCurrent&gt;=$B166,"-",IF(MarBoo3LevelDesired&lt;$B166,"-",$C166))</f>
        <v>-</v>
      </c>
      <c r="DH166" s="1" t="str">
        <f t="shared" ref="DH166:DH197" si="11794">IF(MarBoo3LevelCurrent&gt;=$B166,"-",IF(MarBoo3LevelDesired&lt;$B166,"-",$D166))</f>
        <v>-</v>
      </c>
      <c r="DI166" s="21" t="str">
        <f t="shared" ref="DI166:DI197" si="11795">IF(MarBoo3LevelCurrent&gt;=$B166,"-",IF(MarBoo3LevelDesired&lt;$B166,"-",$E166))</f>
        <v>-</v>
      </c>
    </row>
    <row r="167" spans="2:113" x14ac:dyDescent="0.3">
      <c r="B167" s="1">
        <v>162</v>
      </c>
      <c r="C167" s="67">
        <v>5600</v>
      </c>
      <c r="D167" s="88" t="s">
        <v>27</v>
      </c>
      <c r="E167" s="68" t="s">
        <v>27</v>
      </c>
      <c r="F167" s="15" t="str">
        <f t="shared" ref="F167" si="11796">IF(InfGog1LevelCurrent&gt;=$B167,"-",IF(InfGog1LevelDesired&lt;$B167,"-",$C167))</f>
        <v>-</v>
      </c>
      <c r="G167" s="1" t="str">
        <f t="shared" ref="G167" si="11797">IF(InfGog1LevelCurrent&gt;=$B167,"-",IF(InfGog1LevelDesired&lt;$B167,"-",$D167))</f>
        <v>-</v>
      </c>
      <c r="H167" s="21" t="str">
        <f t="shared" ref="H167" si="11798">IF(InfGog1LevelCurrent&gt;=$B167,"-",IF(InfGog1LevelDesired&lt;$B167,"-",$E167))</f>
        <v>-</v>
      </c>
      <c r="I167" s="15" t="str">
        <f t="shared" ref="I167" si="11799">IF(InfGlo1LevelCurrent&gt;=$B167,"-",IF(InfGlo1LevelDesired&lt;$B167,"-",$C167))</f>
        <v>-</v>
      </c>
      <c r="J167" s="1" t="str">
        <f t="shared" ref="J167" si="11800">IF(InfGlo1LevelCurrent&gt;=$B167,"-",IF(InfGlo1LevelDesired&lt;$B167,"-",$D167))</f>
        <v>-</v>
      </c>
      <c r="K167" s="21" t="str">
        <f t="shared" ref="K167" si="11801">IF(InfGlo1LevelCurrent&gt;=$B167,"-",IF(InfGlo1LevelDesired&lt;$B167,"-",$E167))</f>
        <v>-</v>
      </c>
      <c r="L167" s="15" t="str">
        <f t="shared" ref="L167" si="11802">IF(InfBel1LevelCurrent&gt;=$B167,"-",IF(InfBel1LevelDesired&lt;$B167,"-",$C167))</f>
        <v>-</v>
      </c>
      <c r="M167" s="1" t="str">
        <f t="shared" ref="M167" si="11803">IF(InfBel1LevelCurrent&gt;=$B167,"-",IF(InfBel1LevelDesired&lt;$B167,"-",$D167))</f>
        <v>-</v>
      </c>
      <c r="N167" s="21" t="str">
        <f t="shared" ref="N167" si="11804">IF(InfBel1LevelCurrent&gt;=$B167,"-",IF(InfBel1LevelDesired&lt;$B167,"-",$E167))</f>
        <v>-</v>
      </c>
      <c r="O167" s="15" t="str">
        <f t="shared" ref="O167" si="11805">IF(InfBoo1LevelCurrent&gt;=$B167,"-",IF(InfBoo1LevelDesired&lt;$B167,"-",$C167))</f>
        <v>-</v>
      </c>
      <c r="P167" s="1" t="str">
        <f t="shared" ref="P167" si="11806">IF(InfBoo1LevelCurrent&gt;=$B167,"-",IF(InfBoo1LevelDesired&lt;$B167,"-",$D167))</f>
        <v>-</v>
      </c>
      <c r="Q167" s="21" t="str">
        <f t="shared" ref="Q167" si="11807">IF(InfBoo1LevelCurrent&gt;=$B167,"-",IF(InfBoo1LevelDesired&lt;$B167,"-",$E167))</f>
        <v>-</v>
      </c>
      <c r="R167" s="15" t="str">
        <f t="shared" ref="R167" si="11808">IF(LanGog1LevelCurrent&gt;=$B167,"-",IF(LanGog1LevelDesired&lt;$B167,"-",$C167))</f>
        <v>-</v>
      </c>
      <c r="S167" s="1" t="str">
        <f t="shared" ref="S167" si="11809">IF(LanGog1LevelCurrent&gt;=$B167,"-",IF(LanGog1LevelDesired&lt;$B167,"-",$D167))</f>
        <v>-</v>
      </c>
      <c r="T167" s="21" t="str">
        <f t="shared" ref="T167" si="11810">IF(LanGog1LevelCurrent&gt;=$B167,"-",IF(LanGog1LevelDesired&lt;$B167,"-",$E167))</f>
        <v>-</v>
      </c>
      <c r="U167" s="15" t="str">
        <f t="shared" ref="U167" si="11811">IF(LanGlo1LevelCurrent&gt;=$B167,"-",IF(LanGlo1LevelDesired&lt;$B167,"-",$C167))</f>
        <v>-</v>
      </c>
      <c r="V167" s="1" t="str">
        <f t="shared" ref="V167" si="11812">IF(LanGlo1LevelCurrent&gt;=$B167,"-",IF(LanGlo1LevelDesired&lt;$B167,"-",$D167))</f>
        <v>-</v>
      </c>
      <c r="W167" s="21" t="str">
        <f t="shared" ref="W167" si="11813">IF(LanGlo1LevelCurrent&gt;=$B167,"-",IF(LanGlo1LevelDesired&lt;$B167,"-",$E167))</f>
        <v>-</v>
      </c>
      <c r="X167" s="15" t="str">
        <f t="shared" ref="X167" si="11814">IF(LanBel1LevelCurrent&gt;=$B167,"-",IF(LanBel1LevelDesired&lt;$B167,"-",$C167))</f>
        <v>-</v>
      </c>
      <c r="Y167" s="1" t="str">
        <f t="shared" ref="Y167" si="11815">IF(LanBel1LevelCurrent&gt;=$B167,"-",IF(LanBel1LevelDesired&lt;$B167,"-",$D167))</f>
        <v>-</v>
      </c>
      <c r="Z167" s="21" t="str">
        <f t="shared" ref="Z167" si="11816">IF(LanBel1LevelCurrent&gt;=$B167,"-",IF(LanBel1LevelDesired&lt;$B167,"-",$E167))</f>
        <v>-</v>
      </c>
      <c r="AA167" s="15" t="str">
        <f t="shared" ref="AA167" si="11817">IF(LanBoo1LevelCurrent&gt;=$B167,"-",IF(LanBoo1LevelDesired&lt;$B167,"-",$C167))</f>
        <v>-</v>
      </c>
      <c r="AB167" s="1" t="str">
        <f t="shared" ref="AB167" si="11818">IF(LanBoo1LevelCurrent&gt;=$B167,"-",IF(LanBoo1LevelDesired&lt;$B167,"-",$D167))</f>
        <v>-</v>
      </c>
      <c r="AC167" s="21" t="str">
        <f t="shared" ref="AC167" si="11819">IF(LanBoo1LevelCurrent&gt;=$B167,"-",IF(LanBoo1LevelDesired&lt;$B167,"-",$E167))</f>
        <v>-</v>
      </c>
      <c r="AD167" s="15" t="str">
        <f t="shared" ref="AD167" si="11820">IF(MarGog1LevelCurrent&gt;=$B167,"-",IF(MarGog1LevelDesired&lt;$B167,"-",$C167))</f>
        <v>-</v>
      </c>
      <c r="AE167" s="1" t="str">
        <f t="shared" ref="AE167" si="11821">IF(MarGog1LevelCurrent&gt;=$B167,"-",IF(MarGog1LevelDesired&lt;$B167,"-",$D167))</f>
        <v>-</v>
      </c>
      <c r="AF167" s="21" t="str">
        <f t="shared" ref="AF167" si="11822">IF(MarGog1LevelCurrent&gt;=$B167,"-",IF(MarGog1LevelDesired&lt;$B167,"-",$E167))</f>
        <v>-</v>
      </c>
      <c r="AG167" s="15" t="str">
        <f t="shared" ref="AG167" si="11823">IF(MarGlo1LevelCurrent&gt;=$B167,"-",IF(MarGlo1LevelDesired&lt;$B167,"-",$C167))</f>
        <v>-</v>
      </c>
      <c r="AH167" s="1" t="str">
        <f t="shared" ref="AH167" si="11824">IF(MarGlo1LevelCurrent&gt;=$B167,"-",IF(MarGlo1LevelDesired&lt;$B167,"-",$D167))</f>
        <v>-</v>
      </c>
      <c r="AI167" s="21" t="str">
        <f t="shared" ref="AI167" si="11825">IF(MarGlo1LevelCurrent&gt;=$B167,"-",IF(MarGlo1LevelDesired&lt;$B167,"-",$E167))</f>
        <v>-</v>
      </c>
      <c r="AJ167" s="15" t="str">
        <f t="shared" ref="AJ167" si="11826">IF(MarBel1LevelCurrent&gt;=$B167,"-",IF(MarBel1LevelDesired&lt;$B167,"-",$C167))</f>
        <v>-</v>
      </c>
      <c r="AK167" s="1" t="str">
        <f t="shared" ref="AK167" si="11827">IF(MarBel1LevelCurrent&gt;=$B167,"-",IF(MarBel1LevelDesired&lt;$B167,"-",$D167))</f>
        <v>-</v>
      </c>
      <c r="AL167" s="21" t="str">
        <f t="shared" ref="AL167" si="11828">IF(MarBel1LevelCurrent&gt;=$B167,"-",IF(MarBel1LevelDesired&lt;$B167,"-",$E167))</f>
        <v>-</v>
      </c>
      <c r="AM167" s="15" t="str">
        <f t="shared" ref="AM167" si="11829">IF(MarBoo1LevelCurrent&gt;=$B167,"-",IF(MarBoo1LevelDesired&lt;$B167,"-",$C167))</f>
        <v>-</v>
      </c>
      <c r="AN167" s="1" t="str">
        <f t="shared" ref="AN167" si="11830">IF(MarBoo1LevelCurrent&gt;=$B167,"-",IF(MarBoo1LevelDesired&lt;$B167,"-",$D167))</f>
        <v>-</v>
      </c>
      <c r="AO167" s="21" t="str">
        <f t="shared" ref="AO167" si="11831">IF(MarBoo1LevelCurrent&gt;=$B167,"-",IF(MarBoo1LevelDesired&lt;$B167,"-",$E167))</f>
        <v>-</v>
      </c>
      <c r="AP167" s="15" t="str">
        <f t="shared" ref="AP167" si="11832">IF(InfGog2LevelCurrent&gt;=$B167,"-",IF(InfGog2LevelDesired&lt;$B167,"-",$C167))</f>
        <v>-</v>
      </c>
      <c r="AQ167" s="1" t="str">
        <f t="shared" ref="AQ167" si="11833">IF(InfGog2LevelCurrent&gt;=$B167,"-",IF(InfGog2LevelDesired&lt;$B167,"-",$D167))</f>
        <v>-</v>
      </c>
      <c r="AR167" s="21" t="str">
        <f t="shared" ref="AR167" si="11834">IF(InfGog2LevelCurrent&gt;=$B167,"-",IF(InfGog2LevelDesired&lt;$B167,"-",$E167))</f>
        <v>-</v>
      </c>
      <c r="AS167" s="15" t="str">
        <f t="shared" ref="AS167" si="11835">IF(InfGlo2LevelCurrent&gt;=$B167,"-",IF(InfGlo2LevelDesired&lt;$B167,"-",$C167))</f>
        <v>-</v>
      </c>
      <c r="AT167" s="1" t="str">
        <f t="shared" ref="AT167" si="11836">IF(InfGlo2LevelCurrent&gt;=$B167,"-",IF(InfGlo2LevelDesired&lt;$B167,"-",$D167))</f>
        <v>-</v>
      </c>
      <c r="AU167" s="21" t="str">
        <f t="shared" ref="AU167" si="11837">IF(InfGlo2LevelCurrent&gt;=$B167,"-",IF(InfGlo2LevelDesired&lt;$B167,"-",$E167))</f>
        <v>-</v>
      </c>
      <c r="AV167" s="15" t="str">
        <f t="shared" ref="AV167" si="11838">IF(InfBel2LevelCurrent&gt;=$B167,"-",IF(InfBel2LevelDesired&lt;$B167,"-",$C167))</f>
        <v>-</v>
      </c>
      <c r="AW167" s="1" t="str">
        <f t="shared" ref="AW167" si="11839">IF(InfBel2LevelCurrent&gt;=$B167,"-",IF(InfBel2LevelDesired&lt;$B167,"-",$D167))</f>
        <v>-</v>
      </c>
      <c r="AX167" s="21" t="str">
        <f t="shared" ref="AX167" si="11840">IF(InfBel2LevelCurrent&gt;=$B167,"-",IF(InfBel2LevelDesired&lt;$B167,"-",$E167))</f>
        <v>-</v>
      </c>
      <c r="AY167" s="15" t="str">
        <f t="shared" ref="AY167" si="11841">IF(InfBoo2LevelCurrent&gt;=$B167,"-",IF(InfBoo2LevelDesired&lt;$B167,"-",$C167))</f>
        <v>-</v>
      </c>
      <c r="AZ167" s="1" t="str">
        <f t="shared" ref="AZ167" si="11842">IF(InfBoo2LevelCurrent&gt;=$B167,"-",IF(InfBoo2LevelDesired&lt;$B167,"-",$D167))</f>
        <v>-</v>
      </c>
      <c r="BA167" s="21" t="str">
        <f t="shared" ref="BA167" si="11843">IF(InfBoo2LevelCurrent&gt;=$B167,"-",IF(InfBoo2LevelDesired&lt;$B167,"-",$E167))</f>
        <v>-</v>
      </c>
      <c r="BB167" s="15" t="str">
        <f t="shared" ref="BB167" si="11844">IF(LanGog2LevelCurrent&gt;=$B167,"-",IF(LanGog2LevelDesired&lt;$B167,"-",$C167))</f>
        <v>-</v>
      </c>
      <c r="BC167" s="1" t="str">
        <f t="shared" ref="BC167" si="11845">IF(LanGog2LevelCurrent&gt;=$B167,"-",IF(LanGog2LevelDesired&lt;$B167,"-",$D167))</f>
        <v>-</v>
      </c>
      <c r="BD167" s="21" t="str">
        <f t="shared" ref="BD167" si="11846">IF(LanGog2LevelCurrent&gt;=$B167,"-",IF(LanGog2LevelDesired&lt;$B167,"-",$E167))</f>
        <v>-</v>
      </c>
      <c r="BE167" s="15" t="str">
        <f t="shared" ref="BE167" si="11847">IF(LanGlo2LevelCurrent&gt;=$B167,"-",IF(LanGlo2LevelDesired&lt;$B167,"-",$C167))</f>
        <v>-</v>
      </c>
      <c r="BF167" s="1" t="str">
        <f t="shared" ref="BF167" si="11848">IF(LanGlo2LevelCurrent&gt;=$B167,"-",IF(LanGlo2LevelDesired&lt;$B167,"-",$D167))</f>
        <v>-</v>
      </c>
      <c r="BG167" s="21" t="str">
        <f t="shared" ref="BG167" si="11849">IF(LanGlo2LevelCurrent&gt;=$B167,"-",IF(LanGlo2LevelDesired&lt;$B167,"-",$E167))</f>
        <v>-</v>
      </c>
      <c r="BH167" s="15" t="str">
        <f t="shared" ref="BH167" si="11850">IF(LanBel2LevelCurrent&gt;=$B167,"-",IF(LanBel2LevelDesired&lt;$B167,"-",$C167))</f>
        <v>-</v>
      </c>
      <c r="BI167" s="1" t="str">
        <f t="shared" ref="BI167" si="11851">IF(LanBel2LevelCurrent&gt;=$B167,"-",IF(LanBel2LevelDesired&lt;$B167,"-",$D167))</f>
        <v>-</v>
      </c>
      <c r="BJ167" s="21" t="str">
        <f t="shared" ref="BJ167" si="11852">IF(LanBel2LevelCurrent&gt;=$B167,"-",IF(LanBel2LevelDesired&lt;$B167,"-",$E167))</f>
        <v>-</v>
      </c>
      <c r="BK167" s="15" t="str">
        <f t="shared" ref="BK167" si="11853">IF(LanBoo2LevelCurrent&gt;=$B167,"-",IF(LanBoo2LevelDesired&lt;$B167,"-",$C167))</f>
        <v>-</v>
      </c>
      <c r="BL167" s="1" t="str">
        <f t="shared" ref="BL167" si="11854">IF(LanBoo2LevelCurrent&gt;=$B167,"-",IF(LanBoo2LevelDesired&lt;$B167,"-",$D167))</f>
        <v>-</v>
      </c>
      <c r="BM167" s="21" t="str">
        <f t="shared" ref="BM167" si="11855">IF(LanBoo2LevelCurrent&gt;=$B167,"-",IF(LanBoo2LevelDesired&lt;$B167,"-",$E167))</f>
        <v>-</v>
      </c>
      <c r="BN167" s="15" t="str">
        <f t="shared" ref="BN167" si="11856">IF(MarGog2LevelCurrent&gt;=$B167,"-",IF(MarGog2LevelDesired&lt;$B167,"-",$C167))</f>
        <v>-</v>
      </c>
      <c r="BO167" s="1" t="str">
        <f t="shared" ref="BO167" si="11857">IF(MarGog2LevelCurrent&gt;=$B167,"-",IF(MarGog2LevelDesired&lt;$B167,"-",$D167))</f>
        <v>-</v>
      </c>
      <c r="BP167" s="21" t="str">
        <f t="shared" ref="BP167" si="11858">IF(MarGog2LevelCurrent&gt;=$B167,"-",IF(MarGog2LevelDesired&lt;$B167,"-",$E167))</f>
        <v>-</v>
      </c>
      <c r="BQ167" s="15" t="str">
        <f t="shared" ref="BQ167" si="11859">IF(MarGlo2LevelCurrent&gt;=$B167,"-",IF(MarGlo2LevelDesired&lt;$B167,"-",$C167))</f>
        <v>-</v>
      </c>
      <c r="BR167" s="1" t="str">
        <f t="shared" ref="BR167" si="11860">IF(MarGlo2LevelCurrent&gt;=$B167,"-",IF(MarGlo2LevelDesired&lt;$B167,"-",$D167))</f>
        <v>-</v>
      </c>
      <c r="BS167" s="21" t="str">
        <f t="shared" ref="BS167" si="11861">IF(MarGlo2LevelCurrent&gt;=$B167,"-",IF(MarGlo2LevelDesired&lt;$B167,"-",$E167))</f>
        <v>-</v>
      </c>
      <c r="BT167" s="15" t="str">
        <f t="shared" ref="BT167" si="11862">IF(MarBel2LevelCurrent&gt;=$B167,"-",IF(MarBel2LevelDesired&lt;$B167,"-",$C167))</f>
        <v>-</v>
      </c>
      <c r="BU167" s="1" t="str">
        <f t="shared" ref="BU167" si="11863">IF(MarBel2LevelCurrent&gt;=$B167,"-",IF(MarBel2LevelDesired&lt;$B167,"-",$D167))</f>
        <v>-</v>
      </c>
      <c r="BV167" s="21" t="str">
        <f t="shared" ref="BV167" si="11864">IF(MarBel2LevelCurrent&gt;=$B167,"-",IF(MarBel2LevelDesired&lt;$B167,"-",$E167))</f>
        <v>-</v>
      </c>
      <c r="BW167" s="15" t="str">
        <f t="shared" ref="BW167" si="11865">IF(MarBoo2LevelCurrent&gt;=$B167,"-",IF(MarBoo2LevelDesired&lt;$B167,"-",$C167))</f>
        <v>-</v>
      </c>
      <c r="BX167" s="1" t="str">
        <f t="shared" ref="BX167" si="11866">IF(MarBoo2LevelCurrent&gt;=$B167,"-",IF(MarBoo2LevelDesired&lt;$B167,"-",$D167))</f>
        <v>-</v>
      </c>
      <c r="BY167" s="21" t="str">
        <f t="shared" ref="BY167" si="11867">IF(MarBoo2LevelCurrent&gt;=$B167,"-",IF(MarBoo2LevelDesired&lt;$B167,"-",$E167))</f>
        <v>-</v>
      </c>
      <c r="BZ167" s="15" t="str">
        <f t="shared" si="11762"/>
        <v>-</v>
      </c>
      <c r="CA167" s="1" t="str" cm="1">
        <f t="array" ref="CA167">IF(InfGog3LevelCurrent&gt;=$B167,"-",IF(InfGog3LevelDesired&lt;$B167,"-",$D167))</f>
        <v>-</v>
      </c>
      <c r="CB167" s="21" t="str" cm="1">
        <f t="array" ref="CB167">IF(InfGog3LevelCurrent&gt;=$B167,"-",IF(InfGog3LevelDesired&lt;$B167,"-",$E167))</f>
        <v>-</v>
      </c>
      <c r="CC167" s="15" t="str">
        <f t="shared" si="11763"/>
        <v>-</v>
      </c>
      <c r="CD167" s="1" t="str">
        <f t="shared" si="11764"/>
        <v>-</v>
      </c>
      <c r="CE167" s="21" t="str">
        <f t="shared" si="11765"/>
        <v>-</v>
      </c>
      <c r="CF167" s="15" t="str">
        <f t="shared" si="11766"/>
        <v>-</v>
      </c>
      <c r="CG167" s="1" t="str">
        <f t="shared" si="11767"/>
        <v>-</v>
      </c>
      <c r="CH167" s="21" t="str">
        <f t="shared" si="11768"/>
        <v>-</v>
      </c>
      <c r="CI167" s="15" t="str">
        <f t="shared" si="11769"/>
        <v>-</v>
      </c>
      <c r="CJ167" s="1" t="str">
        <f t="shared" si="11770"/>
        <v>-</v>
      </c>
      <c r="CK167" s="21" t="str">
        <f t="shared" si="11771"/>
        <v>-</v>
      </c>
      <c r="CL167" s="15" t="str">
        <f t="shared" si="11772"/>
        <v>-</v>
      </c>
      <c r="CM167" s="1" t="str">
        <f t="shared" si="11773"/>
        <v>-</v>
      </c>
      <c r="CN167" s="21" t="str">
        <f t="shared" si="11774"/>
        <v>-</v>
      </c>
      <c r="CO167" s="15" t="str">
        <f t="shared" si="11775"/>
        <v>-</v>
      </c>
      <c r="CP167" s="1" t="str">
        <f t="shared" si="11776"/>
        <v>-</v>
      </c>
      <c r="CQ167" s="21" t="str">
        <f t="shared" si="11777"/>
        <v>-</v>
      </c>
      <c r="CR167" s="15" t="str">
        <f t="shared" si="11778"/>
        <v>-</v>
      </c>
      <c r="CS167" s="1" t="str">
        <f t="shared" si="11779"/>
        <v>-</v>
      </c>
      <c r="CT167" s="21" t="str">
        <f t="shared" si="11780"/>
        <v>-</v>
      </c>
      <c r="CU167" s="15" t="str">
        <f t="shared" si="11781"/>
        <v>-</v>
      </c>
      <c r="CV167" s="1" t="str">
        <f t="shared" si="11782"/>
        <v>-</v>
      </c>
      <c r="CW167" s="21" t="str">
        <f t="shared" si="11783"/>
        <v>-</v>
      </c>
      <c r="CX167" s="15" t="str">
        <f t="shared" si="11784"/>
        <v>-</v>
      </c>
      <c r="CY167" s="1" t="str">
        <f t="shared" si="11785"/>
        <v>-</v>
      </c>
      <c r="CZ167" s="21" t="str">
        <f t="shared" si="11786"/>
        <v>-</v>
      </c>
      <c r="DA167" s="15" t="str">
        <f t="shared" si="11787"/>
        <v>-</v>
      </c>
      <c r="DB167" s="1" t="str">
        <f t="shared" si="11788"/>
        <v>-</v>
      </c>
      <c r="DC167" s="21" t="str">
        <f t="shared" si="11789"/>
        <v>-</v>
      </c>
      <c r="DD167" s="15" t="str">
        <f t="shared" si="11790"/>
        <v>-</v>
      </c>
      <c r="DE167" s="1" t="str">
        <f t="shared" si="11791"/>
        <v>-</v>
      </c>
      <c r="DF167" s="21" t="str">
        <f t="shared" si="11792"/>
        <v>-</v>
      </c>
      <c r="DG167" s="15" t="str">
        <f t="shared" si="11793"/>
        <v>-</v>
      </c>
      <c r="DH167" s="1" t="str">
        <f t="shared" si="11794"/>
        <v>-</v>
      </c>
      <c r="DI167" s="21" t="str">
        <f t="shared" si="11795"/>
        <v>-</v>
      </c>
    </row>
    <row r="168" spans="2:113" x14ac:dyDescent="0.3">
      <c r="B168" s="1">
        <v>163</v>
      </c>
      <c r="C168" s="67">
        <v>5700</v>
      </c>
      <c r="D168" s="88" t="s">
        <v>27</v>
      </c>
      <c r="E168" s="68" t="s">
        <v>27</v>
      </c>
      <c r="F168" s="15" t="str">
        <f t="shared" ref="F168" si="11868">IF(InfGog1LevelCurrent&gt;=$B168,"-",IF(InfGog1LevelDesired&lt;$B168,"-",$C168))</f>
        <v>-</v>
      </c>
      <c r="G168" s="1" t="str">
        <f t="shared" ref="G168" si="11869">IF(InfGog1LevelCurrent&gt;=$B168,"-",IF(InfGog1LevelDesired&lt;$B168,"-",$D168))</f>
        <v>-</v>
      </c>
      <c r="H168" s="21" t="str">
        <f t="shared" ref="H168" si="11870">IF(InfGog1LevelCurrent&gt;=$B168,"-",IF(InfGog1LevelDesired&lt;$B168,"-",$E168))</f>
        <v>-</v>
      </c>
      <c r="I168" s="15" t="str">
        <f t="shared" ref="I168" si="11871">IF(InfGlo1LevelCurrent&gt;=$B168,"-",IF(InfGlo1LevelDesired&lt;$B168,"-",$C168))</f>
        <v>-</v>
      </c>
      <c r="J168" s="1" t="str">
        <f t="shared" ref="J168" si="11872">IF(InfGlo1LevelCurrent&gt;=$B168,"-",IF(InfGlo1LevelDesired&lt;$B168,"-",$D168))</f>
        <v>-</v>
      </c>
      <c r="K168" s="21" t="str">
        <f t="shared" ref="K168" si="11873">IF(InfGlo1LevelCurrent&gt;=$B168,"-",IF(InfGlo1LevelDesired&lt;$B168,"-",$E168))</f>
        <v>-</v>
      </c>
      <c r="L168" s="15" t="str">
        <f t="shared" ref="L168" si="11874">IF(InfBel1LevelCurrent&gt;=$B168,"-",IF(InfBel1LevelDesired&lt;$B168,"-",$C168))</f>
        <v>-</v>
      </c>
      <c r="M168" s="1" t="str">
        <f t="shared" ref="M168" si="11875">IF(InfBel1LevelCurrent&gt;=$B168,"-",IF(InfBel1LevelDesired&lt;$B168,"-",$D168))</f>
        <v>-</v>
      </c>
      <c r="N168" s="21" t="str">
        <f t="shared" ref="N168" si="11876">IF(InfBel1LevelCurrent&gt;=$B168,"-",IF(InfBel1LevelDesired&lt;$B168,"-",$E168))</f>
        <v>-</v>
      </c>
      <c r="O168" s="15" t="str">
        <f t="shared" ref="O168" si="11877">IF(InfBoo1LevelCurrent&gt;=$B168,"-",IF(InfBoo1LevelDesired&lt;$B168,"-",$C168))</f>
        <v>-</v>
      </c>
      <c r="P168" s="1" t="str">
        <f t="shared" ref="P168" si="11878">IF(InfBoo1LevelCurrent&gt;=$B168,"-",IF(InfBoo1LevelDesired&lt;$B168,"-",$D168))</f>
        <v>-</v>
      </c>
      <c r="Q168" s="21" t="str">
        <f t="shared" ref="Q168" si="11879">IF(InfBoo1LevelCurrent&gt;=$B168,"-",IF(InfBoo1LevelDesired&lt;$B168,"-",$E168))</f>
        <v>-</v>
      </c>
      <c r="R168" s="15" t="str">
        <f t="shared" ref="R168" si="11880">IF(LanGog1LevelCurrent&gt;=$B168,"-",IF(LanGog1LevelDesired&lt;$B168,"-",$C168))</f>
        <v>-</v>
      </c>
      <c r="S168" s="1" t="str">
        <f t="shared" ref="S168" si="11881">IF(LanGog1LevelCurrent&gt;=$B168,"-",IF(LanGog1LevelDesired&lt;$B168,"-",$D168))</f>
        <v>-</v>
      </c>
      <c r="T168" s="21" t="str">
        <f t="shared" ref="T168" si="11882">IF(LanGog1LevelCurrent&gt;=$B168,"-",IF(LanGog1LevelDesired&lt;$B168,"-",$E168))</f>
        <v>-</v>
      </c>
      <c r="U168" s="15" t="str">
        <f t="shared" ref="U168" si="11883">IF(LanGlo1LevelCurrent&gt;=$B168,"-",IF(LanGlo1LevelDesired&lt;$B168,"-",$C168))</f>
        <v>-</v>
      </c>
      <c r="V168" s="1" t="str">
        <f t="shared" ref="V168" si="11884">IF(LanGlo1LevelCurrent&gt;=$B168,"-",IF(LanGlo1LevelDesired&lt;$B168,"-",$D168))</f>
        <v>-</v>
      </c>
      <c r="W168" s="21" t="str">
        <f t="shared" ref="W168" si="11885">IF(LanGlo1LevelCurrent&gt;=$B168,"-",IF(LanGlo1LevelDesired&lt;$B168,"-",$E168))</f>
        <v>-</v>
      </c>
      <c r="X168" s="15" t="str">
        <f t="shared" ref="X168" si="11886">IF(LanBel1LevelCurrent&gt;=$B168,"-",IF(LanBel1LevelDesired&lt;$B168,"-",$C168))</f>
        <v>-</v>
      </c>
      <c r="Y168" s="1" t="str">
        <f t="shared" ref="Y168" si="11887">IF(LanBel1LevelCurrent&gt;=$B168,"-",IF(LanBel1LevelDesired&lt;$B168,"-",$D168))</f>
        <v>-</v>
      </c>
      <c r="Z168" s="21" t="str">
        <f t="shared" ref="Z168" si="11888">IF(LanBel1LevelCurrent&gt;=$B168,"-",IF(LanBel1LevelDesired&lt;$B168,"-",$E168))</f>
        <v>-</v>
      </c>
      <c r="AA168" s="15" t="str">
        <f t="shared" ref="AA168" si="11889">IF(LanBoo1LevelCurrent&gt;=$B168,"-",IF(LanBoo1LevelDesired&lt;$B168,"-",$C168))</f>
        <v>-</v>
      </c>
      <c r="AB168" s="1" t="str">
        <f t="shared" ref="AB168" si="11890">IF(LanBoo1LevelCurrent&gt;=$B168,"-",IF(LanBoo1LevelDesired&lt;$B168,"-",$D168))</f>
        <v>-</v>
      </c>
      <c r="AC168" s="21" t="str">
        <f t="shared" ref="AC168" si="11891">IF(LanBoo1LevelCurrent&gt;=$B168,"-",IF(LanBoo1LevelDesired&lt;$B168,"-",$E168))</f>
        <v>-</v>
      </c>
      <c r="AD168" s="15" t="str">
        <f t="shared" ref="AD168" si="11892">IF(MarGog1LevelCurrent&gt;=$B168,"-",IF(MarGog1LevelDesired&lt;$B168,"-",$C168))</f>
        <v>-</v>
      </c>
      <c r="AE168" s="1" t="str">
        <f t="shared" ref="AE168" si="11893">IF(MarGog1LevelCurrent&gt;=$B168,"-",IF(MarGog1LevelDesired&lt;$B168,"-",$D168))</f>
        <v>-</v>
      </c>
      <c r="AF168" s="21" t="str">
        <f t="shared" ref="AF168" si="11894">IF(MarGog1LevelCurrent&gt;=$B168,"-",IF(MarGog1LevelDesired&lt;$B168,"-",$E168))</f>
        <v>-</v>
      </c>
      <c r="AG168" s="15" t="str">
        <f t="shared" ref="AG168" si="11895">IF(MarGlo1LevelCurrent&gt;=$B168,"-",IF(MarGlo1LevelDesired&lt;$B168,"-",$C168))</f>
        <v>-</v>
      </c>
      <c r="AH168" s="1" t="str">
        <f t="shared" ref="AH168" si="11896">IF(MarGlo1LevelCurrent&gt;=$B168,"-",IF(MarGlo1LevelDesired&lt;$B168,"-",$D168))</f>
        <v>-</v>
      </c>
      <c r="AI168" s="21" t="str">
        <f t="shared" ref="AI168" si="11897">IF(MarGlo1LevelCurrent&gt;=$B168,"-",IF(MarGlo1LevelDesired&lt;$B168,"-",$E168))</f>
        <v>-</v>
      </c>
      <c r="AJ168" s="15" t="str">
        <f t="shared" ref="AJ168" si="11898">IF(MarBel1LevelCurrent&gt;=$B168,"-",IF(MarBel1LevelDesired&lt;$B168,"-",$C168))</f>
        <v>-</v>
      </c>
      <c r="AK168" s="1" t="str">
        <f t="shared" ref="AK168" si="11899">IF(MarBel1LevelCurrent&gt;=$B168,"-",IF(MarBel1LevelDesired&lt;$B168,"-",$D168))</f>
        <v>-</v>
      </c>
      <c r="AL168" s="21" t="str">
        <f t="shared" ref="AL168" si="11900">IF(MarBel1LevelCurrent&gt;=$B168,"-",IF(MarBel1LevelDesired&lt;$B168,"-",$E168))</f>
        <v>-</v>
      </c>
      <c r="AM168" s="15" t="str">
        <f t="shared" ref="AM168" si="11901">IF(MarBoo1LevelCurrent&gt;=$B168,"-",IF(MarBoo1LevelDesired&lt;$B168,"-",$C168))</f>
        <v>-</v>
      </c>
      <c r="AN168" s="1" t="str">
        <f t="shared" ref="AN168" si="11902">IF(MarBoo1LevelCurrent&gt;=$B168,"-",IF(MarBoo1LevelDesired&lt;$B168,"-",$D168))</f>
        <v>-</v>
      </c>
      <c r="AO168" s="21" t="str">
        <f t="shared" ref="AO168" si="11903">IF(MarBoo1LevelCurrent&gt;=$B168,"-",IF(MarBoo1LevelDesired&lt;$B168,"-",$E168))</f>
        <v>-</v>
      </c>
      <c r="AP168" s="15" t="str">
        <f t="shared" ref="AP168" si="11904">IF(InfGog2LevelCurrent&gt;=$B168,"-",IF(InfGog2LevelDesired&lt;$B168,"-",$C168))</f>
        <v>-</v>
      </c>
      <c r="AQ168" s="1" t="str">
        <f t="shared" ref="AQ168" si="11905">IF(InfGog2LevelCurrent&gt;=$B168,"-",IF(InfGog2LevelDesired&lt;$B168,"-",$D168))</f>
        <v>-</v>
      </c>
      <c r="AR168" s="21" t="str">
        <f t="shared" ref="AR168" si="11906">IF(InfGog2LevelCurrent&gt;=$B168,"-",IF(InfGog2LevelDesired&lt;$B168,"-",$E168))</f>
        <v>-</v>
      </c>
      <c r="AS168" s="15" t="str">
        <f t="shared" ref="AS168" si="11907">IF(InfGlo2LevelCurrent&gt;=$B168,"-",IF(InfGlo2LevelDesired&lt;$B168,"-",$C168))</f>
        <v>-</v>
      </c>
      <c r="AT168" s="1" t="str">
        <f t="shared" ref="AT168" si="11908">IF(InfGlo2LevelCurrent&gt;=$B168,"-",IF(InfGlo2LevelDesired&lt;$B168,"-",$D168))</f>
        <v>-</v>
      </c>
      <c r="AU168" s="21" t="str">
        <f t="shared" ref="AU168" si="11909">IF(InfGlo2LevelCurrent&gt;=$B168,"-",IF(InfGlo2LevelDesired&lt;$B168,"-",$E168))</f>
        <v>-</v>
      </c>
      <c r="AV168" s="15" t="str">
        <f t="shared" ref="AV168" si="11910">IF(InfBel2LevelCurrent&gt;=$B168,"-",IF(InfBel2LevelDesired&lt;$B168,"-",$C168))</f>
        <v>-</v>
      </c>
      <c r="AW168" s="1" t="str">
        <f t="shared" ref="AW168" si="11911">IF(InfBel2LevelCurrent&gt;=$B168,"-",IF(InfBel2LevelDesired&lt;$B168,"-",$D168))</f>
        <v>-</v>
      </c>
      <c r="AX168" s="21" t="str">
        <f t="shared" ref="AX168" si="11912">IF(InfBel2LevelCurrent&gt;=$B168,"-",IF(InfBel2LevelDesired&lt;$B168,"-",$E168))</f>
        <v>-</v>
      </c>
      <c r="AY168" s="15" t="str">
        <f t="shared" ref="AY168" si="11913">IF(InfBoo2LevelCurrent&gt;=$B168,"-",IF(InfBoo2LevelDesired&lt;$B168,"-",$C168))</f>
        <v>-</v>
      </c>
      <c r="AZ168" s="1" t="str">
        <f t="shared" ref="AZ168" si="11914">IF(InfBoo2LevelCurrent&gt;=$B168,"-",IF(InfBoo2LevelDesired&lt;$B168,"-",$D168))</f>
        <v>-</v>
      </c>
      <c r="BA168" s="21" t="str">
        <f t="shared" ref="BA168" si="11915">IF(InfBoo2LevelCurrent&gt;=$B168,"-",IF(InfBoo2LevelDesired&lt;$B168,"-",$E168))</f>
        <v>-</v>
      </c>
      <c r="BB168" s="15" t="str">
        <f t="shared" ref="BB168" si="11916">IF(LanGog2LevelCurrent&gt;=$B168,"-",IF(LanGog2LevelDesired&lt;$B168,"-",$C168))</f>
        <v>-</v>
      </c>
      <c r="BC168" s="1" t="str">
        <f t="shared" ref="BC168" si="11917">IF(LanGog2LevelCurrent&gt;=$B168,"-",IF(LanGog2LevelDesired&lt;$B168,"-",$D168))</f>
        <v>-</v>
      </c>
      <c r="BD168" s="21" t="str">
        <f t="shared" ref="BD168" si="11918">IF(LanGog2LevelCurrent&gt;=$B168,"-",IF(LanGog2LevelDesired&lt;$B168,"-",$E168))</f>
        <v>-</v>
      </c>
      <c r="BE168" s="15" t="str">
        <f t="shared" ref="BE168" si="11919">IF(LanGlo2LevelCurrent&gt;=$B168,"-",IF(LanGlo2LevelDesired&lt;$B168,"-",$C168))</f>
        <v>-</v>
      </c>
      <c r="BF168" s="1" t="str">
        <f t="shared" ref="BF168" si="11920">IF(LanGlo2LevelCurrent&gt;=$B168,"-",IF(LanGlo2LevelDesired&lt;$B168,"-",$D168))</f>
        <v>-</v>
      </c>
      <c r="BG168" s="21" t="str">
        <f t="shared" ref="BG168" si="11921">IF(LanGlo2LevelCurrent&gt;=$B168,"-",IF(LanGlo2LevelDesired&lt;$B168,"-",$E168))</f>
        <v>-</v>
      </c>
      <c r="BH168" s="15" t="str">
        <f t="shared" ref="BH168" si="11922">IF(LanBel2LevelCurrent&gt;=$B168,"-",IF(LanBel2LevelDesired&lt;$B168,"-",$C168))</f>
        <v>-</v>
      </c>
      <c r="BI168" s="1" t="str">
        <f t="shared" ref="BI168" si="11923">IF(LanBel2LevelCurrent&gt;=$B168,"-",IF(LanBel2LevelDesired&lt;$B168,"-",$D168))</f>
        <v>-</v>
      </c>
      <c r="BJ168" s="21" t="str">
        <f t="shared" ref="BJ168" si="11924">IF(LanBel2LevelCurrent&gt;=$B168,"-",IF(LanBel2LevelDesired&lt;$B168,"-",$E168))</f>
        <v>-</v>
      </c>
      <c r="BK168" s="15" t="str">
        <f t="shared" ref="BK168" si="11925">IF(LanBoo2LevelCurrent&gt;=$B168,"-",IF(LanBoo2LevelDesired&lt;$B168,"-",$C168))</f>
        <v>-</v>
      </c>
      <c r="BL168" s="1" t="str">
        <f t="shared" ref="BL168" si="11926">IF(LanBoo2LevelCurrent&gt;=$B168,"-",IF(LanBoo2LevelDesired&lt;$B168,"-",$D168))</f>
        <v>-</v>
      </c>
      <c r="BM168" s="21" t="str">
        <f t="shared" ref="BM168" si="11927">IF(LanBoo2LevelCurrent&gt;=$B168,"-",IF(LanBoo2LevelDesired&lt;$B168,"-",$E168))</f>
        <v>-</v>
      </c>
      <c r="BN168" s="15" t="str">
        <f t="shared" ref="BN168" si="11928">IF(MarGog2LevelCurrent&gt;=$B168,"-",IF(MarGog2LevelDesired&lt;$B168,"-",$C168))</f>
        <v>-</v>
      </c>
      <c r="BO168" s="1" t="str">
        <f t="shared" ref="BO168" si="11929">IF(MarGog2LevelCurrent&gt;=$B168,"-",IF(MarGog2LevelDesired&lt;$B168,"-",$D168))</f>
        <v>-</v>
      </c>
      <c r="BP168" s="21" t="str">
        <f t="shared" ref="BP168" si="11930">IF(MarGog2LevelCurrent&gt;=$B168,"-",IF(MarGog2LevelDesired&lt;$B168,"-",$E168))</f>
        <v>-</v>
      </c>
      <c r="BQ168" s="15" t="str">
        <f t="shared" ref="BQ168" si="11931">IF(MarGlo2LevelCurrent&gt;=$B168,"-",IF(MarGlo2LevelDesired&lt;$B168,"-",$C168))</f>
        <v>-</v>
      </c>
      <c r="BR168" s="1" t="str">
        <f t="shared" ref="BR168" si="11932">IF(MarGlo2LevelCurrent&gt;=$B168,"-",IF(MarGlo2LevelDesired&lt;$B168,"-",$D168))</f>
        <v>-</v>
      </c>
      <c r="BS168" s="21" t="str">
        <f t="shared" ref="BS168" si="11933">IF(MarGlo2LevelCurrent&gt;=$B168,"-",IF(MarGlo2LevelDesired&lt;$B168,"-",$E168))</f>
        <v>-</v>
      </c>
      <c r="BT168" s="15" t="str">
        <f t="shared" ref="BT168" si="11934">IF(MarBel2LevelCurrent&gt;=$B168,"-",IF(MarBel2LevelDesired&lt;$B168,"-",$C168))</f>
        <v>-</v>
      </c>
      <c r="BU168" s="1" t="str">
        <f t="shared" ref="BU168" si="11935">IF(MarBel2LevelCurrent&gt;=$B168,"-",IF(MarBel2LevelDesired&lt;$B168,"-",$D168))</f>
        <v>-</v>
      </c>
      <c r="BV168" s="21" t="str">
        <f t="shared" ref="BV168" si="11936">IF(MarBel2LevelCurrent&gt;=$B168,"-",IF(MarBel2LevelDesired&lt;$B168,"-",$E168))</f>
        <v>-</v>
      </c>
      <c r="BW168" s="15" t="str">
        <f t="shared" ref="BW168" si="11937">IF(MarBoo2LevelCurrent&gt;=$B168,"-",IF(MarBoo2LevelDesired&lt;$B168,"-",$C168))</f>
        <v>-</v>
      </c>
      <c r="BX168" s="1" t="str">
        <f t="shared" ref="BX168" si="11938">IF(MarBoo2LevelCurrent&gt;=$B168,"-",IF(MarBoo2LevelDesired&lt;$B168,"-",$D168))</f>
        <v>-</v>
      </c>
      <c r="BY168" s="21" t="str">
        <f t="shared" ref="BY168" si="11939">IF(MarBoo2LevelCurrent&gt;=$B168,"-",IF(MarBoo2LevelDesired&lt;$B168,"-",$E168))</f>
        <v>-</v>
      </c>
      <c r="BZ168" s="15" t="str">
        <f t="shared" si="11762"/>
        <v>-</v>
      </c>
      <c r="CA168" s="1" t="str" cm="1">
        <f t="array" ref="CA168">IF(InfGog3LevelCurrent&gt;=$B168,"-",IF(InfGog3LevelDesired&lt;$B168,"-",$D168))</f>
        <v>-</v>
      </c>
      <c r="CB168" s="21" t="str" cm="1">
        <f t="array" ref="CB168">IF(InfGog3LevelCurrent&gt;=$B168,"-",IF(InfGog3LevelDesired&lt;$B168,"-",$E168))</f>
        <v>-</v>
      </c>
      <c r="CC168" s="15" t="str">
        <f t="shared" si="11763"/>
        <v>-</v>
      </c>
      <c r="CD168" s="1" t="str">
        <f t="shared" si="11764"/>
        <v>-</v>
      </c>
      <c r="CE168" s="21" t="str">
        <f t="shared" si="11765"/>
        <v>-</v>
      </c>
      <c r="CF168" s="15" t="str">
        <f t="shared" si="11766"/>
        <v>-</v>
      </c>
      <c r="CG168" s="1" t="str">
        <f t="shared" si="11767"/>
        <v>-</v>
      </c>
      <c r="CH168" s="21" t="str">
        <f t="shared" si="11768"/>
        <v>-</v>
      </c>
      <c r="CI168" s="15" t="str">
        <f t="shared" si="11769"/>
        <v>-</v>
      </c>
      <c r="CJ168" s="1" t="str">
        <f t="shared" si="11770"/>
        <v>-</v>
      </c>
      <c r="CK168" s="21" t="str">
        <f t="shared" si="11771"/>
        <v>-</v>
      </c>
      <c r="CL168" s="15" t="str">
        <f t="shared" si="11772"/>
        <v>-</v>
      </c>
      <c r="CM168" s="1" t="str">
        <f t="shared" si="11773"/>
        <v>-</v>
      </c>
      <c r="CN168" s="21" t="str">
        <f t="shared" si="11774"/>
        <v>-</v>
      </c>
      <c r="CO168" s="15" t="str">
        <f t="shared" si="11775"/>
        <v>-</v>
      </c>
      <c r="CP168" s="1" t="str">
        <f t="shared" si="11776"/>
        <v>-</v>
      </c>
      <c r="CQ168" s="21" t="str">
        <f t="shared" si="11777"/>
        <v>-</v>
      </c>
      <c r="CR168" s="15" t="str">
        <f t="shared" si="11778"/>
        <v>-</v>
      </c>
      <c r="CS168" s="1" t="str">
        <f t="shared" si="11779"/>
        <v>-</v>
      </c>
      <c r="CT168" s="21" t="str">
        <f t="shared" si="11780"/>
        <v>-</v>
      </c>
      <c r="CU168" s="15" t="str">
        <f t="shared" si="11781"/>
        <v>-</v>
      </c>
      <c r="CV168" s="1" t="str">
        <f t="shared" si="11782"/>
        <v>-</v>
      </c>
      <c r="CW168" s="21" t="str">
        <f t="shared" si="11783"/>
        <v>-</v>
      </c>
      <c r="CX168" s="15" t="str">
        <f t="shared" si="11784"/>
        <v>-</v>
      </c>
      <c r="CY168" s="1" t="str">
        <f t="shared" si="11785"/>
        <v>-</v>
      </c>
      <c r="CZ168" s="21" t="str">
        <f t="shared" si="11786"/>
        <v>-</v>
      </c>
      <c r="DA168" s="15" t="str">
        <f t="shared" si="11787"/>
        <v>-</v>
      </c>
      <c r="DB168" s="1" t="str">
        <f t="shared" si="11788"/>
        <v>-</v>
      </c>
      <c r="DC168" s="21" t="str">
        <f t="shared" si="11789"/>
        <v>-</v>
      </c>
      <c r="DD168" s="15" t="str">
        <f t="shared" si="11790"/>
        <v>-</v>
      </c>
      <c r="DE168" s="1" t="str">
        <f t="shared" si="11791"/>
        <v>-</v>
      </c>
      <c r="DF168" s="21" t="str">
        <f t="shared" si="11792"/>
        <v>-</v>
      </c>
      <c r="DG168" s="15" t="str">
        <f t="shared" si="11793"/>
        <v>-</v>
      </c>
      <c r="DH168" s="1" t="str">
        <f t="shared" si="11794"/>
        <v>-</v>
      </c>
      <c r="DI168" s="21" t="str">
        <f t="shared" si="11795"/>
        <v>-</v>
      </c>
    </row>
    <row r="169" spans="2:113" x14ac:dyDescent="0.3">
      <c r="B169" s="1">
        <v>164</v>
      </c>
      <c r="C169" s="67">
        <v>5800</v>
      </c>
      <c r="D169" s="88" t="s">
        <v>27</v>
      </c>
      <c r="E169" s="68" t="s">
        <v>27</v>
      </c>
      <c r="F169" s="15" t="str">
        <f t="shared" ref="F169" si="11940">IF(InfGog1LevelCurrent&gt;=$B169,"-",IF(InfGog1LevelDesired&lt;$B169,"-",$C169))</f>
        <v>-</v>
      </c>
      <c r="G169" s="1" t="str">
        <f t="shared" ref="G169" si="11941">IF(InfGog1LevelCurrent&gt;=$B169,"-",IF(InfGog1LevelDesired&lt;$B169,"-",$D169))</f>
        <v>-</v>
      </c>
      <c r="H169" s="21" t="str">
        <f t="shared" ref="H169" si="11942">IF(InfGog1LevelCurrent&gt;=$B169,"-",IF(InfGog1LevelDesired&lt;$B169,"-",$E169))</f>
        <v>-</v>
      </c>
      <c r="I169" s="15" t="str">
        <f t="shared" ref="I169" si="11943">IF(InfGlo1LevelCurrent&gt;=$B169,"-",IF(InfGlo1LevelDesired&lt;$B169,"-",$C169))</f>
        <v>-</v>
      </c>
      <c r="J169" s="1" t="str">
        <f t="shared" ref="J169" si="11944">IF(InfGlo1LevelCurrent&gt;=$B169,"-",IF(InfGlo1LevelDesired&lt;$B169,"-",$D169))</f>
        <v>-</v>
      </c>
      <c r="K169" s="21" t="str">
        <f t="shared" ref="K169" si="11945">IF(InfGlo1LevelCurrent&gt;=$B169,"-",IF(InfGlo1LevelDesired&lt;$B169,"-",$E169))</f>
        <v>-</v>
      </c>
      <c r="L169" s="15" t="str">
        <f t="shared" ref="L169" si="11946">IF(InfBel1LevelCurrent&gt;=$B169,"-",IF(InfBel1LevelDesired&lt;$B169,"-",$C169))</f>
        <v>-</v>
      </c>
      <c r="M169" s="1" t="str">
        <f t="shared" ref="M169" si="11947">IF(InfBel1LevelCurrent&gt;=$B169,"-",IF(InfBel1LevelDesired&lt;$B169,"-",$D169))</f>
        <v>-</v>
      </c>
      <c r="N169" s="21" t="str">
        <f t="shared" ref="N169" si="11948">IF(InfBel1LevelCurrent&gt;=$B169,"-",IF(InfBel1LevelDesired&lt;$B169,"-",$E169))</f>
        <v>-</v>
      </c>
      <c r="O169" s="15" t="str">
        <f t="shared" ref="O169" si="11949">IF(InfBoo1LevelCurrent&gt;=$B169,"-",IF(InfBoo1LevelDesired&lt;$B169,"-",$C169))</f>
        <v>-</v>
      </c>
      <c r="P169" s="1" t="str">
        <f t="shared" ref="P169" si="11950">IF(InfBoo1LevelCurrent&gt;=$B169,"-",IF(InfBoo1LevelDesired&lt;$B169,"-",$D169))</f>
        <v>-</v>
      </c>
      <c r="Q169" s="21" t="str">
        <f t="shared" ref="Q169" si="11951">IF(InfBoo1LevelCurrent&gt;=$B169,"-",IF(InfBoo1LevelDesired&lt;$B169,"-",$E169))</f>
        <v>-</v>
      </c>
      <c r="R169" s="15" t="str">
        <f t="shared" ref="R169" si="11952">IF(LanGog1LevelCurrent&gt;=$B169,"-",IF(LanGog1LevelDesired&lt;$B169,"-",$C169))</f>
        <v>-</v>
      </c>
      <c r="S169" s="1" t="str">
        <f t="shared" ref="S169" si="11953">IF(LanGog1LevelCurrent&gt;=$B169,"-",IF(LanGog1LevelDesired&lt;$B169,"-",$D169))</f>
        <v>-</v>
      </c>
      <c r="T169" s="21" t="str">
        <f t="shared" ref="T169" si="11954">IF(LanGog1LevelCurrent&gt;=$B169,"-",IF(LanGog1LevelDesired&lt;$B169,"-",$E169))</f>
        <v>-</v>
      </c>
      <c r="U169" s="15" t="str">
        <f t="shared" ref="U169" si="11955">IF(LanGlo1LevelCurrent&gt;=$B169,"-",IF(LanGlo1LevelDesired&lt;$B169,"-",$C169))</f>
        <v>-</v>
      </c>
      <c r="V169" s="1" t="str">
        <f t="shared" ref="V169" si="11956">IF(LanGlo1LevelCurrent&gt;=$B169,"-",IF(LanGlo1LevelDesired&lt;$B169,"-",$D169))</f>
        <v>-</v>
      </c>
      <c r="W169" s="21" t="str">
        <f t="shared" ref="W169" si="11957">IF(LanGlo1LevelCurrent&gt;=$B169,"-",IF(LanGlo1LevelDesired&lt;$B169,"-",$E169))</f>
        <v>-</v>
      </c>
      <c r="X169" s="15" t="str">
        <f t="shared" ref="X169" si="11958">IF(LanBel1LevelCurrent&gt;=$B169,"-",IF(LanBel1LevelDesired&lt;$B169,"-",$C169))</f>
        <v>-</v>
      </c>
      <c r="Y169" s="1" t="str">
        <f t="shared" ref="Y169" si="11959">IF(LanBel1LevelCurrent&gt;=$B169,"-",IF(LanBel1LevelDesired&lt;$B169,"-",$D169))</f>
        <v>-</v>
      </c>
      <c r="Z169" s="21" t="str">
        <f t="shared" ref="Z169" si="11960">IF(LanBel1LevelCurrent&gt;=$B169,"-",IF(LanBel1LevelDesired&lt;$B169,"-",$E169))</f>
        <v>-</v>
      </c>
      <c r="AA169" s="15" t="str">
        <f t="shared" ref="AA169" si="11961">IF(LanBoo1LevelCurrent&gt;=$B169,"-",IF(LanBoo1LevelDesired&lt;$B169,"-",$C169))</f>
        <v>-</v>
      </c>
      <c r="AB169" s="1" t="str">
        <f t="shared" ref="AB169" si="11962">IF(LanBoo1LevelCurrent&gt;=$B169,"-",IF(LanBoo1LevelDesired&lt;$B169,"-",$D169))</f>
        <v>-</v>
      </c>
      <c r="AC169" s="21" t="str">
        <f t="shared" ref="AC169" si="11963">IF(LanBoo1LevelCurrent&gt;=$B169,"-",IF(LanBoo1LevelDesired&lt;$B169,"-",$E169))</f>
        <v>-</v>
      </c>
      <c r="AD169" s="15" t="str">
        <f t="shared" ref="AD169" si="11964">IF(MarGog1LevelCurrent&gt;=$B169,"-",IF(MarGog1LevelDesired&lt;$B169,"-",$C169))</f>
        <v>-</v>
      </c>
      <c r="AE169" s="1" t="str">
        <f t="shared" ref="AE169" si="11965">IF(MarGog1LevelCurrent&gt;=$B169,"-",IF(MarGog1LevelDesired&lt;$B169,"-",$D169))</f>
        <v>-</v>
      </c>
      <c r="AF169" s="21" t="str">
        <f t="shared" ref="AF169" si="11966">IF(MarGog1LevelCurrent&gt;=$B169,"-",IF(MarGog1LevelDesired&lt;$B169,"-",$E169))</f>
        <v>-</v>
      </c>
      <c r="AG169" s="15" t="str">
        <f t="shared" ref="AG169" si="11967">IF(MarGlo1LevelCurrent&gt;=$B169,"-",IF(MarGlo1LevelDesired&lt;$B169,"-",$C169))</f>
        <v>-</v>
      </c>
      <c r="AH169" s="1" t="str">
        <f t="shared" ref="AH169" si="11968">IF(MarGlo1LevelCurrent&gt;=$B169,"-",IF(MarGlo1LevelDesired&lt;$B169,"-",$D169))</f>
        <v>-</v>
      </c>
      <c r="AI169" s="21" t="str">
        <f t="shared" ref="AI169" si="11969">IF(MarGlo1LevelCurrent&gt;=$B169,"-",IF(MarGlo1LevelDesired&lt;$B169,"-",$E169))</f>
        <v>-</v>
      </c>
      <c r="AJ169" s="15" t="str">
        <f t="shared" ref="AJ169" si="11970">IF(MarBel1LevelCurrent&gt;=$B169,"-",IF(MarBel1LevelDesired&lt;$B169,"-",$C169))</f>
        <v>-</v>
      </c>
      <c r="AK169" s="1" t="str">
        <f t="shared" ref="AK169" si="11971">IF(MarBel1LevelCurrent&gt;=$B169,"-",IF(MarBel1LevelDesired&lt;$B169,"-",$D169))</f>
        <v>-</v>
      </c>
      <c r="AL169" s="21" t="str">
        <f t="shared" ref="AL169" si="11972">IF(MarBel1LevelCurrent&gt;=$B169,"-",IF(MarBel1LevelDesired&lt;$B169,"-",$E169))</f>
        <v>-</v>
      </c>
      <c r="AM169" s="15" t="str">
        <f t="shared" ref="AM169" si="11973">IF(MarBoo1LevelCurrent&gt;=$B169,"-",IF(MarBoo1LevelDesired&lt;$B169,"-",$C169))</f>
        <v>-</v>
      </c>
      <c r="AN169" s="1" t="str">
        <f t="shared" ref="AN169" si="11974">IF(MarBoo1LevelCurrent&gt;=$B169,"-",IF(MarBoo1LevelDesired&lt;$B169,"-",$D169))</f>
        <v>-</v>
      </c>
      <c r="AO169" s="21" t="str">
        <f t="shared" ref="AO169" si="11975">IF(MarBoo1LevelCurrent&gt;=$B169,"-",IF(MarBoo1LevelDesired&lt;$B169,"-",$E169))</f>
        <v>-</v>
      </c>
      <c r="AP169" s="15" t="str">
        <f t="shared" ref="AP169" si="11976">IF(InfGog2LevelCurrent&gt;=$B169,"-",IF(InfGog2LevelDesired&lt;$B169,"-",$C169))</f>
        <v>-</v>
      </c>
      <c r="AQ169" s="1" t="str">
        <f t="shared" ref="AQ169" si="11977">IF(InfGog2LevelCurrent&gt;=$B169,"-",IF(InfGog2LevelDesired&lt;$B169,"-",$D169))</f>
        <v>-</v>
      </c>
      <c r="AR169" s="21" t="str">
        <f t="shared" ref="AR169" si="11978">IF(InfGog2LevelCurrent&gt;=$B169,"-",IF(InfGog2LevelDesired&lt;$B169,"-",$E169))</f>
        <v>-</v>
      </c>
      <c r="AS169" s="15" t="str">
        <f t="shared" ref="AS169" si="11979">IF(InfGlo2LevelCurrent&gt;=$B169,"-",IF(InfGlo2LevelDesired&lt;$B169,"-",$C169))</f>
        <v>-</v>
      </c>
      <c r="AT169" s="1" t="str">
        <f t="shared" ref="AT169" si="11980">IF(InfGlo2LevelCurrent&gt;=$B169,"-",IF(InfGlo2LevelDesired&lt;$B169,"-",$D169))</f>
        <v>-</v>
      </c>
      <c r="AU169" s="21" t="str">
        <f t="shared" ref="AU169" si="11981">IF(InfGlo2LevelCurrent&gt;=$B169,"-",IF(InfGlo2LevelDesired&lt;$B169,"-",$E169))</f>
        <v>-</v>
      </c>
      <c r="AV169" s="15" t="str">
        <f t="shared" ref="AV169" si="11982">IF(InfBel2LevelCurrent&gt;=$B169,"-",IF(InfBel2LevelDesired&lt;$B169,"-",$C169))</f>
        <v>-</v>
      </c>
      <c r="AW169" s="1" t="str">
        <f t="shared" ref="AW169" si="11983">IF(InfBel2LevelCurrent&gt;=$B169,"-",IF(InfBel2LevelDesired&lt;$B169,"-",$D169))</f>
        <v>-</v>
      </c>
      <c r="AX169" s="21" t="str">
        <f t="shared" ref="AX169" si="11984">IF(InfBel2LevelCurrent&gt;=$B169,"-",IF(InfBel2LevelDesired&lt;$B169,"-",$E169))</f>
        <v>-</v>
      </c>
      <c r="AY169" s="15" t="str">
        <f t="shared" ref="AY169" si="11985">IF(InfBoo2LevelCurrent&gt;=$B169,"-",IF(InfBoo2LevelDesired&lt;$B169,"-",$C169))</f>
        <v>-</v>
      </c>
      <c r="AZ169" s="1" t="str">
        <f t="shared" ref="AZ169" si="11986">IF(InfBoo2LevelCurrent&gt;=$B169,"-",IF(InfBoo2LevelDesired&lt;$B169,"-",$D169))</f>
        <v>-</v>
      </c>
      <c r="BA169" s="21" t="str">
        <f t="shared" ref="BA169" si="11987">IF(InfBoo2LevelCurrent&gt;=$B169,"-",IF(InfBoo2LevelDesired&lt;$B169,"-",$E169))</f>
        <v>-</v>
      </c>
      <c r="BB169" s="15" t="str">
        <f t="shared" ref="BB169" si="11988">IF(LanGog2LevelCurrent&gt;=$B169,"-",IF(LanGog2LevelDesired&lt;$B169,"-",$C169))</f>
        <v>-</v>
      </c>
      <c r="BC169" s="1" t="str">
        <f t="shared" ref="BC169" si="11989">IF(LanGog2LevelCurrent&gt;=$B169,"-",IF(LanGog2LevelDesired&lt;$B169,"-",$D169))</f>
        <v>-</v>
      </c>
      <c r="BD169" s="21" t="str">
        <f t="shared" ref="BD169" si="11990">IF(LanGog2LevelCurrent&gt;=$B169,"-",IF(LanGog2LevelDesired&lt;$B169,"-",$E169))</f>
        <v>-</v>
      </c>
      <c r="BE169" s="15" t="str">
        <f t="shared" ref="BE169" si="11991">IF(LanGlo2LevelCurrent&gt;=$B169,"-",IF(LanGlo2LevelDesired&lt;$B169,"-",$C169))</f>
        <v>-</v>
      </c>
      <c r="BF169" s="1" t="str">
        <f t="shared" ref="BF169" si="11992">IF(LanGlo2LevelCurrent&gt;=$B169,"-",IF(LanGlo2LevelDesired&lt;$B169,"-",$D169))</f>
        <v>-</v>
      </c>
      <c r="BG169" s="21" t="str">
        <f t="shared" ref="BG169" si="11993">IF(LanGlo2LevelCurrent&gt;=$B169,"-",IF(LanGlo2LevelDesired&lt;$B169,"-",$E169))</f>
        <v>-</v>
      </c>
      <c r="BH169" s="15" t="str">
        <f t="shared" ref="BH169" si="11994">IF(LanBel2LevelCurrent&gt;=$B169,"-",IF(LanBel2LevelDesired&lt;$B169,"-",$C169))</f>
        <v>-</v>
      </c>
      <c r="BI169" s="1" t="str">
        <f t="shared" ref="BI169" si="11995">IF(LanBel2LevelCurrent&gt;=$B169,"-",IF(LanBel2LevelDesired&lt;$B169,"-",$D169))</f>
        <v>-</v>
      </c>
      <c r="BJ169" s="21" t="str">
        <f t="shared" ref="BJ169" si="11996">IF(LanBel2LevelCurrent&gt;=$B169,"-",IF(LanBel2LevelDesired&lt;$B169,"-",$E169))</f>
        <v>-</v>
      </c>
      <c r="BK169" s="15" t="str">
        <f t="shared" ref="BK169" si="11997">IF(LanBoo2LevelCurrent&gt;=$B169,"-",IF(LanBoo2LevelDesired&lt;$B169,"-",$C169))</f>
        <v>-</v>
      </c>
      <c r="BL169" s="1" t="str">
        <f t="shared" ref="BL169" si="11998">IF(LanBoo2LevelCurrent&gt;=$B169,"-",IF(LanBoo2LevelDesired&lt;$B169,"-",$D169))</f>
        <v>-</v>
      </c>
      <c r="BM169" s="21" t="str">
        <f t="shared" ref="BM169" si="11999">IF(LanBoo2LevelCurrent&gt;=$B169,"-",IF(LanBoo2LevelDesired&lt;$B169,"-",$E169))</f>
        <v>-</v>
      </c>
      <c r="BN169" s="15" t="str">
        <f t="shared" ref="BN169" si="12000">IF(MarGog2LevelCurrent&gt;=$B169,"-",IF(MarGog2LevelDesired&lt;$B169,"-",$C169))</f>
        <v>-</v>
      </c>
      <c r="BO169" s="1" t="str">
        <f t="shared" ref="BO169" si="12001">IF(MarGog2LevelCurrent&gt;=$B169,"-",IF(MarGog2LevelDesired&lt;$B169,"-",$D169))</f>
        <v>-</v>
      </c>
      <c r="BP169" s="21" t="str">
        <f t="shared" ref="BP169" si="12002">IF(MarGog2LevelCurrent&gt;=$B169,"-",IF(MarGog2LevelDesired&lt;$B169,"-",$E169))</f>
        <v>-</v>
      </c>
      <c r="BQ169" s="15" t="str">
        <f t="shared" ref="BQ169" si="12003">IF(MarGlo2LevelCurrent&gt;=$B169,"-",IF(MarGlo2LevelDesired&lt;$B169,"-",$C169))</f>
        <v>-</v>
      </c>
      <c r="BR169" s="1" t="str">
        <f t="shared" ref="BR169" si="12004">IF(MarGlo2LevelCurrent&gt;=$B169,"-",IF(MarGlo2LevelDesired&lt;$B169,"-",$D169))</f>
        <v>-</v>
      </c>
      <c r="BS169" s="21" t="str">
        <f t="shared" ref="BS169" si="12005">IF(MarGlo2LevelCurrent&gt;=$B169,"-",IF(MarGlo2LevelDesired&lt;$B169,"-",$E169))</f>
        <v>-</v>
      </c>
      <c r="BT169" s="15" t="str">
        <f t="shared" ref="BT169" si="12006">IF(MarBel2LevelCurrent&gt;=$B169,"-",IF(MarBel2LevelDesired&lt;$B169,"-",$C169))</f>
        <v>-</v>
      </c>
      <c r="BU169" s="1" t="str">
        <f t="shared" ref="BU169" si="12007">IF(MarBel2LevelCurrent&gt;=$B169,"-",IF(MarBel2LevelDesired&lt;$B169,"-",$D169))</f>
        <v>-</v>
      </c>
      <c r="BV169" s="21" t="str">
        <f t="shared" ref="BV169" si="12008">IF(MarBel2LevelCurrent&gt;=$B169,"-",IF(MarBel2LevelDesired&lt;$B169,"-",$E169))</f>
        <v>-</v>
      </c>
      <c r="BW169" s="15" t="str">
        <f t="shared" ref="BW169" si="12009">IF(MarBoo2LevelCurrent&gt;=$B169,"-",IF(MarBoo2LevelDesired&lt;$B169,"-",$C169))</f>
        <v>-</v>
      </c>
      <c r="BX169" s="1" t="str">
        <f t="shared" ref="BX169" si="12010">IF(MarBoo2LevelCurrent&gt;=$B169,"-",IF(MarBoo2LevelDesired&lt;$B169,"-",$D169))</f>
        <v>-</v>
      </c>
      <c r="BY169" s="21" t="str">
        <f t="shared" ref="BY169" si="12011">IF(MarBoo2LevelCurrent&gt;=$B169,"-",IF(MarBoo2LevelDesired&lt;$B169,"-",$E169))</f>
        <v>-</v>
      </c>
      <c r="BZ169" s="15" t="str">
        <f t="shared" si="11762"/>
        <v>-</v>
      </c>
      <c r="CA169" s="1" t="str" cm="1">
        <f t="array" ref="CA169">IF(InfGog3LevelCurrent&gt;=$B169,"-",IF(InfGog3LevelDesired&lt;$B169,"-",$D169))</f>
        <v>-</v>
      </c>
      <c r="CB169" s="21" t="str" cm="1">
        <f t="array" ref="CB169">IF(InfGog3LevelCurrent&gt;=$B169,"-",IF(InfGog3LevelDesired&lt;$B169,"-",$E169))</f>
        <v>-</v>
      </c>
      <c r="CC169" s="15" t="str">
        <f t="shared" si="11763"/>
        <v>-</v>
      </c>
      <c r="CD169" s="1" t="str">
        <f t="shared" si="11764"/>
        <v>-</v>
      </c>
      <c r="CE169" s="21" t="str">
        <f t="shared" si="11765"/>
        <v>-</v>
      </c>
      <c r="CF169" s="15" t="str">
        <f t="shared" si="11766"/>
        <v>-</v>
      </c>
      <c r="CG169" s="1" t="str">
        <f t="shared" si="11767"/>
        <v>-</v>
      </c>
      <c r="CH169" s="21" t="str">
        <f t="shared" si="11768"/>
        <v>-</v>
      </c>
      <c r="CI169" s="15" t="str">
        <f t="shared" si="11769"/>
        <v>-</v>
      </c>
      <c r="CJ169" s="1" t="str">
        <f t="shared" si="11770"/>
        <v>-</v>
      </c>
      <c r="CK169" s="21" t="str">
        <f t="shared" si="11771"/>
        <v>-</v>
      </c>
      <c r="CL169" s="15" t="str">
        <f t="shared" si="11772"/>
        <v>-</v>
      </c>
      <c r="CM169" s="1" t="str">
        <f t="shared" si="11773"/>
        <v>-</v>
      </c>
      <c r="CN169" s="21" t="str">
        <f t="shared" si="11774"/>
        <v>-</v>
      </c>
      <c r="CO169" s="15" t="str">
        <f t="shared" si="11775"/>
        <v>-</v>
      </c>
      <c r="CP169" s="1" t="str">
        <f t="shared" si="11776"/>
        <v>-</v>
      </c>
      <c r="CQ169" s="21" t="str">
        <f t="shared" si="11777"/>
        <v>-</v>
      </c>
      <c r="CR169" s="15" t="str">
        <f t="shared" si="11778"/>
        <v>-</v>
      </c>
      <c r="CS169" s="1" t="str">
        <f t="shared" si="11779"/>
        <v>-</v>
      </c>
      <c r="CT169" s="21" t="str">
        <f t="shared" si="11780"/>
        <v>-</v>
      </c>
      <c r="CU169" s="15" t="str">
        <f t="shared" si="11781"/>
        <v>-</v>
      </c>
      <c r="CV169" s="1" t="str">
        <f t="shared" si="11782"/>
        <v>-</v>
      </c>
      <c r="CW169" s="21" t="str">
        <f t="shared" si="11783"/>
        <v>-</v>
      </c>
      <c r="CX169" s="15" t="str">
        <f t="shared" si="11784"/>
        <v>-</v>
      </c>
      <c r="CY169" s="1" t="str">
        <f t="shared" si="11785"/>
        <v>-</v>
      </c>
      <c r="CZ169" s="21" t="str">
        <f t="shared" si="11786"/>
        <v>-</v>
      </c>
      <c r="DA169" s="15" t="str">
        <f t="shared" si="11787"/>
        <v>-</v>
      </c>
      <c r="DB169" s="1" t="str">
        <f t="shared" si="11788"/>
        <v>-</v>
      </c>
      <c r="DC169" s="21" t="str">
        <f t="shared" si="11789"/>
        <v>-</v>
      </c>
      <c r="DD169" s="15" t="str">
        <f t="shared" si="11790"/>
        <v>-</v>
      </c>
      <c r="DE169" s="1" t="str">
        <f t="shared" si="11791"/>
        <v>-</v>
      </c>
      <c r="DF169" s="21" t="str">
        <f t="shared" si="11792"/>
        <v>-</v>
      </c>
      <c r="DG169" s="15" t="str">
        <f t="shared" si="11793"/>
        <v>-</v>
      </c>
      <c r="DH169" s="1" t="str">
        <f t="shared" si="11794"/>
        <v>-</v>
      </c>
      <c r="DI169" s="21" t="str">
        <f t="shared" si="11795"/>
        <v>-</v>
      </c>
    </row>
    <row r="170" spans="2:113" x14ac:dyDescent="0.3">
      <c r="B170" s="1">
        <v>165</v>
      </c>
      <c r="C170" s="67">
        <v>5900</v>
      </c>
      <c r="D170" s="88" t="s">
        <v>27</v>
      </c>
      <c r="E170" s="68" t="s">
        <v>27</v>
      </c>
      <c r="F170" s="15" t="str">
        <f t="shared" ref="F170" si="12012">IF(InfGog1LevelCurrent&gt;=$B170,"-",IF(InfGog1LevelDesired&lt;$B170,"-",$C170))</f>
        <v>-</v>
      </c>
      <c r="G170" s="1" t="str">
        <f t="shared" ref="G170" si="12013">IF(InfGog1LevelCurrent&gt;=$B170,"-",IF(InfGog1LevelDesired&lt;$B170,"-",$D170))</f>
        <v>-</v>
      </c>
      <c r="H170" s="21" t="str">
        <f t="shared" ref="H170" si="12014">IF(InfGog1LevelCurrent&gt;=$B170,"-",IF(InfGog1LevelDesired&lt;$B170,"-",$E170))</f>
        <v>-</v>
      </c>
      <c r="I170" s="15" t="str">
        <f t="shared" ref="I170" si="12015">IF(InfGlo1LevelCurrent&gt;=$B170,"-",IF(InfGlo1LevelDesired&lt;$B170,"-",$C170))</f>
        <v>-</v>
      </c>
      <c r="J170" s="1" t="str">
        <f t="shared" ref="J170" si="12016">IF(InfGlo1LevelCurrent&gt;=$B170,"-",IF(InfGlo1LevelDesired&lt;$B170,"-",$D170))</f>
        <v>-</v>
      </c>
      <c r="K170" s="21" t="str">
        <f t="shared" ref="K170" si="12017">IF(InfGlo1LevelCurrent&gt;=$B170,"-",IF(InfGlo1LevelDesired&lt;$B170,"-",$E170))</f>
        <v>-</v>
      </c>
      <c r="L170" s="15" t="str">
        <f t="shared" ref="L170" si="12018">IF(InfBel1LevelCurrent&gt;=$B170,"-",IF(InfBel1LevelDesired&lt;$B170,"-",$C170))</f>
        <v>-</v>
      </c>
      <c r="M170" s="1" t="str">
        <f t="shared" ref="M170" si="12019">IF(InfBel1LevelCurrent&gt;=$B170,"-",IF(InfBel1LevelDesired&lt;$B170,"-",$D170))</f>
        <v>-</v>
      </c>
      <c r="N170" s="21" t="str">
        <f t="shared" ref="N170" si="12020">IF(InfBel1LevelCurrent&gt;=$B170,"-",IF(InfBel1LevelDesired&lt;$B170,"-",$E170))</f>
        <v>-</v>
      </c>
      <c r="O170" s="15" t="str">
        <f t="shared" ref="O170" si="12021">IF(InfBoo1LevelCurrent&gt;=$B170,"-",IF(InfBoo1LevelDesired&lt;$B170,"-",$C170))</f>
        <v>-</v>
      </c>
      <c r="P170" s="1" t="str">
        <f t="shared" ref="P170" si="12022">IF(InfBoo1LevelCurrent&gt;=$B170,"-",IF(InfBoo1LevelDesired&lt;$B170,"-",$D170))</f>
        <v>-</v>
      </c>
      <c r="Q170" s="21" t="str">
        <f t="shared" ref="Q170" si="12023">IF(InfBoo1LevelCurrent&gt;=$B170,"-",IF(InfBoo1LevelDesired&lt;$B170,"-",$E170))</f>
        <v>-</v>
      </c>
      <c r="R170" s="15" t="str">
        <f t="shared" ref="R170" si="12024">IF(LanGog1LevelCurrent&gt;=$B170,"-",IF(LanGog1LevelDesired&lt;$B170,"-",$C170))</f>
        <v>-</v>
      </c>
      <c r="S170" s="1" t="str">
        <f t="shared" ref="S170" si="12025">IF(LanGog1LevelCurrent&gt;=$B170,"-",IF(LanGog1LevelDesired&lt;$B170,"-",$D170))</f>
        <v>-</v>
      </c>
      <c r="T170" s="21" t="str">
        <f t="shared" ref="T170" si="12026">IF(LanGog1LevelCurrent&gt;=$B170,"-",IF(LanGog1LevelDesired&lt;$B170,"-",$E170))</f>
        <v>-</v>
      </c>
      <c r="U170" s="15" t="str">
        <f t="shared" ref="U170" si="12027">IF(LanGlo1LevelCurrent&gt;=$B170,"-",IF(LanGlo1LevelDesired&lt;$B170,"-",$C170))</f>
        <v>-</v>
      </c>
      <c r="V170" s="1" t="str">
        <f t="shared" ref="V170" si="12028">IF(LanGlo1LevelCurrent&gt;=$B170,"-",IF(LanGlo1LevelDesired&lt;$B170,"-",$D170))</f>
        <v>-</v>
      </c>
      <c r="W170" s="21" t="str">
        <f t="shared" ref="W170" si="12029">IF(LanGlo1LevelCurrent&gt;=$B170,"-",IF(LanGlo1LevelDesired&lt;$B170,"-",$E170))</f>
        <v>-</v>
      </c>
      <c r="X170" s="15" t="str">
        <f t="shared" ref="X170" si="12030">IF(LanBel1LevelCurrent&gt;=$B170,"-",IF(LanBel1LevelDesired&lt;$B170,"-",$C170))</f>
        <v>-</v>
      </c>
      <c r="Y170" s="1" t="str">
        <f t="shared" ref="Y170" si="12031">IF(LanBel1LevelCurrent&gt;=$B170,"-",IF(LanBel1LevelDesired&lt;$B170,"-",$D170))</f>
        <v>-</v>
      </c>
      <c r="Z170" s="21" t="str">
        <f t="shared" ref="Z170" si="12032">IF(LanBel1LevelCurrent&gt;=$B170,"-",IF(LanBel1LevelDesired&lt;$B170,"-",$E170))</f>
        <v>-</v>
      </c>
      <c r="AA170" s="15" t="str">
        <f t="shared" ref="AA170" si="12033">IF(LanBoo1LevelCurrent&gt;=$B170,"-",IF(LanBoo1LevelDesired&lt;$B170,"-",$C170))</f>
        <v>-</v>
      </c>
      <c r="AB170" s="1" t="str">
        <f t="shared" ref="AB170" si="12034">IF(LanBoo1LevelCurrent&gt;=$B170,"-",IF(LanBoo1LevelDesired&lt;$B170,"-",$D170))</f>
        <v>-</v>
      </c>
      <c r="AC170" s="21" t="str">
        <f t="shared" ref="AC170" si="12035">IF(LanBoo1LevelCurrent&gt;=$B170,"-",IF(LanBoo1LevelDesired&lt;$B170,"-",$E170))</f>
        <v>-</v>
      </c>
      <c r="AD170" s="15" t="str">
        <f t="shared" ref="AD170" si="12036">IF(MarGog1LevelCurrent&gt;=$B170,"-",IF(MarGog1LevelDesired&lt;$B170,"-",$C170))</f>
        <v>-</v>
      </c>
      <c r="AE170" s="1" t="str">
        <f t="shared" ref="AE170" si="12037">IF(MarGog1LevelCurrent&gt;=$B170,"-",IF(MarGog1LevelDesired&lt;$B170,"-",$D170))</f>
        <v>-</v>
      </c>
      <c r="AF170" s="21" t="str">
        <f t="shared" ref="AF170" si="12038">IF(MarGog1LevelCurrent&gt;=$B170,"-",IF(MarGog1LevelDesired&lt;$B170,"-",$E170))</f>
        <v>-</v>
      </c>
      <c r="AG170" s="15" t="str">
        <f t="shared" ref="AG170" si="12039">IF(MarGlo1LevelCurrent&gt;=$B170,"-",IF(MarGlo1LevelDesired&lt;$B170,"-",$C170))</f>
        <v>-</v>
      </c>
      <c r="AH170" s="1" t="str">
        <f t="shared" ref="AH170" si="12040">IF(MarGlo1LevelCurrent&gt;=$B170,"-",IF(MarGlo1LevelDesired&lt;$B170,"-",$D170))</f>
        <v>-</v>
      </c>
      <c r="AI170" s="21" t="str">
        <f t="shared" ref="AI170" si="12041">IF(MarGlo1LevelCurrent&gt;=$B170,"-",IF(MarGlo1LevelDesired&lt;$B170,"-",$E170))</f>
        <v>-</v>
      </c>
      <c r="AJ170" s="15" t="str">
        <f t="shared" ref="AJ170" si="12042">IF(MarBel1LevelCurrent&gt;=$B170,"-",IF(MarBel1LevelDesired&lt;$B170,"-",$C170))</f>
        <v>-</v>
      </c>
      <c r="AK170" s="1" t="str">
        <f t="shared" ref="AK170" si="12043">IF(MarBel1LevelCurrent&gt;=$B170,"-",IF(MarBel1LevelDesired&lt;$B170,"-",$D170))</f>
        <v>-</v>
      </c>
      <c r="AL170" s="21" t="str">
        <f t="shared" ref="AL170" si="12044">IF(MarBel1LevelCurrent&gt;=$B170,"-",IF(MarBel1LevelDesired&lt;$B170,"-",$E170))</f>
        <v>-</v>
      </c>
      <c r="AM170" s="15" t="str">
        <f t="shared" ref="AM170" si="12045">IF(MarBoo1LevelCurrent&gt;=$B170,"-",IF(MarBoo1LevelDesired&lt;$B170,"-",$C170))</f>
        <v>-</v>
      </c>
      <c r="AN170" s="1" t="str">
        <f t="shared" ref="AN170" si="12046">IF(MarBoo1LevelCurrent&gt;=$B170,"-",IF(MarBoo1LevelDesired&lt;$B170,"-",$D170))</f>
        <v>-</v>
      </c>
      <c r="AO170" s="21" t="str">
        <f t="shared" ref="AO170" si="12047">IF(MarBoo1LevelCurrent&gt;=$B170,"-",IF(MarBoo1LevelDesired&lt;$B170,"-",$E170))</f>
        <v>-</v>
      </c>
      <c r="AP170" s="15" t="str">
        <f t="shared" ref="AP170" si="12048">IF(InfGog2LevelCurrent&gt;=$B170,"-",IF(InfGog2LevelDesired&lt;$B170,"-",$C170))</f>
        <v>-</v>
      </c>
      <c r="AQ170" s="1" t="str">
        <f t="shared" ref="AQ170" si="12049">IF(InfGog2LevelCurrent&gt;=$B170,"-",IF(InfGog2LevelDesired&lt;$B170,"-",$D170))</f>
        <v>-</v>
      </c>
      <c r="AR170" s="21" t="str">
        <f t="shared" ref="AR170" si="12050">IF(InfGog2LevelCurrent&gt;=$B170,"-",IF(InfGog2LevelDesired&lt;$B170,"-",$E170))</f>
        <v>-</v>
      </c>
      <c r="AS170" s="15" t="str">
        <f t="shared" ref="AS170" si="12051">IF(InfGlo2LevelCurrent&gt;=$B170,"-",IF(InfGlo2LevelDesired&lt;$B170,"-",$C170))</f>
        <v>-</v>
      </c>
      <c r="AT170" s="1" t="str">
        <f t="shared" ref="AT170" si="12052">IF(InfGlo2LevelCurrent&gt;=$B170,"-",IF(InfGlo2LevelDesired&lt;$B170,"-",$D170))</f>
        <v>-</v>
      </c>
      <c r="AU170" s="21" t="str">
        <f t="shared" ref="AU170" si="12053">IF(InfGlo2LevelCurrent&gt;=$B170,"-",IF(InfGlo2LevelDesired&lt;$B170,"-",$E170))</f>
        <v>-</v>
      </c>
      <c r="AV170" s="15" t="str">
        <f t="shared" ref="AV170" si="12054">IF(InfBel2LevelCurrent&gt;=$B170,"-",IF(InfBel2LevelDesired&lt;$B170,"-",$C170))</f>
        <v>-</v>
      </c>
      <c r="AW170" s="1" t="str">
        <f t="shared" ref="AW170" si="12055">IF(InfBel2LevelCurrent&gt;=$B170,"-",IF(InfBel2LevelDesired&lt;$B170,"-",$D170))</f>
        <v>-</v>
      </c>
      <c r="AX170" s="21" t="str">
        <f t="shared" ref="AX170" si="12056">IF(InfBel2LevelCurrent&gt;=$B170,"-",IF(InfBel2LevelDesired&lt;$B170,"-",$E170))</f>
        <v>-</v>
      </c>
      <c r="AY170" s="15" t="str">
        <f t="shared" ref="AY170" si="12057">IF(InfBoo2LevelCurrent&gt;=$B170,"-",IF(InfBoo2LevelDesired&lt;$B170,"-",$C170))</f>
        <v>-</v>
      </c>
      <c r="AZ170" s="1" t="str">
        <f t="shared" ref="AZ170" si="12058">IF(InfBoo2LevelCurrent&gt;=$B170,"-",IF(InfBoo2LevelDesired&lt;$B170,"-",$D170))</f>
        <v>-</v>
      </c>
      <c r="BA170" s="21" t="str">
        <f t="shared" ref="BA170" si="12059">IF(InfBoo2LevelCurrent&gt;=$B170,"-",IF(InfBoo2LevelDesired&lt;$B170,"-",$E170))</f>
        <v>-</v>
      </c>
      <c r="BB170" s="15" t="str">
        <f t="shared" ref="BB170" si="12060">IF(LanGog2LevelCurrent&gt;=$B170,"-",IF(LanGog2LevelDesired&lt;$B170,"-",$C170))</f>
        <v>-</v>
      </c>
      <c r="BC170" s="1" t="str">
        <f t="shared" ref="BC170" si="12061">IF(LanGog2LevelCurrent&gt;=$B170,"-",IF(LanGog2LevelDesired&lt;$B170,"-",$D170))</f>
        <v>-</v>
      </c>
      <c r="BD170" s="21" t="str">
        <f t="shared" ref="BD170" si="12062">IF(LanGog2LevelCurrent&gt;=$B170,"-",IF(LanGog2LevelDesired&lt;$B170,"-",$E170))</f>
        <v>-</v>
      </c>
      <c r="BE170" s="15" t="str">
        <f t="shared" ref="BE170" si="12063">IF(LanGlo2LevelCurrent&gt;=$B170,"-",IF(LanGlo2LevelDesired&lt;$B170,"-",$C170))</f>
        <v>-</v>
      </c>
      <c r="BF170" s="1" t="str">
        <f t="shared" ref="BF170" si="12064">IF(LanGlo2LevelCurrent&gt;=$B170,"-",IF(LanGlo2LevelDesired&lt;$B170,"-",$D170))</f>
        <v>-</v>
      </c>
      <c r="BG170" s="21" t="str">
        <f t="shared" ref="BG170" si="12065">IF(LanGlo2LevelCurrent&gt;=$B170,"-",IF(LanGlo2LevelDesired&lt;$B170,"-",$E170))</f>
        <v>-</v>
      </c>
      <c r="BH170" s="15" t="str">
        <f t="shared" ref="BH170" si="12066">IF(LanBel2LevelCurrent&gt;=$B170,"-",IF(LanBel2LevelDesired&lt;$B170,"-",$C170))</f>
        <v>-</v>
      </c>
      <c r="BI170" s="1" t="str">
        <f t="shared" ref="BI170" si="12067">IF(LanBel2LevelCurrent&gt;=$B170,"-",IF(LanBel2LevelDesired&lt;$B170,"-",$D170))</f>
        <v>-</v>
      </c>
      <c r="BJ170" s="21" t="str">
        <f t="shared" ref="BJ170" si="12068">IF(LanBel2LevelCurrent&gt;=$B170,"-",IF(LanBel2LevelDesired&lt;$B170,"-",$E170))</f>
        <v>-</v>
      </c>
      <c r="BK170" s="15" t="str">
        <f t="shared" ref="BK170" si="12069">IF(LanBoo2LevelCurrent&gt;=$B170,"-",IF(LanBoo2LevelDesired&lt;$B170,"-",$C170))</f>
        <v>-</v>
      </c>
      <c r="BL170" s="1" t="str">
        <f t="shared" ref="BL170" si="12070">IF(LanBoo2LevelCurrent&gt;=$B170,"-",IF(LanBoo2LevelDesired&lt;$B170,"-",$D170))</f>
        <v>-</v>
      </c>
      <c r="BM170" s="21" t="str">
        <f t="shared" ref="BM170" si="12071">IF(LanBoo2LevelCurrent&gt;=$B170,"-",IF(LanBoo2LevelDesired&lt;$B170,"-",$E170))</f>
        <v>-</v>
      </c>
      <c r="BN170" s="15" t="str">
        <f t="shared" ref="BN170" si="12072">IF(MarGog2LevelCurrent&gt;=$B170,"-",IF(MarGog2LevelDesired&lt;$B170,"-",$C170))</f>
        <v>-</v>
      </c>
      <c r="BO170" s="1" t="str">
        <f t="shared" ref="BO170" si="12073">IF(MarGog2LevelCurrent&gt;=$B170,"-",IF(MarGog2LevelDesired&lt;$B170,"-",$D170))</f>
        <v>-</v>
      </c>
      <c r="BP170" s="21" t="str">
        <f t="shared" ref="BP170" si="12074">IF(MarGog2LevelCurrent&gt;=$B170,"-",IF(MarGog2LevelDesired&lt;$B170,"-",$E170))</f>
        <v>-</v>
      </c>
      <c r="BQ170" s="15" t="str">
        <f t="shared" ref="BQ170" si="12075">IF(MarGlo2LevelCurrent&gt;=$B170,"-",IF(MarGlo2LevelDesired&lt;$B170,"-",$C170))</f>
        <v>-</v>
      </c>
      <c r="BR170" s="1" t="str">
        <f t="shared" ref="BR170" si="12076">IF(MarGlo2LevelCurrent&gt;=$B170,"-",IF(MarGlo2LevelDesired&lt;$B170,"-",$D170))</f>
        <v>-</v>
      </c>
      <c r="BS170" s="21" t="str">
        <f t="shared" ref="BS170" si="12077">IF(MarGlo2LevelCurrent&gt;=$B170,"-",IF(MarGlo2LevelDesired&lt;$B170,"-",$E170))</f>
        <v>-</v>
      </c>
      <c r="BT170" s="15" t="str">
        <f t="shared" ref="BT170" si="12078">IF(MarBel2LevelCurrent&gt;=$B170,"-",IF(MarBel2LevelDesired&lt;$B170,"-",$C170))</f>
        <v>-</v>
      </c>
      <c r="BU170" s="1" t="str">
        <f t="shared" ref="BU170" si="12079">IF(MarBel2LevelCurrent&gt;=$B170,"-",IF(MarBel2LevelDesired&lt;$B170,"-",$D170))</f>
        <v>-</v>
      </c>
      <c r="BV170" s="21" t="str">
        <f t="shared" ref="BV170" si="12080">IF(MarBel2LevelCurrent&gt;=$B170,"-",IF(MarBel2LevelDesired&lt;$B170,"-",$E170))</f>
        <v>-</v>
      </c>
      <c r="BW170" s="15" t="str">
        <f t="shared" ref="BW170" si="12081">IF(MarBoo2LevelCurrent&gt;=$B170,"-",IF(MarBoo2LevelDesired&lt;$B170,"-",$C170))</f>
        <v>-</v>
      </c>
      <c r="BX170" s="1" t="str">
        <f t="shared" ref="BX170" si="12082">IF(MarBoo2LevelCurrent&gt;=$B170,"-",IF(MarBoo2LevelDesired&lt;$B170,"-",$D170))</f>
        <v>-</v>
      </c>
      <c r="BY170" s="21" t="str">
        <f t="shared" ref="BY170" si="12083">IF(MarBoo2LevelCurrent&gt;=$B170,"-",IF(MarBoo2LevelDesired&lt;$B170,"-",$E170))</f>
        <v>-</v>
      </c>
      <c r="BZ170" s="15" t="str">
        <f t="shared" si="11762"/>
        <v>-</v>
      </c>
      <c r="CA170" s="1" t="str" cm="1">
        <f t="array" ref="CA170">IF(InfGog3LevelCurrent&gt;=$B170,"-",IF(InfGog3LevelDesired&lt;$B170,"-",$D170))</f>
        <v>-</v>
      </c>
      <c r="CB170" s="21" t="str" cm="1">
        <f t="array" ref="CB170">IF(InfGog3LevelCurrent&gt;=$B170,"-",IF(InfGog3LevelDesired&lt;$B170,"-",$E170))</f>
        <v>-</v>
      </c>
      <c r="CC170" s="15" t="str">
        <f t="shared" si="11763"/>
        <v>-</v>
      </c>
      <c r="CD170" s="1" t="str">
        <f t="shared" si="11764"/>
        <v>-</v>
      </c>
      <c r="CE170" s="21" t="str">
        <f t="shared" si="11765"/>
        <v>-</v>
      </c>
      <c r="CF170" s="15" t="str">
        <f t="shared" si="11766"/>
        <v>-</v>
      </c>
      <c r="CG170" s="1" t="str">
        <f t="shared" si="11767"/>
        <v>-</v>
      </c>
      <c r="CH170" s="21" t="str">
        <f t="shared" si="11768"/>
        <v>-</v>
      </c>
      <c r="CI170" s="15" t="str">
        <f t="shared" si="11769"/>
        <v>-</v>
      </c>
      <c r="CJ170" s="1" t="str">
        <f t="shared" si="11770"/>
        <v>-</v>
      </c>
      <c r="CK170" s="21" t="str">
        <f t="shared" si="11771"/>
        <v>-</v>
      </c>
      <c r="CL170" s="15" t="str">
        <f t="shared" si="11772"/>
        <v>-</v>
      </c>
      <c r="CM170" s="1" t="str">
        <f t="shared" si="11773"/>
        <v>-</v>
      </c>
      <c r="CN170" s="21" t="str">
        <f t="shared" si="11774"/>
        <v>-</v>
      </c>
      <c r="CO170" s="15" t="str">
        <f t="shared" si="11775"/>
        <v>-</v>
      </c>
      <c r="CP170" s="1" t="str">
        <f t="shared" si="11776"/>
        <v>-</v>
      </c>
      <c r="CQ170" s="21" t="str">
        <f t="shared" si="11777"/>
        <v>-</v>
      </c>
      <c r="CR170" s="15" t="str">
        <f t="shared" si="11778"/>
        <v>-</v>
      </c>
      <c r="CS170" s="1" t="str">
        <f t="shared" si="11779"/>
        <v>-</v>
      </c>
      <c r="CT170" s="21" t="str">
        <f t="shared" si="11780"/>
        <v>-</v>
      </c>
      <c r="CU170" s="15" t="str">
        <f t="shared" si="11781"/>
        <v>-</v>
      </c>
      <c r="CV170" s="1" t="str">
        <f t="shared" si="11782"/>
        <v>-</v>
      </c>
      <c r="CW170" s="21" t="str">
        <f t="shared" si="11783"/>
        <v>-</v>
      </c>
      <c r="CX170" s="15" t="str">
        <f t="shared" si="11784"/>
        <v>-</v>
      </c>
      <c r="CY170" s="1" t="str">
        <f t="shared" si="11785"/>
        <v>-</v>
      </c>
      <c r="CZ170" s="21" t="str">
        <f t="shared" si="11786"/>
        <v>-</v>
      </c>
      <c r="DA170" s="15" t="str">
        <f t="shared" si="11787"/>
        <v>-</v>
      </c>
      <c r="DB170" s="1" t="str">
        <f t="shared" si="11788"/>
        <v>-</v>
      </c>
      <c r="DC170" s="21" t="str">
        <f t="shared" si="11789"/>
        <v>-</v>
      </c>
      <c r="DD170" s="15" t="str">
        <f t="shared" si="11790"/>
        <v>-</v>
      </c>
      <c r="DE170" s="1" t="str">
        <f t="shared" si="11791"/>
        <v>-</v>
      </c>
      <c r="DF170" s="21" t="str">
        <f t="shared" si="11792"/>
        <v>-</v>
      </c>
      <c r="DG170" s="15" t="str">
        <f t="shared" si="11793"/>
        <v>-</v>
      </c>
      <c r="DH170" s="1" t="str">
        <f t="shared" si="11794"/>
        <v>-</v>
      </c>
      <c r="DI170" s="21" t="str">
        <f t="shared" si="11795"/>
        <v>-</v>
      </c>
    </row>
    <row r="171" spans="2:113" x14ac:dyDescent="0.3">
      <c r="B171" s="1">
        <v>166</v>
      </c>
      <c r="C171" s="67">
        <v>6000</v>
      </c>
      <c r="D171" s="88" t="s">
        <v>27</v>
      </c>
      <c r="E171" s="68" t="s">
        <v>27</v>
      </c>
      <c r="F171" s="15" t="str">
        <f t="shared" ref="F171" si="12084">IF(InfGog1LevelCurrent&gt;=$B171,"-",IF(InfGog1LevelDesired&lt;$B171,"-",$C171))</f>
        <v>-</v>
      </c>
      <c r="G171" s="1" t="str">
        <f t="shared" ref="G171" si="12085">IF(InfGog1LevelCurrent&gt;=$B171,"-",IF(InfGog1LevelDesired&lt;$B171,"-",$D171))</f>
        <v>-</v>
      </c>
      <c r="H171" s="21" t="str">
        <f t="shared" ref="H171" si="12086">IF(InfGog1LevelCurrent&gt;=$B171,"-",IF(InfGog1LevelDesired&lt;$B171,"-",$E171))</f>
        <v>-</v>
      </c>
      <c r="I171" s="15" t="str">
        <f t="shared" ref="I171" si="12087">IF(InfGlo1LevelCurrent&gt;=$B171,"-",IF(InfGlo1LevelDesired&lt;$B171,"-",$C171))</f>
        <v>-</v>
      </c>
      <c r="J171" s="1" t="str">
        <f t="shared" ref="J171" si="12088">IF(InfGlo1LevelCurrent&gt;=$B171,"-",IF(InfGlo1LevelDesired&lt;$B171,"-",$D171))</f>
        <v>-</v>
      </c>
      <c r="K171" s="21" t="str">
        <f t="shared" ref="K171" si="12089">IF(InfGlo1LevelCurrent&gt;=$B171,"-",IF(InfGlo1LevelDesired&lt;$B171,"-",$E171))</f>
        <v>-</v>
      </c>
      <c r="L171" s="15" t="str">
        <f t="shared" ref="L171" si="12090">IF(InfBel1LevelCurrent&gt;=$B171,"-",IF(InfBel1LevelDesired&lt;$B171,"-",$C171))</f>
        <v>-</v>
      </c>
      <c r="M171" s="1" t="str">
        <f t="shared" ref="M171" si="12091">IF(InfBel1LevelCurrent&gt;=$B171,"-",IF(InfBel1LevelDesired&lt;$B171,"-",$D171))</f>
        <v>-</v>
      </c>
      <c r="N171" s="21" t="str">
        <f t="shared" ref="N171" si="12092">IF(InfBel1LevelCurrent&gt;=$B171,"-",IF(InfBel1LevelDesired&lt;$B171,"-",$E171))</f>
        <v>-</v>
      </c>
      <c r="O171" s="15" t="str">
        <f t="shared" ref="O171" si="12093">IF(InfBoo1LevelCurrent&gt;=$B171,"-",IF(InfBoo1LevelDesired&lt;$B171,"-",$C171))</f>
        <v>-</v>
      </c>
      <c r="P171" s="1" t="str">
        <f t="shared" ref="P171" si="12094">IF(InfBoo1LevelCurrent&gt;=$B171,"-",IF(InfBoo1LevelDesired&lt;$B171,"-",$D171))</f>
        <v>-</v>
      </c>
      <c r="Q171" s="21" t="str">
        <f t="shared" ref="Q171" si="12095">IF(InfBoo1LevelCurrent&gt;=$B171,"-",IF(InfBoo1LevelDesired&lt;$B171,"-",$E171))</f>
        <v>-</v>
      </c>
      <c r="R171" s="15" t="str">
        <f t="shared" ref="R171" si="12096">IF(LanGog1LevelCurrent&gt;=$B171,"-",IF(LanGog1LevelDesired&lt;$B171,"-",$C171))</f>
        <v>-</v>
      </c>
      <c r="S171" s="1" t="str">
        <f t="shared" ref="S171" si="12097">IF(LanGog1LevelCurrent&gt;=$B171,"-",IF(LanGog1LevelDesired&lt;$B171,"-",$D171))</f>
        <v>-</v>
      </c>
      <c r="T171" s="21" t="str">
        <f t="shared" ref="T171" si="12098">IF(LanGog1LevelCurrent&gt;=$B171,"-",IF(LanGog1LevelDesired&lt;$B171,"-",$E171))</f>
        <v>-</v>
      </c>
      <c r="U171" s="15" t="str">
        <f t="shared" ref="U171" si="12099">IF(LanGlo1LevelCurrent&gt;=$B171,"-",IF(LanGlo1LevelDesired&lt;$B171,"-",$C171))</f>
        <v>-</v>
      </c>
      <c r="V171" s="1" t="str">
        <f t="shared" ref="V171" si="12100">IF(LanGlo1LevelCurrent&gt;=$B171,"-",IF(LanGlo1LevelDesired&lt;$B171,"-",$D171))</f>
        <v>-</v>
      </c>
      <c r="W171" s="21" t="str">
        <f t="shared" ref="W171" si="12101">IF(LanGlo1LevelCurrent&gt;=$B171,"-",IF(LanGlo1LevelDesired&lt;$B171,"-",$E171))</f>
        <v>-</v>
      </c>
      <c r="X171" s="15" t="str">
        <f t="shared" ref="X171" si="12102">IF(LanBel1LevelCurrent&gt;=$B171,"-",IF(LanBel1LevelDesired&lt;$B171,"-",$C171))</f>
        <v>-</v>
      </c>
      <c r="Y171" s="1" t="str">
        <f t="shared" ref="Y171" si="12103">IF(LanBel1LevelCurrent&gt;=$B171,"-",IF(LanBel1LevelDesired&lt;$B171,"-",$D171))</f>
        <v>-</v>
      </c>
      <c r="Z171" s="21" t="str">
        <f t="shared" ref="Z171" si="12104">IF(LanBel1LevelCurrent&gt;=$B171,"-",IF(LanBel1LevelDesired&lt;$B171,"-",$E171))</f>
        <v>-</v>
      </c>
      <c r="AA171" s="15" t="str">
        <f t="shared" ref="AA171" si="12105">IF(LanBoo1LevelCurrent&gt;=$B171,"-",IF(LanBoo1LevelDesired&lt;$B171,"-",$C171))</f>
        <v>-</v>
      </c>
      <c r="AB171" s="1" t="str">
        <f t="shared" ref="AB171" si="12106">IF(LanBoo1LevelCurrent&gt;=$B171,"-",IF(LanBoo1LevelDesired&lt;$B171,"-",$D171))</f>
        <v>-</v>
      </c>
      <c r="AC171" s="21" t="str">
        <f t="shared" ref="AC171" si="12107">IF(LanBoo1LevelCurrent&gt;=$B171,"-",IF(LanBoo1LevelDesired&lt;$B171,"-",$E171))</f>
        <v>-</v>
      </c>
      <c r="AD171" s="15" t="str">
        <f t="shared" ref="AD171" si="12108">IF(MarGog1LevelCurrent&gt;=$B171,"-",IF(MarGog1LevelDesired&lt;$B171,"-",$C171))</f>
        <v>-</v>
      </c>
      <c r="AE171" s="1" t="str">
        <f t="shared" ref="AE171" si="12109">IF(MarGog1LevelCurrent&gt;=$B171,"-",IF(MarGog1LevelDesired&lt;$B171,"-",$D171))</f>
        <v>-</v>
      </c>
      <c r="AF171" s="21" t="str">
        <f t="shared" ref="AF171" si="12110">IF(MarGog1LevelCurrent&gt;=$B171,"-",IF(MarGog1LevelDesired&lt;$B171,"-",$E171))</f>
        <v>-</v>
      </c>
      <c r="AG171" s="15" t="str">
        <f t="shared" ref="AG171" si="12111">IF(MarGlo1LevelCurrent&gt;=$B171,"-",IF(MarGlo1LevelDesired&lt;$B171,"-",$C171))</f>
        <v>-</v>
      </c>
      <c r="AH171" s="1" t="str">
        <f t="shared" ref="AH171" si="12112">IF(MarGlo1LevelCurrent&gt;=$B171,"-",IF(MarGlo1LevelDesired&lt;$B171,"-",$D171))</f>
        <v>-</v>
      </c>
      <c r="AI171" s="21" t="str">
        <f t="shared" ref="AI171" si="12113">IF(MarGlo1LevelCurrent&gt;=$B171,"-",IF(MarGlo1LevelDesired&lt;$B171,"-",$E171))</f>
        <v>-</v>
      </c>
      <c r="AJ171" s="15" t="str">
        <f t="shared" ref="AJ171" si="12114">IF(MarBel1LevelCurrent&gt;=$B171,"-",IF(MarBel1LevelDesired&lt;$B171,"-",$C171))</f>
        <v>-</v>
      </c>
      <c r="AK171" s="1" t="str">
        <f t="shared" ref="AK171" si="12115">IF(MarBel1LevelCurrent&gt;=$B171,"-",IF(MarBel1LevelDesired&lt;$B171,"-",$D171))</f>
        <v>-</v>
      </c>
      <c r="AL171" s="21" t="str">
        <f t="shared" ref="AL171" si="12116">IF(MarBel1LevelCurrent&gt;=$B171,"-",IF(MarBel1LevelDesired&lt;$B171,"-",$E171))</f>
        <v>-</v>
      </c>
      <c r="AM171" s="15" t="str">
        <f t="shared" ref="AM171" si="12117">IF(MarBoo1LevelCurrent&gt;=$B171,"-",IF(MarBoo1LevelDesired&lt;$B171,"-",$C171))</f>
        <v>-</v>
      </c>
      <c r="AN171" s="1" t="str">
        <f t="shared" ref="AN171" si="12118">IF(MarBoo1LevelCurrent&gt;=$B171,"-",IF(MarBoo1LevelDesired&lt;$B171,"-",$D171))</f>
        <v>-</v>
      </c>
      <c r="AO171" s="21" t="str">
        <f t="shared" ref="AO171" si="12119">IF(MarBoo1LevelCurrent&gt;=$B171,"-",IF(MarBoo1LevelDesired&lt;$B171,"-",$E171))</f>
        <v>-</v>
      </c>
      <c r="AP171" s="15" t="str">
        <f t="shared" ref="AP171" si="12120">IF(InfGog2LevelCurrent&gt;=$B171,"-",IF(InfGog2LevelDesired&lt;$B171,"-",$C171))</f>
        <v>-</v>
      </c>
      <c r="AQ171" s="1" t="str">
        <f t="shared" ref="AQ171" si="12121">IF(InfGog2LevelCurrent&gt;=$B171,"-",IF(InfGog2LevelDesired&lt;$B171,"-",$D171))</f>
        <v>-</v>
      </c>
      <c r="AR171" s="21" t="str">
        <f t="shared" ref="AR171" si="12122">IF(InfGog2LevelCurrent&gt;=$B171,"-",IF(InfGog2LevelDesired&lt;$B171,"-",$E171))</f>
        <v>-</v>
      </c>
      <c r="AS171" s="15" t="str">
        <f t="shared" ref="AS171" si="12123">IF(InfGlo2LevelCurrent&gt;=$B171,"-",IF(InfGlo2LevelDesired&lt;$B171,"-",$C171))</f>
        <v>-</v>
      </c>
      <c r="AT171" s="1" t="str">
        <f t="shared" ref="AT171" si="12124">IF(InfGlo2LevelCurrent&gt;=$B171,"-",IF(InfGlo2LevelDesired&lt;$B171,"-",$D171))</f>
        <v>-</v>
      </c>
      <c r="AU171" s="21" t="str">
        <f t="shared" ref="AU171" si="12125">IF(InfGlo2LevelCurrent&gt;=$B171,"-",IF(InfGlo2LevelDesired&lt;$B171,"-",$E171))</f>
        <v>-</v>
      </c>
      <c r="AV171" s="15" t="str">
        <f t="shared" ref="AV171" si="12126">IF(InfBel2LevelCurrent&gt;=$B171,"-",IF(InfBel2LevelDesired&lt;$B171,"-",$C171))</f>
        <v>-</v>
      </c>
      <c r="AW171" s="1" t="str">
        <f t="shared" ref="AW171" si="12127">IF(InfBel2LevelCurrent&gt;=$B171,"-",IF(InfBel2LevelDesired&lt;$B171,"-",$D171))</f>
        <v>-</v>
      </c>
      <c r="AX171" s="21" t="str">
        <f t="shared" ref="AX171" si="12128">IF(InfBel2LevelCurrent&gt;=$B171,"-",IF(InfBel2LevelDesired&lt;$B171,"-",$E171))</f>
        <v>-</v>
      </c>
      <c r="AY171" s="15" t="str">
        <f t="shared" ref="AY171" si="12129">IF(InfBoo2LevelCurrent&gt;=$B171,"-",IF(InfBoo2LevelDesired&lt;$B171,"-",$C171))</f>
        <v>-</v>
      </c>
      <c r="AZ171" s="1" t="str">
        <f t="shared" ref="AZ171" si="12130">IF(InfBoo2LevelCurrent&gt;=$B171,"-",IF(InfBoo2LevelDesired&lt;$B171,"-",$D171))</f>
        <v>-</v>
      </c>
      <c r="BA171" s="21" t="str">
        <f t="shared" ref="BA171" si="12131">IF(InfBoo2LevelCurrent&gt;=$B171,"-",IF(InfBoo2LevelDesired&lt;$B171,"-",$E171))</f>
        <v>-</v>
      </c>
      <c r="BB171" s="15" t="str">
        <f t="shared" ref="BB171" si="12132">IF(LanGog2LevelCurrent&gt;=$B171,"-",IF(LanGog2LevelDesired&lt;$B171,"-",$C171))</f>
        <v>-</v>
      </c>
      <c r="BC171" s="1" t="str">
        <f t="shared" ref="BC171" si="12133">IF(LanGog2LevelCurrent&gt;=$B171,"-",IF(LanGog2LevelDesired&lt;$B171,"-",$D171))</f>
        <v>-</v>
      </c>
      <c r="BD171" s="21" t="str">
        <f t="shared" ref="BD171" si="12134">IF(LanGog2LevelCurrent&gt;=$B171,"-",IF(LanGog2LevelDesired&lt;$B171,"-",$E171))</f>
        <v>-</v>
      </c>
      <c r="BE171" s="15" t="str">
        <f t="shared" ref="BE171" si="12135">IF(LanGlo2LevelCurrent&gt;=$B171,"-",IF(LanGlo2LevelDesired&lt;$B171,"-",$C171))</f>
        <v>-</v>
      </c>
      <c r="BF171" s="1" t="str">
        <f t="shared" ref="BF171" si="12136">IF(LanGlo2LevelCurrent&gt;=$B171,"-",IF(LanGlo2LevelDesired&lt;$B171,"-",$D171))</f>
        <v>-</v>
      </c>
      <c r="BG171" s="21" t="str">
        <f t="shared" ref="BG171" si="12137">IF(LanGlo2LevelCurrent&gt;=$B171,"-",IF(LanGlo2LevelDesired&lt;$B171,"-",$E171))</f>
        <v>-</v>
      </c>
      <c r="BH171" s="15" t="str">
        <f t="shared" ref="BH171" si="12138">IF(LanBel2LevelCurrent&gt;=$B171,"-",IF(LanBel2LevelDesired&lt;$B171,"-",$C171))</f>
        <v>-</v>
      </c>
      <c r="BI171" s="1" t="str">
        <f t="shared" ref="BI171" si="12139">IF(LanBel2LevelCurrent&gt;=$B171,"-",IF(LanBel2LevelDesired&lt;$B171,"-",$D171))</f>
        <v>-</v>
      </c>
      <c r="BJ171" s="21" t="str">
        <f t="shared" ref="BJ171" si="12140">IF(LanBel2LevelCurrent&gt;=$B171,"-",IF(LanBel2LevelDesired&lt;$B171,"-",$E171))</f>
        <v>-</v>
      </c>
      <c r="BK171" s="15" t="str">
        <f t="shared" ref="BK171" si="12141">IF(LanBoo2LevelCurrent&gt;=$B171,"-",IF(LanBoo2LevelDesired&lt;$B171,"-",$C171))</f>
        <v>-</v>
      </c>
      <c r="BL171" s="1" t="str">
        <f t="shared" ref="BL171" si="12142">IF(LanBoo2LevelCurrent&gt;=$B171,"-",IF(LanBoo2LevelDesired&lt;$B171,"-",$D171))</f>
        <v>-</v>
      </c>
      <c r="BM171" s="21" t="str">
        <f t="shared" ref="BM171" si="12143">IF(LanBoo2LevelCurrent&gt;=$B171,"-",IF(LanBoo2LevelDesired&lt;$B171,"-",$E171))</f>
        <v>-</v>
      </c>
      <c r="BN171" s="15" t="str">
        <f t="shared" ref="BN171" si="12144">IF(MarGog2LevelCurrent&gt;=$B171,"-",IF(MarGog2LevelDesired&lt;$B171,"-",$C171))</f>
        <v>-</v>
      </c>
      <c r="BO171" s="1" t="str">
        <f t="shared" ref="BO171" si="12145">IF(MarGog2LevelCurrent&gt;=$B171,"-",IF(MarGog2LevelDesired&lt;$B171,"-",$D171))</f>
        <v>-</v>
      </c>
      <c r="BP171" s="21" t="str">
        <f t="shared" ref="BP171" si="12146">IF(MarGog2LevelCurrent&gt;=$B171,"-",IF(MarGog2LevelDesired&lt;$B171,"-",$E171))</f>
        <v>-</v>
      </c>
      <c r="BQ171" s="15" t="str">
        <f t="shared" ref="BQ171" si="12147">IF(MarGlo2LevelCurrent&gt;=$B171,"-",IF(MarGlo2LevelDesired&lt;$B171,"-",$C171))</f>
        <v>-</v>
      </c>
      <c r="BR171" s="1" t="str">
        <f t="shared" ref="BR171" si="12148">IF(MarGlo2LevelCurrent&gt;=$B171,"-",IF(MarGlo2LevelDesired&lt;$B171,"-",$D171))</f>
        <v>-</v>
      </c>
      <c r="BS171" s="21" t="str">
        <f t="shared" ref="BS171" si="12149">IF(MarGlo2LevelCurrent&gt;=$B171,"-",IF(MarGlo2LevelDesired&lt;$B171,"-",$E171))</f>
        <v>-</v>
      </c>
      <c r="BT171" s="15" t="str">
        <f t="shared" ref="BT171" si="12150">IF(MarBel2LevelCurrent&gt;=$B171,"-",IF(MarBel2LevelDesired&lt;$B171,"-",$C171))</f>
        <v>-</v>
      </c>
      <c r="BU171" s="1" t="str">
        <f t="shared" ref="BU171" si="12151">IF(MarBel2LevelCurrent&gt;=$B171,"-",IF(MarBel2LevelDesired&lt;$B171,"-",$D171))</f>
        <v>-</v>
      </c>
      <c r="BV171" s="21" t="str">
        <f t="shared" ref="BV171" si="12152">IF(MarBel2LevelCurrent&gt;=$B171,"-",IF(MarBel2LevelDesired&lt;$B171,"-",$E171))</f>
        <v>-</v>
      </c>
      <c r="BW171" s="15" t="str">
        <f t="shared" ref="BW171" si="12153">IF(MarBoo2LevelCurrent&gt;=$B171,"-",IF(MarBoo2LevelDesired&lt;$B171,"-",$C171))</f>
        <v>-</v>
      </c>
      <c r="BX171" s="1" t="str">
        <f t="shared" ref="BX171" si="12154">IF(MarBoo2LevelCurrent&gt;=$B171,"-",IF(MarBoo2LevelDesired&lt;$B171,"-",$D171))</f>
        <v>-</v>
      </c>
      <c r="BY171" s="21" t="str">
        <f t="shared" ref="BY171" si="12155">IF(MarBoo2LevelCurrent&gt;=$B171,"-",IF(MarBoo2LevelDesired&lt;$B171,"-",$E171))</f>
        <v>-</v>
      </c>
      <c r="BZ171" s="15" t="str">
        <f t="shared" si="11762"/>
        <v>-</v>
      </c>
      <c r="CA171" s="1" t="str" cm="1">
        <f t="array" ref="CA171">IF(InfGog3LevelCurrent&gt;=$B171,"-",IF(InfGog3LevelDesired&lt;$B171,"-",$D171))</f>
        <v>-</v>
      </c>
      <c r="CB171" s="21" t="str" cm="1">
        <f t="array" ref="CB171">IF(InfGog3LevelCurrent&gt;=$B171,"-",IF(InfGog3LevelDesired&lt;$B171,"-",$E171))</f>
        <v>-</v>
      </c>
      <c r="CC171" s="15" t="str">
        <f t="shared" si="11763"/>
        <v>-</v>
      </c>
      <c r="CD171" s="1" t="str">
        <f t="shared" si="11764"/>
        <v>-</v>
      </c>
      <c r="CE171" s="21" t="str">
        <f t="shared" si="11765"/>
        <v>-</v>
      </c>
      <c r="CF171" s="15" t="str">
        <f t="shared" si="11766"/>
        <v>-</v>
      </c>
      <c r="CG171" s="1" t="str">
        <f t="shared" si="11767"/>
        <v>-</v>
      </c>
      <c r="CH171" s="21" t="str">
        <f t="shared" si="11768"/>
        <v>-</v>
      </c>
      <c r="CI171" s="15" t="str">
        <f t="shared" si="11769"/>
        <v>-</v>
      </c>
      <c r="CJ171" s="1" t="str">
        <f t="shared" si="11770"/>
        <v>-</v>
      </c>
      <c r="CK171" s="21" t="str">
        <f t="shared" si="11771"/>
        <v>-</v>
      </c>
      <c r="CL171" s="15" t="str">
        <f t="shared" si="11772"/>
        <v>-</v>
      </c>
      <c r="CM171" s="1" t="str">
        <f t="shared" si="11773"/>
        <v>-</v>
      </c>
      <c r="CN171" s="21" t="str">
        <f t="shared" si="11774"/>
        <v>-</v>
      </c>
      <c r="CO171" s="15" t="str">
        <f t="shared" si="11775"/>
        <v>-</v>
      </c>
      <c r="CP171" s="1" t="str">
        <f t="shared" si="11776"/>
        <v>-</v>
      </c>
      <c r="CQ171" s="21" t="str">
        <f t="shared" si="11777"/>
        <v>-</v>
      </c>
      <c r="CR171" s="15" t="str">
        <f t="shared" si="11778"/>
        <v>-</v>
      </c>
      <c r="CS171" s="1" t="str">
        <f t="shared" si="11779"/>
        <v>-</v>
      </c>
      <c r="CT171" s="21" t="str">
        <f t="shared" si="11780"/>
        <v>-</v>
      </c>
      <c r="CU171" s="15" t="str">
        <f t="shared" si="11781"/>
        <v>-</v>
      </c>
      <c r="CV171" s="1" t="str">
        <f t="shared" si="11782"/>
        <v>-</v>
      </c>
      <c r="CW171" s="21" t="str">
        <f t="shared" si="11783"/>
        <v>-</v>
      </c>
      <c r="CX171" s="15" t="str">
        <f t="shared" si="11784"/>
        <v>-</v>
      </c>
      <c r="CY171" s="1" t="str">
        <f t="shared" si="11785"/>
        <v>-</v>
      </c>
      <c r="CZ171" s="21" t="str">
        <f t="shared" si="11786"/>
        <v>-</v>
      </c>
      <c r="DA171" s="15" t="str">
        <f t="shared" si="11787"/>
        <v>-</v>
      </c>
      <c r="DB171" s="1" t="str">
        <f t="shared" si="11788"/>
        <v>-</v>
      </c>
      <c r="DC171" s="21" t="str">
        <f t="shared" si="11789"/>
        <v>-</v>
      </c>
      <c r="DD171" s="15" t="str">
        <f t="shared" si="11790"/>
        <v>-</v>
      </c>
      <c r="DE171" s="1" t="str">
        <f t="shared" si="11791"/>
        <v>-</v>
      </c>
      <c r="DF171" s="21" t="str">
        <f t="shared" si="11792"/>
        <v>-</v>
      </c>
      <c r="DG171" s="15" t="str">
        <f t="shared" si="11793"/>
        <v>-</v>
      </c>
      <c r="DH171" s="1" t="str">
        <f t="shared" si="11794"/>
        <v>-</v>
      </c>
      <c r="DI171" s="21" t="str">
        <f t="shared" si="11795"/>
        <v>-</v>
      </c>
    </row>
    <row r="172" spans="2:113" x14ac:dyDescent="0.3">
      <c r="B172" s="1">
        <v>167</v>
      </c>
      <c r="C172" s="67">
        <v>6100</v>
      </c>
      <c r="D172" s="88" t="s">
        <v>27</v>
      </c>
      <c r="E172" s="68" t="s">
        <v>27</v>
      </c>
      <c r="F172" s="15" t="str">
        <f t="shared" ref="F172" si="12156">IF(InfGog1LevelCurrent&gt;=$B172,"-",IF(InfGog1LevelDesired&lt;$B172,"-",$C172))</f>
        <v>-</v>
      </c>
      <c r="G172" s="1" t="str">
        <f t="shared" ref="G172" si="12157">IF(InfGog1LevelCurrent&gt;=$B172,"-",IF(InfGog1LevelDesired&lt;$B172,"-",$D172))</f>
        <v>-</v>
      </c>
      <c r="H172" s="21" t="str">
        <f t="shared" ref="H172" si="12158">IF(InfGog1LevelCurrent&gt;=$B172,"-",IF(InfGog1LevelDesired&lt;$B172,"-",$E172))</f>
        <v>-</v>
      </c>
      <c r="I172" s="15" t="str">
        <f t="shared" ref="I172" si="12159">IF(InfGlo1LevelCurrent&gt;=$B172,"-",IF(InfGlo1LevelDesired&lt;$B172,"-",$C172))</f>
        <v>-</v>
      </c>
      <c r="J172" s="1" t="str">
        <f t="shared" ref="J172" si="12160">IF(InfGlo1LevelCurrent&gt;=$B172,"-",IF(InfGlo1LevelDesired&lt;$B172,"-",$D172))</f>
        <v>-</v>
      </c>
      <c r="K172" s="21" t="str">
        <f t="shared" ref="K172" si="12161">IF(InfGlo1LevelCurrent&gt;=$B172,"-",IF(InfGlo1LevelDesired&lt;$B172,"-",$E172))</f>
        <v>-</v>
      </c>
      <c r="L172" s="15" t="str">
        <f t="shared" ref="L172" si="12162">IF(InfBel1LevelCurrent&gt;=$B172,"-",IF(InfBel1LevelDesired&lt;$B172,"-",$C172))</f>
        <v>-</v>
      </c>
      <c r="M172" s="1" t="str">
        <f t="shared" ref="M172" si="12163">IF(InfBel1LevelCurrent&gt;=$B172,"-",IF(InfBel1LevelDesired&lt;$B172,"-",$D172))</f>
        <v>-</v>
      </c>
      <c r="N172" s="21" t="str">
        <f t="shared" ref="N172" si="12164">IF(InfBel1LevelCurrent&gt;=$B172,"-",IF(InfBel1LevelDesired&lt;$B172,"-",$E172))</f>
        <v>-</v>
      </c>
      <c r="O172" s="15" t="str">
        <f t="shared" ref="O172" si="12165">IF(InfBoo1LevelCurrent&gt;=$B172,"-",IF(InfBoo1LevelDesired&lt;$B172,"-",$C172))</f>
        <v>-</v>
      </c>
      <c r="P172" s="1" t="str">
        <f t="shared" ref="P172" si="12166">IF(InfBoo1LevelCurrent&gt;=$B172,"-",IF(InfBoo1LevelDesired&lt;$B172,"-",$D172))</f>
        <v>-</v>
      </c>
      <c r="Q172" s="21" t="str">
        <f t="shared" ref="Q172" si="12167">IF(InfBoo1LevelCurrent&gt;=$B172,"-",IF(InfBoo1LevelDesired&lt;$B172,"-",$E172))</f>
        <v>-</v>
      </c>
      <c r="R172" s="15" t="str">
        <f t="shared" ref="R172" si="12168">IF(LanGog1LevelCurrent&gt;=$B172,"-",IF(LanGog1LevelDesired&lt;$B172,"-",$C172))</f>
        <v>-</v>
      </c>
      <c r="S172" s="1" t="str">
        <f t="shared" ref="S172" si="12169">IF(LanGog1LevelCurrent&gt;=$B172,"-",IF(LanGog1LevelDesired&lt;$B172,"-",$D172))</f>
        <v>-</v>
      </c>
      <c r="T172" s="21" t="str">
        <f t="shared" ref="T172" si="12170">IF(LanGog1LevelCurrent&gt;=$B172,"-",IF(LanGog1LevelDesired&lt;$B172,"-",$E172))</f>
        <v>-</v>
      </c>
      <c r="U172" s="15" t="str">
        <f t="shared" ref="U172" si="12171">IF(LanGlo1LevelCurrent&gt;=$B172,"-",IF(LanGlo1LevelDesired&lt;$B172,"-",$C172))</f>
        <v>-</v>
      </c>
      <c r="V172" s="1" t="str">
        <f t="shared" ref="V172" si="12172">IF(LanGlo1LevelCurrent&gt;=$B172,"-",IF(LanGlo1LevelDesired&lt;$B172,"-",$D172))</f>
        <v>-</v>
      </c>
      <c r="W172" s="21" t="str">
        <f t="shared" ref="W172" si="12173">IF(LanGlo1LevelCurrent&gt;=$B172,"-",IF(LanGlo1LevelDesired&lt;$B172,"-",$E172))</f>
        <v>-</v>
      </c>
      <c r="X172" s="15" t="str">
        <f t="shared" ref="X172" si="12174">IF(LanBel1LevelCurrent&gt;=$B172,"-",IF(LanBel1LevelDesired&lt;$B172,"-",$C172))</f>
        <v>-</v>
      </c>
      <c r="Y172" s="1" t="str">
        <f t="shared" ref="Y172" si="12175">IF(LanBel1LevelCurrent&gt;=$B172,"-",IF(LanBel1LevelDesired&lt;$B172,"-",$D172))</f>
        <v>-</v>
      </c>
      <c r="Z172" s="21" t="str">
        <f t="shared" ref="Z172" si="12176">IF(LanBel1LevelCurrent&gt;=$B172,"-",IF(LanBel1LevelDesired&lt;$B172,"-",$E172))</f>
        <v>-</v>
      </c>
      <c r="AA172" s="15" t="str">
        <f t="shared" ref="AA172" si="12177">IF(LanBoo1LevelCurrent&gt;=$B172,"-",IF(LanBoo1LevelDesired&lt;$B172,"-",$C172))</f>
        <v>-</v>
      </c>
      <c r="AB172" s="1" t="str">
        <f t="shared" ref="AB172" si="12178">IF(LanBoo1LevelCurrent&gt;=$B172,"-",IF(LanBoo1LevelDesired&lt;$B172,"-",$D172))</f>
        <v>-</v>
      </c>
      <c r="AC172" s="21" t="str">
        <f t="shared" ref="AC172" si="12179">IF(LanBoo1LevelCurrent&gt;=$B172,"-",IF(LanBoo1LevelDesired&lt;$B172,"-",$E172))</f>
        <v>-</v>
      </c>
      <c r="AD172" s="15" t="str">
        <f t="shared" ref="AD172" si="12180">IF(MarGog1LevelCurrent&gt;=$B172,"-",IF(MarGog1LevelDesired&lt;$B172,"-",$C172))</f>
        <v>-</v>
      </c>
      <c r="AE172" s="1" t="str">
        <f t="shared" ref="AE172" si="12181">IF(MarGog1LevelCurrent&gt;=$B172,"-",IF(MarGog1LevelDesired&lt;$B172,"-",$D172))</f>
        <v>-</v>
      </c>
      <c r="AF172" s="21" t="str">
        <f t="shared" ref="AF172" si="12182">IF(MarGog1LevelCurrent&gt;=$B172,"-",IF(MarGog1LevelDesired&lt;$B172,"-",$E172))</f>
        <v>-</v>
      </c>
      <c r="AG172" s="15" t="str">
        <f t="shared" ref="AG172" si="12183">IF(MarGlo1LevelCurrent&gt;=$B172,"-",IF(MarGlo1LevelDesired&lt;$B172,"-",$C172))</f>
        <v>-</v>
      </c>
      <c r="AH172" s="1" t="str">
        <f t="shared" ref="AH172" si="12184">IF(MarGlo1LevelCurrent&gt;=$B172,"-",IF(MarGlo1LevelDesired&lt;$B172,"-",$D172))</f>
        <v>-</v>
      </c>
      <c r="AI172" s="21" t="str">
        <f t="shared" ref="AI172" si="12185">IF(MarGlo1LevelCurrent&gt;=$B172,"-",IF(MarGlo1LevelDesired&lt;$B172,"-",$E172))</f>
        <v>-</v>
      </c>
      <c r="AJ172" s="15" t="str">
        <f t="shared" ref="AJ172" si="12186">IF(MarBel1LevelCurrent&gt;=$B172,"-",IF(MarBel1LevelDesired&lt;$B172,"-",$C172))</f>
        <v>-</v>
      </c>
      <c r="AK172" s="1" t="str">
        <f t="shared" ref="AK172" si="12187">IF(MarBel1LevelCurrent&gt;=$B172,"-",IF(MarBel1LevelDesired&lt;$B172,"-",$D172))</f>
        <v>-</v>
      </c>
      <c r="AL172" s="21" t="str">
        <f t="shared" ref="AL172" si="12188">IF(MarBel1LevelCurrent&gt;=$B172,"-",IF(MarBel1LevelDesired&lt;$B172,"-",$E172))</f>
        <v>-</v>
      </c>
      <c r="AM172" s="15" t="str">
        <f t="shared" ref="AM172" si="12189">IF(MarBoo1LevelCurrent&gt;=$B172,"-",IF(MarBoo1LevelDesired&lt;$B172,"-",$C172))</f>
        <v>-</v>
      </c>
      <c r="AN172" s="1" t="str">
        <f t="shared" ref="AN172" si="12190">IF(MarBoo1LevelCurrent&gt;=$B172,"-",IF(MarBoo1LevelDesired&lt;$B172,"-",$D172))</f>
        <v>-</v>
      </c>
      <c r="AO172" s="21" t="str">
        <f t="shared" ref="AO172" si="12191">IF(MarBoo1LevelCurrent&gt;=$B172,"-",IF(MarBoo1LevelDesired&lt;$B172,"-",$E172))</f>
        <v>-</v>
      </c>
      <c r="AP172" s="15" t="str">
        <f t="shared" ref="AP172" si="12192">IF(InfGog2LevelCurrent&gt;=$B172,"-",IF(InfGog2LevelDesired&lt;$B172,"-",$C172))</f>
        <v>-</v>
      </c>
      <c r="AQ172" s="1" t="str">
        <f t="shared" ref="AQ172" si="12193">IF(InfGog2LevelCurrent&gt;=$B172,"-",IF(InfGog2LevelDesired&lt;$B172,"-",$D172))</f>
        <v>-</v>
      </c>
      <c r="AR172" s="21" t="str">
        <f t="shared" ref="AR172" si="12194">IF(InfGog2LevelCurrent&gt;=$B172,"-",IF(InfGog2LevelDesired&lt;$B172,"-",$E172))</f>
        <v>-</v>
      </c>
      <c r="AS172" s="15" t="str">
        <f t="shared" ref="AS172" si="12195">IF(InfGlo2LevelCurrent&gt;=$B172,"-",IF(InfGlo2LevelDesired&lt;$B172,"-",$C172))</f>
        <v>-</v>
      </c>
      <c r="AT172" s="1" t="str">
        <f t="shared" ref="AT172" si="12196">IF(InfGlo2LevelCurrent&gt;=$B172,"-",IF(InfGlo2LevelDesired&lt;$B172,"-",$D172))</f>
        <v>-</v>
      </c>
      <c r="AU172" s="21" t="str">
        <f t="shared" ref="AU172" si="12197">IF(InfGlo2LevelCurrent&gt;=$B172,"-",IF(InfGlo2LevelDesired&lt;$B172,"-",$E172))</f>
        <v>-</v>
      </c>
      <c r="AV172" s="15" t="str">
        <f t="shared" ref="AV172" si="12198">IF(InfBel2LevelCurrent&gt;=$B172,"-",IF(InfBel2LevelDesired&lt;$B172,"-",$C172))</f>
        <v>-</v>
      </c>
      <c r="AW172" s="1" t="str">
        <f t="shared" ref="AW172" si="12199">IF(InfBel2LevelCurrent&gt;=$B172,"-",IF(InfBel2LevelDesired&lt;$B172,"-",$D172))</f>
        <v>-</v>
      </c>
      <c r="AX172" s="21" t="str">
        <f t="shared" ref="AX172" si="12200">IF(InfBel2LevelCurrent&gt;=$B172,"-",IF(InfBel2LevelDesired&lt;$B172,"-",$E172))</f>
        <v>-</v>
      </c>
      <c r="AY172" s="15" t="str">
        <f t="shared" ref="AY172" si="12201">IF(InfBoo2LevelCurrent&gt;=$B172,"-",IF(InfBoo2LevelDesired&lt;$B172,"-",$C172))</f>
        <v>-</v>
      </c>
      <c r="AZ172" s="1" t="str">
        <f t="shared" ref="AZ172" si="12202">IF(InfBoo2LevelCurrent&gt;=$B172,"-",IF(InfBoo2LevelDesired&lt;$B172,"-",$D172))</f>
        <v>-</v>
      </c>
      <c r="BA172" s="21" t="str">
        <f t="shared" ref="BA172" si="12203">IF(InfBoo2LevelCurrent&gt;=$B172,"-",IF(InfBoo2LevelDesired&lt;$B172,"-",$E172))</f>
        <v>-</v>
      </c>
      <c r="BB172" s="15" t="str">
        <f t="shared" ref="BB172" si="12204">IF(LanGog2LevelCurrent&gt;=$B172,"-",IF(LanGog2LevelDesired&lt;$B172,"-",$C172))</f>
        <v>-</v>
      </c>
      <c r="BC172" s="1" t="str">
        <f t="shared" ref="BC172" si="12205">IF(LanGog2LevelCurrent&gt;=$B172,"-",IF(LanGog2LevelDesired&lt;$B172,"-",$D172))</f>
        <v>-</v>
      </c>
      <c r="BD172" s="21" t="str">
        <f t="shared" ref="BD172" si="12206">IF(LanGog2LevelCurrent&gt;=$B172,"-",IF(LanGog2LevelDesired&lt;$B172,"-",$E172))</f>
        <v>-</v>
      </c>
      <c r="BE172" s="15" t="str">
        <f t="shared" ref="BE172" si="12207">IF(LanGlo2LevelCurrent&gt;=$B172,"-",IF(LanGlo2LevelDesired&lt;$B172,"-",$C172))</f>
        <v>-</v>
      </c>
      <c r="BF172" s="1" t="str">
        <f t="shared" ref="BF172" si="12208">IF(LanGlo2LevelCurrent&gt;=$B172,"-",IF(LanGlo2LevelDesired&lt;$B172,"-",$D172))</f>
        <v>-</v>
      </c>
      <c r="BG172" s="21" t="str">
        <f t="shared" ref="BG172" si="12209">IF(LanGlo2LevelCurrent&gt;=$B172,"-",IF(LanGlo2LevelDesired&lt;$B172,"-",$E172))</f>
        <v>-</v>
      </c>
      <c r="BH172" s="15" t="str">
        <f t="shared" ref="BH172" si="12210">IF(LanBel2LevelCurrent&gt;=$B172,"-",IF(LanBel2LevelDesired&lt;$B172,"-",$C172))</f>
        <v>-</v>
      </c>
      <c r="BI172" s="1" t="str">
        <f t="shared" ref="BI172" si="12211">IF(LanBel2LevelCurrent&gt;=$B172,"-",IF(LanBel2LevelDesired&lt;$B172,"-",$D172))</f>
        <v>-</v>
      </c>
      <c r="BJ172" s="21" t="str">
        <f t="shared" ref="BJ172" si="12212">IF(LanBel2LevelCurrent&gt;=$B172,"-",IF(LanBel2LevelDesired&lt;$B172,"-",$E172))</f>
        <v>-</v>
      </c>
      <c r="BK172" s="15" t="str">
        <f t="shared" ref="BK172" si="12213">IF(LanBoo2LevelCurrent&gt;=$B172,"-",IF(LanBoo2LevelDesired&lt;$B172,"-",$C172))</f>
        <v>-</v>
      </c>
      <c r="BL172" s="1" t="str">
        <f t="shared" ref="BL172" si="12214">IF(LanBoo2LevelCurrent&gt;=$B172,"-",IF(LanBoo2LevelDesired&lt;$B172,"-",$D172))</f>
        <v>-</v>
      </c>
      <c r="BM172" s="21" t="str">
        <f t="shared" ref="BM172" si="12215">IF(LanBoo2LevelCurrent&gt;=$B172,"-",IF(LanBoo2LevelDesired&lt;$B172,"-",$E172))</f>
        <v>-</v>
      </c>
      <c r="BN172" s="15" t="str">
        <f t="shared" ref="BN172" si="12216">IF(MarGog2LevelCurrent&gt;=$B172,"-",IF(MarGog2LevelDesired&lt;$B172,"-",$C172))</f>
        <v>-</v>
      </c>
      <c r="BO172" s="1" t="str">
        <f t="shared" ref="BO172" si="12217">IF(MarGog2LevelCurrent&gt;=$B172,"-",IF(MarGog2LevelDesired&lt;$B172,"-",$D172))</f>
        <v>-</v>
      </c>
      <c r="BP172" s="21" t="str">
        <f t="shared" ref="BP172" si="12218">IF(MarGog2LevelCurrent&gt;=$B172,"-",IF(MarGog2LevelDesired&lt;$B172,"-",$E172))</f>
        <v>-</v>
      </c>
      <c r="BQ172" s="15" t="str">
        <f t="shared" ref="BQ172" si="12219">IF(MarGlo2LevelCurrent&gt;=$B172,"-",IF(MarGlo2LevelDesired&lt;$B172,"-",$C172))</f>
        <v>-</v>
      </c>
      <c r="BR172" s="1" t="str">
        <f t="shared" ref="BR172" si="12220">IF(MarGlo2LevelCurrent&gt;=$B172,"-",IF(MarGlo2LevelDesired&lt;$B172,"-",$D172))</f>
        <v>-</v>
      </c>
      <c r="BS172" s="21" t="str">
        <f t="shared" ref="BS172" si="12221">IF(MarGlo2LevelCurrent&gt;=$B172,"-",IF(MarGlo2LevelDesired&lt;$B172,"-",$E172))</f>
        <v>-</v>
      </c>
      <c r="BT172" s="15" t="str">
        <f t="shared" ref="BT172" si="12222">IF(MarBel2LevelCurrent&gt;=$B172,"-",IF(MarBel2LevelDesired&lt;$B172,"-",$C172))</f>
        <v>-</v>
      </c>
      <c r="BU172" s="1" t="str">
        <f t="shared" ref="BU172" si="12223">IF(MarBel2LevelCurrent&gt;=$B172,"-",IF(MarBel2LevelDesired&lt;$B172,"-",$D172))</f>
        <v>-</v>
      </c>
      <c r="BV172" s="21" t="str">
        <f t="shared" ref="BV172" si="12224">IF(MarBel2LevelCurrent&gt;=$B172,"-",IF(MarBel2LevelDesired&lt;$B172,"-",$E172))</f>
        <v>-</v>
      </c>
      <c r="BW172" s="15" t="str">
        <f t="shared" ref="BW172" si="12225">IF(MarBoo2LevelCurrent&gt;=$B172,"-",IF(MarBoo2LevelDesired&lt;$B172,"-",$C172))</f>
        <v>-</v>
      </c>
      <c r="BX172" s="1" t="str">
        <f t="shared" ref="BX172" si="12226">IF(MarBoo2LevelCurrent&gt;=$B172,"-",IF(MarBoo2LevelDesired&lt;$B172,"-",$D172))</f>
        <v>-</v>
      </c>
      <c r="BY172" s="21" t="str">
        <f t="shared" ref="BY172" si="12227">IF(MarBoo2LevelCurrent&gt;=$B172,"-",IF(MarBoo2LevelDesired&lt;$B172,"-",$E172))</f>
        <v>-</v>
      </c>
      <c r="BZ172" s="15" t="str">
        <f t="shared" si="11762"/>
        <v>-</v>
      </c>
      <c r="CA172" s="1" t="str" cm="1">
        <f t="array" ref="CA172">IF(InfGog3LevelCurrent&gt;=$B172,"-",IF(InfGog3LevelDesired&lt;$B172,"-",$D172))</f>
        <v>-</v>
      </c>
      <c r="CB172" s="21" t="str" cm="1">
        <f t="array" ref="CB172">IF(InfGog3LevelCurrent&gt;=$B172,"-",IF(InfGog3LevelDesired&lt;$B172,"-",$E172))</f>
        <v>-</v>
      </c>
      <c r="CC172" s="15" t="str">
        <f t="shared" si="11763"/>
        <v>-</v>
      </c>
      <c r="CD172" s="1" t="str">
        <f t="shared" si="11764"/>
        <v>-</v>
      </c>
      <c r="CE172" s="21" t="str">
        <f t="shared" si="11765"/>
        <v>-</v>
      </c>
      <c r="CF172" s="15" t="str">
        <f t="shared" si="11766"/>
        <v>-</v>
      </c>
      <c r="CG172" s="1" t="str">
        <f t="shared" si="11767"/>
        <v>-</v>
      </c>
      <c r="CH172" s="21" t="str">
        <f t="shared" si="11768"/>
        <v>-</v>
      </c>
      <c r="CI172" s="15" t="str">
        <f t="shared" si="11769"/>
        <v>-</v>
      </c>
      <c r="CJ172" s="1" t="str">
        <f t="shared" si="11770"/>
        <v>-</v>
      </c>
      <c r="CK172" s="21" t="str">
        <f t="shared" si="11771"/>
        <v>-</v>
      </c>
      <c r="CL172" s="15" t="str">
        <f t="shared" si="11772"/>
        <v>-</v>
      </c>
      <c r="CM172" s="1" t="str">
        <f t="shared" si="11773"/>
        <v>-</v>
      </c>
      <c r="CN172" s="21" t="str">
        <f t="shared" si="11774"/>
        <v>-</v>
      </c>
      <c r="CO172" s="15" t="str">
        <f t="shared" si="11775"/>
        <v>-</v>
      </c>
      <c r="CP172" s="1" t="str">
        <f t="shared" si="11776"/>
        <v>-</v>
      </c>
      <c r="CQ172" s="21" t="str">
        <f t="shared" si="11777"/>
        <v>-</v>
      </c>
      <c r="CR172" s="15" t="str">
        <f t="shared" si="11778"/>
        <v>-</v>
      </c>
      <c r="CS172" s="1" t="str">
        <f t="shared" si="11779"/>
        <v>-</v>
      </c>
      <c r="CT172" s="21" t="str">
        <f t="shared" si="11780"/>
        <v>-</v>
      </c>
      <c r="CU172" s="15" t="str">
        <f t="shared" si="11781"/>
        <v>-</v>
      </c>
      <c r="CV172" s="1" t="str">
        <f t="shared" si="11782"/>
        <v>-</v>
      </c>
      <c r="CW172" s="21" t="str">
        <f t="shared" si="11783"/>
        <v>-</v>
      </c>
      <c r="CX172" s="15" t="str">
        <f t="shared" si="11784"/>
        <v>-</v>
      </c>
      <c r="CY172" s="1" t="str">
        <f t="shared" si="11785"/>
        <v>-</v>
      </c>
      <c r="CZ172" s="21" t="str">
        <f t="shared" si="11786"/>
        <v>-</v>
      </c>
      <c r="DA172" s="15" t="str">
        <f t="shared" si="11787"/>
        <v>-</v>
      </c>
      <c r="DB172" s="1" t="str">
        <f t="shared" si="11788"/>
        <v>-</v>
      </c>
      <c r="DC172" s="21" t="str">
        <f t="shared" si="11789"/>
        <v>-</v>
      </c>
      <c r="DD172" s="15" t="str">
        <f t="shared" si="11790"/>
        <v>-</v>
      </c>
      <c r="DE172" s="1" t="str">
        <f t="shared" si="11791"/>
        <v>-</v>
      </c>
      <c r="DF172" s="21" t="str">
        <f t="shared" si="11792"/>
        <v>-</v>
      </c>
      <c r="DG172" s="15" t="str">
        <f t="shared" si="11793"/>
        <v>-</v>
      </c>
      <c r="DH172" s="1" t="str">
        <f t="shared" si="11794"/>
        <v>-</v>
      </c>
      <c r="DI172" s="21" t="str">
        <f t="shared" si="11795"/>
        <v>-</v>
      </c>
    </row>
    <row r="173" spans="2:113" x14ac:dyDescent="0.3">
      <c r="B173" s="1">
        <v>168</v>
      </c>
      <c r="C173" s="67">
        <v>6200</v>
      </c>
      <c r="D173" s="88" t="s">
        <v>27</v>
      </c>
      <c r="E173" s="68" t="s">
        <v>27</v>
      </c>
      <c r="F173" s="15" t="str">
        <f t="shared" ref="F173" si="12228">IF(InfGog1LevelCurrent&gt;=$B173,"-",IF(InfGog1LevelDesired&lt;$B173,"-",$C173))</f>
        <v>-</v>
      </c>
      <c r="G173" s="1" t="str">
        <f t="shared" ref="G173" si="12229">IF(InfGog1LevelCurrent&gt;=$B173,"-",IF(InfGog1LevelDesired&lt;$B173,"-",$D173))</f>
        <v>-</v>
      </c>
      <c r="H173" s="21" t="str">
        <f t="shared" ref="H173" si="12230">IF(InfGog1LevelCurrent&gt;=$B173,"-",IF(InfGog1LevelDesired&lt;$B173,"-",$E173))</f>
        <v>-</v>
      </c>
      <c r="I173" s="15" t="str">
        <f t="shared" ref="I173" si="12231">IF(InfGlo1LevelCurrent&gt;=$B173,"-",IF(InfGlo1LevelDesired&lt;$B173,"-",$C173))</f>
        <v>-</v>
      </c>
      <c r="J173" s="1" t="str">
        <f t="shared" ref="J173" si="12232">IF(InfGlo1LevelCurrent&gt;=$B173,"-",IF(InfGlo1LevelDesired&lt;$B173,"-",$D173))</f>
        <v>-</v>
      </c>
      <c r="K173" s="21" t="str">
        <f t="shared" ref="K173" si="12233">IF(InfGlo1LevelCurrent&gt;=$B173,"-",IF(InfGlo1LevelDesired&lt;$B173,"-",$E173))</f>
        <v>-</v>
      </c>
      <c r="L173" s="15" t="str">
        <f t="shared" ref="L173" si="12234">IF(InfBel1LevelCurrent&gt;=$B173,"-",IF(InfBel1LevelDesired&lt;$B173,"-",$C173))</f>
        <v>-</v>
      </c>
      <c r="M173" s="1" t="str">
        <f t="shared" ref="M173" si="12235">IF(InfBel1LevelCurrent&gt;=$B173,"-",IF(InfBel1LevelDesired&lt;$B173,"-",$D173))</f>
        <v>-</v>
      </c>
      <c r="N173" s="21" t="str">
        <f t="shared" ref="N173" si="12236">IF(InfBel1LevelCurrent&gt;=$B173,"-",IF(InfBel1LevelDesired&lt;$B173,"-",$E173))</f>
        <v>-</v>
      </c>
      <c r="O173" s="15" t="str">
        <f t="shared" ref="O173" si="12237">IF(InfBoo1LevelCurrent&gt;=$B173,"-",IF(InfBoo1LevelDesired&lt;$B173,"-",$C173))</f>
        <v>-</v>
      </c>
      <c r="P173" s="1" t="str">
        <f t="shared" ref="P173" si="12238">IF(InfBoo1LevelCurrent&gt;=$B173,"-",IF(InfBoo1LevelDesired&lt;$B173,"-",$D173))</f>
        <v>-</v>
      </c>
      <c r="Q173" s="21" t="str">
        <f t="shared" ref="Q173" si="12239">IF(InfBoo1LevelCurrent&gt;=$B173,"-",IF(InfBoo1LevelDesired&lt;$B173,"-",$E173))</f>
        <v>-</v>
      </c>
      <c r="R173" s="15" t="str">
        <f t="shared" ref="R173" si="12240">IF(LanGog1LevelCurrent&gt;=$B173,"-",IF(LanGog1LevelDesired&lt;$B173,"-",$C173))</f>
        <v>-</v>
      </c>
      <c r="S173" s="1" t="str">
        <f t="shared" ref="S173" si="12241">IF(LanGog1LevelCurrent&gt;=$B173,"-",IF(LanGog1LevelDesired&lt;$B173,"-",$D173))</f>
        <v>-</v>
      </c>
      <c r="T173" s="21" t="str">
        <f t="shared" ref="T173" si="12242">IF(LanGog1LevelCurrent&gt;=$B173,"-",IF(LanGog1LevelDesired&lt;$B173,"-",$E173))</f>
        <v>-</v>
      </c>
      <c r="U173" s="15" t="str">
        <f t="shared" ref="U173" si="12243">IF(LanGlo1LevelCurrent&gt;=$B173,"-",IF(LanGlo1LevelDesired&lt;$B173,"-",$C173))</f>
        <v>-</v>
      </c>
      <c r="V173" s="1" t="str">
        <f t="shared" ref="V173" si="12244">IF(LanGlo1LevelCurrent&gt;=$B173,"-",IF(LanGlo1LevelDesired&lt;$B173,"-",$D173))</f>
        <v>-</v>
      </c>
      <c r="W173" s="21" t="str">
        <f t="shared" ref="W173" si="12245">IF(LanGlo1LevelCurrent&gt;=$B173,"-",IF(LanGlo1LevelDesired&lt;$B173,"-",$E173))</f>
        <v>-</v>
      </c>
      <c r="X173" s="15" t="str">
        <f t="shared" ref="X173" si="12246">IF(LanBel1LevelCurrent&gt;=$B173,"-",IF(LanBel1LevelDesired&lt;$B173,"-",$C173))</f>
        <v>-</v>
      </c>
      <c r="Y173" s="1" t="str">
        <f t="shared" ref="Y173" si="12247">IF(LanBel1LevelCurrent&gt;=$B173,"-",IF(LanBel1LevelDesired&lt;$B173,"-",$D173))</f>
        <v>-</v>
      </c>
      <c r="Z173" s="21" t="str">
        <f t="shared" ref="Z173" si="12248">IF(LanBel1LevelCurrent&gt;=$B173,"-",IF(LanBel1LevelDesired&lt;$B173,"-",$E173))</f>
        <v>-</v>
      </c>
      <c r="AA173" s="15" t="str">
        <f t="shared" ref="AA173" si="12249">IF(LanBoo1LevelCurrent&gt;=$B173,"-",IF(LanBoo1LevelDesired&lt;$B173,"-",$C173))</f>
        <v>-</v>
      </c>
      <c r="AB173" s="1" t="str">
        <f t="shared" ref="AB173" si="12250">IF(LanBoo1LevelCurrent&gt;=$B173,"-",IF(LanBoo1LevelDesired&lt;$B173,"-",$D173))</f>
        <v>-</v>
      </c>
      <c r="AC173" s="21" t="str">
        <f t="shared" ref="AC173" si="12251">IF(LanBoo1LevelCurrent&gt;=$B173,"-",IF(LanBoo1LevelDesired&lt;$B173,"-",$E173))</f>
        <v>-</v>
      </c>
      <c r="AD173" s="15" t="str">
        <f t="shared" ref="AD173" si="12252">IF(MarGog1LevelCurrent&gt;=$B173,"-",IF(MarGog1LevelDesired&lt;$B173,"-",$C173))</f>
        <v>-</v>
      </c>
      <c r="AE173" s="1" t="str">
        <f t="shared" ref="AE173" si="12253">IF(MarGog1LevelCurrent&gt;=$B173,"-",IF(MarGog1LevelDesired&lt;$B173,"-",$D173))</f>
        <v>-</v>
      </c>
      <c r="AF173" s="21" t="str">
        <f t="shared" ref="AF173" si="12254">IF(MarGog1LevelCurrent&gt;=$B173,"-",IF(MarGog1LevelDesired&lt;$B173,"-",$E173))</f>
        <v>-</v>
      </c>
      <c r="AG173" s="15" t="str">
        <f t="shared" ref="AG173" si="12255">IF(MarGlo1LevelCurrent&gt;=$B173,"-",IF(MarGlo1LevelDesired&lt;$B173,"-",$C173))</f>
        <v>-</v>
      </c>
      <c r="AH173" s="1" t="str">
        <f t="shared" ref="AH173" si="12256">IF(MarGlo1LevelCurrent&gt;=$B173,"-",IF(MarGlo1LevelDesired&lt;$B173,"-",$D173))</f>
        <v>-</v>
      </c>
      <c r="AI173" s="21" t="str">
        <f t="shared" ref="AI173" si="12257">IF(MarGlo1LevelCurrent&gt;=$B173,"-",IF(MarGlo1LevelDesired&lt;$B173,"-",$E173))</f>
        <v>-</v>
      </c>
      <c r="AJ173" s="15" t="str">
        <f t="shared" ref="AJ173" si="12258">IF(MarBel1LevelCurrent&gt;=$B173,"-",IF(MarBel1LevelDesired&lt;$B173,"-",$C173))</f>
        <v>-</v>
      </c>
      <c r="AK173" s="1" t="str">
        <f t="shared" ref="AK173" si="12259">IF(MarBel1LevelCurrent&gt;=$B173,"-",IF(MarBel1LevelDesired&lt;$B173,"-",$D173))</f>
        <v>-</v>
      </c>
      <c r="AL173" s="21" t="str">
        <f t="shared" ref="AL173" si="12260">IF(MarBel1LevelCurrent&gt;=$B173,"-",IF(MarBel1LevelDesired&lt;$B173,"-",$E173))</f>
        <v>-</v>
      </c>
      <c r="AM173" s="15" t="str">
        <f t="shared" ref="AM173" si="12261">IF(MarBoo1LevelCurrent&gt;=$B173,"-",IF(MarBoo1LevelDesired&lt;$B173,"-",$C173))</f>
        <v>-</v>
      </c>
      <c r="AN173" s="1" t="str">
        <f t="shared" ref="AN173" si="12262">IF(MarBoo1LevelCurrent&gt;=$B173,"-",IF(MarBoo1LevelDesired&lt;$B173,"-",$D173))</f>
        <v>-</v>
      </c>
      <c r="AO173" s="21" t="str">
        <f t="shared" ref="AO173" si="12263">IF(MarBoo1LevelCurrent&gt;=$B173,"-",IF(MarBoo1LevelDesired&lt;$B173,"-",$E173))</f>
        <v>-</v>
      </c>
      <c r="AP173" s="15" t="str">
        <f t="shared" ref="AP173" si="12264">IF(InfGog2LevelCurrent&gt;=$B173,"-",IF(InfGog2LevelDesired&lt;$B173,"-",$C173))</f>
        <v>-</v>
      </c>
      <c r="AQ173" s="1" t="str">
        <f t="shared" ref="AQ173" si="12265">IF(InfGog2LevelCurrent&gt;=$B173,"-",IF(InfGog2LevelDesired&lt;$B173,"-",$D173))</f>
        <v>-</v>
      </c>
      <c r="AR173" s="21" t="str">
        <f t="shared" ref="AR173" si="12266">IF(InfGog2LevelCurrent&gt;=$B173,"-",IF(InfGog2LevelDesired&lt;$B173,"-",$E173))</f>
        <v>-</v>
      </c>
      <c r="AS173" s="15" t="str">
        <f t="shared" ref="AS173" si="12267">IF(InfGlo2LevelCurrent&gt;=$B173,"-",IF(InfGlo2LevelDesired&lt;$B173,"-",$C173))</f>
        <v>-</v>
      </c>
      <c r="AT173" s="1" t="str">
        <f t="shared" ref="AT173" si="12268">IF(InfGlo2LevelCurrent&gt;=$B173,"-",IF(InfGlo2LevelDesired&lt;$B173,"-",$D173))</f>
        <v>-</v>
      </c>
      <c r="AU173" s="21" t="str">
        <f t="shared" ref="AU173" si="12269">IF(InfGlo2LevelCurrent&gt;=$B173,"-",IF(InfGlo2LevelDesired&lt;$B173,"-",$E173))</f>
        <v>-</v>
      </c>
      <c r="AV173" s="15" t="str">
        <f t="shared" ref="AV173" si="12270">IF(InfBel2LevelCurrent&gt;=$B173,"-",IF(InfBel2LevelDesired&lt;$B173,"-",$C173))</f>
        <v>-</v>
      </c>
      <c r="AW173" s="1" t="str">
        <f t="shared" ref="AW173" si="12271">IF(InfBel2LevelCurrent&gt;=$B173,"-",IF(InfBel2LevelDesired&lt;$B173,"-",$D173))</f>
        <v>-</v>
      </c>
      <c r="AX173" s="21" t="str">
        <f t="shared" ref="AX173" si="12272">IF(InfBel2LevelCurrent&gt;=$B173,"-",IF(InfBel2LevelDesired&lt;$B173,"-",$E173))</f>
        <v>-</v>
      </c>
      <c r="AY173" s="15" t="str">
        <f t="shared" ref="AY173" si="12273">IF(InfBoo2LevelCurrent&gt;=$B173,"-",IF(InfBoo2LevelDesired&lt;$B173,"-",$C173))</f>
        <v>-</v>
      </c>
      <c r="AZ173" s="1" t="str">
        <f t="shared" ref="AZ173" si="12274">IF(InfBoo2LevelCurrent&gt;=$B173,"-",IF(InfBoo2LevelDesired&lt;$B173,"-",$D173))</f>
        <v>-</v>
      </c>
      <c r="BA173" s="21" t="str">
        <f t="shared" ref="BA173" si="12275">IF(InfBoo2LevelCurrent&gt;=$B173,"-",IF(InfBoo2LevelDesired&lt;$B173,"-",$E173))</f>
        <v>-</v>
      </c>
      <c r="BB173" s="15" t="str">
        <f t="shared" ref="BB173" si="12276">IF(LanGog2LevelCurrent&gt;=$B173,"-",IF(LanGog2LevelDesired&lt;$B173,"-",$C173))</f>
        <v>-</v>
      </c>
      <c r="BC173" s="1" t="str">
        <f t="shared" ref="BC173" si="12277">IF(LanGog2LevelCurrent&gt;=$B173,"-",IF(LanGog2LevelDesired&lt;$B173,"-",$D173))</f>
        <v>-</v>
      </c>
      <c r="BD173" s="21" t="str">
        <f t="shared" ref="BD173" si="12278">IF(LanGog2LevelCurrent&gt;=$B173,"-",IF(LanGog2LevelDesired&lt;$B173,"-",$E173))</f>
        <v>-</v>
      </c>
      <c r="BE173" s="15" t="str">
        <f t="shared" ref="BE173" si="12279">IF(LanGlo2LevelCurrent&gt;=$B173,"-",IF(LanGlo2LevelDesired&lt;$B173,"-",$C173))</f>
        <v>-</v>
      </c>
      <c r="BF173" s="1" t="str">
        <f t="shared" ref="BF173" si="12280">IF(LanGlo2LevelCurrent&gt;=$B173,"-",IF(LanGlo2LevelDesired&lt;$B173,"-",$D173))</f>
        <v>-</v>
      </c>
      <c r="BG173" s="21" t="str">
        <f t="shared" ref="BG173" si="12281">IF(LanGlo2LevelCurrent&gt;=$B173,"-",IF(LanGlo2LevelDesired&lt;$B173,"-",$E173))</f>
        <v>-</v>
      </c>
      <c r="BH173" s="15" t="str">
        <f t="shared" ref="BH173" si="12282">IF(LanBel2LevelCurrent&gt;=$B173,"-",IF(LanBel2LevelDesired&lt;$B173,"-",$C173))</f>
        <v>-</v>
      </c>
      <c r="BI173" s="1" t="str">
        <f t="shared" ref="BI173" si="12283">IF(LanBel2LevelCurrent&gt;=$B173,"-",IF(LanBel2LevelDesired&lt;$B173,"-",$D173))</f>
        <v>-</v>
      </c>
      <c r="BJ173" s="21" t="str">
        <f t="shared" ref="BJ173" si="12284">IF(LanBel2LevelCurrent&gt;=$B173,"-",IF(LanBel2LevelDesired&lt;$B173,"-",$E173))</f>
        <v>-</v>
      </c>
      <c r="BK173" s="15" t="str">
        <f t="shared" ref="BK173" si="12285">IF(LanBoo2LevelCurrent&gt;=$B173,"-",IF(LanBoo2LevelDesired&lt;$B173,"-",$C173))</f>
        <v>-</v>
      </c>
      <c r="BL173" s="1" t="str">
        <f t="shared" ref="BL173" si="12286">IF(LanBoo2LevelCurrent&gt;=$B173,"-",IF(LanBoo2LevelDesired&lt;$B173,"-",$D173))</f>
        <v>-</v>
      </c>
      <c r="BM173" s="21" t="str">
        <f t="shared" ref="BM173" si="12287">IF(LanBoo2LevelCurrent&gt;=$B173,"-",IF(LanBoo2LevelDesired&lt;$B173,"-",$E173))</f>
        <v>-</v>
      </c>
      <c r="BN173" s="15" t="str">
        <f t="shared" ref="BN173" si="12288">IF(MarGog2LevelCurrent&gt;=$B173,"-",IF(MarGog2LevelDesired&lt;$B173,"-",$C173))</f>
        <v>-</v>
      </c>
      <c r="BO173" s="1" t="str">
        <f t="shared" ref="BO173" si="12289">IF(MarGog2LevelCurrent&gt;=$B173,"-",IF(MarGog2LevelDesired&lt;$B173,"-",$D173))</f>
        <v>-</v>
      </c>
      <c r="BP173" s="21" t="str">
        <f t="shared" ref="BP173" si="12290">IF(MarGog2LevelCurrent&gt;=$B173,"-",IF(MarGog2LevelDesired&lt;$B173,"-",$E173))</f>
        <v>-</v>
      </c>
      <c r="BQ173" s="15" t="str">
        <f t="shared" ref="BQ173" si="12291">IF(MarGlo2LevelCurrent&gt;=$B173,"-",IF(MarGlo2LevelDesired&lt;$B173,"-",$C173))</f>
        <v>-</v>
      </c>
      <c r="BR173" s="1" t="str">
        <f t="shared" ref="BR173" si="12292">IF(MarGlo2LevelCurrent&gt;=$B173,"-",IF(MarGlo2LevelDesired&lt;$B173,"-",$D173))</f>
        <v>-</v>
      </c>
      <c r="BS173" s="21" t="str">
        <f t="shared" ref="BS173" si="12293">IF(MarGlo2LevelCurrent&gt;=$B173,"-",IF(MarGlo2LevelDesired&lt;$B173,"-",$E173))</f>
        <v>-</v>
      </c>
      <c r="BT173" s="15" t="str">
        <f t="shared" ref="BT173" si="12294">IF(MarBel2LevelCurrent&gt;=$B173,"-",IF(MarBel2LevelDesired&lt;$B173,"-",$C173))</f>
        <v>-</v>
      </c>
      <c r="BU173" s="1" t="str">
        <f t="shared" ref="BU173" si="12295">IF(MarBel2LevelCurrent&gt;=$B173,"-",IF(MarBel2LevelDesired&lt;$B173,"-",$D173))</f>
        <v>-</v>
      </c>
      <c r="BV173" s="21" t="str">
        <f t="shared" ref="BV173" si="12296">IF(MarBel2LevelCurrent&gt;=$B173,"-",IF(MarBel2LevelDesired&lt;$B173,"-",$E173))</f>
        <v>-</v>
      </c>
      <c r="BW173" s="15" t="str">
        <f t="shared" ref="BW173" si="12297">IF(MarBoo2LevelCurrent&gt;=$B173,"-",IF(MarBoo2LevelDesired&lt;$B173,"-",$C173))</f>
        <v>-</v>
      </c>
      <c r="BX173" s="1" t="str">
        <f t="shared" ref="BX173" si="12298">IF(MarBoo2LevelCurrent&gt;=$B173,"-",IF(MarBoo2LevelDesired&lt;$B173,"-",$D173))</f>
        <v>-</v>
      </c>
      <c r="BY173" s="21" t="str">
        <f t="shared" ref="BY173" si="12299">IF(MarBoo2LevelCurrent&gt;=$B173,"-",IF(MarBoo2LevelDesired&lt;$B173,"-",$E173))</f>
        <v>-</v>
      </c>
      <c r="BZ173" s="15" t="str">
        <f t="shared" si="11762"/>
        <v>-</v>
      </c>
      <c r="CA173" s="1" t="str" cm="1">
        <f t="array" ref="CA173">IF(InfGog3LevelCurrent&gt;=$B173,"-",IF(InfGog3LevelDesired&lt;$B173,"-",$D173))</f>
        <v>-</v>
      </c>
      <c r="CB173" s="21" t="str" cm="1">
        <f t="array" ref="CB173">IF(InfGog3LevelCurrent&gt;=$B173,"-",IF(InfGog3LevelDesired&lt;$B173,"-",$E173))</f>
        <v>-</v>
      </c>
      <c r="CC173" s="15" t="str">
        <f t="shared" si="11763"/>
        <v>-</v>
      </c>
      <c r="CD173" s="1" t="str">
        <f t="shared" si="11764"/>
        <v>-</v>
      </c>
      <c r="CE173" s="21" t="str">
        <f t="shared" si="11765"/>
        <v>-</v>
      </c>
      <c r="CF173" s="15" t="str">
        <f t="shared" si="11766"/>
        <v>-</v>
      </c>
      <c r="CG173" s="1" t="str">
        <f t="shared" si="11767"/>
        <v>-</v>
      </c>
      <c r="CH173" s="21" t="str">
        <f t="shared" si="11768"/>
        <v>-</v>
      </c>
      <c r="CI173" s="15" t="str">
        <f t="shared" si="11769"/>
        <v>-</v>
      </c>
      <c r="CJ173" s="1" t="str">
        <f t="shared" si="11770"/>
        <v>-</v>
      </c>
      <c r="CK173" s="21" t="str">
        <f t="shared" si="11771"/>
        <v>-</v>
      </c>
      <c r="CL173" s="15" t="str">
        <f t="shared" si="11772"/>
        <v>-</v>
      </c>
      <c r="CM173" s="1" t="str">
        <f t="shared" si="11773"/>
        <v>-</v>
      </c>
      <c r="CN173" s="21" t="str">
        <f t="shared" si="11774"/>
        <v>-</v>
      </c>
      <c r="CO173" s="15" t="str">
        <f t="shared" si="11775"/>
        <v>-</v>
      </c>
      <c r="CP173" s="1" t="str">
        <f t="shared" si="11776"/>
        <v>-</v>
      </c>
      <c r="CQ173" s="21" t="str">
        <f t="shared" si="11777"/>
        <v>-</v>
      </c>
      <c r="CR173" s="15" t="str">
        <f t="shared" si="11778"/>
        <v>-</v>
      </c>
      <c r="CS173" s="1" t="str">
        <f t="shared" si="11779"/>
        <v>-</v>
      </c>
      <c r="CT173" s="21" t="str">
        <f t="shared" si="11780"/>
        <v>-</v>
      </c>
      <c r="CU173" s="15" t="str">
        <f t="shared" si="11781"/>
        <v>-</v>
      </c>
      <c r="CV173" s="1" t="str">
        <f t="shared" si="11782"/>
        <v>-</v>
      </c>
      <c r="CW173" s="21" t="str">
        <f t="shared" si="11783"/>
        <v>-</v>
      </c>
      <c r="CX173" s="15" t="str">
        <f t="shared" si="11784"/>
        <v>-</v>
      </c>
      <c r="CY173" s="1" t="str">
        <f t="shared" si="11785"/>
        <v>-</v>
      </c>
      <c r="CZ173" s="21" t="str">
        <f t="shared" si="11786"/>
        <v>-</v>
      </c>
      <c r="DA173" s="15" t="str">
        <f t="shared" si="11787"/>
        <v>-</v>
      </c>
      <c r="DB173" s="1" t="str">
        <f t="shared" si="11788"/>
        <v>-</v>
      </c>
      <c r="DC173" s="21" t="str">
        <f t="shared" si="11789"/>
        <v>-</v>
      </c>
      <c r="DD173" s="15" t="str">
        <f t="shared" si="11790"/>
        <v>-</v>
      </c>
      <c r="DE173" s="1" t="str">
        <f t="shared" si="11791"/>
        <v>-</v>
      </c>
      <c r="DF173" s="21" t="str">
        <f t="shared" si="11792"/>
        <v>-</v>
      </c>
      <c r="DG173" s="15" t="str">
        <f t="shared" si="11793"/>
        <v>-</v>
      </c>
      <c r="DH173" s="1" t="str">
        <f t="shared" si="11794"/>
        <v>-</v>
      </c>
      <c r="DI173" s="21" t="str">
        <f t="shared" si="11795"/>
        <v>-</v>
      </c>
    </row>
    <row r="174" spans="2:113" x14ac:dyDescent="0.3">
      <c r="B174" s="1">
        <v>169</v>
      </c>
      <c r="C174" s="67">
        <v>6300</v>
      </c>
      <c r="D174" s="88" t="s">
        <v>27</v>
      </c>
      <c r="E174" s="68" t="s">
        <v>27</v>
      </c>
      <c r="F174" s="15" t="str">
        <f t="shared" ref="F174" si="12300">IF(InfGog1LevelCurrent&gt;=$B174,"-",IF(InfGog1LevelDesired&lt;$B174,"-",$C174))</f>
        <v>-</v>
      </c>
      <c r="G174" s="1" t="str">
        <f t="shared" ref="G174" si="12301">IF(InfGog1LevelCurrent&gt;=$B174,"-",IF(InfGog1LevelDesired&lt;$B174,"-",$D174))</f>
        <v>-</v>
      </c>
      <c r="H174" s="21" t="str">
        <f t="shared" ref="H174" si="12302">IF(InfGog1LevelCurrent&gt;=$B174,"-",IF(InfGog1LevelDesired&lt;$B174,"-",$E174))</f>
        <v>-</v>
      </c>
      <c r="I174" s="15" t="str">
        <f t="shared" ref="I174" si="12303">IF(InfGlo1LevelCurrent&gt;=$B174,"-",IF(InfGlo1LevelDesired&lt;$B174,"-",$C174))</f>
        <v>-</v>
      </c>
      <c r="J174" s="1" t="str">
        <f t="shared" ref="J174" si="12304">IF(InfGlo1LevelCurrent&gt;=$B174,"-",IF(InfGlo1LevelDesired&lt;$B174,"-",$D174))</f>
        <v>-</v>
      </c>
      <c r="K174" s="21" t="str">
        <f t="shared" ref="K174" si="12305">IF(InfGlo1LevelCurrent&gt;=$B174,"-",IF(InfGlo1LevelDesired&lt;$B174,"-",$E174))</f>
        <v>-</v>
      </c>
      <c r="L174" s="15" t="str">
        <f t="shared" ref="L174" si="12306">IF(InfBel1LevelCurrent&gt;=$B174,"-",IF(InfBel1LevelDesired&lt;$B174,"-",$C174))</f>
        <v>-</v>
      </c>
      <c r="M174" s="1" t="str">
        <f t="shared" ref="M174" si="12307">IF(InfBel1LevelCurrent&gt;=$B174,"-",IF(InfBel1LevelDesired&lt;$B174,"-",$D174))</f>
        <v>-</v>
      </c>
      <c r="N174" s="21" t="str">
        <f t="shared" ref="N174" si="12308">IF(InfBel1LevelCurrent&gt;=$B174,"-",IF(InfBel1LevelDesired&lt;$B174,"-",$E174))</f>
        <v>-</v>
      </c>
      <c r="O174" s="15" t="str">
        <f t="shared" ref="O174" si="12309">IF(InfBoo1LevelCurrent&gt;=$B174,"-",IF(InfBoo1LevelDesired&lt;$B174,"-",$C174))</f>
        <v>-</v>
      </c>
      <c r="P174" s="1" t="str">
        <f t="shared" ref="P174" si="12310">IF(InfBoo1LevelCurrent&gt;=$B174,"-",IF(InfBoo1LevelDesired&lt;$B174,"-",$D174))</f>
        <v>-</v>
      </c>
      <c r="Q174" s="21" t="str">
        <f t="shared" ref="Q174" si="12311">IF(InfBoo1LevelCurrent&gt;=$B174,"-",IF(InfBoo1LevelDesired&lt;$B174,"-",$E174))</f>
        <v>-</v>
      </c>
      <c r="R174" s="15" t="str">
        <f t="shared" ref="R174" si="12312">IF(LanGog1LevelCurrent&gt;=$B174,"-",IF(LanGog1LevelDesired&lt;$B174,"-",$C174))</f>
        <v>-</v>
      </c>
      <c r="S174" s="1" t="str">
        <f t="shared" ref="S174" si="12313">IF(LanGog1LevelCurrent&gt;=$B174,"-",IF(LanGog1LevelDesired&lt;$B174,"-",$D174))</f>
        <v>-</v>
      </c>
      <c r="T174" s="21" t="str">
        <f t="shared" ref="T174" si="12314">IF(LanGog1LevelCurrent&gt;=$B174,"-",IF(LanGog1LevelDesired&lt;$B174,"-",$E174))</f>
        <v>-</v>
      </c>
      <c r="U174" s="15" t="str">
        <f t="shared" ref="U174" si="12315">IF(LanGlo1LevelCurrent&gt;=$B174,"-",IF(LanGlo1LevelDesired&lt;$B174,"-",$C174))</f>
        <v>-</v>
      </c>
      <c r="V174" s="1" t="str">
        <f t="shared" ref="V174" si="12316">IF(LanGlo1LevelCurrent&gt;=$B174,"-",IF(LanGlo1LevelDesired&lt;$B174,"-",$D174))</f>
        <v>-</v>
      </c>
      <c r="W174" s="21" t="str">
        <f t="shared" ref="W174" si="12317">IF(LanGlo1LevelCurrent&gt;=$B174,"-",IF(LanGlo1LevelDesired&lt;$B174,"-",$E174))</f>
        <v>-</v>
      </c>
      <c r="X174" s="15" t="str">
        <f t="shared" ref="X174" si="12318">IF(LanBel1LevelCurrent&gt;=$B174,"-",IF(LanBel1LevelDesired&lt;$B174,"-",$C174))</f>
        <v>-</v>
      </c>
      <c r="Y174" s="1" t="str">
        <f t="shared" ref="Y174" si="12319">IF(LanBel1LevelCurrent&gt;=$B174,"-",IF(LanBel1LevelDesired&lt;$B174,"-",$D174))</f>
        <v>-</v>
      </c>
      <c r="Z174" s="21" t="str">
        <f t="shared" ref="Z174" si="12320">IF(LanBel1LevelCurrent&gt;=$B174,"-",IF(LanBel1LevelDesired&lt;$B174,"-",$E174))</f>
        <v>-</v>
      </c>
      <c r="AA174" s="15" t="str">
        <f t="shared" ref="AA174" si="12321">IF(LanBoo1LevelCurrent&gt;=$B174,"-",IF(LanBoo1LevelDesired&lt;$B174,"-",$C174))</f>
        <v>-</v>
      </c>
      <c r="AB174" s="1" t="str">
        <f t="shared" ref="AB174" si="12322">IF(LanBoo1LevelCurrent&gt;=$B174,"-",IF(LanBoo1LevelDesired&lt;$B174,"-",$D174))</f>
        <v>-</v>
      </c>
      <c r="AC174" s="21" t="str">
        <f t="shared" ref="AC174" si="12323">IF(LanBoo1LevelCurrent&gt;=$B174,"-",IF(LanBoo1LevelDesired&lt;$B174,"-",$E174))</f>
        <v>-</v>
      </c>
      <c r="AD174" s="15" t="str">
        <f t="shared" ref="AD174" si="12324">IF(MarGog1LevelCurrent&gt;=$B174,"-",IF(MarGog1LevelDesired&lt;$B174,"-",$C174))</f>
        <v>-</v>
      </c>
      <c r="AE174" s="1" t="str">
        <f t="shared" ref="AE174" si="12325">IF(MarGog1LevelCurrent&gt;=$B174,"-",IF(MarGog1LevelDesired&lt;$B174,"-",$D174))</f>
        <v>-</v>
      </c>
      <c r="AF174" s="21" t="str">
        <f t="shared" ref="AF174" si="12326">IF(MarGog1LevelCurrent&gt;=$B174,"-",IF(MarGog1LevelDesired&lt;$B174,"-",$E174))</f>
        <v>-</v>
      </c>
      <c r="AG174" s="15" t="str">
        <f t="shared" ref="AG174" si="12327">IF(MarGlo1LevelCurrent&gt;=$B174,"-",IF(MarGlo1LevelDesired&lt;$B174,"-",$C174))</f>
        <v>-</v>
      </c>
      <c r="AH174" s="1" t="str">
        <f t="shared" ref="AH174" si="12328">IF(MarGlo1LevelCurrent&gt;=$B174,"-",IF(MarGlo1LevelDesired&lt;$B174,"-",$D174))</f>
        <v>-</v>
      </c>
      <c r="AI174" s="21" t="str">
        <f t="shared" ref="AI174" si="12329">IF(MarGlo1LevelCurrent&gt;=$B174,"-",IF(MarGlo1LevelDesired&lt;$B174,"-",$E174))</f>
        <v>-</v>
      </c>
      <c r="AJ174" s="15" t="str">
        <f t="shared" ref="AJ174" si="12330">IF(MarBel1LevelCurrent&gt;=$B174,"-",IF(MarBel1LevelDesired&lt;$B174,"-",$C174))</f>
        <v>-</v>
      </c>
      <c r="AK174" s="1" t="str">
        <f t="shared" ref="AK174" si="12331">IF(MarBel1LevelCurrent&gt;=$B174,"-",IF(MarBel1LevelDesired&lt;$B174,"-",$D174))</f>
        <v>-</v>
      </c>
      <c r="AL174" s="21" t="str">
        <f t="shared" ref="AL174" si="12332">IF(MarBel1LevelCurrent&gt;=$B174,"-",IF(MarBel1LevelDesired&lt;$B174,"-",$E174))</f>
        <v>-</v>
      </c>
      <c r="AM174" s="15" t="str">
        <f t="shared" ref="AM174" si="12333">IF(MarBoo1LevelCurrent&gt;=$B174,"-",IF(MarBoo1LevelDesired&lt;$B174,"-",$C174))</f>
        <v>-</v>
      </c>
      <c r="AN174" s="1" t="str">
        <f t="shared" ref="AN174" si="12334">IF(MarBoo1LevelCurrent&gt;=$B174,"-",IF(MarBoo1LevelDesired&lt;$B174,"-",$D174))</f>
        <v>-</v>
      </c>
      <c r="AO174" s="21" t="str">
        <f t="shared" ref="AO174" si="12335">IF(MarBoo1LevelCurrent&gt;=$B174,"-",IF(MarBoo1LevelDesired&lt;$B174,"-",$E174))</f>
        <v>-</v>
      </c>
      <c r="AP174" s="15" t="str">
        <f t="shared" ref="AP174" si="12336">IF(InfGog2LevelCurrent&gt;=$B174,"-",IF(InfGog2LevelDesired&lt;$B174,"-",$C174))</f>
        <v>-</v>
      </c>
      <c r="AQ174" s="1" t="str">
        <f t="shared" ref="AQ174" si="12337">IF(InfGog2LevelCurrent&gt;=$B174,"-",IF(InfGog2LevelDesired&lt;$B174,"-",$D174))</f>
        <v>-</v>
      </c>
      <c r="AR174" s="21" t="str">
        <f t="shared" ref="AR174" si="12338">IF(InfGog2LevelCurrent&gt;=$B174,"-",IF(InfGog2LevelDesired&lt;$B174,"-",$E174))</f>
        <v>-</v>
      </c>
      <c r="AS174" s="15" t="str">
        <f t="shared" ref="AS174" si="12339">IF(InfGlo2LevelCurrent&gt;=$B174,"-",IF(InfGlo2LevelDesired&lt;$B174,"-",$C174))</f>
        <v>-</v>
      </c>
      <c r="AT174" s="1" t="str">
        <f t="shared" ref="AT174" si="12340">IF(InfGlo2LevelCurrent&gt;=$B174,"-",IF(InfGlo2LevelDesired&lt;$B174,"-",$D174))</f>
        <v>-</v>
      </c>
      <c r="AU174" s="21" t="str">
        <f t="shared" ref="AU174" si="12341">IF(InfGlo2LevelCurrent&gt;=$B174,"-",IF(InfGlo2LevelDesired&lt;$B174,"-",$E174))</f>
        <v>-</v>
      </c>
      <c r="AV174" s="15" t="str">
        <f t="shared" ref="AV174" si="12342">IF(InfBel2LevelCurrent&gt;=$B174,"-",IF(InfBel2LevelDesired&lt;$B174,"-",$C174))</f>
        <v>-</v>
      </c>
      <c r="AW174" s="1" t="str">
        <f t="shared" ref="AW174" si="12343">IF(InfBel2LevelCurrent&gt;=$B174,"-",IF(InfBel2LevelDesired&lt;$B174,"-",$D174))</f>
        <v>-</v>
      </c>
      <c r="AX174" s="21" t="str">
        <f t="shared" ref="AX174" si="12344">IF(InfBel2LevelCurrent&gt;=$B174,"-",IF(InfBel2LevelDesired&lt;$B174,"-",$E174))</f>
        <v>-</v>
      </c>
      <c r="AY174" s="15" t="str">
        <f t="shared" ref="AY174" si="12345">IF(InfBoo2LevelCurrent&gt;=$B174,"-",IF(InfBoo2LevelDesired&lt;$B174,"-",$C174))</f>
        <v>-</v>
      </c>
      <c r="AZ174" s="1" t="str">
        <f t="shared" ref="AZ174" si="12346">IF(InfBoo2LevelCurrent&gt;=$B174,"-",IF(InfBoo2LevelDesired&lt;$B174,"-",$D174))</f>
        <v>-</v>
      </c>
      <c r="BA174" s="21" t="str">
        <f t="shared" ref="BA174" si="12347">IF(InfBoo2LevelCurrent&gt;=$B174,"-",IF(InfBoo2LevelDesired&lt;$B174,"-",$E174))</f>
        <v>-</v>
      </c>
      <c r="BB174" s="15" t="str">
        <f t="shared" ref="BB174" si="12348">IF(LanGog2LevelCurrent&gt;=$B174,"-",IF(LanGog2LevelDesired&lt;$B174,"-",$C174))</f>
        <v>-</v>
      </c>
      <c r="BC174" s="1" t="str">
        <f t="shared" ref="BC174" si="12349">IF(LanGog2LevelCurrent&gt;=$B174,"-",IF(LanGog2LevelDesired&lt;$B174,"-",$D174))</f>
        <v>-</v>
      </c>
      <c r="BD174" s="21" t="str">
        <f t="shared" ref="BD174" si="12350">IF(LanGog2LevelCurrent&gt;=$B174,"-",IF(LanGog2LevelDesired&lt;$B174,"-",$E174))</f>
        <v>-</v>
      </c>
      <c r="BE174" s="15" t="str">
        <f t="shared" ref="BE174" si="12351">IF(LanGlo2LevelCurrent&gt;=$B174,"-",IF(LanGlo2LevelDesired&lt;$B174,"-",$C174))</f>
        <v>-</v>
      </c>
      <c r="BF174" s="1" t="str">
        <f t="shared" ref="BF174" si="12352">IF(LanGlo2LevelCurrent&gt;=$B174,"-",IF(LanGlo2LevelDesired&lt;$B174,"-",$D174))</f>
        <v>-</v>
      </c>
      <c r="BG174" s="21" t="str">
        <f t="shared" ref="BG174" si="12353">IF(LanGlo2LevelCurrent&gt;=$B174,"-",IF(LanGlo2LevelDesired&lt;$B174,"-",$E174))</f>
        <v>-</v>
      </c>
      <c r="BH174" s="15" t="str">
        <f t="shared" ref="BH174" si="12354">IF(LanBel2LevelCurrent&gt;=$B174,"-",IF(LanBel2LevelDesired&lt;$B174,"-",$C174))</f>
        <v>-</v>
      </c>
      <c r="BI174" s="1" t="str">
        <f t="shared" ref="BI174" si="12355">IF(LanBel2LevelCurrent&gt;=$B174,"-",IF(LanBel2LevelDesired&lt;$B174,"-",$D174))</f>
        <v>-</v>
      </c>
      <c r="BJ174" s="21" t="str">
        <f t="shared" ref="BJ174" si="12356">IF(LanBel2LevelCurrent&gt;=$B174,"-",IF(LanBel2LevelDesired&lt;$B174,"-",$E174))</f>
        <v>-</v>
      </c>
      <c r="BK174" s="15" t="str">
        <f t="shared" ref="BK174" si="12357">IF(LanBoo2LevelCurrent&gt;=$B174,"-",IF(LanBoo2LevelDesired&lt;$B174,"-",$C174))</f>
        <v>-</v>
      </c>
      <c r="BL174" s="1" t="str">
        <f t="shared" ref="BL174" si="12358">IF(LanBoo2LevelCurrent&gt;=$B174,"-",IF(LanBoo2LevelDesired&lt;$B174,"-",$D174))</f>
        <v>-</v>
      </c>
      <c r="BM174" s="21" t="str">
        <f t="shared" ref="BM174" si="12359">IF(LanBoo2LevelCurrent&gt;=$B174,"-",IF(LanBoo2LevelDesired&lt;$B174,"-",$E174))</f>
        <v>-</v>
      </c>
      <c r="BN174" s="15" t="str">
        <f t="shared" ref="BN174" si="12360">IF(MarGog2LevelCurrent&gt;=$B174,"-",IF(MarGog2LevelDesired&lt;$B174,"-",$C174))</f>
        <v>-</v>
      </c>
      <c r="BO174" s="1" t="str">
        <f t="shared" ref="BO174" si="12361">IF(MarGog2LevelCurrent&gt;=$B174,"-",IF(MarGog2LevelDesired&lt;$B174,"-",$D174))</f>
        <v>-</v>
      </c>
      <c r="BP174" s="21" t="str">
        <f t="shared" ref="BP174" si="12362">IF(MarGog2LevelCurrent&gt;=$B174,"-",IF(MarGog2LevelDesired&lt;$B174,"-",$E174))</f>
        <v>-</v>
      </c>
      <c r="BQ174" s="15" t="str">
        <f t="shared" ref="BQ174" si="12363">IF(MarGlo2LevelCurrent&gt;=$B174,"-",IF(MarGlo2LevelDesired&lt;$B174,"-",$C174))</f>
        <v>-</v>
      </c>
      <c r="BR174" s="1" t="str">
        <f t="shared" ref="BR174" si="12364">IF(MarGlo2LevelCurrent&gt;=$B174,"-",IF(MarGlo2LevelDesired&lt;$B174,"-",$D174))</f>
        <v>-</v>
      </c>
      <c r="BS174" s="21" t="str">
        <f t="shared" ref="BS174" si="12365">IF(MarGlo2LevelCurrent&gt;=$B174,"-",IF(MarGlo2LevelDesired&lt;$B174,"-",$E174))</f>
        <v>-</v>
      </c>
      <c r="BT174" s="15" t="str">
        <f t="shared" ref="BT174" si="12366">IF(MarBel2LevelCurrent&gt;=$B174,"-",IF(MarBel2LevelDesired&lt;$B174,"-",$C174))</f>
        <v>-</v>
      </c>
      <c r="BU174" s="1" t="str">
        <f t="shared" ref="BU174" si="12367">IF(MarBel2LevelCurrent&gt;=$B174,"-",IF(MarBel2LevelDesired&lt;$B174,"-",$D174))</f>
        <v>-</v>
      </c>
      <c r="BV174" s="21" t="str">
        <f t="shared" ref="BV174" si="12368">IF(MarBel2LevelCurrent&gt;=$B174,"-",IF(MarBel2LevelDesired&lt;$B174,"-",$E174))</f>
        <v>-</v>
      </c>
      <c r="BW174" s="15" t="str">
        <f t="shared" ref="BW174" si="12369">IF(MarBoo2LevelCurrent&gt;=$B174,"-",IF(MarBoo2LevelDesired&lt;$B174,"-",$C174))</f>
        <v>-</v>
      </c>
      <c r="BX174" s="1" t="str">
        <f t="shared" ref="BX174" si="12370">IF(MarBoo2LevelCurrent&gt;=$B174,"-",IF(MarBoo2LevelDesired&lt;$B174,"-",$D174))</f>
        <v>-</v>
      </c>
      <c r="BY174" s="21" t="str">
        <f t="shared" ref="BY174" si="12371">IF(MarBoo2LevelCurrent&gt;=$B174,"-",IF(MarBoo2LevelDesired&lt;$B174,"-",$E174))</f>
        <v>-</v>
      </c>
      <c r="BZ174" s="15" t="str">
        <f t="shared" si="11762"/>
        <v>-</v>
      </c>
      <c r="CA174" s="1" t="str" cm="1">
        <f t="array" ref="CA174">IF(InfGog3LevelCurrent&gt;=$B174,"-",IF(InfGog3LevelDesired&lt;$B174,"-",$D174))</f>
        <v>-</v>
      </c>
      <c r="CB174" s="21" t="str" cm="1">
        <f t="array" ref="CB174">IF(InfGog3LevelCurrent&gt;=$B174,"-",IF(InfGog3LevelDesired&lt;$B174,"-",$E174))</f>
        <v>-</v>
      </c>
      <c r="CC174" s="15" t="str">
        <f t="shared" si="11763"/>
        <v>-</v>
      </c>
      <c r="CD174" s="1" t="str">
        <f t="shared" si="11764"/>
        <v>-</v>
      </c>
      <c r="CE174" s="21" t="str">
        <f t="shared" si="11765"/>
        <v>-</v>
      </c>
      <c r="CF174" s="15" t="str">
        <f t="shared" si="11766"/>
        <v>-</v>
      </c>
      <c r="CG174" s="1" t="str">
        <f t="shared" si="11767"/>
        <v>-</v>
      </c>
      <c r="CH174" s="21" t="str">
        <f t="shared" si="11768"/>
        <v>-</v>
      </c>
      <c r="CI174" s="15" t="str">
        <f t="shared" si="11769"/>
        <v>-</v>
      </c>
      <c r="CJ174" s="1" t="str">
        <f t="shared" si="11770"/>
        <v>-</v>
      </c>
      <c r="CK174" s="21" t="str">
        <f t="shared" si="11771"/>
        <v>-</v>
      </c>
      <c r="CL174" s="15" t="str">
        <f t="shared" si="11772"/>
        <v>-</v>
      </c>
      <c r="CM174" s="1" t="str">
        <f t="shared" si="11773"/>
        <v>-</v>
      </c>
      <c r="CN174" s="21" t="str">
        <f t="shared" si="11774"/>
        <v>-</v>
      </c>
      <c r="CO174" s="15" t="str">
        <f t="shared" si="11775"/>
        <v>-</v>
      </c>
      <c r="CP174" s="1" t="str">
        <f t="shared" si="11776"/>
        <v>-</v>
      </c>
      <c r="CQ174" s="21" t="str">
        <f t="shared" si="11777"/>
        <v>-</v>
      </c>
      <c r="CR174" s="15" t="str">
        <f t="shared" si="11778"/>
        <v>-</v>
      </c>
      <c r="CS174" s="1" t="str">
        <f t="shared" si="11779"/>
        <v>-</v>
      </c>
      <c r="CT174" s="21" t="str">
        <f t="shared" si="11780"/>
        <v>-</v>
      </c>
      <c r="CU174" s="15" t="str">
        <f t="shared" si="11781"/>
        <v>-</v>
      </c>
      <c r="CV174" s="1" t="str">
        <f t="shared" si="11782"/>
        <v>-</v>
      </c>
      <c r="CW174" s="21" t="str">
        <f t="shared" si="11783"/>
        <v>-</v>
      </c>
      <c r="CX174" s="15" t="str">
        <f t="shared" si="11784"/>
        <v>-</v>
      </c>
      <c r="CY174" s="1" t="str">
        <f t="shared" si="11785"/>
        <v>-</v>
      </c>
      <c r="CZ174" s="21" t="str">
        <f t="shared" si="11786"/>
        <v>-</v>
      </c>
      <c r="DA174" s="15" t="str">
        <f t="shared" si="11787"/>
        <v>-</v>
      </c>
      <c r="DB174" s="1" t="str">
        <f t="shared" si="11788"/>
        <v>-</v>
      </c>
      <c r="DC174" s="21" t="str">
        <f t="shared" si="11789"/>
        <v>-</v>
      </c>
      <c r="DD174" s="15" t="str">
        <f t="shared" si="11790"/>
        <v>-</v>
      </c>
      <c r="DE174" s="1" t="str">
        <f t="shared" si="11791"/>
        <v>-</v>
      </c>
      <c r="DF174" s="21" t="str">
        <f t="shared" si="11792"/>
        <v>-</v>
      </c>
      <c r="DG174" s="15" t="str">
        <f t="shared" si="11793"/>
        <v>-</v>
      </c>
      <c r="DH174" s="1" t="str">
        <f t="shared" si="11794"/>
        <v>-</v>
      </c>
      <c r="DI174" s="21" t="str">
        <f t="shared" si="11795"/>
        <v>-</v>
      </c>
    </row>
    <row r="175" spans="2:113" x14ac:dyDescent="0.3">
      <c r="B175" s="1">
        <v>170</v>
      </c>
      <c r="C175" s="67">
        <v>6400</v>
      </c>
      <c r="D175" s="88" t="s">
        <v>27</v>
      </c>
      <c r="E175" s="68" t="s">
        <v>27</v>
      </c>
      <c r="F175" s="15" t="str">
        <f t="shared" ref="F175" si="12372">IF(InfGog1LevelCurrent&gt;=$B175,"-",IF(InfGog1LevelDesired&lt;$B175,"-",$C175))</f>
        <v>-</v>
      </c>
      <c r="G175" s="1" t="str">
        <f t="shared" ref="G175" si="12373">IF(InfGog1LevelCurrent&gt;=$B175,"-",IF(InfGog1LevelDesired&lt;$B175,"-",$D175))</f>
        <v>-</v>
      </c>
      <c r="H175" s="21" t="str">
        <f t="shared" ref="H175" si="12374">IF(InfGog1LevelCurrent&gt;=$B175,"-",IF(InfGog1LevelDesired&lt;$B175,"-",$E175))</f>
        <v>-</v>
      </c>
      <c r="I175" s="15" t="str">
        <f t="shared" ref="I175" si="12375">IF(InfGlo1LevelCurrent&gt;=$B175,"-",IF(InfGlo1LevelDesired&lt;$B175,"-",$C175))</f>
        <v>-</v>
      </c>
      <c r="J175" s="1" t="str">
        <f t="shared" ref="J175" si="12376">IF(InfGlo1LevelCurrent&gt;=$B175,"-",IF(InfGlo1LevelDesired&lt;$B175,"-",$D175))</f>
        <v>-</v>
      </c>
      <c r="K175" s="21" t="str">
        <f t="shared" ref="K175" si="12377">IF(InfGlo1LevelCurrent&gt;=$B175,"-",IF(InfGlo1LevelDesired&lt;$B175,"-",$E175))</f>
        <v>-</v>
      </c>
      <c r="L175" s="15" t="str">
        <f t="shared" ref="L175" si="12378">IF(InfBel1LevelCurrent&gt;=$B175,"-",IF(InfBel1LevelDesired&lt;$B175,"-",$C175))</f>
        <v>-</v>
      </c>
      <c r="M175" s="1" t="str">
        <f t="shared" ref="M175" si="12379">IF(InfBel1LevelCurrent&gt;=$B175,"-",IF(InfBel1LevelDesired&lt;$B175,"-",$D175))</f>
        <v>-</v>
      </c>
      <c r="N175" s="21" t="str">
        <f t="shared" ref="N175" si="12380">IF(InfBel1LevelCurrent&gt;=$B175,"-",IF(InfBel1LevelDesired&lt;$B175,"-",$E175))</f>
        <v>-</v>
      </c>
      <c r="O175" s="15" t="str">
        <f t="shared" ref="O175" si="12381">IF(InfBoo1LevelCurrent&gt;=$B175,"-",IF(InfBoo1LevelDesired&lt;$B175,"-",$C175))</f>
        <v>-</v>
      </c>
      <c r="P175" s="1" t="str">
        <f t="shared" ref="P175" si="12382">IF(InfBoo1LevelCurrent&gt;=$B175,"-",IF(InfBoo1LevelDesired&lt;$B175,"-",$D175))</f>
        <v>-</v>
      </c>
      <c r="Q175" s="21" t="str">
        <f t="shared" ref="Q175" si="12383">IF(InfBoo1LevelCurrent&gt;=$B175,"-",IF(InfBoo1LevelDesired&lt;$B175,"-",$E175))</f>
        <v>-</v>
      </c>
      <c r="R175" s="15" t="str">
        <f t="shared" ref="R175" si="12384">IF(LanGog1LevelCurrent&gt;=$B175,"-",IF(LanGog1LevelDesired&lt;$B175,"-",$C175))</f>
        <v>-</v>
      </c>
      <c r="S175" s="1" t="str">
        <f t="shared" ref="S175" si="12385">IF(LanGog1LevelCurrent&gt;=$B175,"-",IF(LanGog1LevelDesired&lt;$B175,"-",$D175))</f>
        <v>-</v>
      </c>
      <c r="T175" s="21" t="str">
        <f t="shared" ref="T175" si="12386">IF(LanGog1LevelCurrent&gt;=$B175,"-",IF(LanGog1LevelDesired&lt;$B175,"-",$E175))</f>
        <v>-</v>
      </c>
      <c r="U175" s="15" t="str">
        <f t="shared" ref="U175" si="12387">IF(LanGlo1LevelCurrent&gt;=$B175,"-",IF(LanGlo1LevelDesired&lt;$B175,"-",$C175))</f>
        <v>-</v>
      </c>
      <c r="V175" s="1" t="str">
        <f t="shared" ref="V175" si="12388">IF(LanGlo1LevelCurrent&gt;=$B175,"-",IF(LanGlo1LevelDesired&lt;$B175,"-",$D175))</f>
        <v>-</v>
      </c>
      <c r="W175" s="21" t="str">
        <f t="shared" ref="W175" si="12389">IF(LanGlo1LevelCurrent&gt;=$B175,"-",IF(LanGlo1LevelDesired&lt;$B175,"-",$E175))</f>
        <v>-</v>
      </c>
      <c r="X175" s="15" t="str">
        <f t="shared" ref="X175" si="12390">IF(LanBel1LevelCurrent&gt;=$B175,"-",IF(LanBel1LevelDesired&lt;$B175,"-",$C175))</f>
        <v>-</v>
      </c>
      <c r="Y175" s="1" t="str">
        <f t="shared" ref="Y175" si="12391">IF(LanBel1LevelCurrent&gt;=$B175,"-",IF(LanBel1LevelDesired&lt;$B175,"-",$D175))</f>
        <v>-</v>
      </c>
      <c r="Z175" s="21" t="str">
        <f t="shared" ref="Z175" si="12392">IF(LanBel1LevelCurrent&gt;=$B175,"-",IF(LanBel1LevelDesired&lt;$B175,"-",$E175))</f>
        <v>-</v>
      </c>
      <c r="AA175" s="15" t="str">
        <f t="shared" ref="AA175" si="12393">IF(LanBoo1LevelCurrent&gt;=$B175,"-",IF(LanBoo1LevelDesired&lt;$B175,"-",$C175))</f>
        <v>-</v>
      </c>
      <c r="AB175" s="1" t="str">
        <f t="shared" ref="AB175" si="12394">IF(LanBoo1LevelCurrent&gt;=$B175,"-",IF(LanBoo1LevelDesired&lt;$B175,"-",$D175))</f>
        <v>-</v>
      </c>
      <c r="AC175" s="21" t="str">
        <f t="shared" ref="AC175" si="12395">IF(LanBoo1LevelCurrent&gt;=$B175,"-",IF(LanBoo1LevelDesired&lt;$B175,"-",$E175))</f>
        <v>-</v>
      </c>
      <c r="AD175" s="15" t="str">
        <f t="shared" ref="AD175" si="12396">IF(MarGog1LevelCurrent&gt;=$B175,"-",IF(MarGog1LevelDesired&lt;$B175,"-",$C175))</f>
        <v>-</v>
      </c>
      <c r="AE175" s="1" t="str">
        <f t="shared" ref="AE175" si="12397">IF(MarGog1LevelCurrent&gt;=$B175,"-",IF(MarGog1LevelDesired&lt;$B175,"-",$D175))</f>
        <v>-</v>
      </c>
      <c r="AF175" s="21" t="str">
        <f t="shared" ref="AF175" si="12398">IF(MarGog1LevelCurrent&gt;=$B175,"-",IF(MarGog1LevelDesired&lt;$B175,"-",$E175))</f>
        <v>-</v>
      </c>
      <c r="AG175" s="15" t="str">
        <f t="shared" ref="AG175" si="12399">IF(MarGlo1LevelCurrent&gt;=$B175,"-",IF(MarGlo1LevelDesired&lt;$B175,"-",$C175))</f>
        <v>-</v>
      </c>
      <c r="AH175" s="1" t="str">
        <f t="shared" ref="AH175" si="12400">IF(MarGlo1LevelCurrent&gt;=$B175,"-",IF(MarGlo1LevelDesired&lt;$B175,"-",$D175))</f>
        <v>-</v>
      </c>
      <c r="AI175" s="21" t="str">
        <f t="shared" ref="AI175" si="12401">IF(MarGlo1LevelCurrent&gt;=$B175,"-",IF(MarGlo1LevelDesired&lt;$B175,"-",$E175))</f>
        <v>-</v>
      </c>
      <c r="AJ175" s="15" t="str">
        <f t="shared" ref="AJ175" si="12402">IF(MarBel1LevelCurrent&gt;=$B175,"-",IF(MarBel1LevelDesired&lt;$B175,"-",$C175))</f>
        <v>-</v>
      </c>
      <c r="AK175" s="1" t="str">
        <f t="shared" ref="AK175" si="12403">IF(MarBel1LevelCurrent&gt;=$B175,"-",IF(MarBel1LevelDesired&lt;$B175,"-",$D175))</f>
        <v>-</v>
      </c>
      <c r="AL175" s="21" t="str">
        <f t="shared" ref="AL175" si="12404">IF(MarBel1LevelCurrent&gt;=$B175,"-",IF(MarBel1LevelDesired&lt;$B175,"-",$E175))</f>
        <v>-</v>
      </c>
      <c r="AM175" s="15" t="str">
        <f t="shared" ref="AM175" si="12405">IF(MarBoo1LevelCurrent&gt;=$B175,"-",IF(MarBoo1LevelDesired&lt;$B175,"-",$C175))</f>
        <v>-</v>
      </c>
      <c r="AN175" s="1" t="str">
        <f t="shared" ref="AN175" si="12406">IF(MarBoo1LevelCurrent&gt;=$B175,"-",IF(MarBoo1LevelDesired&lt;$B175,"-",$D175))</f>
        <v>-</v>
      </c>
      <c r="AO175" s="21" t="str">
        <f t="shared" ref="AO175" si="12407">IF(MarBoo1LevelCurrent&gt;=$B175,"-",IF(MarBoo1LevelDesired&lt;$B175,"-",$E175))</f>
        <v>-</v>
      </c>
      <c r="AP175" s="15" t="str">
        <f t="shared" ref="AP175" si="12408">IF(InfGog2LevelCurrent&gt;=$B175,"-",IF(InfGog2LevelDesired&lt;$B175,"-",$C175))</f>
        <v>-</v>
      </c>
      <c r="AQ175" s="1" t="str">
        <f t="shared" ref="AQ175" si="12409">IF(InfGog2LevelCurrent&gt;=$B175,"-",IF(InfGog2LevelDesired&lt;$B175,"-",$D175))</f>
        <v>-</v>
      </c>
      <c r="AR175" s="21" t="str">
        <f t="shared" ref="AR175" si="12410">IF(InfGog2LevelCurrent&gt;=$B175,"-",IF(InfGog2LevelDesired&lt;$B175,"-",$E175))</f>
        <v>-</v>
      </c>
      <c r="AS175" s="15" t="str">
        <f t="shared" ref="AS175" si="12411">IF(InfGlo2LevelCurrent&gt;=$B175,"-",IF(InfGlo2LevelDesired&lt;$B175,"-",$C175))</f>
        <v>-</v>
      </c>
      <c r="AT175" s="1" t="str">
        <f t="shared" ref="AT175" si="12412">IF(InfGlo2LevelCurrent&gt;=$B175,"-",IF(InfGlo2LevelDesired&lt;$B175,"-",$D175))</f>
        <v>-</v>
      </c>
      <c r="AU175" s="21" t="str">
        <f t="shared" ref="AU175" si="12413">IF(InfGlo2LevelCurrent&gt;=$B175,"-",IF(InfGlo2LevelDesired&lt;$B175,"-",$E175))</f>
        <v>-</v>
      </c>
      <c r="AV175" s="15" t="str">
        <f t="shared" ref="AV175" si="12414">IF(InfBel2LevelCurrent&gt;=$B175,"-",IF(InfBel2LevelDesired&lt;$B175,"-",$C175))</f>
        <v>-</v>
      </c>
      <c r="AW175" s="1" t="str">
        <f t="shared" ref="AW175" si="12415">IF(InfBel2LevelCurrent&gt;=$B175,"-",IF(InfBel2LevelDesired&lt;$B175,"-",$D175))</f>
        <v>-</v>
      </c>
      <c r="AX175" s="21" t="str">
        <f t="shared" ref="AX175" si="12416">IF(InfBel2LevelCurrent&gt;=$B175,"-",IF(InfBel2LevelDesired&lt;$B175,"-",$E175))</f>
        <v>-</v>
      </c>
      <c r="AY175" s="15" t="str">
        <f t="shared" ref="AY175" si="12417">IF(InfBoo2LevelCurrent&gt;=$B175,"-",IF(InfBoo2LevelDesired&lt;$B175,"-",$C175))</f>
        <v>-</v>
      </c>
      <c r="AZ175" s="1" t="str">
        <f t="shared" ref="AZ175" si="12418">IF(InfBoo2LevelCurrent&gt;=$B175,"-",IF(InfBoo2LevelDesired&lt;$B175,"-",$D175))</f>
        <v>-</v>
      </c>
      <c r="BA175" s="21" t="str">
        <f t="shared" ref="BA175" si="12419">IF(InfBoo2LevelCurrent&gt;=$B175,"-",IF(InfBoo2LevelDesired&lt;$B175,"-",$E175))</f>
        <v>-</v>
      </c>
      <c r="BB175" s="15" t="str">
        <f t="shared" ref="BB175" si="12420">IF(LanGog2LevelCurrent&gt;=$B175,"-",IF(LanGog2LevelDesired&lt;$B175,"-",$C175))</f>
        <v>-</v>
      </c>
      <c r="BC175" s="1" t="str">
        <f t="shared" ref="BC175" si="12421">IF(LanGog2LevelCurrent&gt;=$B175,"-",IF(LanGog2LevelDesired&lt;$B175,"-",$D175))</f>
        <v>-</v>
      </c>
      <c r="BD175" s="21" t="str">
        <f t="shared" ref="BD175" si="12422">IF(LanGog2LevelCurrent&gt;=$B175,"-",IF(LanGog2LevelDesired&lt;$B175,"-",$E175))</f>
        <v>-</v>
      </c>
      <c r="BE175" s="15" t="str">
        <f t="shared" ref="BE175" si="12423">IF(LanGlo2LevelCurrent&gt;=$B175,"-",IF(LanGlo2LevelDesired&lt;$B175,"-",$C175))</f>
        <v>-</v>
      </c>
      <c r="BF175" s="1" t="str">
        <f t="shared" ref="BF175" si="12424">IF(LanGlo2LevelCurrent&gt;=$B175,"-",IF(LanGlo2LevelDesired&lt;$B175,"-",$D175))</f>
        <v>-</v>
      </c>
      <c r="BG175" s="21" t="str">
        <f t="shared" ref="BG175" si="12425">IF(LanGlo2LevelCurrent&gt;=$B175,"-",IF(LanGlo2LevelDesired&lt;$B175,"-",$E175))</f>
        <v>-</v>
      </c>
      <c r="BH175" s="15" t="str">
        <f t="shared" ref="BH175" si="12426">IF(LanBel2LevelCurrent&gt;=$B175,"-",IF(LanBel2LevelDesired&lt;$B175,"-",$C175))</f>
        <v>-</v>
      </c>
      <c r="BI175" s="1" t="str">
        <f t="shared" ref="BI175" si="12427">IF(LanBel2LevelCurrent&gt;=$B175,"-",IF(LanBel2LevelDesired&lt;$B175,"-",$D175))</f>
        <v>-</v>
      </c>
      <c r="BJ175" s="21" t="str">
        <f t="shared" ref="BJ175" si="12428">IF(LanBel2LevelCurrent&gt;=$B175,"-",IF(LanBel2LevelDesired&lt;$B175,"-",$E175))</f>
        <v>-</v>
      </c>
      <c r="BK175" s="15" t="str">
        <f t="shared" ref="BK175" si="12429">IF(LanBoo2LevelCurrent&gt;=$B175,"-",IF(LanBoo2LevelDesired&lt;$B175,"-",$C175))</f>
        <v>-</v>
      </c>
      <c r="BL175" s="1" t="str">
        <f t="shared" ref="BL175" si="12430">IF(LanBoo2LevelCurrent&gt;=$B175,"-",IF(LanBoo2LevelDesired&lt;$B175,"-",$D175))</f>
        <v>-</v>
      </c>
      <c r="BM175" s="21" t="str">
        <f t="shared" ref="BM175" si="12431">IF(LanBoo2LevelCurrent&gt;=$B175,"-",IF(LanBoo2LevelDesired&lt;$B175,"-",$E175))</f>
        <v>-</v>
      </c>
      <c r="BN175" s="15" t="str">
        <f t="shared" ref="BN175" si="12432">IF(MarGog2LevelCurrent&gt;=$B175,"-",IF(MarGog2LevelDesired&lt;$B175,"-",$C175))</f>
        <v>-</v>
      </c>
      <c r="BO175" s="1" t="str">
        <f t="shared" ref="BO175" si="12433">IF(MarGog2LevelCurrent&gt;=$B175,"-",IF(MarGog2LevelDesired&lt;$B175,"-",$D175))</f>
        <v>-</v>
      </c>
      <c r="BP175" s="21" t="str">
        <f t="shared" ref="BP175" si="12434">IF(MarGog2LevelCurrent&gt;=$B175,"-",IF(MarGog2LevelDesired&lt;$B175,"-",$E175))</f>
        <v>-</v>
      </c>
      <c r="BQ175" s="15" t="str">
        <f t="shared" ref="BQ175" si="12435">IF(MarGlo2LevelCurrent&gt;=$B175,"-",IF(MarGlo2LevelDesired&lt;$B175,"-",$C175))</f>
        <v>-</v>
      </c>
      <c r="BR175" s="1" t="str">
        <f t="shared" ref="BR175" si="12436">IF(MarGlo2LevelCurrent&gt;=$B175,"-",IF(MarGlo2LevelDesired&lt;$B175,"-",$D175))</f>
        <v>-</v>
      </c>
      <c r="BS175" s="21" t="str">
        <f t="shared" ref="BS175" si="12437">IF(MarGlo2LevelCurrent&gt;=$B175,"-",IF(MarGlo2LevelDesired&lt;$B175,"-",$E175))</f>
        <v>-</v>
      </c>
      <c r="BT175" s="15" t="str">
        <f t="shared" ref="BT175" si="12438">IF(MarBel2LevelCurrent&gt;=$B175,"-",IF(MarBel2LevelDesired&lt;$B175,"-",$C175))</f>
        <v>-</v>
      </c>
      <c r="BU175" s="1" t="str">
        <f t="shared" ref="BU175" si="12439">IF(MarBel2LevelCurrent&gt;=$B175,"-",IF(MarBel2LevelDesired&lt;$B175,"-",$D175))</f>
        <v>-</v>
      </c>
      <c r="BV175" s="21" t="str">
        <f t="shared" ref="BV175" si="12440">IF(MarBel2LevelCurrent&gt;=$B175,"-",IF(MarBel2LevelDesired&lt;$B175,"-",$E175))</f>
        <v>-</v>
      </c>
      <c r="BW175" s="15" t="str">
        <f t="shared" ref="BW175" si="12441">IF(MarBoo2LevelCurrent&gt;=$B175,"-",IF(MarBoo2LevelDesired&lt;$B175,"-",$C175))</f>
        <v>-</v>
      </c>
      <c r="BX175" s="1" t="str">
        <f t="shared" ref="BX175" si="12442">IF(MarBoo2LevelCurrent&gt;=$B175,"-",IF(MarBoo2LevelDesired&lt;$B175,"-",$D175))</f>
        <v>-</v>
      </c>
      <c r="BY175" s="21" t="str">
        <f t="shared" ref="BY175" si="12443">IF(MarBoo2LevelCurrent&gt;=$B175,"-",IF(MarBoo2LevelDesired&lt;$B175,"-",$E175))</f>
        <v>-</v>
      </c>
      <c r="BZ175" s="15" t="str">
        <f t="shared" si="11762"/>
        <v>-</v>
      </c>
      <c r="CA175" s="1" t="str" cm="1">
        <f t="array" ref="CA175">IF(InfGog3LevelCurrent&gt;=$B175,"-",IF(InfGog3LevelDesired&lt;$B175,"-",$D175))</f>
        <v>-</v>
      </c>
      <c r="CB175" s="21" t="str" cm="1">
        <f t="array" ref="CB175">IF(InfGog3LevelCurrent&gt;=$B175,"-",IF(InfGog3LevelDesired&lt;$B175,"-",$E175))</f>
        <v>-</v>
      </c>
      <c r="CC175" s="15" t="str">
        <f t="shared" si="11763"/>
        <v>-</v>
      </c>
      <c r="CD175" s="1" t="str">
        <f t="shared" si="11764"/>
        <v>-</v>
      </c>
      <c r="CE175" s="21" t="str">
        <f t="shared" si="11765"/>
        <v>-</v>
      </c>
      <c r="CF175" s="15" t="str">
        <f t="shared" si="11766"/>
        <v>-</v>
      </c>
      <c r="CG175" s="1" t="str">
        <f t="shared" si="11767"/>
        <v>-</v>
      </c>
      <c r="CH175" s="21" t="str">
        <f t="shared" si="11768"/>
        <v>-</v>
      </c>
      <c r="CI175" s="15" t="str">
        <f t="shared" si="11769"/>
        <v>-</v>
      </c>
      <c r="CJ175" s="1" t="str">
        <f t="shared" si="11770"/>
        <v>-</v>
      </c>
      <c r="CK175" s="21" t="str">
        <f t="shared" si="11771"/>
        <v>-</v>
      </c>
      <c r="CL175" s="15" t="str">
        <f t="shared" si="11772"/>
        <v>-</v>
      </c>
      <c r="CM175" s="1" t="str">
        <f t="shared" si="11773"/>
        <v>-</v>
      </c>
      <c r="CN175" s="21" t="str">
        <f t="shared" si="11774"/>
        <v>-</v>
      </c>
      <c r="CO175" s="15" t="str">
        <f t="shared" si="11775"/>
        <v>-</v>
      </c>
      <c r="CP175" s="1" t="str">
        <f t="shared" si="11776"/>
        <v>-</v>
      </c>
      <c r="CQ175" s="21" t="str">
        <f t="shared" si="11777"/>
        <v>-</v>
      </c>
      <c r="CR175" s="15" t="str">
        <f t="shared" si="11778"/>
        <v>-</v>
      </c>
      <c r="CS175" s="1" t="str">
        <f t="shared" si="11779"/>
        <v>-</v>
      </c>
      <c r="CT175" s="21" t="str">
        <f t="shared" si="11780"/>
        <v>-</v>
      </c>
      <c r="CU175" s="15" t="str">
        <f t="shared" si="11781"/>
        <v>-</v>
      </c>
      <c r="CV175" s="1" t="str">
        <f t="shared" si="11782"/>
        <v>-</v>
      </c>
      <c r="CW175" s="21" t="str">
        <f t="shared" si="11783"/>
        <v>-</v>
      </c>
      <c r="CX175" s="15" t="str">
        <f t="shared" si="11784"/>
        <v>-</v>
      </c>
      <c r="CY175" s="1" t="str">
        <f t="shared" si="11785"/>
        <v>-</v>
      </c>
      <c r="CZ175" s="21" t="str">
        <f t="shared" si="11786"/>
        <v>-</v>
      </c>
      <c r="DA175" s="15" t="str">
        <f t="shared" si="11787"/>
        <v>-</v>
      </c>
      <c r="DB175" s="1" t="str">
        <f t="shared" si="11788"/>
        <v>-</v>
      </c>
      <c r="DC175" s="21" t="str">
        <f t="shared" si="11789"/>
        <v>-</v>
      </c>
      <c r="DD175" s="15" t="str">
        <f t="shared" si="11790"/>
        <v>-</v>
      </c>
      <c r="DE175" s="1" t="str">
        <f t="shared" si="11791"/>
        <v>-</v>
      </c>
      <c r="DF175" s="21" t="str">
        <f t="shared" si="11792"/>
        <v>-</v>
      </c>
      <c r="DG175" s="15" t="str">
        <f t="shared" si="11793"/>
        <v>-</v>
      </c>
      <c r="DH175" s="1" t="str">
        <f t="shared" si="11794"/>
        <v>-</v>
      </c>
      <c r="DI175" s="21" t="str">
        <f t="shared" si="11795"/>
        <v>-</v>
      </c>
    </row>
    <row r="176" spans="2:113" x14ac:dyDescent="0.3">
      <c r="B176" s="1">
        <v>171</v>
      </c>
      <c r="C176" s="67">
        <v>6500</v>
      </c>
      <c r="D176" s="88" t="s">
        <v>27</v>
      </c>
      <c r="E176" s="68" t="s">
        <v>27</v>
      </c>
      <c r="F176" s="15" t="str">
        <f t="shared" ref="F176" si="12444">IF(InfGog1LevelCurrent&gt;=$B176,"-",IF(InfGog1LevelDesired&lt;$B176,"-",$C176))</f>
        <v>-</v>
      </c>
      <c r="G176" s="1" t="str">
        <f t="shared" ref="G176" si="12445">IF(InfGog1LevelCurrent&gt;=$B176,"-",IF(InfGog1LevelDesired&lt;$B176,"-",$D176))</f>
        <v>-</v>
      </c>
      <c r="H176" s="21" t="str">
        <f t="shared" ref="H176" si="12446">IF(InfGog1LevelCurrent&gt;=$B176,"-",IF(InfGog1LevelDesired&lt;$B176,"-",$E176))</f>
        <v>-</v>
      </c>
      <c r="I176" s="15" t="str">
        <f t="shared" ref="I176" si="12447">IF(InfGlo1LevelCurrent&gt;=$B176,"-",IF(InfGlo1LevelDesired&lt;$B176,"-",$C176))</f>
        <v>-</v>
      </c>
      <c r="J176" s="1" t="str">
        <f t="shared" ref="J176" si="12448">IF(InfGlo1LevelCurrent&gt;=$B176,"-",IF(InfGlo1LevelDesired&lt;$B176,"-",$D176))</f>
        <v>-</v>
      </c>
      <c r="K176" s="21" t="str">
        <f t="shared" ref="K176" si="12449">IF(InfGlo1LevelCurrent&gt;=$B176,"-",IF(InfGlo1LevelDesired&lt;$B176,"-",$E176))</f>
        <v>-</v>
      </c>
      <c r="L176" s="15" t="str">
        <f t="shared" ref="L176" si="12450">IF(InfBel1LevelCurrent&gt;=$B176,"-",IF(InfBel1LevelDesired&lt;$B176,"-",$C176))</f>
        <v>-</v>
      </c>
      <c r="M176" s="1" t="str">
        <f t="shared" ref="M176" si="12451">IF(InfBel1LevelCurrent&gt;=$B176,"-",IF(InfBel1LevelDesired&lt;$B176,"-",$D176))</f>
        <v>-</v>
      </c>
      <c r="N176" s="21" t="str">
        <f t="shared" ref="N176" si="12452">IF(InfBel1LevelCurrent&gt;=$B176,"-",IF(InfBel1LevelDesired&lt;$B176,"-",$E176))</f>
        <v>-</v>
      </c>
      <c r="O176" s="15" t="str">
        <f t="shared" ref="O176" si="12453">IF(InfBoo1LevelCurrent&gt;=$B176,"-",IF(InfBoo1LevelDesired&lt;$B176,"-",$C176))</f>
        <v>-</v>
      </c>
      <c r="P176" s="1" t="str">
        <f t="shared" ref="P176" si="12454">IF(InfBoo1LevelCurrent&gt;=$B176,"-",IF(InfBoo1LevelDesired&lt;$B176,"-",$D176))</f>
        <v>-</v>
      </c>
      <c r="Q176" s="21" t="str">
        <f t="shared" ref="Q176" si="12455">IF(InfBoo1LevelCurrent&gt;=$B176,"-",IF(InfBoo1LevelDesired&lt;$B176,"-",$E176))</f>
        <v>-</v>
      </c>
      <c r="R176" s="15" t="str">
        <f t="shared" ref="R176" si="12456">IF(LanGog1LevelCurrent&gt;=$B176,"-",IF(LanGog1LevelDesired&lt;$B176,"-",$C176))</f>
        <v>-</v>
      </c>
      <c r="S176" s="1" t="str">
        <f t="shared" ref="S176" si="12457">IF(LanGog1LevelCurrent&gt;=$B176,"-",IF(LanGog1LevelDesired&lt;$B176,"-",$D176))</f>
        <v>-</v>
      </c>
      <c r="T176" s="21" t="str">
        <f t="shared" ref="T176" si="12458">IF(LanGog1LevelCurrent&gt;=$B176,"-",IF(LanGog1LevelDesired&lt;$B176,"-",$E176))</f>
        <v>-</v>
      </c>
      <c r="U176" s="15" t="str">
        <f t="shared" ref="U176" si="12459">IF(LanGlo1LevelCurrent&gt;=$B176,"-",IF(LanGlo1LevelDesired&lt;$B176,"-",$C176))</f>
        <v>-</v>
      </c>
      <c r="V176" s="1" t="str">
        <f t="shared" ref="V176" si="12460">IF(LanGlo1LevelCurrent&gt;=$B176,"-",IF(LanGlo1LevelDesired&lt;$B176,"-",$D176))</f>
        <v>-</v>
      </c>
      <c r="W176" s="21" t="str">
        <f t="shared" ref="W176" si="12461">IF(LanGlo1LevelCurrent&gt;=$B176,"-",IF(LanGlo1LevelDesired&lt;$B176,"-",$E176))</f>
        <v>-</v>
      </c>
      <c r="X176" s="15" t="str">
        <f t="shared" ref="X176" si="12462">IF(LanBel1LevelCurrent&gt;=$B176,"-",IF(LanBel1LevelDesired&lt;$B176,"-",$C176))</f>
        <v>-</v>
      </c>
      <c r="Y176" s="1" t="str">
        <f t="shared" ref="Y176" si="12463">IF(LanBel1LevelCurrent&gt;=$B176,"-",IF(LanBel1LevelDesired&lt;$B176,"-",$D176))</f>
        <v>-</v>
      </c>
      <c r="Z176" s="21" t="str">
        <f t="shared" ref="Z176" si="12464">IF(LanBel1LevelCurrent&gt;=$B176,"-",IF(LanBel1LevelDesired&lt;$B176,"-",$E176))</f>
        <v>-</v>
      </c>
      <c r="AA176" s="15" t="str">
        <f t="shared" ref="AA176" si="12465">IF(LanBoo1LevelCurrent&gt;=$B176,"-",IF(LanBoo1LevelDesired&lt;$B176,"-",$C176))</f>
        <v>-</v>
      </c>
      <c r="AB176" s="1" t="str">
        <f t="shared" ref="AB176" si="12466">IF(LanBoo1LevelCurrent&gt;=$B176,"-",IF(LanBoo1LevelDesired&lt;$B176,"-",$D176))</f>
        <v>-</v>
      </c>
      <c r="AC176" s="21" t="str">
        <f t="shared" ref="AC176" si="12467">IF(LanBoo1LevelCurrent&gt;=$B176,"-",IF(LanBoo1LevelDesired&lt;$B176,"-",$E176))</f>
        <v>-</v>
      </c>
      <c r="AD176" s="15" t="str">
        <f t="shared" ref="AD176" si="12468">IF(MarGog1LevelCurrent&gt;=$B176,"-",IF(MarGog1LevelDesired&lt;$B176,"-",$C176))</f>
        <v>-</v>
      </c>
      <c r="AE176" s="1" t="str">
        <f t="shared" ref="AE176" si="12469">IF(MarGog1LevelCurrent&gt;=$B176,"-",IF(MarGog1LevelDesired&lt;$B176,"-",$D176))</f>
        <v>-</v>
      </c>
      <c r="AF176" s="21" t="str">
        <f t="shared" ref="AF176" si="12470">IF(MarGog1LevelCurrent&gt;=$B176,"-",IF(MarGog1LevelDesired&lt;$B176,"-",$E176))</f>
        <v>-</v>
      </c>
      <c r="AG176" s="15" t="str">
        <f t="shared" ref="AG176" si="12471">IF(MarGlo1LevelCurrent&gt;=$B176,"-",IF(MarGlo1LevelDesired&lt;$B176,"-",$C176))</f>
        <v>-</v>
      </c>
      <c r="AH176" s="1" t="str">
        <f t="shared" ref="AH176" si="12472">IF(MarGlo1LevelCurrent&gt;=$B176,"-",IF(MarGlo1LevelDesired&lt;$B176,"-",$D176))</f>
        <v>-</v>
      </c>
      <c r="AI176" s="21" t="str">
        <f t="shared" ref="AI176" si="12473">IF(MarGlo1LevelCurrent&gt;=$B176,"-",IF(MarGlo1LevelDesired&lt;$B176,"-",$E176))</f>
        <v>-</v>
      </c>
      <c r="AJ176" s="15" t="str">
        <f t="shared" ref="AJ176" si="12474">IF(MarBel1LevelCurrent&gt;=$B176,"-",IF(MarBel1LevelDesired&lt;$B176,"-",$C176))</f>
        <v>-</v>
      </c>
      <c r="AK176" s="1" t="str">
        <f t="shared" ref="AK176" si="12475">IF(MarBel1LevelCurrent&gt;=$B176,"-",IF(MarBel1LevelDesired&lt;$B176,"-",$D176))</f>
        <v>-</v>
      </c>
      <c r="AL176" s="21" t="str">
        <f t="shared" ref="AL176" si="12476">IF(MarBel1LevelCurrent&gt;=$B176,"-",IF(MarBel1LevelDesired&lt;$B176,"-",$E176))</f>
        <v>-</v>
      </c>
      <c r="AM176" s="15" t="str">
        <f t="shared" ref="AM176" si="12477">IF(MarBoo1LevelCurrent&gt;=$B176,"-",IF(MarBoo1LevelDesired&lt;$B176,"-",$C176))</f>
        <v>-</v>
      </c>
      <c r="AN176" s="1" t="str">
        <f t="shared" ref="AN176" si="12478">IF(MarBoo1LevelCurrent&gt;=$B176,"-",IF(MarBoo1LevelDesired&lt;$B176,"-",$D176))</f>
        <v>-</v>
      </c>
      <c r="AO176" s="21" t="str">
        <f t="shared" ref="AO176" si="12479">IF(MarBoo1LevelCurrent&gt;=$B176,"-",IF(MarBoo1LevelDesired&lt;$B176,"-",$E176))</f>
        <v>-</v>
      </c>
      <c r="AP176" s="15" t="str">
        <f t="shared" ref="AP176" si="12480">IF(InfGog2LevelCurrent&gt;=$B176,"-",IF(InfGog2LevelDesired&lt;$B176,"-",$C176))</f>
        <v>-</v>
      </c>
      <c r="AQ176" s="1" t="str">
        <f t="shared" ref="AQ176" si="12481">IF(InfGog2LevelCurrent&gt;=$B176,"-",IF(InfGog2LevelDesired&lt;$B176,"-",$D176))</f>
        <v>-</v>
      </c>
      <c r="AR176" s="21" t="str">
        <f t="shared" ref="AR176" si="12482">IF(InfGog2LevelCurrent&gt;=$B176,"-",IF(InfGog2LevelDesired&lt;$B176,"-",$E176))</f>
        <v>-</v>
      </c>
      <c r="AS176" s="15" t="str">
        <f t="shared" ref="AS176" si="12483">IF(InfGlo2LevelCurrent&gt;=$B176,"-",IF(InfGlo2LevelDesired&lt;$B176,"-",$C176))</f>
        <v>-</v>
      </c>
      <c r="AT176" s="1" t="str">
        <f t="shared" ref="AT176" si="12484">IF(InfGlo2LevelCurrent&gt;=$B176,"-",IF(InfGlo2LevelDesired&lt;$B176,"-",$D176))</f>
        <v>-</v>
      </c>
      <c r="AU176" s="21" t="str">
        <f t="shared" ref="AU176" si="12485">IF(InfGlo2LevelCurrent&gt;=$B176,"-",IF(InfGlo2LevelDesired&lt;$B176,"-",$E176))</f>
        <v>-</v>
      </c>
      <c r="AV176" s="15" t="str">
        <f t="shared" ref="AV176" si="12486">IF(InfBel2LevelCurrent&gt;=$B176,"-",IF(InfBel2LevelDesired&lt;$B176,"-",$C176))</f>
        <v>-</v>
      </c>
      <c r="AW176" s="1" t="str">
        <f t="shared" ref="AW176" si="12487">IF(InfBel2LevelCurrent&gt;=$B176,"-",IF(InfBel2LevelDesired&lt;$B176,"-",$D176))</f>
        <v>-</v>
      </c>
      <c r="AX176" s="21" t="str">
        <f t="shared" ref="AX176" si="12488">IF(InfBel2LevelCurrent&gt;=$B176,"-",IF(InfBel2LevelDesired&lt;$B176,"-",$E176))</f>
        <v>-</v>
      </c>
      <c r="AY176" s="15" t="str">
        <f t="shared" ref="AY176" si="12489">IF(InfBoo2LevelCurrent&gt;=$B176,"-",IF(InfBoo2LevelDesired&lt;$B176,"-",$C176))</f>
        <v>-</v>
      </c>
      <c r="AZ176" s="1" t="str">
        <f t="shared" ref="AZ176" si="12490">IF(InfBoo2LevelCurrent&gt;=$B176,"-",IF(InfBoo2LevelDesired&lt;$B176,"-",$D176))</f>
        <v>-</v>
      </c>
      <c r="BA176" s="21" t="str">
        <f t="shared" ref="BA176" si="12491">IF(InfBoo2LevelCurrent&gt;=$B176,"-",IF(InfBoo2LevelDesired&lt;$B176,"-",$E176))</f>
        <v>-</v>
      </c>
      <c r="BB176" s="15" t="str">
        <f t="shared" ref="BB176" si="12492">IF(LanGog2LevelCurrent&gt;=$B176,"-",IF(LanGog2LevelDesired&lt;$B176,"-",$C176))</f>
        <v>-</v>
      </c>
      <c r="BC176" s="1" t="str">
        <f t="shared" ref="BC176" si="12493">IF(LanGog2LevelCurrent&gt;=$B176,"-",IF(LanGog2LevelDesired&lt;$B176,"-",$D176))</f>
        <v>-</v>
      </c>
      <c r="BD176" s="21" t="str">
        <f t="shared" ref="BD176" si="12494">IF(LanGog2LevelCurrent&gt;=$B176,"-",IF(LanGog2LevelDesired&lt;$B176,"-",$E176))</f>
        <v>-</v>
      </c>
      <c r="BE176" s="15" t="str">
        <f t="shared" ref="BE176" si="12495">IF(LanGlo2LevelCurrent&gt;=$B176,"-",IF(LanGlo2LevelDesired&lt;$B176,"-",$C176))</f>
        <v>-</v>
      </c>
      <c r="BF176" s="1" t="str">
        <f t="shared" ref="BF176" si="12496">IF(LanGlo2LevelCurrent&gt;=$B176,"-",IF(LanGlo2LevelDesired&lt;$B176,"-",$D176))</f>
        <v>-</v>
      </c>
      <c r="BG176" s="21" t="str">
        <f t="shared" ref="BG176" si="12497">IF(LanGlo2LevelCurrent&gt;=$B176,"-",IF(LanGlo2LevelDesired&lt;$B176,"-",$E176))</f>
        <v>-</v>
      </c>
      <c r="BH176" s="15" t="str">
        <f t="shared" ref="BH176" si="12498">IF(LanBel2LevelCurrent&gt;=$B176,"-",IF(LanBel2LevelDesired&lt;$B176,"-",$C176))</f>
        <v>-</v>
      </c>
      <c r="BI176" s="1" t="str">
        <f t="shared" ref="BI176" si="12499">IF(LanBel2LevelCurrent&gt;=$B176,"-",IF(LanBel2LevelDesired&lt;$B176,"-",$D176))</f>
        <v>-</v>
      </c>
      <c r="BJ176" s="21" t="str">
        <f t="shared" ref="BJ176" si="12500">IF(LanBel2LevelCurrent&gt;=$B176,"-",IF(LanBel2LevelDesired&lt;$B176,"-",$E176))</f>
        <v>-</v>
      </c>
      <c r="BK176" s="15" t="str">
        <f t="shared" ref="BK176" si="12501">IF(LanBoo2LevelCurrent&gt;=$B176,"-",IF(LanBoo2LevelDesired&lt;$B176,"-",$C176))</f>
        <v>-</v>
      </c>
      <c r="BL176" s="1" t="str">
        <f t="shared" ref="BL176" si="12502">IF(LanBoo2LevelCurrent&gt;=$B176,"-",IF(LanBoo2LevelDesired&lt;$B176,"-",$D176))</f>
        <v>-</v>
      </c>
      <c r="BM176" s="21" t="str">
        <f t="shared" ref="BM176" si="12503">IF(LanBoo2LevelCurrent&gt;=$B176,"-",IF(LanBoo2LevelDesired&lt;$B176,"-",$E176))</f>
        <v>-</v>
      </c>
      <c r="BN176" s="15" t="str">
        <f t="shared" ref="BN176" si="12504">IF(MarGog2LevelCurrent&gt;=$B176,"-",IF(MarGog2LevelDesired&lt;$B176,"-",$C176))</f>
        <v>-</v>
      </c>
      <c r="BO176" s="1" t="str">
        <f t="shared" ref="BO176" si="12505">IF(MarGog2LevelCurrent&gt;=$B176,"-",IF(MarGog2LevelDesired&lt;$B176,"-",$D176))</f>
        <v>-</v>
      </c>
      <c r="BP176" s="21" t="str">
        <f t="shared" ref="BP176" si="12506">IF(MarGog2LevelCurrent&gt;=$B176,"-",IF(MarGog2LevelDesired&lt;$B176,"-",$E176))</f>
        <v>-</v>
      </c>
      <c r="BQ176" s="15" t="str">
        <f t="shared" ref="BQ176" si="12507">IF(MarGlo2LevelCurrent&gt;=$B176,"-",IF(MarGlo2LevelDesired&lt;$B176,"-",$C176))</f>
        <v>-</v>
      </c>
      <c r="BR176" s="1" t="str">
        <f t="shared" ref="BR176" si="12508">IF(MarGlo2LevelCurrent&gt;=$B176,"-",IF(MarGlo2LevelDesired&lt;$B176,"-",$D176))</f>
        <v>-</v>
      </c>
      <c r="BS176" s="21" t="str">
        <f t="shared" ref="BS176" si="12509">IF(MarGlo2LevelCurrent&gt;=$B176,"-",IF(MarGlo2LevelDesired&lt;$B176,"-",$E176))</f>
        <v>-</v>
      </c>
      <c r="BT176" s="15" t="str">
        <f t="shared" ref="BT176" si="12510">IF(MarBel2LevelCurrent&gt;=$B176,"-",IF(MarBel2LevelDesired&lt;$B176,"-",$C176))</f>
        <v>-</v>
      </c>
      <c r="BU176" s="1" t="str">
        <f t="shared" ref="BU176" si="12511">IF(MarBel2LevelCurrent&gt;=$B176,"-",IF(MarBel2LevelDesired&lt;$B176,"-",$D176))</f>
        <v>-</v>
      </c>
      <c r="BV176" s="21" t="str">
        <f t="shared" ref="BV176" si="12512">IF(MarBel2LevelCurrent&gt;=$B176,"-",IF(MarBel2LevelDesired&lt;$B176,"-",$E176))</f>
        <v>-</v>
      </c>
      <c r="BW176" s="15" t="str">
        <f t="shared" ref="BW176" si="12513">IF(MarBoo2LevelCurrent&gt;=$B176,"-",IF(MarBoo2LevelDesired&lt;$B176,"-",$C176))</f>
        <v>-</v>
      </c>
      <c r="BX176" s="1" t="str">
        <f t="shared" ref="BX176" si="12514">IF(MarBoo2LevelCurrent&gt;=$B176,"-",IF(MarBoo2LevelDesired&lt;$B176,"-",$D176))</f>
        <v>-</v>
      </c>
      <c r="BY176" s="21" t="str">
        <f t="shared" ref="BY176" si="12515">IF(MarBoo2LevelCurrent&gt;=$B176,"-",IF(MarBoo2LevelDesired&lt;$B176,"-",$E176))</f>
        <v>-</v>
      </c>
      <c r="BZ176" s="15" t="str">
        <f t="shared" si="11762"/>
        <v>-</v>
      </c>
      <c r="CA176" s="1" t="str" cm="1">
        <f t="array" ref="CA176">IF(InfGog3LevelCurrent&gt;=$B176,"-",IF(InfGog3LevelDesired&lt;$B176,"-",$D176))</f>
        <v>-</v>
      </c>
      <c r="CB176" s="21" t="str" cm="1">
        <f t="array" ref="CB176">IF(InfGog3LevelCurrent&gt;=$B176,"-",IF(InfGog3LevelDesired&lt;$B176,"-",$E176))</f>
        <v>-</v>
      </c>
      <c r="CC176" s="15" t="str">
        <f t="shared" si="11763"/>
        <v>-</v>
      </c>
      <c r="CD176" s="1" t="str">
        <f t="shared" si="11764"/>
        <v>-</v>
      </c>
      <c r="CE176" s="21" t="str">
        <f t="shared" si="11765"/>
        <v>-</v>
      </c>
      <c r="CF176" s="15" t="str">
        <f t="shared" si="11766"/>
        <v>-</v>
      </c>
      <c r="CG176" s="1" t="str">
        <f t="shared" si="11767"/>
        <v>-</v>
      </c>
      <c r="CH176" s="21" t="str">
        <f t="shared" si="11768"/>
        <v>-</v>
      </c>
      <c r="CI176" s="15" t="str">
        <f t="shared" si="11769"/>
        <v>-</v>
      </c>
      <c r="CJ176" s="1" t="str">
        <f t="shared" si="11770"/>
        <v>-</v>
      </c>
      <c r="CK176" s="21" t="str">
        <f t="shared" si="11771"/>
        <v>-</v>
      </c>
      <c r="CL176" s="15" t="str">
        <f t="shared" si="11772"/>
        <v>-</v>
      </c>
      <c r="CM176" s="1" t="str">
        <f t="shared" si="11773"/>
        <v>-</v>
      </c>
      <c r="CN176" s="21" t="str">
        <f t="shared" si="11774"/>
        <v>-</v>
      </c>
      <c r="CO176" s="15" t="str">
        <f t="shared" si="11775"/>
        <v>-</v>
      </c>
      <c r="CP176" s="1" t="str">
        <f t="shared" si="11776"/>
        <v>-</v>
      </c>
      <c r="CQ176" s="21" t="str">
        <f t="shared" si="11777"/>
        <v>-</v>
      </c>
      <c r="CR176" s="15" t="str">
        <f t="shared" si="11778"/>
        <v>-</v>
      </c>
      <c r="CS176" s="1" t="str">
        <f t="shared" si="11779"/>
        <v>-</v>
      </c>
      <c r="CT176" s="21" t="str">
        <f t="shared" si="11780"/>
        <v>-</v>
      </c>
      <c r="CU176" s="15" t="str">
        <f t="shared" si="11781"/>
        <v>-</v>
      </c>
      <c r="CV176" s="1" t="str">
        <f t="shared" si="11782"/>
        <v>-</v>
      </c>
      <c r="CW176" s="21" t="str">
        <f t="shared" si="11783"/>
        <v>-</v>
      </c>
      <c r="CX176" s="15" t="str">
        <f t="shared" si="11784"/>
        <v>-</v>
      </c>
      <c r="CY176" s="1" t="str">
        <f t="shared" si="11785"/>
        <v>-</v>
      </c>
      <c r="CZ176" s="21" t="str">
        <f t="shared" si="11786"/>
        <v>-</v>
      </c>
      <c r="DA176" s="15" t="str">
        <f t="shared" si="11787"/>
        <v>-</v>
      </c>
      <c r="DB176" s="1" t="str">
        <f t="shared" si="11788"/>
        <v>-</v>
      </c>
      <c r="DC176" s="21" t="str">
        <f t="shared" si="11789"/>
        <v>-</v>
      </c>
      <c r="DD176" s="15" t="str">
        <f t="shared" si="11790"/>
        <v>-</v>
      </c>
      <c r="DE176" s="1" t="str">
        <f t="shared" si="11791"/>
        <v>-</v>
      </c>
      <c r="DF176" s="21" t="str">
        <f t="shared" si="11792"/>
        <v>-</v>
      </c>
      <c r="DG176" s="15" t="str">
        <f t="shared" si="11793"/>
        <v>-</v>
      </c>
      <c r="DH176" s="1" t="str">
        <f t="shared" si="11794"/>
        <v>-</v>
      </c>
      <c r="DI176" s="21" t="str">
        <f t="shared" si="11795"/>
        <v>-</v>
      </c>
    </row>
    <row r="177" spans="2:113" x14ac:dyDescent="0.3">
      <c r="B177" s="1">
        <v>172</v>
      </c>
      <c r="C177" s="67">
        <v>6600</v>
      </c>
      <c r="D177" s="88" t="s">
        <v>27</v>
      </c>
      <c r="E177" s="68" t="s">
        <v>27</v>
      </c>
      <c r="F177" s="15" t="str">
        <f t="shared" ref="F177" si="12516">IF(InfGog1LevelCurrent&gt;=$B177,"-",IF(InfGog1LevelDesired&lt;$B177,"-",$C177))</f>
        <v>-</v>
      </c>
      <c r="G177" s="1" t="str">
        <f t="shared" ref="G177" si="12517">IF(InfGog1LevelCurrent&gt;=$B177,"-",IF(InfGog1LevelDesired&lt;$B177,"-",$D177))</f>
        <v>-</v>
      </c>
      <c r="H177" s="21" t="str">
        <f t="shared" ref="H177" si="12518">IF(InfGog1LevelCurrent&gt;=$B177,"-",IF(InfGog1LevelDesired&lt;$B177,"-",$E177))</f>
        <v>-</v>
      </c>
      <c r="I177" s="15" t="str">
        <f t="shared" ref="I177" si="12519">IF(InfGlo1LevelCurrent&gt;=$B177,"-",IF(InfGlo1LevelDesired&lt;$B177,"-",$C177))</f>
        <v>-</v>
      </c>
      <c r="J177" s="1" t="str">
        <f t="shared" ref="J177" si="12520">IF(InfGlo1LevelCurrent&gt;=$B177,"-",IF(InfGlo1LevelDesired&lt;$B177,"-",$D177))</f>
        <v>-</v>
      </c>
      <c r="K177" s="21" t="str">
        <f t="shared" ref="K177" si="12521">IF(InfGlo1LevelCurrent&gt;=$B177,"-",IF(InfGlo1LevelDesired&lt;$B177,"-",$E177))</f>
        <v>-</v>
      </c>
      <c r="L177" s="15" t="str">
        <f t="shared" ref="L177" si="12522">IF(InfBel1LevelCurrent&gt;=$B177,"-",IF(InfBel1LevelDesired&lt;$B177,"-",$C177))</f>
        <v>-</v>
      </c>
      <c r="M177" s="1" t="str">
        <f t="shared" ref="M177" si="12523">IF(InfBel1LevelCurrent&gt;=$B177,"-",IF(InfBel1LevelDesired&lt;$B177,"-",$D177))</f>
        <v>-</v>
      </c>
      <c r="N177" s="21" t="str">
        <f t="shared" ref="N177" si="12524">IF(InfBel1LevelCurrent&gt;=$B177,"-",IF(InfBel1LevelDesired&lt;$B177,"-",$E177))</f>
        <v>-</v>
      </c>
      <c r="O177" s="15" t="str">
        <f t="shared" ref="O177" si="12525">IF(InfBoo1LevelCurrent&gt;=$B177,"-",IF(InfBoo1LevelDesired&lt;$B177,"-",$C177))</f>
        <v>-</v>
      </c>
      <c r="P177" s="1" t="str">
        <f t="shared" ref="P177" si="12526">IF(InfBoo1LevelCurrent&gt;=$B177,"-",IF(InfBoo1LevelDesired&lt;$B177,"-",$D177))</f>
        <v>-</v>
      </c>
      <c r="Q177" s="21" t="str">
        <f t="shared" ref="Q177" si="12527">IF(InfBoo1LevelCurrent&gt;=$B177,"-",IF(InfBoo1LevelDesired&lt;$B177,"-",$E177))</f>
        <v>-</v>
      </c>
      <c r="R177" s="15" t="str">
        <f t="shared" ref="R177" si="12528">IF(LanGog1LevelCurrent&gt;=$B177,"-",IF(LanGog1LevelDesired&lt;$B177,"-",$C177))</f>
        <v>-</v>
      </c>
      <c r="S177" s="1" t="str">
        <f t="shared" ref="S177" si="12529">IF(LanGog1LevelCurrent&gt;=$B177,"-",IF(LanGog1LevelDesired&lt;$B177,"-",$D177))</f>
        <v>-</v>
      </c>
      <c r="T177" s="21" t="str">
        <f t="shared" ref="T177" si="12530">IF(LanGog1LevelCurrent&gt;=$B177,"-",IF(LanGog1LevelDesired&lt;$B177,"-",$E177))</f>
        <v>-</v>
      </c>
      <c r="U177" s="15" t="str">
        <f t="shared" ref="U177" si="12531">IF(LanGlo1LevelCurrent&gt;=$B177,"-",IF(LanGlo1LevelDesired&lt;$B177,"-",$C177))</f>
        <v>-</v>
      </c>
      <c r="V177" s="1" t="str">
        <f t="shared" ref="V177" si="12532">IF(LanGlo1LevelCurrent&gt;=$B177,"-",IF(LanGlo1LevelDesired&lt;$B177,"-",$D177))</f>
        <v>-</v>
      </c>
      <c r="W177" s="21" t="str">
        <f t="shared" ref="W177" si="12533">IF(LanGlo1LevelCurrent&gt;=$B177,"-",IF(LanGlo1LevelDesired&lt;$B177,"-",$E177))</f>
        <v>-</v>
      </c>
      <c r="X177" s="15" t="str">
        <f t="shared" ref="X177" si="12534">IF(LanBel1LevelCurrent&gt;=$B177,"-",IF(LanBel1LevelDesired&lt;$B177,"-",$C177))</f>
        <v>-</v>
      </c>
      <c r="Y177" s="1" t="str">
        <f t="shared" ref="Y177" si="12535">IF(LanBel1LevelCurrent&gt;=$B177,"-",IF(LanBel1LevelDesired&lt;$B177,"-",$D177))</f>
        <v>-</v>
      </c>
      <c r="Z177" s="21" t="str">
        <f t="shared" ref="Z177" si="12536">IF(LanBel1LevelCurrent&gt;=$B177,"-",IF(LanBel1LevelDesired&lt;$B177,"-",$E177))</f>
        <v>-</v>
      </c>
      <c r="AA177" s="15" t="str">
        <f t="shared" ref="AA177" si="12537">IF(LanBoo1LevelCurrent&gt;=$B177,"-",IF(LanBoo1LevelDesired&lt;$B177,"-",$C177))</f>
        <v>-</v>
      </c>
      <c r="AB177" s="1" t="str">
        <f t="shared" ref="AB177" si="12538">IF(LanBoo1LevelCurrent&gt;=$B177,"-",IF(LanBoo1LevelDesired&lt;$B177,"-",$D177))</f>
        <v>-</v>
      </c>
      <c r="AC177" s="21" t="str">
        <f t="shared" ref="AC177" si="12539">IF(LanBoo1LevelCurrent&gt;=$B177,"-",IF(LanBoo1LevelDesired&lt;$B177,"-",$E177))</f>
        <v>-</v>
      </c>
      <c r="AD177" s="15" t="str">
        <f t="shared" ref="AD177" si="12540">IF(MarGog1LevelCurrent&gt;=$B177,"-",IF(MarGog1LevelDesired&lt;$B177,"-",$C177))</f>
        <v>-</v>
      </c>
      <c r="AE177" s="1" t="str">
        <f t="shared" ref="AE177" si="12541">IF(MarGog1LevelCurrent&gt;=$B177,"-",IF(MarGog1LevelDesired&lt;$B177,"-",$D177))</f>
        <v>-</v>
      </c>
      <c r="AF177" s="21" t="str">
        <f t="shared" ref="AF177" si="12542">IF(MarGog1LevelCurrent&gt;=$B177,"-",IF(MarGog1LevelDesired&lt;$B177,"-",$E177))</f>
        <v>-</v>
      </c>
      <c r="AG177" s="15" t="str">
        <f t="shared" ref="AG177" si="12543">IF(MarGlo1LevelCurrent&gt;=$B177,"-",IF(MarGlo1LevelDesired&lt;$B177,"-",$C177))</f>
        <v>-</v>
      </c>
      <c r="AH177" s="1" t="str">
        <f t="shared" ref="AH177" si="12544">IF(MarGlo1LevelCurrent&gt;=$B177,"-",IF(MarGlo1LevelDesired&lt;$B177,"-",$D177))</f>
        <v>-</v>
      </c>
      <c r="AI177" s="21" t="str">
        <f t="shared" ref="AI177" si="12545">IF(MarGlo1LevelCurrent&gt;=$B177,"-",IF(MarGlo1LevelDesired&lt;$B177,"-",$E177))</f>
        <v>-</v>
      </c>
      <c r="AJ177" s="15" t="str">
        <f t="shared" ref="AJ177" si="12546">IF(MarBel1LevelCurrent&gt;=$B177,"-",IF(MarBel1LevelDesired&lt;$B177,"-",$C177))</f>
        <v>-</v>
      </c>
      <c r="AK177" s="1" t="str">
        <f t="shared" ref="AK177" si="12547">IF(MarBel1LevelCurrent&gt;=$B177,"-",IF(MarBel1LevelDesired&lt;$B177,"-",$D177))</f>
        <v>-</v>
      </c>
      <c r="AL177" s="21" t="str">
        <f t="shared" ref="AL177" si="12548">IF(MarBel1LevelCurrent&gt;=$B177,"-",IF(MarBel1LevelDesired&lt;$B177,"-",$E177))</f>
        <v>-</v>
      </c>
      <c r="AM177" s="15" t="str">
        <f t="shared" ref="AM177" si="12549">IF(MarBoo1LevelCurrent&gt;=$B177,"-",IF(MarBoo1LevelDesired&lt;$B177,"-",$C177))</f>
        <v>-</v>
      </c>
      <c r="AN177" s="1" t="str">
        <f t="shared" ref="AN177" si="12550">IF(MarBoo1LevelCurrent&gt;=$B177,"-",IF(MarBoo1LevelDesired&lt;$B177,"-",$D177))</f>
        <v>-</v>
      </c>
      <c r="AO177" s="21" t="str">
        <f t="shared" ref="AO177" si="12551">IF(MarBoo1LevelCurrent&gt;=$B177,"-",IF(MarBoo1LevelDesired&lt;$B177,"-",$E177))</f>
        <v>-</v>
      </c>
      <c r="AP177" s="15" t="str">
        <f t="shared" ref="AP177" si="12552">IF(InfGog2LevelCurrent&gt;=$B177,"-",IF(InfGog2LevelDesired&lt;$B177,"-",$C177))</f>
        <v>-</v>
      </c>
      <c r="AQ177" s="1" t="str">
        <f t="shared" ref="AQ177" si="12553">IF(InfGog2LevelCurrent&gt;=$B177,"-",IF(InfGog2LevelDesired&lt;$B177,"-",$D177))</f>
        <v>-</v>
      </c>
      <c r="AR177" s="21" t="str">
        <f t="shared" ref="AR177" si="12554">IF(InfGog2LevelCurrent&gt;=$B177,"-",IF(InfGog2LevelDesired&lt;$B177,"-",$E177))</f>
        <v>-</v>
      </c>
      <c r="AS177" s="15" t="str">
        <f t="shared" ref="AS177" si="12555">IF(InfGlo2LevelCurrent&gt;=$B177,"-",IF(InfGlo2LevelDesired&lt;$B177,"-",$C177))</f>
        <v>-</v>
      </c>
      <c r="AT177" s="1" t="str">
        <f t="shared" ref="AT177" si="12556">IF(InfGlo2LevelCurrent&gt;=$B177,"-",IF(InfGlo2LevelDesired&lt;$B177,"-",$D177))</f>
        <v>-</v>
      </c>
      <c r="AU177" s="21" t="str">
        <f t="shared" ref="AU177" si="12557">IF(InfGlo2LevelCurrent&gt;=$B177,"-",IF(InfGlo2LevelDesired&lt;$B177,"-",$E177))</f>
        <v>-</v>
      </c>
      <c r="AV177" s="15" t="str">
        <f t="shared" ref="AV177" si="12558">IF(InfBel2LevelCurrent&gt;=$B177,"-",IF(InfBel2LevelDesired&lt;$B177,"-",$C177))</f>
        <v>-</v>
      </c>
      <c r="AW177" s="1" t="str">
        <f t="shared" ref="AW177" si="12559">IF(InfBel2LevelCurrent&gt;=$B177,"-",IF(InfBel2LevelDesired&lt;$B177,"-",$D177))</f>
        <v>-</v>
      </c>
      <c r="AX177" s="21" t="str">
        <f t="shared" ref="AX177" si="12560">IF(InfBel2LevelCurrent&gt;=$B177,"-",IF(InfBel2LevelDesired&lt;$B177,"-",$E177))</f>
        <v>-</v>
      </c>
      <c r="AY177" s="15" t="str">
        <f t="shared" ref="AY177" si="12561">IF(InfBoo2LevelCurrent&gt;=$B177,"-",IF(InfBoo2LevelDesired&lt;$B177,"-",$C177))</f>
        <v>-</v>
      </c>
      <c r="AZ177" s="1" t="str">
        <f t="shared" ref="AZ177" si="12562">IF(InfBoo2LevelCurrent&gt;=$B177,"-",IF(InfBoo2LevelDesired&lt;$B177,"-",$D177))</f>
        <v>-</v>
      </c>
      <c r="BA177" s="21" t="str">
        <f t="shared" ref="BA177" si="12563">IF(InfBoo2LevelCurrent&gt;=$B177,"-",IF(InfBoo2LevelDesired&lt;$B177,"-",$E177))</f>
        <v>-</v>
      </c>
      <c r="BB177" s="15" t="str">
        <f t="shared" ref="BB177" si="12564">IF(LanGog2LevelCurrent&gt;=$B177,"-",IF(LanGog2LevelDesired&lt;$B177,"-",$C177))</f>
        <v>-</v>
      </c>
      <c r="BC177" s="1" t="str">
        <f t="shared" ref="BC177" si="12565">IF(LanGog2LevelCurrent&gt;=$B177,"-",IF(LanGog2LevelDesired&lt;$B177,"-",$D177))</f>
        <v>-</v>
      </c>
      <c r="BD177" s="21" t="str">
        <f t="shared" ref="BD177" si="12566">IF(LanGog2LevelCurrent&gt;=$B177,"-",IF(LanGog2LevelDesired&lt;$B177,"-",$E177))</f>
        <v>-</v>
      </c>
      <c r="BE177" s="15" t="str">
        <f t="shared" ref="BE177" si="12567">IF(LanGlo2LevelCurrent&gt;=$B177,"-",IF(LanGlo2LevelDesired&lt;$B177,"-",$C177))</f>
        <v>-</v>
      </c>
      <c r="BF177" s="1" t="str">
        <f t="shared" ref="BF177" si="12568">IF(LanGlo2LevelCurrent&gt;=$B177,"-",IF(LanGlo2LevelDesired&lt;$B177,"-",$D177))</f>
        <v>-</v>
      </c>
      <c r="BG177" s="21" t="str">
        <f t="shared" ref="BG177" si="12569">IF(LanGlo2LevelCurrent&gt;=$B177,"-",IF(LanGlo2LevelDesired&lt;$B177,"-",$E177))</f>
        <v>-</v>
      </c>
      <c r="BH177" s="15" t="str">
        <f t="shared" ref="BH177" si="12570">IF(LanBel2LevelCurrent&gt;=$B177,"-",IF(LanBel2LevelDesired&lt;$B177,"-",$C177))</f>
        <v>-</v>
      </c>
      <c r="BI177" s="1" t="str">
        <f t="shared" ref="BI177" si="12571">IF(LanBel2LevelCurrent&gt;=$B177,"-",IF(LanBel2LevelDesired&lt;$B177,"-",$D177))</f>
        <v>-</v>
      </c>
      <c r="BJ177" s="21" t="str">
        <f t="shared" ref="BJ177" si="12572">IF(LanBel2LevelCurrent&gt;=$B177,"-",IF(LanBel2LevelDesired&lt;$B177,"-",$E177))</f>
        <v>-</v>
      </c>
      <c r="BK177" s="15" t="str">
        <f t="shared" ref="BK177" si="12573">IF(LanBoo2LevelCurrent&gt;=$B177,"-",IF(LanBoo2LevelDesired&lt;$B177,"-",$C177))</f>
        <v>-</v>
      </c>
      <c r="BL177" s="1" t="str">
        <f t="shared" ref="BL177" si="12574">IF(LanBoo2LevelCurrent&gt;=$B177,"-",IF(LanBoo2LevelDesired&lt;$B177,"-",$D177))</f>
        <v>-</v>
      </c>
      <c r="BM177" s="21" t="str">
        <f t="shared" ref="BM177" si="12575">IF(LanBoo2LevelCurrent&gt;=$B177,"-",IF(LanBoo2LevelDesired&lt;$B177,"-",$E177))</f>
        <v>-</v>
      </c>
      <c r="BN177" s="15" t="str">
        <f t="shared" ref="BN177" si="12576">IF(MarGog2LevelCurrent&gt;=$B177,"-",IF(MarGog2LevelDesired&lt;$B177,"-",$C177))</f>
        <v>-</v>
      </c>
      <c r="BO177" s="1" t="str">
        <f t="shared" ref="BO177" si="12577">IF(MarGog2LevelCurrent&gt;=$B177,"-",IF(MarGog2LevelDesired&lt;$B177,"-",$D177))</f>
        <v>-</v>
      </c>
      <c r="BP177" s="21" t="str">
        <f t="shared" ref="BP177" si="12578">IF(MarGog2LevelCurrent&gt;=$B177,"-",IF(MarGog2LevelDesired&lt;$B177,"-",$E177))</f>
        <v>-</v>
      </c>
      <c r="BQ177" s="15" t="str">
        <f t="shared" ref="BQ177" si="12579">IF(MarGlo2LevelCurrent&gt;=$B177,"-",IF(MarGlo2LevelDesired&lt;$B177,"-",$C177))</f>
        <v>-</v>
      </c>
      <c r="BR177" s="1" t="str">
        <f t="shared" ref="BR177" si="12580">IF(MarGlo2LevelCurrent&gt;=$B177,"-",IF(MarGlo2LevelDesired&lt;$B177,"-",$D177))</f>
        <v>-</v>
      </c>
      <c r="BS177" s="21" t="str">
        <f t="shared" ref="BS177" si="12581">IF(MarGlo2LevelCurrent&gt;=$B177,"-",IF(MarGlo2LevelDesired&lt;$B177,"-",$E177))</f>
        <v>-</v>
      </c>
      <c r="BT177" s="15" t="str">
        <f t="shared" ref="BT177" si="12582">IF(MarBel2LevelCurrent&gt;=$B177,"-",IF(MarBel2LevelDesired&lt;$B177,"-",$C177))</f>
        <v>-</v>
      </c>
      <c r="BU177" s="1" t="str">
        <f t="shared" ref="BU177" si="12583">IF(MarBel2LevelCurrent&gt;=$B177,"-",IF(MarBel2LevelDesired&lt;$B177,"-",$D177))</f>
        <v>-</v>
      </c>
      <c r="BV177" s="21" t="str">
        <f t="shared" ref="BV177" si="12584">IF(MarBel2LevelCurrent&gt;=$B177,"-",IF(MarBel2LevelDesired&lt;$B177,"-",$E177))</f>
        <v>-</v>
      </c>
      <c r="BW177" s="15" t="str">
        <f t="shared" ref="BW177" si="12585">IF(MarBoo2LevelCurrent&gt;=$B177,"-",IF(MarBoo2LevelDesired&lt;$B177,"-",$C177))</f>
        <v>-</v>
      </c>
      <c r="BX177" s="1" t="str">
        <f t="shared" ref="BX177" si="12586">IF(MarBoo2LevelCurrent&gt;=$B177,"-",IF(MarBoo2LevelDesired&lt;$B177,"-",$D177))</f>
        <v>-</v>
      </c>
      <c r="BY177" s="21" t="str">
        <f t="shared" ref="BY177" si="12587">IF(MarBoo2LevelCurrent&gt;=$B177,"-",IF(MarBoo2LevelDesired&lt;$B177,"-",$E177))</f>
        <v>-</v>
      </c>
      <c r="BZ177" s="15" t="str">
        <f t="shared" si="11762"/>
        <v>-</v>
      </c>
      <c r="CA177" s="1" t="str" cm="1">
        <f t="array" ref="CA177">IF(InfGog3LevelCurrent&gt;=$B177,"-",IF(InfGog3LevelDesired&lt;$B177,"-",$D177))</f>
        <v>-</v>
      </c>
      <c r="CB177" s="21" t="str" cm="1">
        <f t="array" ref="CB177">IF(InfGog3LevelCurrent&gt;=$B177,"-",IF(InfGog3LevelDesired&lt;$B177,"-",$E177))</f>
        <v>-</v>
      </c>
      <c r="CC177" s="15" t="str">
        <f t="shared" si="11763"/>
        <v>-</v>
      </c>
      <c r="CD177" s="1" t="str">
        <f t="shared" si="11764"/>
        <v>-</v>
      </c>
      <c r="CE177" s="21" t="str">
        <f t="shared" si="11765"/>
        <v>-</v>
      </c>
      <c r="CF177" s="15" t="str">
        <f t="shared" si="11766"/>
        <v>-</v>
      </c>
      <c r="CG177" s="1" t="str">
        <f t="shared" si="11767"/>
        <v>-</v>
      </c>
      <c r="CH177" s="21" t="str">
        <f t="shared" si="11768"/>
        <v>-</v>
      </c>
      <c r="CI177" s="15" t="str">
        <f t="shared" si="11769"/>
        <v>-</v>
      </c>
      <c r="CJ177" s="1" t="str">
        <f t="shared" si="11770"/>
        <v>-</v>
      </c>
      <c r="CK177" s="21" t="str">
        <f t="shared" si="11771"/>
        <v>-</v>
      </c>
      <c r="CL177" s="15" t="str">
        <f t="shared" si="11772"/>
        <v>-</v>
      </c>
      <c r="CM177" s="1" t="str">
        <f t="shared" si="11773"/>
        <v>-</v>
      </c>
      <c r="CN177" s="21" t="str">
        <f t="shared" si="11774"/>
        <v>-</v>
      </c>
      <c r="CO177" s="15" t="str">
        <f t="shared" si="11775"/>
        <v>-</v>
      </c>
      <c r="CP177" s="1" t="str">
        <f t="shared" si="11776"/>
        <v>-</v>
      </c>
      <c r="CQ177" s="21" t="str">
        <f t="shared" si="11777"/>
        <v>-</v>
      </c>
      <c r="CR177" s="15" t="str">
        <f t="shared" si="11778"/>
        <v>-</v>
      </c>
      <c r="CS177" s="1" t="str">
        <f t="shared" si="11779"/>
        <v>-</v>
      </c>
      <c r="CT177" s="21" t="str">
        <f t="shared" si="11780"/>
        <v>-</v>
      </c>
      <c r="CU177" s="15" t="str">
        <f t="shared" si="11781"/>
        <v>-</v>
      </c>
      <c r="CV177" s="1" t="str">
        <f t="shared" si="11782"/>
        <v>-</v>
      </c>
      <c r="CW177" s="21" t="str">
        <f t="shared" si="11783"/>
        <v>-</v>
      </c>
      <c r="CX177" s="15" t="str">
        <f t="shared" si="11784"/>
        <v>-</v>
      </c>
      <c r="CY177" s="1" t="str">
        <f t="shared" si="11785"/>
        <v>-</v>
      </c>
      <c r="CZ177" s="21" t="str">
        <f t="shared" si="11786"/>
        <v>-</v>
      </c>
      <c r="DA177" s="15" t="str">
        <f t="shared" si="11787"/>
        <v>-</v>
      </c>
      <c r="DB177" s="1" t="str">
        <f t="shared" si="11788"/>
        <v>-</v>
      </c>
      <c r="DC177" s="21" t="str">
        <f t="shared" si="11789"/>
        <v>-</v>
      </c>
      <c r="DD177" s="15" t="str">
        <f t="shared" si="11790"/>
        <v>-</v>
      </c>
      <c r="DE177" s="1" t="str">
        <f t="shared" si="11791"/>
        <v>-</v>
      </c>
      <c r="DF177" s="21" t="str">
        <f t="shared" si="11792"/>
        <v>-</v>
      </c>
      <c r="DG177" s="15" t="str">
        <f t="shared" si="11793"/>
        <v>-</v>
      </c>
      <c r="DH177" s="1" t="str">
        <f t="shared" si="11794"/>
        <v>-</v>
      </c>
      <c r="DI177" s="21" t="str">
        <f t="shared" si="11795"/>
        <v>-</v>
      </c>
    </row>
    <row r="178" spans="2:113" x14ac:dyDescent="0.3">
      <c r="B178" s="1">
        <v>173</v>
      </c>
      <c r="C178" s="67">
        <v>6700</v>
      </c>
      <c r="D178" s="88" t="s">
        <v>27</v>
      </c>
      <c r="E178" s="68" t="s">
        <v>27</v>
      </c>
      <c r="F178" s="15" t="str">
        <f t="shared" ref="F178" si="12588">IF(InfGog1LevelCurrent&gt;=$B178,"-",IF(InfGog1LevelDesired&lt;$B178,"-",$C178))</f>
        <v>-</v>
      </c>
      <c r="G178" s="1" t="str">
        <f t="shared" ref="G178" si="12589">IF(InfGog1LevelCurrent&gt;=$B178,"-",IF(InfGog1LevelDesired&lt;$B178,"-",$D178))</f>
        <v>-</v>
      </c>
      <c r="H178" s="21" t="str">
        <f t="shared" ref="H178" si="12590">IF(InfGog1LevelCurrent&gt;=$B178,"-",IF(InfGog1LevelDesired&lt;$B178,"-",$E178))</f>
        <v>-</v>
      </c>
      <c r="I178" s="15" t="str">
        <f t="shared" ref="I178" si="12591">IF(InfGlo1LevelCurrent&gt;=$B178,"-",IF(InfGlo1LevelDesired&lt;$B178,"-",$C178))</f>
        <v>-</v>
      </c>
      <c r="J178" s="1" t="str">
        <f t="shared" ref="J178" si="12592">IF(InfGlo1LevelCurrent&gt;=$B178,"-",IF(InfGlo1LevelDesired&lt;$B178,"-",$D178))</f>
        <v>-</v>
      </c>
      <c r="K178" s="21" t="str">
        <f t="shared" ref="K178" si="12593">IF(InfGlo1LevelCurrent&gt;=$B178,"-",IF(InfGlo1LevelDesired&lt;$B178,"-",$E178))</f>
        <v>-</v>
      </c>
      <c r="L178" s="15" t="str">
        <f t="shared" ref="L178" si="12594">IF(InfBel1LevelCurrent&gt;=$B178,"-",IF(InfBel1LevelDesired&lt;$B178,"-",$C178))</f>
        <v>-</v>
      </c>
      <c r="M178" s="1" t="str">
        <f t="shared" ref="M178" si="12595">IF(InfBel1LevelCurrent&gt;=$B178,"-",IF(InfBel1LevelDesired&lt;$B178,"-",$D178))</f>
        <v>-</v>
      </c>
      <c r="N178" s="21" t="str">
        <f t="shared" ref="N178" si="12596">IF(InfBel1LevelCurrent&gt;=$B178,"-",IF(InfBel1LevelDesired&lt;$B178,"-",$E178))</f>
        <v>-</v>
      </c>
      <c r="O178" s="15" t="str">
        <f t="shared" ref="O178" si="12597">IF(InfBoo1LevelCurrent&gt;=$B178,"-",IF(InfBoo1LevelDesired&lt;$B178,"-",$C178))</f>
        <v>-</v>
      </c>
      <c r="P178" s="1" t="str">
        <f t="shared" ref="P178" si="12598">IF(InfBoo1LevelCurrent&gt;=$B178,"-",IF(InfBoo1LevelDesired&lt;$B178,"-",$D178))</f>
        <v>-</v>
      </c>
      <c r="Q178" s="21" t="str">
        <f t="shared" ref="Q178" si="12599">IF(InfBoo1LevelCurrent&gt;=$B178,"-",IF(InfBoo1LevelDesired&lt;$B178,"-",$E178))</f>
        <v>-</v>
      </c>
      <c r="R178" s="15" t="str">
        <f t="shared" ref="R178" si="12600">IF(LanGog1LevelCurrent&gt;=$B178,"-",IF(LanGog1LevelDesired&lt;$B178,"-",$C178))</f>
        <v>-</v>
      </c>
      <c r="S178" s="1" t="str">
        <f t="shared" ref="S178" si="12601">IF(LanGog1LevelCurrent&gt;=$B178,"-",IF(LanGog1LevelDesired&lt;$B178,"-",$D178))</f>
        <v>-</v>
      </c>
      <c r="T178" s="21" t="str">
        <f t="shared" ref="T178" si="12602">IF(LanGog1LevelCurrent&gt;=$B178,"-",IF(LanGog1LevelDesired&lt;$B178,"-",$E178))</f>
        <v>-</v>
      </c>
      <c r="U178" s="15" t="str">
        <f t="shared" ref="U178" si="12603">IF(LanGlo1LevelCurrent&gt;=$B178,"-",IF(LanGlo1LevelDesired&lt;$B178,"-",$C178))</f>
        <v>-</v>
      </c>
      <c r="V178" s="1" t="str">
        <f t="shared" ref="V178" si="12604">IF(LanGlo1LevelCurrent&gt;=$B178,"-",IF(LanGlo1LevelDesired&lt;$B178,"-",$D178))</f>
        <v>-</v>
      </c>
      <c r="W178" s="21" t="str">
        <f t="shared" ref="W178" si="12605">IF(LanGlo1LevelCurrent&gt;=$B178,"-",IF(LanGlo1LevelDesired&lt;$B178,"-",$E178))</f>
        <v>-</v>
      </c>
      <c r="X178" s="15" t="str">
        <f t="shared" ref="X178" si="12606">IF(LanBel1LevelCurrent&gt;=$B178,"-",IF(LanBel1LevelDesired&lt;$B178,"-",$C178))</f>
        <v>-</v>
      </c>
      <c r="Y178" s="1" t="str">
        <f t="shared" ref="Y178" si="12607">IF(LanBel1LevelCurrent&gt;=$B178,"-",IF(LanBel1LevelDesired&lt;$B178,"-",$D178))</f>
        <v>-</v>
      </c>
      <c r="Z178" s="21" t="str">
        <f t="shared" ref="Z178" si="12608">IF(LanBel1LevelCurrent&gt;=$B178,"-",IF(LanBel1LevelDesired&lt;$B178,"-",$E178))</f>
        <v>-</v>
      </c>
      <c r="AA178" s="15" t="str">
        <f t="shared" ref="AA178" si="12609">IF(LanBoo1LevelCurrent&gt;=$B178,"-",IF(LanBoo1LevelDesired&lt;$B178,"-",$C178))</f>
        <v>-</v>
      </c>
      <c r="AB178" s="1" t="str">
        <f t="shared" ref="AB178" si="12610">IF(LanBoo1LevelCurrent&gt;=$B178,"-",IF(LanBoo1LevelDesired&lt;$B178,"-",$D178))</f>
        <v>-</v>
      </c>
      <c r="AC178" s="21" t="str">
        <f t="shared" ref="AC178" si="12611">IF(LanBoo1LevelCurrent&gt;=$B178,"-",IF(LanBoo1LevelDesired&lt;$B178,"-",$E178))</f>
        <v>-</v>
      </c>
      <c r="AD178" s="15" t="str">
        <f t="shared" ref="AD178" si="12612">IF(MarGog1LevelCurrent&gt;=$B178,"-",IF(MarGog1LevelDesired&lt;$B178,"-",$C178))</f>
        <v>-</v>
      </c>
      <c r="AE178" s="1" t="str">
        <f t="shared" ref="AE178" si="12613">IF(MarGog1LevelCurrent&gt;=$B178,"-",IF(MarGog1LevelDesired&lt;$B178,"-",$D178))</f>
        <v>-</v>
      </c>
      <c r="AF178" s="21" t="str">
        <f t="shared" ref="AF178" si="12614">IF(MarGog1LevelCurrent&gt;=$B178,"-",IF(MarGog1LevelDesired&lt;$B178,"-",$E178))</f>
        <v>-</v>
      </c>
      <c r="AG178" s="15" t="str">
        <f t="shared" ref="AG178" si="12615">IF(MarGlo1LevelCurrent&gt;=$B178,"-",IF(MarGlo1LevelDesired&lt;$B178,"-",$C178))</f>
        <v>-</v>
      </c>
      <c r="AH178" s="1" t="str">
        <f t="shared" ref="AH178" si="12616">IF(MarGlo1LevelCurrent&gt;=$B178,"-",IF(MarGlo1LevelDesired&lt;$B178,"-",$D178))</f>
        <v>-</v>
      </c>
      <c r="AI178" s="21" t="str">
        <f t="shared" ref="AI178" si="12617">IF(MarGlo1LevelCurrent&gt;=$B178,"-",IF(MarGlo1LevelDesired&lt;$B178,"-",$E178))</f>
        <v>-</v>
      </c>
      <c r="AJ178" s="15" t="str">
        <f t="shared" ref="AJ178" si="12618">IF(MarBel1LevelCurrent&gt;=$B178,"-",IF(MarBel1LevelDesired&lt;$B178,"-",$C178))</f>
        <v>-</v>
      </c>
      <c r="AK178" s="1" t="str">
        <f t="shared" ref="AK178" si="12619">IF(MarBel1LevelCurrent&gt;=$B178,"-",IF(MarBel1LevelDesired&lt;$B178,"-",$D178))</f>
        <v>-</v>
      </c>
      <c r="AL178" s="21" t="str">
        <f t="shared" ref="AL178" si="12620">IF(MarBel1LevelCurrent&gt;=$B178,"-",IF(MarBel1LevelDesired&lt;$B178,"-",$E178))</f>
        <v>-</v>
      </c>
      <c r="AM178" s="15" t="str">
        <f t="shared" ref="AM178" si="12621">IF(MarBoo1LevelCurrent&gt;=$B178,"-",IF(MarBoo1LevelDesired&lt;$B178,"-",$C178))</f>
        <v>-</v>
      </c>
      <c r="AN178" s="1" t="str">
        <f t="shared" ref="AN178" si="12622">IF(MarBoo1LevelCurrent&gt;=$B178,"-",IF(MarBoo1LevelDesired&lt;$B178,"-",$D178))</f>
        <v>-</v>
      </c>
      <c r="AO178" s="21" t="str">
        <f t="shared" ref="AO178" si="12623">IF(MarBoo1LevelCurrent&gt;=$B178,"-",IF(MarBoo1LevelDesired&lt;$B178,"-",$E178))</f>
        <v>-</v>
      </c>
      <c r="AP178" s="15" t="str">
        <f t="shared" ref="AP178" si="12624">IF(InfGog2LevelCurrent&gt;=$B178,"-",IF(InfGog2LevelDesired&lt;$B178,"-",$C178))</f>
        <v>-</v>
      </c>
      <c r="AQ178" s="1" t="str">
        <f t="shared" ref="AQ178" si="12625">IF(InfGog2LevelCurrent&gt;=$B178,"-",IF(InfGog2LevelDesired&lt;$B178,"-",$D178))</f>
        <v>-</v>
      </c>
      <c r="AR178" s="21" t="str">
        <f t="shared" ref="AR178" si="12626">IF(InfGog2LevelCurrent&gt;=$B178,"-",IF(InfGog2LevelDesired&lt;$B178,"-",$E178))</f>
        <v>-</v>
      </c>
      <c r="AS178" s="15" t="str">
        <f t="shared" ref="AS178" si="12627">IF(InfGlo2LevelCurrent&gt;=$B178,"-",IF(InfGlo2LevelDesired&lt;$B178,"-",$C178))</f>
        <v>-</v>
      </c>
      <c r="AT178" s="1" t="str">
        <f t="shared" ref="AT178" si="12628">IF(InfGlo2LevelCurrent&gt;=$B178,"-",IF(InfGlo2LevelDesired&lt;$B178,"-",$D178))</f>
        <v>-</v>
      </c>
      <c r="AU178" s="21" t="str">
        <f t="shared" ref="AU178" si="12629">IF(InfGlo2LevelCurrent&gt;=$B178,"-",IF(InfGlo2LevelDesired&lt;$B178,"-",$E178))</f>
        <v>-</v>
      </c>
      <c r="AV178" s="15" t="str">
        <f t="shared" ref="AV178" si="12630">IF(InfBel2LevelCurrent&gt;=$B178,"-",IF(InfBel2LevelDesired&lt;$B178,"-",$C178))</f>
        <v>-</v>
      </c>
      <c r="AW178" s="1" t="str">
        <f t="shared" ref="AW178" si="12631">IF(InfBel2LevelCurrent&gt;=$B178,"-",IF(InfBel2LevelDesired&lt;$B178,"-",$D178))</f>
        <v>-</v>
      </c>
      <c r="AX178" s="21" t="str">
        <f t="shared" ref="AX178" si="12632">IF(InfBel2LevelCurrent&gt;=$B178,"-",IF(InfBel2LevelDesired&lt;$B178,"-",$E178))</f>
        <v>-</v>
      </c>
      <c r="AY178" s="15" t="str">
        <f t="shared" ref="AY178" si="12633">IF(InfBoo2LevelCurrent&gt;=$B178,"-",IF(InfBoo2LevelDesired&lt;$B178,"-",$C178))</f>
        <v>-</v>
      </c>
      <c r="AZ178" s="1" t="str">
        <f t="shared" ref="AZ178" si="12634">IF(InfBoo2LevelCurrent&gt;=$B178,"-",IF(InfBoo2LevelDesired&lt;$B178,"-",$D178))</f>
        <v>-</v>
      </c>
      <c r="BA178" s="21" t="str">
        <f t="shared" ref="BA178" si="12635">IF(InfBoo2LevelCurrent&gt;=$B178,"-",IF(InfBoo2LevelDesired&lt;$B178,"-",$E178))</f>
        <v>-</v>
      </c>
      <c r="BB178" s="15" t="str">
        <f t="shared" ref="BB178" si="12636">IF(LanGog2LevelCurrent&gt;=$B178,"-",IF(LanGog2LevelDesired&lt;$B178,"-",$C178))</f>
        <v>-</v>
      </c>
      <c r="BC178" s="1" t="str">
        <f t="shared" ref="BC178" si="12637">IF(LanGog2LevelCurrent&gt;=$B178,"-",IF(LanGog2LevelDesired&lt;$B178,"-",$D178))</f>
        <v>-</v>
      </c>
      <c r="BD178" s="21" t="str">
        <f t="shared" ref="BD178" si="12638">IF(LanGog2LevelCurrent&gt;=$B178,"-",IF(LanGog2LevelDesired&lt;$B178,"-",$E178))</f>
        <v>-</v>
      </c>
      <c r="BE178" s="15" t="str">
        <f t="shared" ref="BE178" si="12639">IF(LanGlo2LevelCurrent&gt;=$B178,"-",IF(LanGlo2LevelDesired&lt;$B178,"-",$C178))</f>
        <v>-</v>
      </c>
      <c r="BF178" s="1" t="str">
        <f t="shared" ref="BF178" si="12640">IF(LanGlo2LevelCurrent&gt;=$B178,"-",IF(LanGlo2LevelDesired&lt;$B178,"-",$D178))</f>
        <v>-</v>
      </c>
      <c r="BG178" s="21" t="str">
        <f t="shared" ref="BG178" si="12641">IF(LanGlo2LevelCurrent&gt;=$B178,"-",IF(LanGlo2LevelDesired&lt;$B178,"-",$E178))</f>
        <v>-</v>
      </c>
      <c r="BH178" s="15" t="str">
        <f t="shared" ref="BH178" si="12642">IF(LanBel2LevelCurrent&gt;=$B178,"-",IF(LanBel2LevelDesired&lt;$B178,"-",$C178))</f>
        <v>-</v>
      </c>
      <c r="BI178" s="1" t="str">
        <f t="shared" ref="BI178" si="12643">IF(LanBel2LevelCurrent&gt;=$B178,"-",IF(LanBel2LevelDesired&lt;$B178,"-",$D178))</f>
        <v>-</v>
      </c>
      <c r="BJ178" s="21" t="str">
        <f t="shared" ref="BJ178" si="12644">IF(LanBel2LevelCurrent&gt;=$B178,"-",IF(LanBel2LevelDesired&lt;$B178,"-",$E178))</f>
        <v>-</v>
      </c>
      <c r="BK178" s="15" t="str">
        <f t="shared" ref="BK178" si="12645">IF(LanBoo2LevelCurrent&gt;=$B178,"-",IF(LanBoo2LevelDesired&lt;$B178,"-",$C178))</f>
        <v>-</v>
      </c>
      <c r="BL178" s="1" t="str">
        <f t="shared" ref="BL178" si="12646">IF(LanBoo2LevelCurrent&gt;=$B178,"-",IF(LanBoo2LevelDesired&lt;$B178,"-",$D178))</f>
        <v>-</v>
      </c>
      <c r="BM178" s="21" t="str">
        <f t="shared" ref="BM178" si="12647">IF(LanBoo2LevelCurrent&gt;=$B178,"-",IF(LanBoo2LevelDesired&lt;$B178,"-",$E178))</f>
        <v>-</v>
      </c>
      <c r="BN178" s="15" t="str">
        <f t="shared" ref="BN178" si="12648">IF(MarGog2LevelCurrent&gt;=$B178,"-",IF(MarGog2LevelDesired&lt;$B178,"-",$C178))</f>
        <v>-</v>
      </c>
      <c r="BO178" s="1" t="str">
        <f t="shared" ref="BO178" si="12649">IF(MarGog2LevelCurrent&gt;=$B178,"-",IF(MarGog2LevelDesired&lt;$B178,"-",$D178))</f>
        <v>-</v>
      </c>
      <c r="BP178" s="21" t="str">
        <f t="shared" ref="BP178" si="12650">IF(MarGog2LevelCurrent&gt;=$B178,"-",IF(MarGog2LevelDesired&lt;$B178,"-",$E178))</f>
        <v>-</v>
      </c>
      <c r="BQ178" s="15" t="str">
        <f t="shared" ref="BQ178" si="12651">IF(MarGlo2LevelCurrent&gt;=$B178,"-",IF(MarGlo2LevelDesired&lt;$B178,"-",$C178))</f>
        <v>-</v>
      </c>
      <c r="BR178" s="1" t="str">
        <f t="shared" ref="BR178" si="12652">IF(MarGlo2LevelCurrent&gt;=$B178,"-",IF(MarGlo2LevelDesired&lt;$B178,"-",$D178))</f>
        <v>-</v>
      </c>
      <c r="BS178" s="21" t="str">
        <f t="shared" ref="BS178" si="12653">IF(MarGlo2LevelCurrent&gt;=$B178,"-",IF(MarGlo2LevelDesired&lt;$B178,"-",$E178))</f>
        <v>-</v>
      </c>
      <c r="BT178" s="15" t="str">
        <f t="shared" ref="BT178" si="12654">IF(MarBel2LevelCurrent&gt;=$B178,"-",IF(MarBel2LevelDesired&lt;$B178,"-",$C178))</f>
        <v>-</v>
      </c>
      <c r="BU178" s="1" t="str">
        <f t="shared" ref="BU178" si="12655">IF(MarBel2LevelCurrent&gt;=$B178,"-",IF(MarBel2LevelDesired&lt;$B178,"-",$D178))</f>
        <v>-</v>
      </c>
      <c r="BV178" s="21" t="str">
        <f t="shared" ref="BV178" si="12656">IF(MarBel2LevelCurrent&gt;=$B178,"-",IF(MarBel2LevelDesired&lt;$B178,"-",$E178))</f>
        <v>-</v>
      </c>
      <c r="BW178" s="15" t="str">
        <f t="shared" ref="BW178" si="12657">IF(MarBoo2LevelCurrent&gt;=$B178,"-",IF(MarBoo2LevelDesired&lt;$B178,"-",$C178))</f>
        <v>-</v>
      </c>
      <c r="BX178" s="1" t="str">
        <f t="shared" ref="BX178" si="12658">IF(MarBoo2LevelCurrent&gt;=$B178,"-",IF(MarBoo2LevelDesired&lt;$B178,"-",$D178))</f>
        <v>-</v>
      </c>
      <c r="BY178" s="21" t="str">
        <f t="shared" ref="BY178" si="12659">IF(MarBoo2LevelCurrent&gt;=$B178,"-",IF(MarBoo2LevelDesired&lt;$B178,"-",$E178))</f>
        <v>-</v>
      </c>
      <c r="BZ178" s="15" t="str">
        <f t="shared" si="11762"/>
        <v>-</v>
      </c>
      <c r="CA178" s="1" t="str" cm="1">
        <f t="array" ref="CA178">IF(InfGog3LevelCurrent&gt;=$B178,"-",IF(InfGog3LevelDesired&lt;$B178,"-",$D178))</f>
        <v>-</v>
      </c>
      <c r="CB178" s="21" t="str" cm="1">
        <f t="array" ref="CB178">IF(InfGog3LevelCurrent&gt;=$B178,"-",IF(InfGog3LevelDesired&lt;$B178,"-",$E178))</f>
        <v>-</v>
      </c>
      <c r="CC178" s="15" t="str">
        <f t="shared" si="11763"/>
        <v>-</v>
      </c>
      <c r="CD178" s="1" t="str">
        <f t="shared" si="11764"/>
        <v>-</v>
      </c>
      <c r="CE178" s="21" t="str">
        <f t="shared" si="11765"/>
        <v>-</v>
      </c>
      <c r="CF178" s="15" t="str">
        <f t="shared" si="11766"/>
        <v>-</v>
      </c>
      <c r="CG178" s="1" t="str">
        <f t="shared" si="11767"/>
        <v>-</v>
      </c>
      <c r="CH178" s="21" t="str">
        <f t="shared" si="11768"/>
        <v>-</v>
      </c>
      <c r="CI178" s="15" t="str">
        <f t="shared" si="11769"/>
        <v>-</v>
      </c>
      <c r="CJ178" s="1" t="str">
        <f t="shared" si="11770"/>
        <v>-</v>
      </c>
      <c r="CK178" s="21" t="str">
        <f t="shared" si="11771"/>
        <v>-</v>
      </c>
      <c r="CL178" s="15" t="str">
        <f t="shared" si="11772"/>
        <v>-</v>
      </c>
      <c r="CM178" s="1" t="str">
        <f t="shared" si="11773"/>
        <v>-</v>
      </c>
      <c r="CN178" s="21" t="str">
        <f t="shared" si="11774"/>
        <v>-</v>
      </c>
      <c r="CO178" s="15" t="str">
        <f t="shared" si="11775"/>
        <v>-</v>
      </c>
      <c r="CP178" s="1" t="str">
        <f t="shared" si="11776"/>
        <v>-</v>
      </c>
      <c r="CQ178" s="21" t="str">
        <f t="shared" si="11777"/>
        <v>-</v>
      </c>
      <c r="CR178" s="15" t="str">
        <f t="shared" si="11778"/>
        <v>-</v>
      </c>
      <c r="CS178" s="1" t="str">
        <f t="shared" si="11779"/>
        <v>-</v>
      </c>
      <c r="CT178" s="21" t="str">
        <f t="shared" si="11780"/>
        <v>-</v>
      </c>
      <c r="CU178" s="15" t="str">
        <f t="shared" si="11781"/>
        <v>-</v>
      </c>
      <c r="CV178" s="1" t="str">
        <f t="shared" si="11782"/>
        <v>-</v>
      </c>
      <c r="CW178" s="21" t="str">
        <f t="shared" si="11783"/>
        <v>-</v>
      </c>
      <c r="CX178" s="15" t="str">
        <f t="shared" si="11784"/>
        <v>-</v>
      </c>
      <c r="CY178" s="1" t="str">
        <f t="shared" si="11785"/>
        <v>-</v>
      </c>
      <c r="CZ178" s="21" t="str">
        <f t="shared" si="11786"/>
        <v>-</v>
      </c>
      <c r="DA178" s="15" t="str">
        <f t="shared" si="11787"/>
        <v>-</v>
      </c>
      <c r="DB178" s="1" t="str">
        <f t="shared" si="11788"/>
        <v>-</v>
      </c>
      <c r="DC178" s="21" t="str">
        <f t="shared" si="11789"/>
        <v>-</v>
      </c>
      <c r="DD178" s="15" t="str">
        <f t="shared" si="11790"/>
        <v>-</v>
      </c>
      <c r="DE178" s="1" t="str">
        <f t="shared" si="11791"/>
        <v>-</v>
      </c>
      <c r="DF178" s="21" t="str">
        <f t="shared" si="11792"/>
        <v>-</v>
      </c>
      <c r="DG178" s="15" t="str">
        <f t="shared" si="11793"/>
        <v>-</v>
      </c>
      <c r="DH178" s="1" t="str">
        <f t="shared" si="11794"/>
        <v>-</v>
      </c>
      <c r="DI178" s="21" t="str">
        <f t="shared" si="11795"/>
        <v>-</v>
      </c>
    </row>
    <row r="179" spans="2:113" x14ac:dyDescent="0.3">
      <c r="B179" s="1">
        <v>174</v>
      </c>
      <c r="C179" s="67">
        <v>6800</v>
      </c>
      <c r="D179" s="88" t="s">
        <v>27</v>
      </c>
      <c r="E179" s="68" t="s">
        <v>27</v>
      </c>
      <c r="F179" s="15" t="str">
        <f t="shared" ref="F179" si="12660">IF(InfGog1LevelCurrent&gt;=$B179,"-",IF(InfGog1LevelDesired&lt;$B179,"-",$C179))</f>
        <v>-</v>
      </c>
      <c r="G179" s="1" t="str">
        <f t="shared" ref="G179" si="12661">IF(InfGog1LevelCurrent&gt;=$B179,"-",IF(InfGog1LevelDesired&lt;$B179,"-",$D179))</f>
        <v>-</v>
      </c>
      <c r="H179" s="21" t="str">
        <f t="shared" ref="H179" si="12662">IF(InfGog1LevelCurrent&gt;=$B179,"-",IF(InfGog1LevelDesired&lt;$B179,"-",$E179))</f>
        <v>-</v>
      </c>
      <c r="I179" s="15" t="str">
        <f t="shared" ref="I179" si="12663">IF(InfGlo1LevelCurrent&gt;=$B179,"-",IF(InfGlo1LevelDesired&lt;$B179,"-",$C179))</f>
        <v>-</v>
      </c>
      <c r="J179" s="1" t="str">
        <f t="shared" ref="J179" si="12664">IF(InfGlo1LevelCurrent&gt;=$B179,"-",IF(InfGlo1LevelDesired&lt;$B179,"-",$D179))</f>
        <v>-</v>
      </c>
      <c r="K179" s="21" t="str">
        <f t="shared" ref="K179" si="12665">IF(InfGlo1LevelCurrent&gt;=$B179,"-",IF(InfGlo1LevelDesired&lt;$B179,"-",$E179))</f>
        <v>-</v>
      </c>
      <c r="L179" s="15" t="str">
        <f t="shared" ref="L179" si="12666">IF(InfBel1LevelCurrent&gt;=$B179,"-",IF(InfBel1LevelDesired&lt;$B179,"-",$C179))</f>
        <v>-</v>
      </c>
      <c r="M179" s="1" t="str">
        <f t="shared" ref="M179" si="12667">IF(InfBel1LevelCurrent&gt;=$B179,"-",IF(InfBel1LevelDesired&lt;$B179,"-",$D179))</f>
        <v>-</v>
      </c>
      <c r="N179" s="21" t="str">
        <f t="shared" ref="N179" si="12668">IF(InfBel1LevelCurrent&gt;=$B179,"-",IF(InfBel1LevelDesired&lt;$B179,"-",$E179))</f>
        <v>-</v>
      </c>
      <c r="O179" s="15" t="str">
        <f t="shared" ref="O179" si="12669">IF(InfBoo1LevelCurrent&gt;=$B179,"-",IF(InfBoo1LevelDesired&lt;$B179,"-",$C179))</f>
        <v>-</v>
      </c>
      <c r="P179" s="1" t="str">
        <f t="shared" ref="P179" si="12670">IF(InfBoo1LevelCurrent&gt;=$B179,"-",IF(InfBoo1LevelDesired&lt;$B179,"-",$D179))</f>
        <v>-</v>
      </c>
      <c r="Q179" s="21" t="str">
        <f t="shared" ref="Q179" si="12671">IF(InfBoo1LevelCurrent&gt;=$B179,"-",IF(InfBoo1LevelDesired&lt;$B179,"-",$E179))</f>
        <v>-</v>
      </c>
      <c r="R179" s="15" t="str">
        <f t="shared" ref="R179" si="12672">IF(LanGog1LevelCurrent&gt;=$B179,"-",IF(LanGog1LevelDesired&lt;$B179,"-",$C179))</f>
        <v>-</v>
      </c>
      <c r="S179" s="1" t="str">
        <f t="shared" ref="S179" si="12673">IF(LanGog1LevelCurrent&gt;=$B179,"-",IF(LanGog1LevelDesired&lt;$B179,"-",$D179))</f>
        <v>-</v>
      </c>
      <c r="T179" s="21" t="str">
        <f t="shared" ref="T179" si="12674">IF(LanGog1LevelCurrent&gt;=$B179,"-",IF(LanGog1LevelDesired&lt;$B179,"-",$E179))</f>
        <v>-</v>
      </c>
      <c r="U179" s="15" t="str">
        <f t="shared" ref="U179" si="12675">IF(LanGlo1LevelCurrent&gt;=$B179,"-",IF(LanGlo1LevelDesired&lt;$B179,"-",$C179))</f>
        <v>-</v>
      </c>
      <c r="V179" s="1" t="str">
        <f t="shared" ref="V179" si="12676">IF(LanGlo1LevelCurrent&gt;=$B179,"-",IF(LanGlo1LevelDesired&lt;$B179,"-",$D179))</f>
        <v>-</v>
      </c>
      <c r="W179" s="21" t="str">
        <f t="shared" ref="W179" si="12677">IF(LanGlo1LevelCurrent&gt;=$B179,"-",IF(LanGlo1LevelDesired&lt;$B179,"-",$E179))</f>
        <v>-</v>
      </c>
      <c r="X179" s="15" t="str">
        <f t="shared" ref="X179" si="12678">IF(LanBel1LevelCurrent&gt;=$B179,"-",IF(LanBel1LevelDesired&lt;$B179,"-",$C179))</f>
        <v>-</v>
      </c>
      <c r="Y179" s="1" t="str">
        <f t="shared" ref="Y179" si="12679">IF(LanBel1LevelCurrent&gt;=$B179,"-",IF(LanBel1LevelDesired&lt;$B179,"-",$D179))</f>
        <v>-</v>
      </c>
      <c r="Z179" s="21" t="str">
        <f t="shared" ref="Z179" si="12680">IF(LanBel1LevelCurrent&gt;=$B179,"-",IF(LanBel1LevelDesired&lt;$B179,"-",$E179))</f>
        <v>-</v>
      </c>
      <c r="AA179" s="15" t="str">
        <f t="shared" ref="AA179" si="12681">IF(LanBoo1LevelCurrent&gt;=$B179,"-",IF(LanBoo1LevelDesired&lt;$B179,"-",$C179))</f>
        <v>-</v>
      </c>
      <c r="AB179" s="1" t="str">
        <f t="shared" ref="AB179" si="12682">IF(LanBoo1LevelCurrent&gt;=$B179,"-",IF(LanBoo1LevelDesired&lt;$B179,"-",$D179))</f>
        <v>-</v>
      </c>
      <c r="AC179" s="21" t="str">
        <f t="shared" ref="AC179" si="12683">IF(LanBoo1LevelCurrent&gt;=$B179,"-",IF(LanBoo1LevelDesired&lt;$B179,"-",$E179))</f>
        <v>-</v>
      </c>
      <c r="AD179" s="15" t="str">
        <f t="shared" ref="AD179" si="12684">IF(MarGog1LevelCurrent&gt;=$B179,"-",IF(MarGog1LevelDesired&lt;$B179,"-",$C179))</f>
        <v>-</v>
      </c>
      <c r="AE179" s="1" t="str">
        <f t="shared" ref="AE179" si="12685">IF(MarGog1LevelCurrent&gt;=$B179,"-",IF(MarGog1LevelDesired&lt;$B179,"-",$D179))</f>
        <v>-</v>
      </c>
      <c r="AF179" s="21" t="str">
        <f t="shared" ref="AF179" si="12686">IF(MarGog1LevelCurrent&gt;=$B179,"-",IF(MarGog1LevelDesired&lt;$B179,"-",$E179))</f>
        <v>-</v>
      </c>
      <c r="AG179" s="15" t="str">
        <f t="shared" ref="AG179" si="12687">IF(MarGlo1LevelCurrent&gt;=$B179,"-",IF(MarGlo1LevelDesired&lt;$B179,"-",$C179))</f>
        <v>-</v>
      </c>
      <c r="AH179" s="1" t="str">
        <f t="shared" ref="AH179" si="12688">IF(MarGlo1LevelCurrent&gt;=$B179,"-",IF(MarGlo1LevelDesired&lt;$B179,"-",$D179))</f>
        <v>-</v>
      </c>
      <c r="AI179" s="21" t="str">
        <f t="shared" ref="AI179" si="12689">IF(MarGlo1LevelCurrent&gt;=$B179,"-",IF(MarGlo1LevelDesired&lt;$B179,"-",$E179))</f>
        <v>-</v>
      </c>
      <c r="AJ179" s="15" t="str">
        <f t="shared" ref="AJ179" si="12690">IF(MarBel1LevelCurrent&gt;=$B179,"-",IF(MarBel1LevelDesired&lt;$B179,"-",$C179))</f>
        <v>-</v>
      </c>
      <c r="AK179" s="1" t="str">
        <f t="shared" ref="AK179" si="12691">IF(MarBel1LevelCurrent&gt;=$B179,"-",IF(MarBel1LevelDesired&lt;$B179,"-",$D179))</f>
        <v>-</v>
      </c>
      <c r="AL179" s="21" t="str">
        <f t="shared" ref="AL179" si="12692">IF(MarBel1LevelCurrent&gt;=$B179,"-",IF(MarBel1LevelDesired&lt;$B179,"-",$E179))</f>
        <v>-</v>
      </c>
      <c r="AM179" s="15" t="str">
        <f t="shared" ref="AM179" si="12693">IF(MarBoo1LevelCurrent&gt;=$B179,"-",IF(MarBoo1LevelDesired&lt;$B179,"-",$C179))</f>
        <v>-</v>
      </c>
      <c r="AN179" s="1" t="str">
        <f t="shared" ref="AN179" si="12694">IF(MarBoo1LevelCurrent&gt;=$B179,"-",IF(MarBoo1LevelDesired&lt;$B179,"-",$D179))</f>
        <v>-</v>
      </c>
      <c r="AO179" s="21" t="str">
        <f t="shared" ref="AO179" si="12695">IF(MarBoo1LevelCurrent&gt;=$B179,"-",IF(MarBoo1LevelDesired&lt;$B179,"-",$E179))</f>
        <v>-</v>
      </c>
      <c r="AP179" s="15" t="str">
        <f t="shared" ref="AP179" si="12696">IF(InfGog2LevelCurrent&gt;=$B179,"-",IF(InfGog2LevelDesired&lt;$B179,"-",$C179))</f>
        <v>-</v>
      </c>
      <c r="AQ179" s="1" t="str">
        <f t="shared" ref="AQ179" si="12697">IF(InfGog2LevelCurrent&gt;=$B179,"-",IF(InfGog2LevelDesired&lt;$B179,"-",$D179))</f>
        <v>-</v>
      </c>
      <c r="AR179" s="21" t="str">
        <f t="shared" ref="AR179" si="12698">IF(InfGog2LevelCurrent&gt;=$B179,"-",IF(InfGog2LevelDesired&lt;$B179,"-",$E179))</f>
        <v>-</v>
      </c>
      <c r="AS179" s="15" t="str">
        <f t="shared" ref="AS179" si="12699">IF(InfGlo2LevelCurrent&gt;=$B179,"-",IF(InfGlo2LevelDesired&lt;$B179,"-",$C179))</f>
        <v>-</v>
      </c>
      <c r="AT179" s="1" t="str">
        <f t="shared" ref="AT179" si="12700">IF(InfGlo2LevelCurrent&gt;=$B179,"-",IF(InfGlo2LevelDesired&lt;$B179,"-",$D179))</f>
        <v>-</v>
      </c>
      <c r="AU179" s="21" t="str">
        <f t="shared" ref="AU179" si="12701">IF(InfGlo2LevelCurrent&gt;=$B179,"-",IF(InfGlo2LevelDesired&lt;$B179,"-",$E179))</f>
        <v>-</v>
      </c>
      <c r="AV179" s="15" t="str">
        <f t="shared" ref="AV179" si="12702">IF(InfBel2LevelCurrent&gt;=$B179,"-",IF(InfBel2LevelDesired&lt;$B179,"-",$C179))</f>
        <v>-</v>
      </c>
      <c r="AW179" s="1" t="str">
        <f t="shared" ref="AW179" si="12703">IF(InfBel2LevelCurrent&gt;=$B179,"-",IF(InfBel2LevelDesired&lt;$B179,"-",$D179))</f>
        <v>-</v>
      </c>
      <c r="AX179" s="21" t="str">
        <f t="shared" ref="AX179" si="12704">IF(InfBel2LevelCurrent&gt;=$B179,"-",IF(InfBel2LevelDesired&lt;$B179,"-",$E179))</f>
        <v>-</v>
      </c>
      <c r="AY179" s="15" t="str">
        <f t="shared" ref="AY179" si="12705">IF(InfBoo2LevelCurrent&gt;=$B179,"-",IF(InfBoo2LevelDesired&lt;$B179,"-",$C179))</f>
        <v>-</v>
      </c>
      <c r="AZ179" s="1" t="str">
        <f t="shared" ref="AZ179" si="12706">IF(InfBoo2LevelCurrent&gt;=$B179,"-",IF(InfBoo2LevelDesired&lt;$B179,"-",$D179))</f>
        <v>-</v>
      </c>
      <c r="BA179" s="21" t="str">
        <f t="shared" ref="BA179" si="12707">IF(InfBoo2LevelCurrent&gt;=$B179,"-",IF(InfBoo2LevelDesired&lt;$B179,"-",$E179))</f>
        <v>-</v>
      </c>
      <c r="BB179" s="15" t="str">
        <f t="shared" ref="BB179" si="12708">IF(LanGog2LevelCurrent&gt;=$B179,"-",IF(LanGog2LevelDesired&lt;$B179,"-",$C179))</f>
        <v>-</v>
      </c>
      <c r="BC179" s="1" t="str">
        <f t="shared" ref="BC179" si="12709">IF(LanGog2LevelCurrent&gt;=$B179,"-",IF(LanGog2LevelDesired&lt;$B179,"-",$D179))</f>
        <v>-</v>
      </c>
      <c r="BD179" s="21" t="str">
        <f t="shared" ref="BD179" si="12710">IF(LanGog2LevelCurrent&gt;=$B179,"-",IF(LanGog2LevelDesired&lt;$B179,"-",$E179))</f>
        <v>-</v>
      </c>
      <c r="BE179" s="15" t="str">
        <f t="shared" ref="BE179" si="12711">IF(LanGlo2LevelCurrent&gt;=$B179,"-",IF(LanGlo2LevelDesired&lt;$B179,"-",$C179))</f>
        <v>-</v>
      </c>
      <c r="BF179" s="1" t="str">
        <f t="shared" ref="BF179" si="12712">IF(LanGlo2LevelCurrent&gt;=$B179,"-",IF(LanGlo2LevelDesired&lt;$B179,"-",$D179))</f>
        <v>-</v>
      </c>
      <c r="BG179" s="21" t="str">
        <f t="shared" ref="BG179" si="12713">IF(LanGlo2LevelCurrent&gt;=$B179,"-",IF(LanGlo2LevelDesired&lt;$B179,"-",$E179))</f>
        <v>-</v>
      </c>
      <c r="BH179" s="15" t="str">
        <f t="shared" ref="BH179" si="12714">IF(LanBel2LevelCurrent&gt;=$B179,"-",IF(LanBel2LevelDesired&lt;$B179,"-",$C179))</f>
        <v>-</v>
      </c>
      <c r="BI179" s="1" t="str">
        <f t="shared" ref="BI179" si="12715">IF(LanBel2LevelCurrent&gt;=$B179,"-",IF(LanBel2LevelDesired&lt;$B179,"-",$D179))</f>
        <v>-</v>
      </c>
      <c r="BJ179" s="21" t="str">
        <f t="shared" ref="BJ179" si="12716">IF(LanBel2LevelCurrent&gt;=$B179,"-",IF(LanBel2LevelDesired&lt;$B179,"-",$E179))</f>
        <v>-</v>
      </c>
      <c r="BK179" s="15" t="str">
        <f t="shared" ref="BK179" si="12717">IF(LanBoo2LevelCurrent&gt;=$B179,"-",IF(LanBoo2LevelDesired&lt;$B179,"-",$C179))</f>
        <v>-</v>
      </c>
      <c r="BL179" s="1" t="str">
        <f t="shared" ref="BL179" si="12718">IF(LanBoo2LevelCurrent&gt;=$B179,"-",IF(LanBoo2LevelDesired&lt;$B179,"-",$D179))</f>
        <v>-</v>
      </c>
      <c r="BM179" s="21" t="str">
        <f t="shared" ref="BM179" si="12719">IF(LanBoo2LevelCurrent&gt;=$B179,"-",IF(LanBoo2LevelDesired&lt;$B179,"-",$E179))</f>
        <v>-</v>
      </c>
      <c r="BN179" s="15" t="str">
        <f t="shared" ref="BN179" si="12720">IF(MarGog2LevelCurrent&gt;=$B179,"-",IF(MarGog2LevelDesired&lt;$B179,"-",$C179))</f>
        <v>-</v>
      </c>
      <c r="BO179" s="1" t="str">
        <f t="shared" ref="BO179" si="12721">IF(MarGog2LevelCurrent&gt;=$B179,"-",IF(MarGog2LevelDesired&lt;$B179,"-",$D179))</f>
        <v>-</v>
      </c>
      <c r="BP179" s="21" t="str">
        <f t="shared" ref="BP179" si="12722">IF(MarGog2LevelCurrent&gt;=$B179,"-",IF(MarGog2LevelDesired&lt;$B179,"-",$E179))</f>
        <v>-</v>
      </c>
      <c r="BQ179" s="15" t="str">
        <f t="shared" ref="BQ179" si="12723">IF(MarGlo2LevelCurrent&gt;=$B179,"-",IF(MarGlo2LevelDesired&lt;$B179,"-",$C179))</f>
        <v>-</v>
      </c>
      <c r="BR179" s="1" t="str">
        <f t="shared" ref="BR179" si="12724">IF(MarGlo2LevelCurrent&gt;=$B179,"-",IF(MarGlo2LevelDesired&lt;$B179,"-",$D179))</f>
        <v>-</v>
      </c>
      <c r="BS179" s="21" t="str">
        <f t="shared" ref="BS179" si="12725">IF(MarGlo2LevelCurrent&gt;=$B179,"-",IF(MarGlo2LevelDesired&lt;$B179,"-",$E179))</f>
        <v>-</v>
      </c>
      <c r="BT179" s="15" t="str">
        <f t="shared" ref="BT179" si="12726">IF(MarBel2LevelCurrent&gt;=$B179,"-",IF(MarBel2LevelDesired&lt;$B179,"-",$C179))</f>
        <v>-</v>
      </c>
      <c r="BU179" s="1" t="str">
        <f t="shared" ref="BU179" si="12727">IF(MarBel2LevelCurrent&gt;=$B179,"-",IF(MarBel2LevelDesired&lt;$B179,"-",$D179))</f>
        <v>-</v>
      </c>
      <c r="BV179" s="21" t="str">
        <f t="shared" ref="BV179" si="12728">IF(MarBel2LevelCurrent&gt;=$B179,"-",IF(MarBel2LevelDesired&lt;$B179,"-",$E179))</f>
        <v>-</v>
      </c>
      <c r="BW179" s="15" t="str">
        <f t="shared" ref="BW179" si="12729">IF(MarBoo2LevelCurrent&gt;=$B179,"-",IF(MarBoo2LevelDesired&lt;$B179,"-",$C179))</f>
        <v>-</v>
      </c>
      <c r="BX179" s="1" t="str">
        <f t="shared" ref="BX179" si="12730">IF(MarBoo2LevelCurrent&gt;=$B179,"-",IF(MarBoo2LevelDesired&lt;$B179,"-",$D179))</f>
        <v>-</v>
      </c>
      <c r="BY179" s="21" t="str">
        <f t="shared" ref="BY179" si="12731">IF(MarBoo2LevelCurrent&gt;=$B179,"-",IF(MarBoo2LevelDesired&lt;$B179,"-",$E179))</f>
        <v>-</v>
      </c>
      <c r="BZ179" s="15" t="str">
        <f t="shared" si="11762"/>
        <v>-</v>
      </c>
      <c r="CA179" s="1" t="str" cm="1">
        <f t="array" ref="CA179">IF(InfGog3LevelCurrent&gt;=$B179,"-",IF(InfGog3LevelDesired&lt;$B179,"-",$D179))</f>
        <v>-</v>
      </c>
      <c r="CB179" s="21" t="str" cm="1">
        <f t="array" ref="CB179">IF(InfGog3LevelCurrent&gt;=$B179,"-",IF(InfGog3LevelDesired&lt;$B179,"-",$E179))</f>
        <v>-</v>
      </c>
      <c r="CC179" s="15" t="str">
        <f t="shared" si="11763"/>
        <v>-</v>
      </c>
      <c r="CD179" s="1" t="str">
        <f t="shared" si="11764"/>
        <v>-</v>
      </c>
      <c r="CE179" s="21" t="str">
        <f t="shared" si="11765"/>
        <v>-</v>
      </c>
      <c r="CF179" s="15" t="str">
        <f t="shared" si="11766"/>
        <v>-</v>
      </c>
      <c r="CG179" s="1" t="str">
        <f t="shared" si="11767"/>
        <v>-</v>
      </c>
      <c r="CH179" s="21" t="str">
        <f t="shared" si="11768"/>
        <v>-</v>
      </c>
      <c r="CI179" s="15" t="str">
        <f t="shared" si="11769"/>
        <v>-</v>
      </c>
      <c r="CJ179" s="1" t="str">
        <f t="shared" si="11770"/>
        <v>-</v>
      </c>
      <c r="CK179" s="21" t="str">
        <f t="shared" si="11771"/>
        <v>-</v>
      </c>
      <c r="CL179" s="15" t="str">
        <f t="shared" si="11772"/>
        <v>-</v>
      </c>
      <c r="CM179" s="1" t="str">
        <f t="shared" si="11773"/>
        <v>-</v>
      </c>
      <c r="CN179" s="21" t="str">
        <f t="shared" si="11774"/>
        <v>-</v>
      </c>
      <c r="CO179" s="15" t="str">
        <f t="shared" si="11775"/>
        <v>-</v>
      </c>
      <c r="CP179" s="1" t="str">
        <f t="shared" si="11776"/>
        <v>-</v>
      </c>
      <c r="CQ179" s="21" t="str">
        <f t="shared" si="11777"/>
        <v>-</v>
      </c>
      <c r="CR179" s="15" t="str">
        <f t="shared" si="11778"/>
        <v>-</v>
      </c>
      <c r="CS179" s="1" t="str">
        <f t="shared" si="11779"/>
        <v>-</v>
      </c>
      <c r="CT179" s="21" t="str">
        <f t="shared" si="11780"/>
        <v>-</v>
      </c>
      <c r="CU179" s="15" t="str">
        <f t="shared" si="11781"/>
        <v>-</v>
      </c>
      <c r="CV179" s="1" t="str">
        <f t="shared" si="11782"/>
        <v>-</v>
      </c>
      <c r="CW179" s="21" t="str">
        <f t="shared" si="11783"/>
        <v>-</v>
      </c>
      <c r="CX179" s="15" t="str">
        <f t="shared" si="11784"/>
        <v>-</v>
      </c>
      <c r="CY179" s="1" t="str">
        <f t="shared" si="11785"/>
        <v>-</v>
      </c>
      <c r="CZ179" s="21" t="str">
        <f t="shared" si="11786"/>
        <v>-</v>
      </c>
      <c r="DA179" s="15" t="str">
        <f t="shared" si="11787"/>
        <v>-</v>
      </c>
      <c r="DB179" s="1" t="str">
        <f t="shared" si="11788"/>
        <v>-</v>
      </c>
      <c r="DC179" s="21" t="str">
        <f t="shared" si="11789"/>
        <v>-</v>
      </c>
      <c r="DD179" s="15" t="str">
        <f t="shared" si="11790"/>
        <v>-</v>
      </c>
      <c r="DE179" s="1" t="str">
        <f t="shared" si="11791"/>
        <v>-</v>
      </c>
      <c r="DF179" s="21" t="str">
        <f t="shared" si="11792"/>
        <v>-</v>
      </c>
      <c r="DG179" s="15" t="str">
        <f t="shared" si="11793"/>
        <v>-</v>
      </c>
      <c r="DH179" s="1" t="str">
        <f t="shared" si="11794"/>
        <v>-</v>
      </c>
      <c r="DI179" s="21" t="str">
        <f t="shared" si="11795"/>
        <v>-</v>
      </c>
    </row>
    <row r="180" spans="2:113" x14ac:dyDescent="0.3">
      <c r="B180" s="1">
        <v>175</v>
      </c>
      <c r="C180" s="67">
        <v>6900</v>
      </c>
      <c r="D180" s="88" t="s">
        <v>27</v>
      </c>
      <c r="E180" s="68" t="s">
        <v>27</v>
      </c>
      <c r="F180" s="15" t="str">
        <f t="shared" ref="F180" si="12732">IF(InfGog1LevelCurrent&gt;=$B180,"-",IF(InfGog1LevelDesired&lt;$B180,"-",$C180))</f>
        <v>-</v>
      </c>
      <c r="G180" s="1" t="str">
        <f t="shared" ref="G180" si="12733">IF(InfGog1LevelCurrent&gt;=$B180,"-",IF(InfGog1LevelDesired&lt;$B180,"-",$D180))</f>
        <v>-</v>
      </c>
      <c r="H180" s="21" t="str">
        <f t="shared" ref="H180" si="12734">IF(InfGog1LevelCurrent&gt;=$B180,"-",IF(InfGog1LevelDesired&lt;$B180,"-",$E180))</f>
        <v>-</v>
      </c>
      <c r="I180" s="15" t="str">
        <f t="shared" ref="I180" si="12735">IF(InfGlo1LevelCurrent&gt;=$B180,"-",IF(InfGlo1LevelDesired&lt;$B180,"-",$C180))</f>
        <v>-</v>
      </c>
      <c r="J180" s="1" t="str">
        <f t="shared" ref="J180" si="12736">IF(InfGlo1LevelCurrent&gt;=$B180,"-",IF(InfGlo1LevelDesired&lt;$B180,"-",$D180))</f>
        <v>-</v>
      </c>
      <c r="K180" s="21" t="str">
        <f t="shared" ref="K180" si="12737">IF(InfGlo1LevelCurrent&gt;=$B180,"-",IF(InfGlo1LevelDesired&lt;$B180,"-",$E180))</f>
        <v>-</v>
      </c>
      <c r="L180" s="15" t="str">
        <f t="shared" ref="L180" si="12738">IF(InfBel1LevelCurrent&gt;=$B180,"-",IF(InfBel1LevelDesired&lt;$B180,"-",$C180))</f>
        <v>-</v>
      </c>
      <c r="M180" s="1" t="str">
        <f t="shared" ref="M180" si="12739">IF(InfBel1LevelCurrent&gt;=$B180,"-",IF(InfBel1LevelDesired&lt;$B180,"-",$D180))</f>
        <v>-</v>
      </c>
      <c r="N180" s="21" t="str">
        <f t="shared" ref="N180" si="12740">IF(InfBel1LevelCurrent&gt;=$B180,"-",IF(InfBel1LevelDesired&lt;$B180,"-",$E180))</f>
        <v>-</v>
      </c>
      <c r="O180" s="15" t="str">
        <f t="shared" ref="O180" si="12741">IF(InfBoo1LevelCurrent&gt;=$B180,"-",IF(InfBoo1LevelDesired&lt;$B180,"-",$C180))</f>
        <v>-</v>
      </c>
      <c r="P180" s="1" t="str">
        <f t="shared" ref="P180" si="12742">IF(InfBoo1LevelCurrent&gt;=$B180,"-",IF(InfBoo1LevelDesired&lt;$B180,"-",$D180))</f>
        <v>-</v>
      </c>
      <c r="Q180" s="21" t="str">
        <f t="shared" ref="Q180" si="12743">IF(InfBoo1LevelCurrent&gt;=$B180,"-",IF(InfBoo1LevelDesired&lt;$B180,"-",$E180))</f>
        <v>-</v>
      </c>
      <c r="R180" s="15" t="str">
        <f t="shared" ref="R180" si="12744">IF(LanGog1LevelCurrent&gt;=$B180,"-",IF(LanGog1LevelDesired&lt;$B180,"-",$C180))</f>
        <v>-</v>
      </c>
      <c r="S180" s="1" t="str">
        <f t="shared" ref="S180" si="12745">IF(LanGog1LevelCurrent&gt;=$B180,"-",IF(LanGog1LevelDesired&lt;$B180,"-",$D180))</f>
        <v>-</v>
      </c>
      <c r="T180" s="21" t="str">
        <f t="shared" ref="T180" si="12746">IF(LanGog1LevelCurrent&gt;=$B180,"-",IF(LanGog1LevelDesired&lt;$B180,"-",$E180))</f>
        <v>-</v>
      </c>
      <c r="U180" s="15" t="str">
        <f t="shared" ref="U180" si="12747">IF(LanGlo1LevelCurrent&gt;=$B180,"-",IF(LanGlo1LevelDesired&lt;$B180,"-",$C180))</f>
        <v>-</v>
      </c>
      <c r="V180" s="1" t="str">
        <f t="shared" ref="V180" si="12748">IF(LanGlo1LevelCurrent&gt;=$B180,"-",IF(LanGlo1LevelDesired&lt;$B180,"-",$D180))</f>
        <v>-</v>
      </c>
      <c r="W180" s="21" t="str">
        <f t="shared" ref="W180" si="12749">IF(LanGlo1LevelCurrent&gt;=$B180,"-",IF(LanGlo1LevelDesired&lt;$B180,"-",$E180))</f>
        <v>-</v>
      </c>
      <c r="X180" s="15" t="str">
        <f t="shared" ref="X180" si="12750">IF(LanBel1LevelCurrent&gt;=$B180,"-",IF(LanBel1LevelDesired&lt;$B180,"-",$C180))</f>
        <v>-</v>
      </c>
      <c r="Y180" s="1" t="str">
        <f t="shared" ref="Y180" si="12751">IF(LanBel1LevelCurrent&gt;=$B180,"-",IF(LanBel1LevelDesired&lt;$B180,"-",$D180))</f>
        <v>-</v>
      </c>
      <c r="Z180" s="21" t="str">
        <f t="shared" ref="Z180" si="12752">IF(LanBel1LevelCurrent&gt;=$B180,"-",IF(LanBel1LevelDesired&lt;$B180,"-",$E180))</f>
        <v>-</v>
      </c>
      <c r="AA180" s="15" t="str">
        <f t="shared" ref="AA180" si="12753">IF(LanBoo1LevelCurrent&gt;=$B180,"-",IF(LanBoo1LevelDesired&lt;$B180,"-",$C180))</f>
        <v>-</v>
      </c>
      <c r="AB180" s="1" t="str">
        <f t="shared" ref="AB180" si="12754">IF(LanBoo1LevelCurrent&gt;=$B180,"-",IF(LanBoo1LevelDesired&lt;$B180,"-",$D180))</f>
        <v>-</v>
      </c>
      <c r="AC180" s="21" t="str">
        <f t="shared" ref="AC180" si="12755">IF(LanBoo1LevelCurrent&gt;=$B180,"-",IF(LanBoo1LevelDesired&lt;$B180,"-",$E180))</f>
        <v>-</v>
      </c>
      <c r="AD180" s="15" t="str">
        <f t="shared" ref="AD180" si="12756">IF(MarGog1LevelCurrent&gt;=$B180,"-",IF(MarGog1LevelDesired&lt;$B180,"-",$C180))</f>
        <v>-</v>
      </c>
      <c r="AE180" s="1" t="str">
        <f t="shared" ref="AE180" si="12757">IF(MarGog1LevelCurrent&gt;=$B180,"-",IF(MarGog1LevelDesired&lt;$B180,"-",$D180))</f>
        <v>-</v>
      </c>
      <c r="AF180" s="21" t="str">
        <f t="shared" ref="AF180" si="12758">IF(MarGog1LevelCurrent&gt;=$B180,"-",IF(MarGog1LevelDesired&lt;$B180,"-",$E180))</f>
        <v>-</v>
      </c>
      <c r="AG180" s="15" t="str">
        <f t="shared" ref="AG180" si="12759">IF(MarGlo1LevelCurrent&gt;=$B180,"-",IF(MarGlo1LevelDesired&lt;$B180,"-",$C180))</f>
        <v>-</v>
      </c>
      <c r="AH180" s="1" t="str">
        <f t="shared" ref="AH180" si="12760">IF(MarGlo1LevelCurrent&gt;=$B180,"-",IF(MarGlo1LevelDesired&lt;$B180,"-",$D180))</f>
        <v>-</v>
      </c>
      <c r="AI180" s="21" t="str">
        <f t="shared" ref="AI180" si="12761">IF(MarGlo1LevelCurrent&gt;=$B180,"-",IF(MarGlo1LevelDesired&lt;$B180,"-",$E180))</f>
        <v>-</v>
      </c>
      <c r="AJ180" s="15" t="str">
        <f t="shared" ref="AJ180" si="12762">IF(MarBel1LevelCurrent&gt;=$B180,"-",IF(MarBel1LevelDesired&lt;$B180,"-",$C180))</f>
        <v>-</v>
      </c>
      <c r="AK180" s="1" t="str">
        <f t="shared" ref="AK180" si="12763">IF(MarBel1LevelCurrent&gt;=$B180,"-",IF(MarBel1LevelDesired&lt;$B180,"-",$D180))</f>
        <v>-</v>
      </c>
      <c r="AL180" s="21" t="str">
        <f t="shared" ref="AL180" si="12764">IF(MarBel1LevelCurrent&gt;=$B180,"-",IF(MarBel1LevelDesired&lt;$B180,"-",$E180))</f>
        <v>-</v>
      </c>
      <c r="AM180" s="15" t="str">
        <f t="shared" ref="AM180" si="12765">IF(MarBoo1LevelCurrent&gt;=$B180,"-",IF(MarBoo1LevelDesired&lt;$B180,"-",$C180))</f>
        <v>-</v>
      </c>
      <c r="AN180" s="1" t="str">
        <f t="shared" ref="AN180" si="12766">IF(MarBoo1LevelCurrent&gt;=$B180,"-",IF(MarBoo1LevelDesired&lt;$B180,"-",$D180))</f>
        <v>-</v>
      </c>
      <c r="AO180" s="21" t="str">
        <f t="shared" ref="AO180" si="12767">IF(MarBoo1LevelCurrent&gt;=$B180,"-",IF(MarBoo1LevelDesired&lt;$B180,"-",$E180))</f>
        <v>-</v>
      </c>
      <c r="AP180" s="15" t="str">
        <f t="shared" ref="AP180" si="12768">IF(InfGog2LevelCurrent&gt;=$B180,"-",IF(InfGog2LevelDesired&lt;$B180,"-",$C180))</f>
        <v>-</v>
      </c>
      <c r="AQ180" s="1" t="str">
        <f t="shared" ref="AQ180" si="12769">IF(InfGog2LevelCurrent&gt;=$B180,"-",IF(InfGog2LevelDesired&lt;$B180,"-",$D180))</f>
        <v>-</v>
      </c>
      <c r="AR180" s="21" t="str">
        <f t="shared" ref="AR180" si="12770">IF(InfGog2LevelCurrent&gt;=$B180,"-",IF(InfGog2LevelDesired&lt;$B180,"-",$E180))</f>
        <v>-</v>
      </c>
      <c r="AS180" s="15" t="str">
        <f t="shared" ref="AS180" si="12771">IF(InfGlo2LevelCurrent&gt;=$B180,"-",IF(InfGlo2LevelDesired&lt;$B180,"-",$C180))</f>
        <v>-</v>
      </c>
      <c r="AT180" s="1" t="str">
        <f t="shared" ref="AT180" si="12772">IF(InfGlo2LevelCurrent&gt;=$B180,"-",IF(InfGlo2LevelDesired&lt;$B180,"-",$D180))</f>
        <v>-</v>
      </c>
      <c r="AU180" s="21" t="str">
        <f t="shared" ref="AU180" si="12773">IF(InfGlo2LevelCurrent&gt;=$B180,"-",IF(InfGlo2LevelDesired&lt;$B180,"-",$E180))</f>
        <v>-</v>
      </c>
      <c r="AV180" s="15" t="str">
        <f t="shared" ref="AV180" si="12774">IF(InfBel2LevelCurrent&gt;=$B180,"-",IF(InfBel2LevelDesired&lt;$B180,"-",$C180))</f>
        <v>-</v>
      </c>
      <c r="AW180" s="1" t="str">
        <f t="shared" ref="AW180" si="12775">IF(InfBel2LevelCurrent&gt;=$B180,"-",IF(InfBel2LevelDesired&lt;$B180,"-",$D180))</f>
        <v>-</v>
      </c>
      <c r="AX180" s="21" t="str">
        <f t="shared" ref="AX180" si="12776">IF(InfBel2LevelCurrent&gt;=$B180,"-",IF(InfBel2LevelDesired&lt;$B180,"-",$E180))</f>
        <v>-</v>
      </c>
      <c r="AY180" s="15" t="str">
        <f t="shared" ref="AY180" si="12777">IF(InfBoo2LevelCurrent&gt;=$B180,"-",IF(InfBoo2LevelDesired&lt;$B180,"-",$C180))</f>
        <v>-</v>
      </c>
      <c r="AZ180" s="1" t="str">
        <f t="shared" ref="AZ180" si="12778">IF(InfBoo2LevelCurrent&gt;=$B180,"-",IF(InfBoo2LevelDesired&lt;$B180,"-",$D180))</f>
        <v>-</v>
      </c>
      <c r="BA180" s="21" t="str">
        <f t="shared" ref="BA180" si="12779">IF(InfBoo2LevelCurrent&gt;=$B180,"-",IF(InfBoo2LevelDesired&lt;$B180,"-",$E180))</f>
        <v>-</v>
      </c>
      <c r="BB180" s="15" t="str">
        <f t="shared" ref="BB180" si="12780">IF(LanGog2LevelCurrent&gt;=$B180,"-",IF(LanGog2LevelDesired&lt;$B180,"-",$C180))</f>
        <v>-</v>
      </c>
      <c r="BC180" s="1" t="str">
        <f t="shared" ref="BC180" si="12781">IF(LanGog2LevelCurrent&gt;=$B180,"-",IF(LanGog2LevelDesired&lt;$B180,"-",$D180))</f>
        <v>-</v>
      </c>
      <c r="BD180" s="21" t="str">
        <f t="shared" ref="BD180" si="12782">IF(LanGog2LevelCurrent&gt;=$B180,"-",IF(LanGog2LevelDesired&lt;$B180,"-",$E180))</f>
        <v>-</v>
      </c>
      <c r="BE180" s="15" t="str">
        <f t="shared" ref="BE180" si="12783">IF(LanGlo2LevelCurrent&gt;=$B180,"-",IF(LanGlo2LevelDesired&lt;$B180,"-",$C180))</f>
        <v>-</v>
      </c>
      <c r="BF180" s="1" t="str">
        <f t="shared" ref="BF180" si="12784">IF(LanGlo2LevelCurrent&gt;=$B180,"-",IF(LanGlo2LevelDesired&lt;$B180,"-",$D180))</f>
        <v>-</v>
      </c>
      <c r="BG180" s="21" t="str">
        <f t="shared" ref="BG180" si="12785">IF(LanGlo2LevelCurrent&gt;=$B180,"-",IF(LanGlo2LevelDesired&lt;$B180,"-",$E180))</f>
        <v>-</v>
      </c>
      <c r="BH180" s="15" t="str">
        <f t="shared" ref="BH180" si="12786">IF(LanBel2LevelCurrent&gt;=$B180,"-",IF(LanBel2LevelDesired&lt;$B180,"-",$C180))</f>
        <v>-</v>
      </c>
      <c r="BI180" s="1" t="str">
        <f t="shared" ref="BI180" si="12787">IF(LanBel2LevelCurrent&gt;=$B180,"-",IF(LanBel2LevelDesired&lt;$B180,"-",$D180))</f>
        <v>-</v>
      </c>
      <c r="BJ180" s="21" t="str">
        <f t="shared" ref="BJ180" si="12788">IF(LanBel2LevelCurrent&gt;=$B180,"-",IF(LanBel2LevelDesired&lt;$B180,"-",$E180))</f>
        <v>-</v>
      </c>
      <c r="BK180" s="15" t="str">
        <f t="shared" ref="BK180" si="12789">IF(LanBoo2LevelCurrent&gt;=$B180,"-",IF(LanBoo2LevelDesired&lt;$B180,"-",$C180))</f>
        <v>-</v>
      </c>
      <c r="BL180" s="1" t="str">
        <f t="shared" ref="BL180" si="12790">IF(LanBoo2LevelCurrent&gt;=$B180,"-",IF(LanBoo2LevelDesired&lt;$B180,"-",$D180))</f>
        <v>-</v>
      </c>
      <c r="BM180" s="21" t="str">
        <f t="shared" ref="BM180" si="12791">IF(LanBoo2LevelCurrent&gt;=$B180,"-",IF(LanBoo2LevelDesired&lt;$B180,"-",$E180))</f>
        <v>-</v>
      </c>
      <c r="BN180" s="15" t="str">
        <f t="shared" ref="BN180" si="12792">IF(MarGog2LevelCurrent&gt;=$B180,"-",IF(MarGog2LevelDesired&lt;$B180,"-",$C180))</f>
        <v>-</v>
      </c>
      <c r="BO180" s="1" t="str">
        <f t="shared" ref="BO180" si="12793">IF(MarGog2LevelCurrent&gt;=$B180,"-",IF(MarGog2LevelDesired&lt;$B180,"-",$D180))</f>
        <v>-</v>
      </c>
      <c r="BP180" s="21" t="str">
        <f t="shared" ref="BP180" si="12794">IF(MarGog2LevelCurrent&gt;=$B180,"-",IF(MarGog2LevelDesired&lt;$B180,"-",$E180))</f>
        <v>-</v>
      </c>
      <c r="BQ180" s="15" t="str">
        <f t="shared" ref="BQ180" si="12795">IF(MarGlo2LevelCurrent&gt;=$B180,"-",IF(MarGlo2LevelDesired&lt;$B180,"-",$C180))</f>
        <v>-</v>
      </c>
      <c r="BR180" s="1" t="str">
        <f t="shared" ref="BR180" si="12796">IF(MarGlo2LevelCurrent&gt;=$B180,"-",IF(MarGlo2LevelDesired&lt;$B180,"-",$D180))</f>
        <v>-</v>
      </c>
      <c r="BS180" s="21" t="str">
        <f t="shared" ref="BS180" si="12797">IF(MarGlo2LevelCurrent&gt;=$B180,"-",IF(MarGlo2LevelDesired&lt;$B180,"-",$E180))</f>
        <v>-</v>
      </c>
      <c r="BT180" s="15" t="str">
        <f t="shared" ref="BT180" si="12798">IF(MarBel2LevelCurrent&gt;=$B180,"-",IF(MarBel2LevelDesired&lt;$B180,"-",$C180))</f>
        <v>-</v>
      </c>
      <c r="BU180" s="1" t="str">
        <f t="shared" ref="BU180" si="12799">IF(MarBel2LevelCurrent&gt;=$B180,"-",IF(MarBel2LevelDesired&lt;$B180,"-",$D180))</f>
        <v>-</v>
      </c>
      <c r="BV180" s="21" t="str">
        <f t="shared" ref="BV180" si="12800">IF(MarBel2LevelCurrent&gt;=$B180,"-",IF(MarBel2LevelDesired&lt;$B180,"-",$E180))</f>
        <v>-</v>
      </c>
      <c r="BW180" s="15" t="str">
        <f t="shared" ref="BW180" si="12801">IF(MarBoo2LevelCurrent&gt;=$B180,"-",IF(MarBoo2LevelDesired&lt;$B180,"-",$C180))</f>
        <v>-</v>
      </c>
      <c r="BX180" s="1" t="str">
        <f t="shared" ref="BX180" si="12802">IF(MarBoo2LevelCurrent&gt;=$B180,"-",IF(MarBoo2LevelDesired&lt;$B180,"-",$D180))</f>
        <v>-</v>
      </c>
      <c r="BY180" s="21" t="str">
        <f t="shared" ref="BY180" si="12803">IF(MarBoo2LevelCurrent&gt;=$B180,"-",IF(MarBoo2LevelDesired&lt;$B180,"-",$E180))</f>
        <v>-</v>
      </c>
      <c r="BZ180" s="15" t="str">
        <f t="shared" si="11762"/>
        <v>-</v>
      </c>
      <c r="CA180" s="1" t="str" cm="1">
        <f t="array" ref="CA180">IF(InfGog3LevelCurrent&gt;=$B180,"-",IF(InfGog3LevelDesired&lt;$B180,"-",$D180))</f>
        <v>-</v>
      </c>
      <c r="CB180" s="21" t="str" cm="1">
        <f t="array" ref="CB180">IF(InfGog3LevelCurrent&gt;=$B180,"-",IF(InfGog3LevelDesired&lt;$B180,"-",$E180))</f>
        <v>-</v>
      </c>
      <c r="CC180" s="15" t="str">
        <f t="shared" si="11763"/>
        <v>-</v>
      </c>
      <c r="CD180" s="1" t="str">
        <f t="shared" si="11764"/>
        <v>-</v>
      </c>
      <c r="CE180" s="21" t="str">
        <f t="shared" si="11765"/>
        <v>-</v>
      </c>
      <c r="CF180" s="15" t="str">
        <f t="shared" si="11766"/>
        <v>-</v>
      </c>
      <c r="CG180" s="1" t="str">
        <f t="shared" si="11767"/>
        <v>-</v>
      </c>
      <c r="CH180" s="21" t="str">
        <f t="shared" si="11768"/>
        <v>-</v>
      </c>
      <c r="CI180" s="15" t="str">
        <f t="shared" si="11769"/>
        <v>-</v>
      </c>
      <c r="CJ180" s="1" t="str">
        <f t="shared" si="11770"/>
        <v>-</v>
      </c>
      <c r="CK180" s="21" t="str">
        <f t="shared" si="11771"/>
        <v>-</v>
      </c>
      <c r="CL180" s="15" t="str">
        <f t="shared" si="11772"/>
        <v>-</v>
      </c>
      <c r="CM180" s="1" t="str">
        <f t="shared" si="11773"/>
        <v>-</v>
      </c>
      <c r="CN180" s="21" t="str">
        <f t="shared" si="11774"/>
        <v>-</v>
      </c>
      <c r="CO180" s="15" t="str">
        <f t="shared" si="11775"/>
        <v>-</v>
      </c>
      <c r="CP180" s="1" t="str">
        <f t="shared" si="11776"/>
        <v>-</v>
      </c>
      <c r="CQ180" s="21" t="str">
        <f t="shared" si="11777"/>
        <v>-</v>
      </c>
      <c r="CR180" s="15" t="str">
        <f t="shared" si="11778"/>
        <v>-</v>
      </c>
      <c r="CS180" s="1" t="str">
        <f t="shared" si="11779"/>
        <v>-</v>
      </c>
      <c r="CT180" s="21" t="str">
        <f t="shared" si="11780"/>
        <v>-</v>
      </c>
      <c r="CU180" s="15" t="str">
        <f t="shared" si="11781"/>
        <v>-</v>
      </c>
      <c r="CV180" s="1" t="str">
        <f t="shared" si="11782"/>
        <v>-</v>
      </c>
      <c r="CW180" s="21" t="str">
        <f t="shared" si="11783"/>
        <v>-</v>
      </c>
      <c r="CX180" s="15" t="str">
        <f t="shared" si="11784"/>
        <v>-</v>
      </c>
      <c r="CY180" s="1" t="str">
        <f t="shared" si="11785"/>
        <v>-</v>
      </c>
      <c r="CZ180" s="21" t="str">
        <f t="shared" si="11786"/>
        <v>-</v>
      </c>
      <c r="DA180" s="15" t="str">
        <f t="shared" si="11787"/>
        <v>-</v>
      </c>
      <c r="DB180" s="1" t="str">
        <f t="shared" si="11788"/>
        <v>-</v>
      </c>
      <c r="DC180" s="21" t="str">
        <f t="shared" si="11789"/>
        <v>-</v>
      </c>
      <c r="DD180" s="15" t="str">
        <f t="shared" si="11790"/>
        <v>-</v>
      </c>
      <c r="DE180" s="1" t="str">
        <f t="shared" si="11791"/>
        <v>-</v>
      </c>
      <c r="DF180" s="21" t="str">
        <f t="shared" si="11792"/>
        <v>-</v>
      </c>
      <c r="DG180" s="15" t="str">
        <f t="shared" si="11793"/>
        <v>-</v>
      </c>
      <c r="DH180" s="1" t="str">
        <f t="shared" si="11794"/>
        <v>-</v>
      </c>
      <c r="DI180" s="21" t="str">
        <f t="shared" si="11795"/>
        <v>-</v>
      </c>
    </row>
    <row r="181" spans="2:113" x14ac:dyDescent="0.3">
      <c r="B181" s="1">
        <v>176</v>
      </c>
      <c r="C181" s="67">
        <v>7000</v>
      </c>
      <c r="D181" s="88" t="s">
        <v>27</v>
      </c>
      <c r="E181" s="68" t="s">
        <v>27</v>
      </c>
      <c r="F181" s="15" t="str">
        <f t="shared" ref="F181" si="12804">IF(InfGog1LevelCurrent&gt;=$B181,"-",IF(InfGog1LevelDesired&lt;$B181,"-",$C181))</f>
        <v>-</v>
      </c>
      <c r="G181" s="1" t="str">
        <f t="shared" ref="G181" si="12805">IF(InfGog1LevelCurrent&gt;=$B181,"-",IF(InfGog1LevelDesired&lt;$B181,"-",$D181))</f>
        <v>-</v>
      </c>
      <c r="H181" s="21" t="str">
        <f t="shared" ref="H181" si="12806">IF(InfGog1LevelCurrent&gt;=$B181,"-",IF(InfGog1LevelDesired&lt;$B181,"-",$E181))</f>
        <v>-</v>
      </c>
      <c r="I181" s="15" t="str">
        <f t="shared" ref="I181" si="12807">IF(InfGlo1LevelCurrent&gt;=$B181,"-",IF(InfGlo1LevelDesired&lt;$B181,"-",$C181))</f>
        <v>-</v>
      </c>
      <c r="J181" s="1" t="str">
        <f t="shared" ref="J181" si="12808">IF(InfGlo1LevelCurrent&gt;=$B181,"-",IF(InfGlo1LevelDesired&lt;$B181,"-",$D181))</f>
        <v>-</v>
      </c>
      <c r="K181" s="21" t="str">
        <f t="shared" ref="K181" si="12809">IF(InfGlo1LevelCurrent&gt;=$B181,"-",IF(InfGlo1LevelDesired&lt;$B181,"-",$E181))</f>
        <v>-</v>
      </c>
      <c r="L181" s="15" t="str">
        <f t="shared" ref="L181" si="12810">IF(InfBel1LevelCurrent&gt;=$B181,"-",IF(InfBel1LevelDesired&lt;$B181,"-",$C181))</f>
        <v>-</v>
      </c>
      <c r="M181" s="1" t="str">
        <f t="shared" ref="M181" si="12811">IF(InfBel1LevelCurrent&gt;=$B181,"-",IF(InfBel1LevelDesired&lt;$B181,"-",$D181))</f>
        <v>-</v>
      </c>
      <c r="N181" s="21" t="str">
        <f t="shared" ref="N181" si="12812">IF(InfBel1LevelCurrent&gt;=$B181,"-",IF(InfBel1LevelDesired&lt;$B181,"-",$E181))</f>
        <v>-</v>
      </c>
      <c r="O181" s="15" t="str">
        <f t="shared" ref="O181" si="12813">IF(InfBoo1LevelCurrent&gt;=$B181,"-",IF(InfBoo1LevelDesired&lt;$B181,"-",$C181))</f>
        <v>-</v>
      </c>
      <c r="P181" s="1" t="str">
        <f t="shared" ref="P181" si="12814">IF(InfBoo1LevelCurrent&gt;=$B181,"-",IF(InfBoo1LevelDesired&lt;$B181,"-",$D181))</f>
        <v>-</v>
      </c>
      <c r="Q181" s="21" t="str">
        <f t="shared" ref="Q181" si="12815">IF(InfBoo1LevelCurrent&gt;=$B181,"-",IF(InfBoo1LevelDesired&lt;$B181,"-",$E181))</f>
        <v>-</v>
      </c>
      <c r="R181" s="15" t="str">
        <f t="shared" ref="R181" si="12816">IF(LanGog1LevelCurrent&gt;=$B181,"-",IF(LanGog1LevelDesired&lt;$B181,"-",$C181))</f>
        <v>-</v>
      </c>
      <c r="S181" s="1" t="str">
        <f t="shared" ref="S181" si="12817">IF(LanGog1LevelCurrent&gt;=$B181,"-",IF(LanGog1LevelDesired&lt;$B181,"-",$D181))</f>
        <v>-</v>
      </c>
      <c r="T181" s="21" t="str">
        <f t="shared" ref="T181" si="12818">IF(LanGog1LevelCurrent&gt;=$B181,"-",IF(LanGog1LevelDesired&lt;$B181,"-",$E181))</f>
        <v>-</v>
      </c>
      <c r="U181" s="15" t="str">
        <f t="shared" ref="U181" si="12819">IF(LanGlo1LevelCurrent&gt;=$B181,"-",IF(LanGlo1LevelDesired&lt;$B181,"-",$C181))</f>
        <v>-</v>
      </c>
      <c r="V181" s="1" t="str">
        <f t="shared" ref="V181" si="12820">IF(LanGlo1LevelCurrent&gt;=$B181,"-",IF(LanGlo1LevelDesired&lt;$B181,"-",$D181))</f>
        <v>-</v>
      </c>
      <c r="W181" s="21" t="str">
        <f t="shared" ref="W181" si="12821">IF(LanGlo1LevelCurrent&gt;=$B181,"-",IF(LanGlo1LevelDesired&lt;$B181,"-",$E181))</f>
        <v>-</v>
      </c>
      <c r="X181" s="15" t="str">
        <f t="shared" ref="X181" si="12822">IF(LanBel1LevelCurrent&gt;=$B181,"-",IF(LanBel1LevelDesired&lt;$B181,"-",$C181))</f>
        <v>-</v>
      </c>
      <c r="Y181" s="1" t="str">
        <f t="shared" ref="Y181" si="12823">IF(LanBel1LevelCurrent&gt;=$B181,"-",IF(LanBel1LevelDesired&lt;$B181,"-",$D181))</f>
        <v>-</v>
      </c>
      <c r="Z181" s="21" t="str">
        <f t="shared" ref="Z181" si="12824">IF(LanBel1LevelCurrent&gt;=$B181,"-",IF(LanBel1LevelDesired&lt;$B181,"-",$E181))</f>
        <v>-</v>
      </c>
      <c r="AA181" s="15" t="str">
        <f t="shared" ref="AA181" si="12825">IF(LanBoo1LevelCurrent&gt;=$B181,"-",IF(LanBoo1LevelDesired&lt;$B181,"-",$C181))</f>
        <v>-</v>
      </c>
      <c r="AB181" s="1" t="str">
        <f t="shared" ref="AB181" si="12826">IF(LanBoo1LevelCurrent&gt;=$B181,"-",IF(LanBoo1LevelDesired&lt;$B181,"-",$D181))</f>
        <v>-</v>
      </c>
      <c r="AC181" s="21" t="str">
        <f t="shared" ref="AC181" si="12827">IF(LanBoo1LevelCurrent&gt;=$B181,"-",IF(LanBoo1LevelDesired&lt;$B181,"-",$E181))</f>
        <v>-</v>
      </c>
      <c r="AD181" s="15" t="str">
        <f t="shared" ref="AD181" si="12828">IF(MarGog1LevelCurrent&gt;=$B181,"-",IF(MarGog1LevelDesired&lt;$B181,"-",$C181))</f>
        <v>-</v>
      </c>
      <c r="AE181" s="1" t="str">
        <f t="shared" ref="AE181" si="12829">IF(MarGog1LevelCurrent&gt;=$B181,"-",IF(MarGog1LevelDesired&lt;$B181,"-",$D181))</f>
        <v>-</v>
      </c>
      <c r="AF181" s="21" t="str">
        <f t="shared" ref="AF181" si="12830">IF(MarGog1LevelCurrent&gt;=$B181,"-",IF(MarGog1LevelDesired&lt;$B181,"-",$E181))</f>
        <v>-</v>
      </c>
      <c r="AG181" s="15" t="str">
        <f t="shared" ref="AG181" si="12831">IF(MarGlo1LevelCurrent&gt;=$B181,"-",IF(MarGlo1LevelDesired&lt;$B181,"-",$C181))</f>
        <v>-</v>
      </c>
      <c r="AH181" s="1" t="str">
        <f t="shared" ref="AH181" si="12832">IF(MarGlo1LevelCurrent&gt;=$B181,"-",IF(MarGlo1LevelDesired&lt;$B181,"-",$D181))</f>
        <v>-</v>
      </c>
      <c r="AI181" s="21" t="str">
        <f t="shared" ref="AI181" si="12833">IF(MarGlo1LevelCurrent&gt;=$B181,"-",IF(MarGlo1LevelDesired&lt;$B181,"-",$E181))</f>
        <v>-</v>
      </c>
      <c r="AJ181" s="15" t="str">
        <f t="shared" ref="AJ181" si="12834">IF(MarBel1LevelCurrent&gt;=$B181,"-",IF(MarBel1LevelDesired&lt;$B181,"-",$C181))</f>
        <v>-</v>
      </c>
      <c r="AK181" s="1" t="str">
        <f t="shared" ref="AK181" si="12835">IF(MarBel1LevelCurrent&gt;=$B181,"-",IF(MarBel1LevelDesired&lt;$B181,"-",$D181))</f>
        <v>-</v>
      </c>
      <c r="AL181" s="21" t="str">
        <f t="shared" ref="AL181" si="12836">IF(MarBel1LevelCurrent&gt;=$B181,"-",IF(MarBel1LevelDesired&lt;$B181,"-",$E181))</f>
        <v>-</v>
      </c>
      <c r="AM181" s="15" t="str">
        <f t="shared" ref="AM181" si="12837">IF(MarBoo1LevelCurrent&gt;=$B181,"-",IF(MarBoo1LevelDesired&lt;$B181,"-",$C181))</f>
        <v>-</v>
      </c>
      <c r="AN181" s="1" t="str">
        <f t="shared" ref="AN181" si="12838">IF(MarBoo1LevelCurrent&gt;=$B181,"-",IF(MarBoo1LevelDesired&lt;$B181,"-",$D181))</f>
        <v>-</v>
      </c>
      <c r="AO181" s="21" t="str">
        <f t="shared" ref="AO181" si="12839">IF(MarBoo1LevelCurrent&gt;=$B181,"-",IF(MarBoo1LevelDesired&lt;$B181,"-",$E181))</f>
        <v>-</v>
      </c>
      <c r="AP181" s="15" t="str">
        <f t="shared" ref="AP181" si="12840">IF(InfGog2LevelCurrent&gt;=$B181,"-",IF(InfGog2LevelDesired&lt;$B181,"-",$C181))</f>
        <v>-</v>
      </c>
      <c r="AQ181" s="1" t="str">
        <f t="shared" ref="AQ181" si="12841">IF(InfGog2LevelCurrent&gt;=$B181,"-",IF(InfGog2LevelDesired&lt;$B181,"-",$D181))</f>
        <v>-</v>
      </c>
      <c r="AR181" s="21" t="str">
        <f t="shared" ref="AR181" si="12842">IF(InfGog2LevelCurrent&gt;=$B181,"-",IF(InfGog2LevelDesired&lt;$B181,"-",$E181))</f>
        <v>-</v>
      </c>
      <c r="AS181" s="15" t="str">
        <f t="shared" ref="AS181" si="12843">IF(InfGlo2LevelCurrent&gt;=$B181,"-",IF(InfGlo2LevelDesired&lt;$B181,"-",$C181))</f>
        <v>-</v>
      </c>
      <c r="AT181" s="1" t="str">
        <f t="shared" ref="AT181" si="12844">IF(InfGlo2LevelCurrent&gt;=$B181,"-",IF(InfGlo2LevelDesired&lt;$B181,"-",$D181))</f>
        <v>-</v>
      </c>
      <c r="AU181" s="21" t="str">
        <f t="shared" ref="AU181" si="12845">IF(InfGlo2LevelCurrent&gt;=$B181,"-",IF(InfGlo2LevelDesired&lt;$B181,"-",$E181))</f>
        <v>-</v>
      </c>
      <c r="AV181" s="15" t="str">
        <f t="shared" ref="AV181" si="12846">IF(InfBel2LevelCurrent&gt;=$B181,"-",IF(InfBel2LevelDesired&lt;$B181,"-",$C181))</f>
        <v>-</v>
      </c>
      <c r="AW181" s="1" t="str">
        <f t="shared" ref="AW181" si="12847">IF(InfBel2LevelCurrent&gt;=$B181,"-",IF(InfBel2LevelDesired&lt;$B181,"-",$D181))</f>
        <v>-</v>
      </c>
      <c r="AX181" s="21" t="str">
        <f t="shared" ref="AX181" si="12848">IF(InfBel2LevelCurrent&gt;=$B181,"-",IF(InfBel2LevelDesired&lt;$B181,"-",$E181))</f>
        <v>-</v>
      </c>
      <c r="AY181" s="15" t="str">
        <f t="shared" ref="AY181" si="12849">IF(InfBoo2LevelCurrent&gt;=$B181,"-",IF(InfBoo2LevelDesired&lt;$B181,"-",$C181))</f>
        <v>-</v>
      </c>
      <c r="AZ181" s="1" t="str">
        <f t="shared" ref="AZ181" si="12850">IF(InfBoo2LevelCurrent&gt;=$B181,"-",IF(InfBoo2LevelDesired&lt;$B181,"-",$D181))</f>
        <v>-</v>
      </c>
      <c r="BA181" s="21" t="str">
        <f t="shared" ref="BA181" si="12851">IF(InfBoo2LevelCurrent&gt;=$B181,"-",IF(InfBoo2LevelDesired&lt;$B181,"-",$E181))</f>
        <v>-</v>
      </c>
      <c r="BB181" s="15" t="str">
        <f t="shared" ref="BB181" si="12852">IF(LanGog2LevelCurrent&gt;=$B181,"-",IF(LanGog2LevelDesired&lt;$B181,"-",$C181))</f>
        <v>-</v>
      </c>
      <c r="BC181" s="1" t="str">
        <f t="shared" ref="BC181" si="12853">IF(LanGog2LevelCurrent&gt;=$B181,"-",IF(LanGog2LevelDesired&lt;$B181,"-",$D181))</f>
        <v>-</v>
      </c>
      <c r="BD181" s="21" t="str">
        <f t="shared" ref="BD181" si="12854">IF(LanGog2LevelCurrent&gt;=$B181,"-",IF(LanGog2LevelDesired&lt;$B181,"-",$E181))</f>
        <v>-</v>
      </c>
      <c r="BE181" s="15" t="str">
        <f t="shared" ref="BE181" si="12855">IF(LanGlo2LevelCurrent&gt;=$B181,"-",IF(LanGlo2LevelDesired&lt;$B181,"-",$C181))</f>
        <v>-</v>
      </c>
      <c r="BF181" s="1" t="str">
        <f t="shared" ref="BF181" si="12856">IF(LanGlo2LevelCurrent&gt;=$B181,"-",IF(LanGlo2LevelDesired&lt;$B181,"-",$D181))</f>
        <v>-</v>
      </c>
      <c r="BG181" s="21" t="str">
        <f t="shared" ref="BG181" si="12857">IF(LanGlo2LevelCurrent&gt;=$B181,"-",IF(LanGlo2LevelDesired&lt;$B181,"-",$E181))</f>
        <v>-</v>
      </c>
      <c r="BH181" s="15" t="str">
        <f t="shared" ref="BH181" si="12858">IF(LanBel2LevelCurrent&gt;=$B181,"-",IF(LanBel2LevelDesired&lt;$B181,"-",$C181))</f>
        <v>-</v>
      </c>
      <c r="BI181" s="1" t="str">
        <f t="shared" ref="BI181" si="12859">IF(LanBel2LevelCurrent&gt;=$B181,"-",IF(LanBel2LevelDesired&lt;$B181,"-",$D181))</f>
        <v>-</v>
      </c>
      <c r="BJ181" s="21" t="str">
        <f t="shared" ref="BJ181" si="12860">IF(LanBel2LevelCurrent&gt;=$B181,"-",IF(LanBel2LevelDesired&lt;$B181,"-",$E181))</f>
        <v>-</v>
      </c>
      <c r="BK181" s="15" t="str">
        <f t="shared" ref="BK181" si="12861">IF(LanBoo2LevelCurrent&gt;=$B181,"-",IF(LanBoo2LevelDesired&lt;$B181,"-",$C181))</f>
        <v>-</v>
      </c>
      <c r="BL181" s="1" t="str">
        <f t="shared" ref="BL181" si="12862">IF(LanBoo2LevelCurrent&gt;=$B181,"-",IF(LanBoo2LevelDesired&lt;$B181,"-",$D181))</f>
        <v>-</v>
      </c>
      <c r="BM181" s="21" t="str">
        <f t="shared" ref="BM181" si="12863">IF(LanBoo2LevelCurrent&gt;=$B181,"-",IF(LanBoo2LevelDesired&lt;$B181,"-",$E181))</f>
        <v>-</v>
      </c>
      <c r="BN181" s="15" t="str">
        <f t="shared" ref="BN181" si="12864">IF(MarGog2LevelCurrent&gt;=$B181,"-",IF(MarGog2LevelDesired&lt;$B181,"-",$C181))</f>
        <v>-</v>
      </c>
      <c r="BO181" s="1" t="str">
        <f t="shared" ref="BO181" si="12865">IF(MarGog2LevelCurrent&gt;=$B181,"-",IF(MarGog2LevelDesired&lt;$B181,"-",$D181))</f>
        <v>-</v>
      </c>
      <c r="BP181" s="21" t="str">
        <f t="shared" ref="BP181" si="12866">IF(MarGog2LevelCurrent&gt;=$B181,"-",IF(MarGog2LevelDesired&lt;$B181,"-",$E181))</f>
        <v>-</v>
      </c>
      <c r="BQ181" s="15" t="str">
        <f t="shared" ref="BQ181" si="12867">IF(MarGlo2LevelCurrent&gt;=$B181,"-",IF(MarGlo2LevelDesired&lt;$B181,"-",$C181))</f>
        <v>-</v>
      </c>
      <c r="BR181" s="1" t="str">
        <f t="shared" ref="BR181" si="12868">IF(MarGlo2LevelCurrent&gt;=$B181,"-",IF(MarGlo2LevelDesired&lt;$B181,"-",$D181))</f>
        <v>-</v>
      </c>
      <c r="BS181" s="21" t="str">
        <f t="shared" ref="BS181" si="12869">IF(MarGlo2LevelCurrent&gt;=$B181,"-",IF(MarGlo2LevelDesired&lt;$B181,"-",$E181))</f>
        <v>-</v>
      </c>
      <c r="BT181" s="15" t="str">
        <f t="shared" ref="BT181" si="12870">IF(MarBel2LevelCurrent&gt;=$B181,"-",IF(MarBel2LevelDesired&lt;$B181,"-",$C181))</f>
        <v>-</v>
      </c>
      <c r="BU181" s="1" t="str">
        <f t="shared" ref="BU181" si="12871">IF(MarBel2LevelCurrent&gt;=$B181,"-",IF(MarBel2LevelDesired&lt;$B181,"-",$D181))</f>
        <v>-</v>
      </c>
      <c r="BV181" s="21" t="str">
        <f t="shared" ref="BV181" si="12872">IF(MarBel2LevelCurrent&gt;=$B181,"-",IF(MarBel2LevelDesired&lt;$B181,"-",$E181))</f>
        <v>-</v>
      </c>
      <c r="BW181" s="15" t="str">
        <f t="shared" ref="BW181" si="12873">IF(MarBoo2LevelCurrent&gt;=$B181,"-",IF(MarBoo2LevelDesired&lt;$B181,"-",$C181))</f>
        <v>-</v>
      </c>
      <c r="BX181" s="1" t="str">
        <f t="shared" ref="BX181" si="12874">IF(MarBoo2LevelCurrent&gt;=$B181,"-",IF(MarBoo2LevelDesired&lt;$B181,"-",$D181))</f>
        <v>-</v>
      </c>
      <c r="BY181" s="21" t="str">
        <f t="shared" ref="BY181" si="12875">IF(MarBoo2LevelCurrent&gt;=$B181,"-",IF(MarBoo2LevelDesired&lt;$B181,"-",$E181))</f>
        <v>-</v>
      </c>
      <c r="BZ181" s="15" t="str">
        <f t="shared" si="11762"/>
        <v>-</v>
      </c>
      <c r="CA181" s="1" t="str" cm="1">
        <f t="array" ref="CA181">IF(InfGog3LevelCurrent&gt;=$B181,"-",IF(InfGog3LevelDesired&lt;$B181,"-",$D181))</f>
        <v>-</v>
      </c>
      <c r="CB181" s="21" t="str" cm="1">
        <f t="array" ref="CB181">IF(InfGog3LevelCurrent&gt;=$B181,"-",IF(InfGog3LevelDesired&lt;$B181,"-",$E181))</f>
        <v>-</v>
      </c>
      <c r="CC181" s="15" t="str">
        <f t="shared" si="11763"/>
        <v>-</v>
      </c>
      <c r="CD181" s="1" t="str">
        <f t="shared" si="11764"/>
        <v>-</v>
      </c>
      <c r="CE181" s="21" t="str">
        <f t="shared" si="11765"/>
        <v>-</v>
      </c>
      <c r="CF181" s="15" t="str">
        <f t="shared" si="11766"/>
        <v>-</v>
      </c>
      <c r="CG181" s="1" t="str">
        <f t="shared" si="11767"/>
        <v>-</v>
      </c>
      <c r="CH181" s="21" t="str">
        <f t="shared" si="11768"/>
        <v>-</v>
      </c>
      <c r="CI181" s="15" t="str">
        <f t="shared" si="11769"/>
        <v>-</v>
      </c>
      <c r="CJ181" s="1" t="str">
        <f t="shared" si="11770"/>
        <v>-</v>
      </c>
      <c r="CK181" s="21" t="str">
        <f t="shared" si="11771"/>
        <v>-</v>
      </c>
      <c r="CL181" s="15" t="str">
        <f t="shared" si="11772"/>
        <v>-</v>
      </c>
      <c r="CM181" s="1" t="str">
        <f t="shared" si="11773"/>
        <v>-</v>
      </c>
      <c r="CN181" s="21" t="str">
        <f t="shared" si="11774"/>
        <v>-</v>
      </c>
      <c r="CO181" s="15" t="str">
        <f t="shared" si="11775"/>
        <v>-</v>
      </c>
      <c r="CP181" s="1" t="str">
        <f t="shared" si="11776"/>
        <v>-</v>
      </c>
      <c r="CQ181" s="21" t="str">
        <f t="shared" si="11777"/>
        <v>-</v>
      </c>
      <c r="CR181" s="15" t="str">
        <f t="shared" si="11778"/>
        <v>-</v>
      </c>
      <c r="CS181" s="1" t="str">
        <f t="shared" si="11779"/>
        <v>-</v>
      </c>
      <c r="CT181" s="21" t="str">
        <f t="shared" si="11780"/>
        <v>-</v>
      </c>
      <c r="CU181" s="15" t="str">
        <f t="shared" si="11781"/>
        <v>-</v>
      </c>
      <c r="CV181" s="1" t="str">
        <f t="shared" si="11782"/>
        <v>-</v>
      </c>
      <c r="CW181" s="21" t="str">
        <f t="shared" si="11783"/>
        <v>-</v>
      </c>
      <c r="CX181" s="15" t="str">
        <f t="shared" si="11784"/>
        <v>-</v>
      </c>
      <c r="CY181" s="1" t="str">
        <f t="shared" si="11785"/>
        <v>-</v>
      </c>
      <c r="CZ181" s="21" t="str">
        <f t="shared" si="11786"/>
        <v>-</v>
      </c>
      <c r="DA181" s="15" t="str">
        <f t="shared" si="11787"/>
        <v>-</v>
      </c>
      <c r="DB181" s="1" t="str">
        <f t="shared" si="11788"/>
        <v>-</v>
      </c>
      <c r="DC181" s="21" t="str">
        <f t="shared" si="11789"/>
        <v>-</v>
      </c>
      <c r="DD181" s="15" t="str">
        <f t="shared" si="11790"/>
        <v>-</v>
      </c>
      <c r="DE181" s="1" t="str">
        <f t="shared" si="11791"/>
        <v>-</v>
      </c>
      <c r="DF181" s="21" t="str">
        <f t="shared" si="11792"/>
        <v>-</v>
      </c>
      <c r="DG181" s="15" t="str">
        <f t="shared" si="11793"/>
        <v>-</v>
      </c>
      <c r="DH181" s="1" t="str">
        <f t="shared" si="11794"/>
        <v>-</v>
      </c>
      <c r="DI181" s="21" t="str">
        <f t="shared" si="11795"/>
        <v>-</v>
      </c>
    </row>
    <row r="182" spans="2:113" x14ac:dyDescent="0.3">
      <c r="B182" s="1">
        <v>177</v>
      </c>
      <c r="C182" s="67">
        <v>7100</v>
      </c>
      <c r="D182" s="88" t="s">
        <v>27</v>
      </c>
      <c r="E182" s="68" t="s">
        <v>27</v>
      </c>
      <c r="F182" s="15" t="str">
        <f t="shared" ref="F182" si="12876">IF(InfGog1LevelCurrent&gt;=$B182,"-",IF(InfGog1LevelDesired&lt;$B182,"-",$C182))</f>
        <v>-</v>
      </c>
      <c r="G182" s="1" t="str">
        <f t="shared" ref="G182" si="12877">IF(InfGog1LevelCurrent&gt;=$B182,"-",IF(InfGog1LevelDesired&lt;$B182,"-",$D182))</f>
        <v>-</v>
      </c>
      <c r="H182" s="21" t="str">
        <f t="shared" ref="H182" si="12878">IF(InfGog1LevelCurrent&gt;=$B182,"-",IF(InfGog1LevelDesired&lt;$B182,"-",$E182))</f>
        <v>-</v>
      </c>
      <c r="I182" s="15" t="str">
        <f t="shared" ref="I182" si="12879">IF(InfGlo1LevelCurrent&gt;=$B182,"-",IF(InfGlo1LevelDesired&lt;$B182,"-",$C182))</f>
        <v>-</v>
      </c>
      <c r="J182" s="1" t="str">
        <f t="shared" ref="J182" si="12880">IF(InfGlo1LevelCurrent&gt;=$B182,"-",IF(InfGlo1LevelDesired&lt;$B182,"-",$D182))</f>
        <v>-</v>
      </c>
      <c r="K182" s="21" t="str">
        <f t="shared" ref="K182" si="12881">IF(InfGlo1LevelCurrent&gt;=$B182,"-",IF(InfGlo1LevelDesired&lt;$B182,"-",$E182))</f>
        <v>-</v>
      </c>
      <c r="L182" s="15" t="str">
        <f t="shared" ref="L182" si="12882">IF(InfBel1LevelCurrent&gt;=$B182,"-",IF(InfBel1LevelDesired&lt;$B182,"-",$C182))</f>
        <v>-</v>
      </c>
      <c r="M182" s="1" t="str">
        <f t="shared" ref="M182" si="12883">IF(InfBel1LevelCurrent&gt;=$B182,"-",IF(InfBel1LevelDesired&lt;$B182,"-",$D182))</f>
        <v>-</v>
      </c>
      <c r="N182" s="21" t="str">
        <f t="shared" ref="N182" si="12884">IF(InfBel1LevelCurrent&gt;=$B182,"-",IF(InfBel1LevelDesired&lt;$B182,"-",$E182))</f>
        <v>-</v>
      </c>
      <c r="O182" s="15" t="str">
        <f t="shared" ref="O182" si="12885">IF(InfBoo1LevelCurrent&gt;=$B182,"-",IF(InfBoo1LevelDesired&lt;$B182,"-",$C182))</f>
        <v>-</v>
      </c>
      <c r="P182" s="1" t="str">
        <f t="shared" ref="P182" si="12886">IF(InfBoo1LevelCurrent&gt;=$B182,"-",IF(InfBoo1LevelDesired&lt;$B182,"-",$D182))</f>
        <v>-</v>
      </c>
      <c r="Q182" s="21" t="str">
        <f t="shared" ref="Q182" si="12887">IF(InfBoo1LevelCurrent&gt;=$B182,"-",IF(InfBoo1LevelDesired&lt;$B182,"-",$E182))</f>
        <v>-</v>
      </c>
      <c r="R182" s="15" t="str">
        <f t="shared" ref="R182" si="12888">IF(LanGog1LevelCurrent&gt;=$B182,"-",IF(LanGog1LevelDesired&lt;$B182,"-",$C182))</f>
        <v>-</v>
      </c>
      <c r="S182" s="1" t="str">
        <f t="shared" ref="S182" si="12889">IF(LanGog1LevelCurrent&gt;=$B182,"-",IF(LanGog1LevelDesired&lt;$B182,"-",$D182))</f>
        <v>-</v>
      </c>
      <c r="T182" s="21" t="str">
        <f t="shared" ref="T182" si="12890">IF(LanGog1LevelCurrent&gt;=$B182,"-",IF(LanGog1LevelDesired&lt;$B182,"-",$E182))</f>
        <v>-</v>
      </c>
      <c r="U182" s="15" t="str">
        <f t="shared" ref="U182" si="12891">IF(LanGlo1LevelCurrent&gt;=$B182,"-",IF(LanGlo1LevelDesired&lt;$B182,"-",$C182))</f>
        <v>-</v>
      </c>
      <c r="V182" s="1" t="str">
        <f t="shared" ref="V182" si="12892">IF(LanGlo1LevelCurrent&gt;=$B182,"-",IF(LanGlo1LevelDesired&lt;$B182,"-",$D182))</f>
        <v>-</v>
      </c>
      <c r="W182" s="21" t="str">
        <f t="shared" ref="W182" si="12893">IF(LanGlo1LevelCurrent&gt;=$B182,"-",IF(LanGlo1LevelDesired&lt;$B182,"-",$E182))</f>
        <v>-</v>
      </c>
      <c r="X182" s="15" t="str">
        <f t="shared" ref="X182" si="12894">IF(LanBel1LevelCurrent&gt;=$B182,"-",IF(LanBel1LevelDesired&lt;$B182,"-",$C182))</f>
        <v>-</v>
      </c>
      <c r="Y182" s="1" t="str">
        <f t="shared" ref="Y182" si="12895">IF(LanBel1LevelCurrent&gt;=$B182,"-",IF(LanBel1LevelDesired&lt;$B182,"-",$D182))</f>
        <v>-</v>
      </c>
      <c r="Z182" s="21" t="str">
        <f t="shared" ref="Z182" si="12896">IF(LanBel1LevelCurrent&gt;=$B182,"-",IF(LanBel1LevelDesired&lt;$B182,"-",$E182))</f>
        <v>-</v>
      </c>
      <c r="AA182" s="15" t="str">
        <f t="shared" ref="AA182" si="12897">IF(LanBoo1LevelCurrent&gt;=$B182,"-",IF(LanBoo1LevelDesired&lt;$B182,"-",$C182))</f>
        <v>-</v>
      </c>
      <c r="AB182" s="1" t="str">
        <f t="shared" ref="AB182" si="12898">IF(LanBoo1LevelCurrent&gt;=$B182,"-",IF(LanBoo1LevelDesired&lt;$B182,"-",$D182))</f>
        <v>-</v>
      </c>
      <c r="AC182" s="21" t="str">
        <f t="shared" ref="AC182" si="12899">IF(LanBoo1LevelCurrent&gt;=$B182,"-",IF(LanBoo1LevelDesired&lt;$B182,"-",$E182))</f>
        <v>-</v>
      </c>
      <c r="AD182" s="15" t="str">
        <f t="shared" ref="AD182" si="12900">IF(MarGog1LevelCurrent&gt;=$B182,"-",IF(MarGog1LevelDesired&lt;$B182,"-",$C182))</f>
        <v>-</v>
      </c>
      <c r="AE182" s="1" t="str">
        <f t="shared" ref="AE182" si="12901">IF(MarGog1LevelCurrent&gt;=$B182,"-",IF(MarGog1LevelDesired&lt;$B182,"-",$D182))</f>
        <v>-</v>
      </c>
      <c r="AF182" s="21" t="str">
        <f t="shared" ref="AF182" si="12902">IF(MarGog1LevelCurrent&gt;=$B182,"-",IF(MarGog1LevelDesired&lt;$B182,"-",$E182))</f>
        <v>-</v>
      </c>
      <c r="AG182" s="15" t="str">
        <f t="shared" ref="AG182" si="12903">IF(MarGlo1LevelCurrent&gt;=$B182,"-",IF(MarGlo1LevelDesired&lt;$B182,"-",$C182))</f>
        <v>-</v>
      </c>
      <c r="AH182" s="1" t="str">
        <f t="shared" ref="AH182" si="12904">IF(MarGlo1LevelCurrent&gt;=$B182,"-",IF(MarGlo1LevelDesired&lt;$B182,"-",$D182))</f>
        <v>-</v>
      </c>
      <c r="AI182" s="21" t="str">
        <f t="shared" ref="AI182" si="12905">IF(MarGlo1LevelCurrent&gt;=$B182,"-",IF(MarGlo1LevelDesired&lt;$B182,"-",$E182))</f>
        <v>-</v>
      </c>
      <c r="AJ182" s="15" t="str">
        <f t="shared" ref="AJ182" si="12906">IF(MarBel1LevelCurrent&gt;=$B182,"-",IF(MarBel1LevelDesired&lt;$B182,"-",$C182))</f>
        <v>-</v>
      </c>
      <c r="AK182" s="1" t="str">
        <f t="shared" ref="AK182" si="12907">IF(MarBel1LevelCurrent&gt;=$B182,"-",IF(MarBel1LevelDesired&lt;$B182,"-",$D182))</f>
        <v>-</v>
      </c>
      <c r="AL182" s="21" t="str">
        <f t="shared" ref="AL182" si="12908">IF(MarBel1LevelCurrent&gt;=$B182,"-",IF(MarBel1LevelDesired&lt;$B182,"-",$E182))</f>
        <v>-</v>
      </c>
      <c r="AM182" s="15" t="str">
        <f t="shared" ref="AM182" si="12909">IF(MarBoo1LevelCurrent&gt;=$B182,"-",IF(MarBoo1LevelDesired&lt;$B182,"-",$C182))</f>
        <v>-</v>
      </c>
      <c r="AN182" s="1" t="str">
        <f t="shared" ref="AN182" si="12910">IF(MarBoo1LevelCurrent&gt;=$B182,"-",IF(MarBoo1LevelDesired&lt;$B182,"-",$D182))</f>
        <v>-</v>
      </c>
      <c r="AO182" s="21" t="str">
        <f t="shared" ref="AO182" si="12911">IF(MarBoo1LevelCurrent&gt;=$B182,"-",IF(MarBoo1LevelDesired&lt;$B182,"-",$E182))</f>
        <v>-</v>
      </c>
      <c r="AP182" s="15" t="str">
        <f t="shared" ref="AP182" si="12912">IF(InfGog2LevelCurrent&gt;=$B182,"-",IF(InfGog2LevelDesired&lt;$B182,"-",$C182))</f>
        <v>-</v>
      </c>
      <c r="AQ182" s="1" t="str">
        <f t="shared" ref="AQ182" si="12913">IF(InfGog2LevelCurrent&gt;=$B182,"-",IF(InfGog2LevelDesired&lt;$B182,"-",$D182))</f>
        <v>-</v>
      </c>
      <c r="AR182" s="21" t="str">
        <f t="shared" ref="AR182" si="12914">IF(InfGog2LevelCurrent&gt;=$B182,"-",IF(InfGog2LevelDesired&lt;$B182,"-",$E182))</f>
        <v>-</v>
      </c>
      <c r="AS182" s="15" t="str">
        <f t="shared" ref="AS182" si="12915">IF(InfGlo2LevelCurrent&gt;=$B182,"-",IF(InfGlo2LevelDesired&lt;$B182,"-",$C182))</f>
        <v>-</v>
      </c>
      <c r="AT182" s="1" t="str">
        <f t="shared" ref="AT182" si="12916">IF(InfGlo2LevelCurrent&gt;=$B182,"-",IF(InfGlo2LevelDesired&lt;$B182,"-",$D182))</f>
        <v>-</v>
      </c>
      <c r="AU182" s="21" t="str">
        <f t="shared" ref="AU182" si="12917">IF(InfGlo2LevelCurrent&gt;=$B182,"-",IF(InfGlo2LevelDesired&lt;$B182,"-",$E182))</f>
        <v>-</v>
      </c>
      <c r="AV182" s="15" t="str">
        <f t="shared" ref="AV182" si="12918">IF(InfBel2LevelCurrent&gt;=$B182,"-",IF(InfBel2LevelDesired&lt;$B182,"-",$C182))</f>
        <v>-</v>
      </c>
      <c r="AW182" s="1" t="str">
        <f t="shared" ref="AW182" si="12919">IF(InfBel2LevelCurrent&gt;=$B182,"-",IF(InfBel2LevelDesired&lt;$B182,"-",$D182))</f>
        <v>-</v>
      </c>
      <c r="AX182" s="21" t="str">
        <f t="shared" ref="AX182" si="12920">IF(InfBel2LevelCurrent&gt;=$B182,"-",IF(InfBel2LevelDesired&lt;$B182,"-",$E182))</f>
        <v>-</v>
      </c>
      <c r="AY182" s="15" t="str">
        <f t="shared" ref="AY182" si="12921">IF(InfBoo2LevelCurrent&gt;=$B182,"-",IF(InfBoo2LevelDesired&lt;$B182,"-",$C182))</f>
        <v>-</v>
      </c>
      <c r="AZ182" s="1" t="str">
        <f t="shared" ref="AZ182" si="12922">IF(InfBoo2LevelCurrent&gt;=$B182,"-",IF(InfBoo2LevelDesired&lt;$B182,"-",$D182))</f>
        <v>-</v>
      </c>
      <c r="BA182" s="21" t="str">
        <f t="shared" ref="BA182" si="12923">IF(InfBoo2LevelCurrent&gt;=$B182,"-",IF(InfBoo2LevelDesired&lt;$B182,"-",$E182))</f>
        <v>-</v>
      </c>
      <c r="BB182" s="15" t="str">
        <f t="shared" ref="BB182" si="12924">IF(LanGog2LevelCurrent&gt;=$B182,"-",IF(LanGog2LevelDesired&lt;$B182,"-",$C182))</f>
        <v>-</v>
      </c>
      <c r="BC182" s="1" t="str">
        <f t="shared" ref="BC182" si="12925">IF(LanGog2LevelCurrent&gt;=$B182,"-",IF(LanGog2LevelDesired&lt;$B182,"-",$D182))</f>
        <v>-</v>
      </c>
      <c r="BD182" s="21" t="str">
        <f t="shared" ref="BD182" si="12926">IF(LanGog2LevelCurrent&gt;=$B182,"-",IF(LanGog2LevelDesired&lt;$B182,"-",$E182))</f>
        <v>-</v>
      </c>
      <c r="BE182" s="15" t="str">
        <f t="shared" ref="BE182" si="12927">IF(LanGlo2LevelCurrent&gt;=$B182,"-",IF(LanGlo2LevelDesired&lt;$B182,"-",$C182))</f>
        <v>-</v>
      </c>
      <c r="BF182" s="1" t="str">
        <f t="shared" ref="BF182" si="12928">IF(LanGlo2LevelCurrent&gt;=$B182,"-",IF(LanGlo2LevelDesired&lt;$B182,"-",$D182))</f>
        <v>-</v>
      </c>
      <c r="BG182" s="21" t="str">
        <f t="shared" ref="BG182" si="12929">IF(LanGlo2LevelCurrent&gt;=$B182,"-",IF(LanGlo2LevelDesired&lt;$B182,"-",$E182))</f>
        <v>-</v>
      </c>
      <c r="BH182" s="15" t="str">
        <f t="shared" ref="BH182" si="12930">IF(LanBel2LevelCurrent&gt;=$B182,"-",IF(LanBel2LevelDesired&lt;$B182,"-",$C182))</f>
        <v>-</v>
      </c>
      <c r="BI182" s="1" t="str">
        <f t="shared" ref="BI182" si="12931">IF(LanBel2LevelCurrent&gt;=$B182,"-",IF(LanBel2LevelDesired&lt;$B182,"-",$D182))</f>
        <v>-</v>
      </c>
      <c r="BJ182" s="21" t="str">
        <f t="shared" ref="BJ182" si="12932">IF(LanBel2LevelCurrent&gt;=$B182,"-",IF(LanBel2LevelDesired&lt;$B182,"-",$E182))</f>
        <v>-</v>
      </c>
      <c r="BK182" s="15" t="str">
        <f t="shared" ref="BK182" si="12933">IF(LanBoo2LevelCurrent&gt;=$B182,"-",IF(LanBoo2LevelDesired&lt;$B182,"-",$C182))</f>
        <v>-</v>
      </c>
      <c r="BL182" s="1" t="str">
        <f t="shared" ref="BL182" si="12934">IF(LanBoo2LevelCurrent&gt;=$B182,"-",IF(LanBoo2LevelDesired&lt;$B182,"-",$D182))</f>
        <v>-</v>
      </c>
      <c r="BM182" s="21" t="str">
        <f t="shared" ref="BM182" si="12935">IF(LanBoo2LevelCurrent&gt;=$B182,"-",IF(LanBoo2LevelDesired&lt;$B182,"-",$E182))</f>
        <v>-</v>
      </c>
      <c r="BN182" s="15" t="str">
        <f t="shared" ref="BN182" si="12936">IF(MarGog2LevelCurrent&gt;=$B182,"-",IF(MarGog2LevelDesired&lt;$B182,"-",$C182))</f>
        <v>-</v>
      </c>
      <c r="BO182" s="1" t="str">
        <f t="shared" ref="BO182" si="12937">IF(MarGog2LevelCurrent&gt;=$B182,"-",IF(MarGog2LevelDesired&lt;$B182,"-",$D182))</f>
        <v>-</v>
      </c>
      <c r="BP182" s="21" t="str">
        <f t="shared" ref="BP182" si="12938">IF(MarGog2LevelCurrent&gt;=$B182,"-",IF(MarGog2LevelDesired&lt;$B182,"-",$E182))</f>
        <v>-</v>
      </c>
      <c r="BQ182" s="15" t="str">
        <f t="shared" ref="BQ182" si="12939">IF(MarGlo2LevelCurrent&gt;=$B182,"-",IF(MarGlo2LevelDesired&lt;$B182,"-",$C182))</f>
        <v>-</v>
      </c>
      <c r="BR182" s="1" t="str">
        <f t="shared" ref="BR182" si="12940">IF(MarGlo2LevelCurrent&gt;=$B182,"-",IF(MarGlo2LevelDesired&lt;$B182,"-",$D182))</f>
        <v>-</v>
      </c>
      <c r="BS182" s="21" t="str">
        <f t="shared" ref="BS182" si="12941">IF(MarGlo2LevelCurrent&gt;=$B182,"-",IF(MarGlo2LevelDesired&lt;$B182,"-",$E182))</f>
        <v>-</v>
      </c>
      <c r="BT182" s="15" t="str">
        <f t="shared" ref="BT182" si="12942">IF(MarBel2LevelCurrent&gt;=$B182,"-",IF(MarBel2LevelDesired&lt;$B182,"-",$C182))</f>
        <v>-</v>
      </c>
      <c r="BU182" s="1" t="str">
        <f t="shared" ref="BU182" si="12943">IF(MarBel2LevelCurrent&gt;=$B182,"-",IF(MarBel2LevelDesired&lt;$B182,"-",$D182))</f>
        <v>-</v>
      </c>
      <c r="BV182" s="21" t="str">
        <f t="shared" ref="BV182" si="12944">IF(MarBel2LevelCurrent&gt;=$B182,"-",IF(MarBel2LevelDesired&lt;$B182,"-",$E182))</f>
        <v>-</v>
      </c>
      <c r="BW182" s="15" t="str">
        <f t="shared" ref="BW182" si="12945">IF(MarBoo2LevelCurrent&gt;=$B182,"-",IF(MarBoo2LevelDesired&lt;$B182,"-",$C182))</f>
        <v>-</v>
      </c>
      <c r="BX182" s="1" t="str">
        <f t="shared" ref="BX182" si="12946">IF(MarBoo2LevelCurrent&gt;=$B182,"-",IF(MarBoo2LevelDesired&lt;$B182,"-",$D182))</f>
        <v>-</v>
      </c>
      <c r="BY182" s="21" t="str">
        <f t="shared" ref="BY182" si="12947">IF(MarBoo2LevelCurrent&gt;=$B182,"-",IF(MarBoo2LevelDesired&lt;$B182,"-",$E182))</f>
        <v>-</v>
      </c>
      <c r="BZ182" s="15" t="str">
        <f t="shared" si="11762"/>
        <v>-</v>
      </c>
      <c r="CA182" s="1" t="str" cm="1">
        <f t="array" ref="CA182">IF(InfGog3LevelCurrent&gt;=$B182,"-",IF(InfGog3LevelDesired&lt;$B182,"-",$D182))</f>
        <v>-</v>
      </c>
      <c r="CB182" s="21" t="str" cm="1">
        <f t="array" ref="CB182">IF(InfGog3LevelCurrent&gt;=$B182,"-",IF(InfGog3LevelDesired&lt;$B182,"-",$E182))</f>
        <v>-</v>
      </c>
      <c r="CC182" s="15" t="str">
        <f t="shared" si="11763"/>
        <v>-</v>
      </c>
      <c r="CD182" s="1" t="str">
        <f t="shared" si="11764"/>
        <v>-</v>
      </c>
      <c r="CE182" s="21" t="str">
        <f t="shared" si="11765"/>
        <v>-</v>
      </c>
      <c r="CF182" s="15" t="str">
        <f t="shared" si="11766"/>
        <v>-</v>
      </c>
      <c r="CG182" s="1" t="str">
        <f t="shared" si="11767"/>
        <v>-</v>
      </c>
      <c r="CH182" s="21" t="str">
        <f t="shared" si="11768"/>
        <v>-</v>
      </c>
      <c r="CI182" s="15" t="str">
        <f t="shared" si="11769"/>
        <v>-</v>
      </c>
      <c r="CJ182" s="1" t="str">
        <f t="shared" si="11770"/>
        <v>-</v>
      </c>
      <c r="CK182" s="21" t="str">
        <f t="shared" si="11771"/>
        <v>-</v>
      </c>
      <c r="CL182" s="15" t="str">
        <f t="shared" si="11772"/>
        <v>-</v>
      </c>
      <c r="CM182" s="1" t="str">
        <f t="shared" si="11773"/>
        <v>-</v>
      </c>
      <c r="CN182" s="21" t="str">
        <f t="shared" si="11774"/>
        <v>-</v>
      </c>
      <c r="CO182" s="15" t="str">
        <f t="shared" si="11775"/>
        <v>-</v>
      </c>
      <c r="CP182" s="1" t="str">
        <f t="shared" si="11776"/>
        <v>-</v>
      </c>
      <c r="CQ182" s="21" t="str">
        <f t="shared" si="11777"/>
        <v>-</v>
      </c>
      <c r="CR182" s="15" t="str">
        <f t="shared" si="11778"/>
        <v>-</v>
      </c>
      <c r="CS182" s="1" t="str">
        <f t="shared" si="11779"/>
        <v>-</v>
      </c>
      <c r="CT182" s="21" t="str">
        <f t="shared" si="11780"/>
        <v>-</v>
      </c>
      <c r="CU182" s="15" t="str">
        <f t="shared" si="11781"/>
        <v>-</v>
      </c>
      <c r="CV182" s="1" t="str">
        <f t="shared" si="11782"/>
        <v>-</v>
      </c>
      <c r="CW182" s="21" t="str">
        <f t="shared" si="11783"/>
        <v>-</v>
      </c>
      <c r="CX182" s="15" t="str">
        <f t="shared" si="11784"/>
        <v>-</v>
      </c>
      <c r="CY182" s="1" t="str">
        <f t="shared" si="11785"/>
        <v>-</v>
      </c>
      <c r="CZ182" s="21" t="str">
        <f t="shared" si="11786"/>
        <v>-</v>
      </c>
      <c r="DA182" s="15" t="str">
        <f t="shared" si="11787"/>
        <v>-</v>
      </c>
      <c r="DB182" s="1" t="str">
        <f t="shared" si="11788"/>
        <v>-</v>
      </c>
      <c r="DC182" s="21" t="str">
        <f t="shared" si="11789"/>
        <v>-</v>
      </c>
      <c r="DD182" s="15" t="str">
        <f t="shared" si="11790"/>
        <v>-</v>
      </c>
      <c r="DE182" s="1" t="str">
        <f t="shared" si="11791"/>
        <v>-</v>
      </c>
      <c r="DF182" s="21" t="str">
        <f t="shared" si="11792"/>
        <v>-</v>
      </c>
      <c r="DG182" s="15" t="str">
        <f t="shared" si="11793"/>
        <v>-</v>
      </c>
      <c r="DH182" s="1" t="str">
        <f t="shared" si="11794"/>
        <v>-</v>
      </c>
      <c r="DI182" s="21" t="str">
        <f t="shared" si="11795"/>
        <v>-</v>
      </c>
    </row>
    <row r="183" spans="2:113" x14ac:dyDescent="0.3">
      <c r="B183" s="1">
        <v>178</v>
      </c>
      <c r="C183" s="67">
        <v>7200</v>
      </c>
      <c r="D183" s="88" t="s">
        <v>27</v>
      </c>
      <c r="E183" s="68" t="s">
        <v>27</v>
      </c>
      <c r="F183" s="15" t="str">
        <f t="shared" ref="F183" si="12948">IF(InfGog1LevelCurrent&gt;=$B183,"-",IF(InfGog1LevelDesired&lt;$B183,"-",$C183))</f>
        <v>-</v>
      </c>
      <c r="G183" s="1" t="str">
        <f t="shared" ref="G183" si="12949">IF(InfGog1LevelCurrent&gt;=$B183,"-",IF(InfGog1LevelDesired&lt;$B183,"-",$D183))</f>
        <v>-</v>
      </c>
      <c r="H183" s="21" t="str">
        <f t="shared" ref="H183" si="12950">IF(InfGog1LevelCurrent&gt;=$B183,"-",IF(InfGog1LevelDesired&lt;$B183,"-",$E183))</f>
        <v>-</v>
      </c>
      <c r="I183" s="15" t="str">
        <f t="shared" ref="I183" si="12951">IF(InfGlo1LevelCurrent&gt;=$B183,"-",IF(InfGlo1LevelDesired&lt;$B183,"-",$C183))</f>
        <v>-</v>
      </c>
      <c r="J183" s="1" t="str">
        <f t="shared" ref="J183" si="12952">IF(InfGlo1LevelCurrent&gt;=$B183,"-",IF(InfGlo1LevelDesired&lt;$B183,"-",$D183))</f>
        <v>-</v>
      </c>
      <c r="K183" s="21" t="str">
        <f t="shared" ref="K183" si="12953">IF(InfGlo1LevelCurrent&gt;=$B183,"-",IF(InfGlo1LevelDesired&lt;$B183,"-",$E183))</f>
        <v>-</v>
      </c>
      <c r="L183" s="15" t="str">
        <f t="shared" ref="L183" si="12954">IF(InfBel1LevelCurrent&gt;=$B183,"-",IF(InfBel1LevelDesired&lt;$B183,"-",$C183))</f>
        <v>-</v>
      </c>
      <c r="M183" s="1" t="str">
        <f t="shared" ref="M183" si="12955">IF(InfBel1LevelCurrent&gt;=$B183,"-",IF(InfBel1LevelDesired&lt;$B183,"-",$D183))</f>
        <v>-</v>
      </c>
      <c r="N183" s="21" t="str">
        <f t="shared" ref="N183" si="12956">IF(InfBel1LevelCurrent&gt;=$B183,"-",IF(InfBel1LevelDesired&lt;$B183,"-",$E183))</f>
        <v>-</v>
      </c>
      <c r="O183" s="15" t="str">
        <f t="shared" ref="O183" si="12957">IF(InfBoo1LevelCurrent&gt;=$B183,"-",IF(InfBoo1LevelDesired&lt;$B183,"-",$C183))</f>
        <v>-</v>
      </c>
      <c r="P183" s="1" t="str">
        <f t="shared" ref="P183" si="12958">IF(InfBoo1LevelCurrent&gt;=$B183,"-",IF(InfBoo1LevelDesired&lt;$B183,"-",$D183))</f>
        <v>-</v>
      </c>
      <c r="Q183" s="21" t="str">
        <f t="shared" ref="Q183" si="12959">IF(InfBoo1LevelCurrent&gt;=$B183,"-",IF(InfBoo1LevelDesired&lt;$B183,"-",$E183))</f>
        <v>-</v>
      </c>
      <c r="R183" s="15" t="str">
        <f t="shared" ref="R183" si="12960">IF(LanGog1LevelCurrent&gt;=$B183,"-",IF(LanGog1LevelDesired&lt;$B183,"-",$C183))</f>
        <v>-</v>
      </c>
      <c r="S183" s="1" t="str">
        <f t="shared" ref="S183" si="12961">IF(LanGog1LevelCurrent&gt;=$B183,"-",IF(LanGog1LevelDesired&lt;$B183,"-",$D183))</f>
        <v>-</v>
      </c>
      <c r="T183" s="21" t="str">
        <f t="shared" ref="T183" si="12962">IF(LanGog1LevelCurrent&gt;=$B183,"-",IF(LanGog1LevelDesired&lt;$B183,"-",$E183))</f>
        <v>-</v>
      </c>
      <c r="U183" s="15" t="str">
        <f t="shared" ref="U183" si="12963">IF(LanGlo1LevelCurrent&gt;=$B183,"-",IF(LanGlo1LevelDesired&lt;$B183,"-",$C183))</f>
        <v>-</v>
      </c>
      <c r="V183" s="1" t="str">
        <f t="shared" ref="V183" si="12964">IF(LanGlo1LevelCurrent&gt;=$B183,"-",IF(LanGlo1LevelDesired&lt;$B183,"-",$D183))</f>
        <v>-</v>
      </c>
      <c r="W183" s="21" t="str">
        <f t="shared" ref="W183" si="12965">IF(LanGlo1LevelCurrent&gt;=$B183,"-",IF(LanGlo1LevelDesired&lt;$B183,"-",$E183))</f>
        <v>-</v>
      </c>
      <c r="X183" s="15" t="str">
        <f t="shared" ref="X183" si="12966">IF(LanBel1LevelCurrent&gt;=$B183,"-",IF(LanBel1LevelDesired&lt;$B183,"-",$C183))</f>
        <v>-</v>
      </c>
      <c r="Y183" s="1" t="str">
        <f t="shared" ref="Y183" si="12967">IF(LanBel1LevelCurrent&gt;=$B183,"-",IF(LanBel1LevelDesired&lt;$B183,"-",$D183))</f>
        <v>-</v>
      </c>
      <c r="Z183" s="21" t="str">
        <f t="shared" ref="Z183" si="12968">IF(LanBel1LevelCurrent&gt;=$B183,"-",IF(LanBel1LevelDesired&lt;$B183,"-",$E183))</f>
        <v>-</v>
      </c>
      <c r="AA183" s="15" t="str">
        <f t="shared" ref="AA183" si="12969">IF(LanBoo1LevelCurrent&gt;=$B183,"-",IF(LanBoo1LevelDesired&lt;$B183,"-",$C183))</f>
        <v>-</v>
      </c>
      <c r="AB183" s="1" t="str">
        <f t="shared" ref="AB183" si="12970">IF(LanBoo1LevelCurrent&gt;=$B183,"-",IF(LanBoo1LevelDesired&lt;$B183,"-",$D183))</f>
        <v>-</v>
      </c>
      <c r="AC183" s="21" t="str">
        <f t="shared" ref="AC183" si="12971">IF(LanBoo1LevelCurrent&gt;=$B183,"-",IF(LanBoo1LevelDesired&lt;$B183,"-",$E183))</f>
        <v>-</v>
      </c>
      <c r="AD183" s="15" t="str">
        <f t="shared" ref="AD183" si="12972">IF(MarGog1LevelCurrent&gt;=$B183,"-",IF(MarGog1LevelDesired&lt;$B183,"-",$C183))</f>
        <v>-</v>
      </c>
      <c r="AE183" s="1" t="str">
        <f t="shared" ref="AE183" si="12973">IF(MarGog1LevelCurrent&gt;=$B183,"-",IF(MarGog1LevelDesired&lt;$B183,"-",$D183))</f>
        <v>-</v>
      </c>
      <c r="AF183" s="21" t="str">
        <f t="shared" ref="AF183" si="12974">IF(MarGog1LevelCurrent&gt;=$B183,"-",IF(MarGog1LevelDesired&lt;$B183,"-",$E183))</f>
        <v>-</v>
      </c>
      <c r="AG183" s="15" t="str">
        <f t="shared" ref="AG183" si="12975">IF(MarGlo1LevelCurrent&gt;=$B183,"-",IF(MarGlo1LevelDesired&lt;$B183,"-",$C183))</f>
        <v>-</v>
      </c>
      <c r="AH183" s="1" t="str">
        <f t="shared" ref="AH183" si="12976">IF(MarGlo1LevelCurrent&gt;=$B183,"-",IF(MarGlo1LevelDesired&lt;$B183,"-",$D183))</f>
        <v>-</v>
      </c>
      <c r="AI183" s="21" t="str">
        <f t="shared" ref="AI183" si="12977">IF(MarGlo1LevelCurrent&gt;=$B183,"-",IF(MarGlo1LevelDesired&lt;$B183,"-",$E183))</f>
        <v>-</v>
      </c>
      <c r="AJ183" s="15" t="str">
        <f t="shared" ref="AJ183" si="12978">IF(MarBel1LevelCurrent&gt;=$B183,"-",IF(MarBel1LevelDesired&lt;$B183,"-",$C183))</f>
        <v>-</v>
      </c>
      <c r="AK183" s="1" t="str">
        <f t="shared" ref="AK183" si="12979">IF(MarBel1LevelCurrent&gt;=$B183,"-",IF(MarBel1LevelDesired&lt;$B183,"-",$D183))</f>
        <v>-</v>
      </c>
      <c r="AL183" s="21" t="str">
        <f t="shared" ref="AL183" si="12980">IF(MarBel1LevelCurrent&gt;=$B183,"-",IF(MarBel1LevelDesired&lt;$B183,"-",$E183))</f>
        <v>-</v>
      </c>
      <c r="AM183" s="15" t="str">
        <f t="shared" ref="AM183" si="12981">IF(MarBoo1LevelCurrent&gt;=$B183,"-",IF(MarBoo1LevelDesired&lt;$B183,"-",$C183))</f>
        <v>-</v>
      </c>
      <c r="AN183" s="1" t="str">
        <f t="shared" ref="AN183" si="12982">IF(MarBoo1LevelCurrent&gt;=$B183,"-",IF(MarBoo1LevelDesired&lt;$B183,"-",$D183))</f>
        <v>-</v>
      </c>
      <c r="AO183" s="21" t="str">
        <f t="shared" ref="AO183" si="12983">IF(MarBoo1LevelCurrent&gt;=$B183,"-",IF(MarBoo1LevelDesired&lt;$B183,"-",$E183))</f>
        <v>-</v>
      </c>
      <c r="AP183" s="15" t="str">
        <f t="shared" ref="AP183" si="12984">IF(InfGog2LevelCurrent&gt;=$B183,"-",IF(InfGog2LevelDesired&lt;$B183,"-",$C183))</f>
        <v>-</v>
      </c>
      <c r="AQ183" s="1" t="str">
        <f t="shared" ref="AQ183" si="12985">IF(InfGog2LevelCurrent&gt;=$B183,"-",IF(InfGog2LevelDesired&lt;$B183,"-",$D183))</f>
        <v>-</v>
      </c>
      <c r="AR183" s="21" t="str">
        <f t="shared" ref="AR183" si="12986">IF(InfGog2LevelCurrent&gt;=$B183,"-",IF(InfGog2LevelDesired&lt;$B183,"-",$E183))</f>
        <v>-</v>
      </c>
      <c r="AS183" s="15" t="str">
        <f t="shared" ref="AS183" si="12987">IF(InfGlo2LevelCurrent&gt;=$B183,"-",IF(InfGlo2LevelDesired&lt;$B183,"-",$C183))</f>
        <v>-</v>
      </c>
      <c r="AT183" s="1" t="str">
        <f t="shared" ref="AT183" si="12988">IF(InfGlo2LevelCurrent&gt;=$B183,"-",IF(InfGlo2LevelDesired&lt;$B183,"-",$D183))</f>
        <v>-</v>
      </c>
      <c r="AU183" s="21" t="str">
        <f t="shared" ref="AU183" si="12989">IF(InfGlo2LevelCurrent&gt;=$B183,"-",IF(InfGlo2LevelDesired&lt;$B183,"-",$E183))</f>
        <v>-</v>
      </c>
      <c r="AV183" s="15" t="str">
        <f t="shared" ref="AV183" si="12990">IF(InfBel2LevelCurrent&gt;=$B183,"-",IF(InfBel2LevelDesired&lt;$B183,"-",$C183))</f>
        <v>-</v>
      </c>
      <c r="AW183" s="1" t="str">
        <f t="shared" ref="AW183" si="12991">IF(InfBel2LevelCurrent&gt;=$B183,"-",IF(InfBel2LevelDesired&lt;$B183,"-",$D183))</f>
        <v>-</v>
      </c>
      <c r="AX183" s="21" t="str">
        <f t="shared" ref="AX183" si="12992">IF(InfBel2LevelCurrent&gt;=$B183,"-",IF(InfBel2LevelDesired&lt;$B183,"-",$E183))</f>
        <v>-</v>
      </c>
      <c r="AY183" s="15" t="str">
        <f t="shared" ref="AY183" si="12993">IF(InfBoo2LevelCurrent&gt;=$B183,"-",IF(InfBoo2LevelDesired&lt;$B183,"-",$C183))</f>
        <v>-</v>
      </c>
      <c r="AZ183" s="1" t="str">
        <f t="shared" ref="AZ183" si="12994">IF(InfBoo2LevelCurrent&gt;=$B183,"-",IF(InfBoo2LevelDesired&lt;$B183,"-",$D183))</f>
        <v>-</v>
      </c>
      <c r="BA183" s="21" t="str">
        <f t="shared" ref="BA183" si="12995">IF(InfBoo2LevelCurrent&gt;=$B183,"-",IF(InfBoo2LevelDesired&lt;$B183,"-",$E183))</f>
        <v>-</v>
      </c>
      <c r="BB183" s="15" t="str">
        <f t="shared" ref="BB183" si="12996">IF(LanGog2LevelCurrent&gt;=$B183,"-",IF(LanGog2LevelDesired&lt;$B183,"-",$C183))</f>
        <v>-</v>
      </c>
      <c r="BC183" s="1" t="str">
        <f t="shared" ref="BC183" si="12997">IF(LanGog2LevelCurrent&gt;=$B183,"-",IF(LanGog2LevelDesired&lt;$B183,"-",$D183))</f>
        <v>-</v>
      </c>
      <c r="BD183" s="21" t="str">
        <f t="shared" ref="BD183" si="12998">IF(LanGog2LevelCurrent&gt;=$B183,"-",IF(LanGog2LevelDesired&lt;$B183,"-",$E183))</f>
        <v>-</v>
      </c>
      <c r="BE183" s="15" t="str">
        <f t="shared" ref="BE183" si="12999">IF(LanGlo2LevelCurrent&gt;=$B183,"-",IF(LanGlo2LevelDesired&lt;$B183,"-",$C183))</f>
        <v>-</v>
      </c>
      <c r="BF183" s="1" t="str">
        <f t="shared" ref="BF183" si="13000">IF(LanGlo2LevelCurrent&gt;=$B183,"-",IF(LanGlo2LevelDesired&lt;$B183,"-",$D183))</f>
        <v>-</v>
      </c>
      <c r="BG183" s="21" t="str">
        <f t="shared" ref="BG183" si="13001">IF(LanGlo2LevelCurrent&gt;=$B183,"-",IF(LanGlo2LevelDesired&lt;$B183,"-",$E183))</f>
        <v>-</v>
      </c>
      <c r="BH183" s="15" t="str">
        <f t="shared" ref="BH183" si="13002">IF(LanBel2LevelCurrent&gt;=$B183,"-",IF(LanBel2LevelDesired&lt;$B183,"-",$C183))</f>
        <v>-</v>
      </c>
      <c r="BI183" s="1" t="str">
        <f t="shared" ref="BI183" si="13003">IF(LanBel2LevelCurrent&gt;=$B183,"-",IF(LanBel2LevelDesired&lt;$B183,"-",$D183))</f>
        <v>-</v>
      </c>
      <c r="BJ183" s="21" t="str">
        <f t="shared" ref="BJ183" si="13004">IF(LanBel2LevelCurrent&gt;=$B183,"-",IF(LanBel2LevelDesired&lt;$B183,"-",$E183))</f>
        <v>-</v>
      </c>
      <c r="BK183" s="15" t="str">
        <f t="shared" ref="BK183" si="13005">IF(LanBoo2LevelCurrent&gt;=$B183,"-",IF(LanBoo2LevelDesired&lt;$B183,"-",$C183))</f>
        <v>-</v>
      </c>
      <c r="BL183" s="1" t="str">
        <f t="shared" ref="BL183" si="13006">IF(LanBoo2LevelCurrent&gt;=$B183,"-",IF(LanBoo2LevelDesired&lt;$B183,"-",$D183))</f>
        <v>-</v>
      </c>
      <c r="BM183" s="21" t="str">
        <f t="shared" ref="BM183" si="13007">IF(LanBoo2LevelCurrent&gt;=$B183,"-",IF(LanBoo2LevelDesired&lt;$B183,"-",$E183))</f>
        <v>-</v>
      </c>
      <c r="BN183" s="15" t="str">
        <f t="shared" ref="BN183" si="13008">IF(MarGog2LevelCurrent&gt;=$B183,"-",IF(MarGog2LevelDesired&lt;$B183,"-",$C183))</f>
        <v>-</v>
      </c>
      <c r="BO183" s="1" t="str">
        <f t="shared" ref="BO183" si="13009">IF(MarGog2LevelCurrent&gt;=$B183,"-",IF(MarGog2LevelDesired&lt;$B183,"-",$D183))</f>
        <v>-</v>
      </c>
      <c r="BP183" s="21" t="str">
        <f t="shared" ref="BP183" si="13010">IF(MarGog2LevelCurrent&gt;=$B183,"-",IF(MarGog2LevelDesired&lt;$B183,"-",$E183))</f>
        <v>-</v>
      </c>
      <c r="BQ183" s="15" t="str">
        <f t="shared" ref="BQ183" si="13011">IF(MarGlo2LevelCurrent&gt;=$B183,"-",IF(MarGlo2LevelDesired&lt;$B183,"-",$C183))</f>
        <v>-</v>
      </c>
      <c r="BR183" s="1" t="str">
        <f t="shared" ref="BR183" si="13012">IF(MarGlo2LevelCurrent&gt;=$B183,"-",IF(MarGlo2LevelDesired&lt;$B183,"-",$D183))</f>
        <v>-</v>
      </c>
      <c r="BS183" s="21" t="str">
        <f t="shared" ref="BS183" si="13013">IF(MarGlo2LevelCurrent&gt;=$B183,"-",IF(MarGlo2LevelDesired&lt;$B183,"-",$E183))</f>
        <v>-</v>
      </c>
      <c r="BT183" s="15" t="str">
        <f t="shared" ref="BT183" si="13014">IF(MarBel2LevelCurrent&gt;=$B183,"-",IF(MarBel2LevelDesired&lt;$B183,"-",$C183))</f>
        <v>-</v>
      </c>
      <c r="BU183" s="1" t="str">
        <f t="shared" ref="BU183" si="13015">IF(MarBel2LevelCurrent&gt;=$B183,"-",IF(MarBel2LevelDesired&lt;$B183,"-",$D183))</f>
        <v>-</v>
      </c>
      <c r="BV183" s="21" t="str">
        <f t="shared" ref="BV183" si="13016">IF(MarBel2LevelCurrent&gt;=$B183,"-",IF(MarBel2LevelDesired&lt;$B183,"-",$E183))</f>
        <v>-</v>
      </c>
      <c r="BW183" s="15" t="str">
        <f t="shared" ref="BW183" si="13017">IF(MarBoo2LevelCurrent&gt;=$B183,"-",IF(MarBoo2LevelDesired&lt;$B183,"-",$C183))</f>
        <v>-</v>
      </c>
      <c r="BX183" s="1" t="str">
        <f t="shared" ref="BX183" si="13018">IF(MarBoo2LevelCurrent&gt;=$B183,"-",IF(MarBoo2LevelDesired&lt;$B183,"-",$D183))</f>
        <v>-</v>
      </c>
      <c r="BY183" s="21" t="str">
        <f t="shared" ref="BY183" si="13019">IF(MarBoo2LevelCurrent&gt;=$B183,"-",IF(MarBoo2LevelDesired&lt;$B183,"-",$E183))</f>
        <v>-</v>
      </c>
      <c r="BZ183" s="15" t="str">
        <f t="shared" si="11762"/>
        <v>-</v>
      </c>
      <c r="CA183" s="1" t="str" cm="1">
        <f t="array" ref="CA183">IF(InfGog3LevelCurrent&gt;=$B183,"-",IF(InfGog3LevelDesired&lt;$B183,"-",$D183))</f>
        <v>-</v>
      </c>
      <c r="CB183" s="21" t="str" cm="1">
        <f t="array" ref="CB183">IF(InfGog3LevelCurrent&gt;=$B183,"-",IF(InfGog3LevelDesired&lt;$B183,"-",$E183))</f>
        <v>-</v>
      </c>
      <c r="CC183" s="15" t="str">
        <f t="shared" si="11763"/>
        <v>-</v>
      </c>
      <c r="CD183" s="1" t="str">
        <f t="shared" si="11764"/>
        <v>-</v>
      </c>
      <c r="CE183" s="21" t="str">
        <f t="shared" si="11765"/>
        <v>-</v>
      </c>
      <c r="CF183" s="15" t="str">
        <f t="shared" si="11766"/>
        <v>-</v>
      </c>
      <c r="CG183" s="1" t="str">
        <f t="shared" si="11767"/>
        <v>-</v>
      </c>
      <c r="CH183" s="21" t="str">
        <f t="shared" si="11768"/>
        <v>-</v>
      </c>
      <c r="CI183" s="15" t="str">
        <f t="shared" si="11769"/>
        <v>-</v>
      </c>
      <c r="CJ183" s="1" t="str">
        <f t="shared" si="11770"/>
        <v>-</v>
      </c>
      <c r="CK183" s="21" t="str">
        <f t="shared" si="11771"/>
        <v>-</v>
      </c>
      <c r="CL183" s="15" t="str">
        <f t="shared" si="11772"/>
        <v>-</v>
      </c>
      <c r="CM183" s="1" t="str">
        <f t="shared" si="11773"/>
        <v>-</v>
      </c>
      <c r="CN183" s="21" t="str">
        <f t="shared" si="11774"/>
        <v>-</v>
      </c>
      <c r="CO183" s="15" t="str">
        <f t="shared" si="11775"/>
        <v>-</v>
      </c>
      <c r="CP183" s="1" t="str">
        <f t="shared" si="11776"/>
        <v>-</v>
      </c>
      <c r="CQ183" s="21" t="str">
        <f t="shared" si="11777"/>
        <v>-</v>
      </c>
      <c r="CR183" s="15" t="str">
        <f t="shared" si="11778"/>
        <v>-</v>
      </c>
      <c r="CS183" s="1" t="str">
        <f t="shared" si="11779"/>
        <v>-</v>
      </c>
      <c r="CT183" s="21" t="str">
        <f t="shared" si="11780"/>
        <v>-</v>
      </c>
      <c r="CU183" s="15" t="str">
        <f t="shared" si="11781"/>
        <v>-</v>
      </c>
      <c r="CV183" s="1" t="str">
        <f t="shared" si="11782"/>
        <v>-</v>
      </c>
      <c r="CW183" s="21" t="str">
        <f t="shared" si="11783"/>
        <v>-</v>
      </c>
      <c r="CX183" s="15" t="str">
        <f t="shared" si="11784"/>
        <v>-</v>
      </c>
      <c r="CY183" s="1" t="str">
        <f t="shared" si="11785"/>
        <v>-</v>
      </c>
      <c r="CZ183" s="21" t="str">
        <f t="shared" si="11786"/>
        <v>-</v>
      </c>
      <c r="DA183" s="15" t="str">
        <f t="shared" si="11787"/>
        <v>-</v>
      </c>
      <c r="DB183" s="1" t="str">
        <f t="shared" si="11788"/>
        <v>-</v>
      </c>
      <c r="DC183" s="21" t="str">
        <f t="shared" si="11789"/>
        <v>-</v>
      </c>
      <c r="DD183" s="15" t="str">
        <f t="shared" si="11790"/>
        <v>-</v>
      </c>
      <c r="DE183" s="1" t="str">
        <f t="shared" si="11791"/>
        <v>-</v>
      </c>
      <c r="DF183" s="21" t="str">
        <f t="shared" si="11792"/>
        <v>-</v>
      </c>
      <c r="DG183" s="15" t="str">
        <f t="shared" si="11793"/>
        <v>-</v>
      </c>
      <c r="DH183" s="1" t="str">
        <f t="shared" si="11794"/>
        <v>-</v>
      </c>
      <c r="DI183" s="21" t="str">
        <f t="shared" si="11795"/>
        <v>-</v>
      </c>
    </row>
    <row r="184" spans="2:113" x14ac:dyDescent="0.3">
      <c r="B184" s="1">
        <v>179</v>
      </c>
      <c r="C184" s="67">
        <v>7300</v>
      </c>
      <c r="D184" s="88" t="s">
        <v>27</v>
      </c>
      <c r="E184" s="68" t="s">
        <v>27</v>
      </c>
      <c r="F184" s="15" t="str">
        <f t="shared" ref="F184" si="13020">IF(InfGog1LevelCurrent&gt;=$B184,"-",IF(InfGog1LevelDesired&lt;$B184,"-",$C184))</f>
        <v>-</v>
      </c>
      <c r="G184" s="1" t="str">
        <f t="shared" ref="G184" si="13021">IF(InfGog1LevelCurrent&gt;=$B184,"-",IF(InfGog1LevelDesired&lt;$B184,"-",$D184))</f>
        <v>-</v>
      </c>
      <c r="H184" s="21" t="str">
        <f t="shared" ref="H184" si="13022">IF(InfGog1LevelCurrent&gt;=$B184,"-",IF(InfGog1LevelDesired&lt;$B184,"-",$E184))</f>
        <v>-</v>
      </c>
      <c r="I184" s="15" t="str">
        <f t="shared" ref="I184" si="13023">IF(InfGlo1LevelCurrent&gt;=$B184,"-",IF(InfGlo1LevelDesired&lt;$B184,"-",$C184))</f>
        <v>-</v>
      </c>
      <c r="J184" s="1" t="str">
        <f t="shared" ref="J184" si="13024">IF(InfGlo1LevelCurrent&gt;=$B184,"-",IF(InfGlo1LevelDesired&lt;$B184,"-",$D184))</f>
        <v>-</v>
      </c>
      <c r="K184" s="21" t="str">
        <f t="shared" ref="K184" si="13025">IF(InfGlo1LevelCurrent&gt;=$B184,"-",IF(InfGlo1LevelDesired&lt;$B184,"-",$E184))</f>
        <v>-</v>
      </c>
      <c r="L184" s="15" t="str">
        <f t="shared" ref="L184" si="13026">IF(InfBel1LevelCurrent&gt;=$B184,"-",IF(InfBel1LevelDesired&lt;$B184,"-",$C184))</f>
        <v>-</v>
      </c>
      <c r="M184" s="1" t="str">
        <f t="shared" ref="M184" si="13027">IF(InfBel1LevelCurrent&gt;=$B184,"-",IF(InfBel1LevelDesired&lt;$B184,"-",$D184))</f>
        <v>-</v>
      </c>
      <c r="N184" s="21" t="str">
        <f t="shared" ref="N184" si="13028">IF(InfBel1LevelCurrent&gt;=$B184,"-",IF(InfBel1LevelDesired&lt;$B184,"-",$E184))</f>
        <v>-</v>
      </c>
      <c r="O184" s="15" t="str">
        <f t="shared" ref="O184" si="13029">IF(InfBoo1LevelCurrent&gt;=$B184,"-",IF(InfBoo1LevelDesired&lt;$B184,"-",$C184))</f>
        <v>-</v>
      </c>
      <c r="P184" s="1" t="str">
        <f t="shared" ref="P184" si="13030">IF(InfBoo1LevelCurrent&gt;=$B184,"-",IF(InfBoo1LevelDesired&lt;$B184,"-",$D184))</f>
        <v>-</v>
      </c>
      <c r="Q184" s="21" t="str">
        <f t="shared" ref="Q184" si="13031">IF(InfBoo1LevelCurrent&gt;=$B184,"-",IF(InfBoo1LevelDesired&lt;$B184,"-",$E184))</f>
        <v>-</v>
      </c>
      <c r="R184" s="15" t="str">
        <f t="shared" ref="R184" si="13032">IF(LanGog1LevelCurrent&gt;=$B184,"-",IF(LanGog1LevelDesired&lt;$B184,"-",$C184))</f>
        <v>-</v>
      </c>
      <c r="S184" s="1" t="str">
        <f t="shared" ref="S184" si="13033">IF(LanGog1LevelCurrent&gt;=$B184,"-",IF(LanGog1LevelDesired&lt;$B184,"-",$D184))</f>
        <v>-</v>
      </c>
      <c r="T184" s="21" t="str">
        <f t="shared" ref="T184" si="13034">IF(LanGog1LevelCurrent&gt;=$B184,"-",IF(LanGog1LevelDesired&lt;$B184,"-",$E184))</f>
        <v>-</v>
      </c>
      <c r="U184" s="15" t="str">
        <f t="shared" ref="U184" si="13035">IF(LanGlo1LevelCurrent&gt;=$B184,"-",IF(LanGlo1LevelDesired&lt;$B184,"-",$C184))</f>
        <v>-</v>
      </c>
      <c r="V184" s="1" t="str">
        <f t="shared" ref="V184" si="13036">IF(LanGlo1LevelCurrent&gt;=$B184,"-",IF(LanGlo1LevelDesired&lt;$B184,"-",$D184))</f>
        <v>-</v>
      </c>
      <c r="W184" s="21" t="str">
        <f t="shared" ref="W184" si="13037">IF(LanGlo1LevelCurrent&gt;=$B184,"-",IF(LanGlo1LevelDesired&lt;$B184,"-",$E184))</f>
        <v>-</v>
      </c>
      <c r="X184" s="15" t="str">
        <f t="shared" ref="X184" si="13038">IF(LanBel1LevelCurrent&gt;=$B184,"-",IF(LanBel1LevelDesired&lt;$B184,"-",$C184))</f>
        <v>-</v>
      </c>
      <c r="Y184" s="1" t="str">
        <f t="shared" ref="Y184" si="13039">IF(LanBel1LevelCurrent&gt;=$B184,"-",IF(LanBel1LevelDesired&lt;$B184,"-",$D184))</f>
        <v>-</v>
      </c>
      <c r="Z184" s="21" t="str">
        <f t="shared" ref="Z184" si="13040">IF(LanBel1LevelCurrent&gt;=$B184,"-",IF(LanBel1LevelDesired&lt;$B184,"-",$E184))</f>
        <v>-</v>
      </c>
      <c r="AA184" s="15" t="str">
        <f t="shared" ref="AA184" si="13041">IF(LanBoo1LevelCurrent&gt;=$B184,"-",IF(LanBoo1LevelDesired&lt;$B184,"-",$C184))</f>
        <v>-</v>
      </c>
      <c r="AB184" s="1" t="str">
        <f t="shared" ref="AB184" si="13042">IF(LanBoo1LevelCurrent&gt;=$B184,"-",IF(LanBoo1LevelDesired&lt;$B184,"-",$D184))</f>
        <v>-</v>
      </c>
      <c r="AC184" s="21" t="str">
        <f t="shared" ref="AC184" si="13043">IF(LanBoo1LevelCurrent&gt;=$B184,"-",IF(LanBoo1LevelDesired&lt;$B184,"-",$E184))</f>
        <v>-</v>
      </c>
      <c r="AD184" s="15" t="str">
        <f t="shared" ref="AD184" si="13044">IF(MarGog1LevelCurrent&gt;=$B184,"-",IF(MarGog1LevelDesired&lt;$B184,"-",$C184))</f>
        <v>-</v>
      </c>
      <c r="AE184" s="1" t="str">
        <f t="shared" ref="AE184" si="13045">IF(MarGog1LevelCurrent&gt;=$B184,"-",IF(MarGog1LevelDesired&lt;$B184,"-",$D184))</f>
        <v>-</v>
      </c>
      <c r="AF184" s="21" t="str">
        <f t="shared" ref="AF184" si="13046">IF(MarGog1LevelCurrent&gt;=$B184,"-",IF(MarGog1LevelDesired&lt;$B184,"-",$E184))</f>
        <v>-</v>
      </c>
      <c r="AG184" s="15" t="str">
        <f t="shared" ref="AG184" si="13047">IF(MarGlo1LevelCurrent&gt;=$B184,"-",IF(MarGlo1LevelDesired&lt;$B184,"-",$C184))</f>
        <v>-</v>
      </c>
      <c r="AH184" s="1" t="str">
        <f t="shared" ref="AH184" si="13048">IF(MarGlo1LevelCurrent&gt;=$B184,"-",IF(MarGlo1LevelDesired&lt;$B184,"-",$D184))</f>
        <v>-</v>
      </c>
      <c r="AI184" s="21" t="str">
        <f t="shared" ref="AI184" si="13049">IF(MarGlo1LevelCurrent&gt;=$B184,"-",IF(MarGlo1LevelDesired&lt;$B184,"-",$E184))</f>
        <v>-</v>
      </c>
      <c r="AJ184" s="15" t="str">
        <f t="shared" ref="AJ184" si="13050">IF(MarBel1LevelCurrent&gt;=$B184,"-",IF(MarBel1LevelDesired&lt;$B184,"-",$C184))</f>
        <v>-</v>
      </c>
      <c r="AK184" s="1" t="str">
        <f t="shared" ref="AK184" si="13051">IF(MarBel1LevelCurrent&gt;=$B184,"-",IF(MarBel1LevelDesired&lt;$B184,"-",$D184))</f>
        <v>-</v>
      </c>
      <c r="AL184" s="21" t="str">
        <f t="shared" ref="AL184" si="13052">IF(MarBel1LevelCurrent&gt;=$B184,"-",IF(MarBel1LevelDesired&lt;$B184,"-",$E184))</f>
        <v>-</v>
      </c>
      <c r="AM184" s="15" t="str">
        <f t="shared" ref="AM184" si="13053">IF(MarBoo1LevelCurrent&gt;=$B184,"-",IF(MarBoo1LevelDesired&lt;$B184,"-",$C184))</f>
        <v>-</v>
      </c>
      <c r="AN184" s="1" t="str">
        <f t="shared" ref="AN184" si="13054">IF(MarBoo1LevelCurrent&gt;=$B184,"-",IF(MarBoo1LevelDesired&lt;$B184,"-",$D184))</f>
        <v>-</v>
      </c>
      <c r="AO184" s="21" t="str">
        <f t="shared" ref="AO184" si="13055">IF(MarBoo1LevelCurrent&gt;=$B184,"-",IF(MarBoo1LevelDesired&lt;$B184,"-",$E184))</f>
        <v>-</v>
      </c>
      <c r="AP184" s="15" t="str">
        <f t="shared" ref="AP184" si="13056">IF(InfGog2LevelCurrent&gt;=$B184,"-",IF(InfGog2LevelDesired&lt;$B184,"-",$C184))</f>
        <v>-</v>
      </c>
      <c r="AQ184" s="1" t="str">
        <f t="shared" ref="AQ184" si="13057">IF(InfGog2LevelCurrent&gt;=$B184,"-",IF(InfGog2LevelDesired&lt;$B184,"-",$D184))</f>
        <v>-</v>
      </c>
      <c r="AR184" s="21" t="str">
        <f t="shared" ref="AR184" si="13058">IF(InfGog2LevelCurrent&gt;=$B184,"-",IF(InfGog2LevelDesired&lt;$B184,"-",$E184))</f>
        <v>-</v>
      </c>
      <c r="AS184" s="15" t="str">
        <f t="shared" ref="AS184" si="13059">IF(InfGlo2LevelCurrent&gt;=$B184,"-",IF(InfGlo2LevelDesired&lt;$B184,"-",$C184))</f>
        <v>-</v>
      </c>
      <c r="AT184" s="1" t="str">
        <f t="shared" ref="AT184" si="13060">IF(InfGlo2LevelCurrent&gt;=$B184,"-",IF(InfGlo2LevelDesired&lt;$B184,"-",$D184))</f>
        <v>-</v>
      </c>
      <c r="AU184" s="21" t="str">
        <f t="shared" ref="AU184" si="13061">IF(InfGlo2LevelCurrent&gt;=$B184,"-",IF(InfGlo2LevelDesired&lt;$B184,"-",$E184))</f>
        <v>-</v>
      </c>
      <c r="AV184" s="15" t="str">
        <f t="shared" ref="AV184" si="13062">IF(InfBel2LevelCurrent&gt;=$B184,"-",IF(InfBel2LevelDesired&lt;$B184,"-",$C184))</f>
        <v>-</v>
      </c>
      <c r="AW184" s="1" t="str">
        <f t="shared" ref="AW184" si="13063">IF(InfBel2LevelCurrent&gt;=$B184,"-",IF(InfBel2LevelDesired&lt;$B184,"-",$D184))</f>
        <v>-</v>
      </c>
      <c r="AX184" s="21" t="str">
        <f t="shared" ref="AX184" si="13064">IF(InfBel2LevelCurrent&gt;=$B184,"-",IF(InfBel2LevelDesired&lt;$B184,"-",$E184))</f>
        <v>-</v>
      </c>
      <c r="AY184" s="15" t="str">
        <f t="shared" ref="AY184" si="13065">IF(InfBoo2LevelCurrent&gt;=$B184,"-",IF(InfBoo2LevelDesired&lt;$B184,"-",$C184))</f>
        <v>-</v>
      </c>
      <c r="AZ184" s="1" t="str">
        <f t="shared" ref="AZ184" si="13066">IF(InfBoo2LevelCurrent&gt;=$B184,"-",IF(InfBoo2LevelDesired&lt;$B184,"-",$D184))</f>
        <v>-</v>
      </c>
      <c r="BA184" s="21" t="str">
        <f t="shared" ref="BA184" si="13067">IF(InfBoo2LevelCurrent&gt;=$B184,"-",IF(InfBoo2LevelDesired&lt;$B184,"-",$E184))</f>
        <v>-</v>
      </c>
      <c r="BB184" s="15" t="str">
        <f t="shared" ref="BB184" si="13068">IF(LanGog2LevelCurrent&gt;=$B184,"-",IF(LanGog2LevelDesired&lt;$B184,"-",$C184))</f>
        <v>-</v>
      </c>
      <c r="BC184" s="1" t="str">
        <f t="shared" ref="BC184" si="13069">IF(LanGog2LevelCurrent&gt;=$B184,"-",IF(LanGog2LevelDesired&lt;$B184,"-",$D184))</f>
        <v>-</v>
      </c>
      <c r="BD184" s="21" t="str">
        <f t="shared" ref="BD184" si="13070">IF(LanGog2LevelCurrent&gt;=$B184,"-",IF(LanGog2LevelDesired&lt;$B184,"-",$E184))</f>
        <v>-</v>
      </c>
      <c r="BE184" s="15" t="str">
        <f t="shared" ref="BE184" si="13071">IF(LanGlo2LevelCurrent&gt;=$B184,"-",IF(LanGlo2LevelDesired&lt;$B184,"-",$C184))</f>
        <v>-</v>
      </c>
      <c r="BF184" s="1" t="str">
        <f t="shared" ref="BF184" si="13072">IF(LanGlo2LevelCurrent&gt;=$B184,"-",IF(LanGlo2LevelDesired&lt;$B184,"-",$D184))</f>
        <v>-</v>
      </c>
      <c r="BG184" s="21" t="str">
        <f t="shared" ref="BG184" si="13073">IF(LanGlo2LevelCurrent&gt;=$B184,"-",IF(LanGlo2LevelDesired&lt;$B184,"-",$E184))</f>
        <v>-</v>
      </c>
      <c r="BH184" s="15" t="str">
        <f t="shared" ref="BH184" si="13074">IF(LanBel2LevelCurrent&gt;=$B184,"-",IF(LanBel2LevelDesired&lt;$B184,"-",$C184))</f>
        <v>-</v>
      </c>
      <c r="BI184" s="1" t="str">
        <f t="shared" ref="BI184" si="13075">IF(LanBel2LevelCurrent&gt;=$B184,"-",IF(LanBel2LevelDesired&lt;$B184,"-",$D184))</f>
        <v>-</v>
      </c>
      <c r="BJ184" s="21" t="str">
        <f t="shared" ref="BJ184" si="13076">IF(LanBel2LevelCurrent&gt;=$B184,"-",IF(LanBel2LevelDesired&lt;$B184,"-",$E184))</f>
        <v>-</v>
      </c>
      <c r="BK184" s="15" t="str">
        <f t="shared" ref="BK184" si="13077">IF(LanBoo2LevelCurrent&gt;=$B184,"-",IF(LanBoo2LevelDesired&lt;$B184,"-",$C184))</f>
        <v>-</v>
      </c>
      <c r="BL184" s="1" t="str">
        <f t="shared" ref="BL184" si="13078">IF(LanBoo2LevelCurrent&gt;=$B184,"-",IF(LanBoo2LevelDesired&lt;$B184,"-",$D184))</f>
        <v>-</v>
      </c>
      <c r="BM184" s="21" t="str">
        <f t="shared" ref="BM184" si="13079">IF(LanBoo2LevelCurrent&gt;=$B184,"-",IF(LanBoo2LevelDesired&lt;$B184,"-",$E184))</f>
        <v>-</v>
      </c>
      <c r="BN184" s="15" t="str">
        <f t="shared" ref="BN184" si="13080">IF(MarGog2LevelCurrent&gt;=$B184,"-",IF(MarGog2LevelDesired&lt;$B184,"-",$C184))</f>
        <v>-</v>
      </c>
      <c r="BO184" s="1" t="str">
        <f t="shared" ref="BO184" si="13081">IF(MarGog2LevelCurrent&gt;=$B184,"-",IF(MarGog2LevelDesired&lt;$B184,"-",$D184))</f>
        <v>-</v>
      </c>
      <c r="BP184" s="21" t="str">
        <f t="shared" ref="BP184" si="13082">IF(MarGog2LevelCurrent&gt;=$B184,"-",IF(MarGog2LevelDesired&lt;$B184,"-",$E184))</f>
        <v>-</v>
      </c>
      <c r="BQ184" s="15" t="str">
        <f t="shared" ref="BQ184" si="13083">IF(MarGlo2LevelCurrent&gt;=$B184,"-",IF(MarGlo2LevelDesired&lt;$B184,"-",$C184))</f>
        <v>-</v>
      </c>
      <c r="BR184" s="1" t="str">
        <f t="shared" ref="BR184" si="13084">IF(MarGlo2LevelCurrent&gt;=$B184,"-",IF(MarGlo2LevelDesired&lt;$B184,"-",$D184))</f>
        <v>-</v>
      </c>
      <c r="BS184" s="21" t="str">
        <f t="shared" ref="BS184" si="13085">IF(MarGlo2LevelCurrent&gt;=$B184,"-",IF(MarGlo2LevelDesired&lt;$B184,"-",$E184))</f>
        <v>-</v>
      </c>
      <c r="BT184" s="15" t="str">
        <f t="shared" ref="BT184" si="13086">IF(MarBel2LevelCurrent&gt;=$B184,"-",IF(MarBel2LevelDesired&lt;$B184,"-",$C184))</f>
        <v>-</v>
      </c>
      <c r="BU184" s="1" t="str">
        <f t="shared" ref="BU184" si="13087">IF(MarBel2LevelCurrent&gt;=$B184,"-",IF(MarBel2LevelDesired&lt;$B184,"-",$D184))</f>
        <v>-</v>
      </c>
      <c r="BV184" s="21" t="str">
        <f t="shared" ref="BV184" si="13088">IF(MarBel2LevelCurrent&gt;=$B184,"-",IF(MarBel2LevelDesired&lt;$B184,"-",$E184))</f>
        <v>-</v>
      </c>
      <c r="BW184" s="15" t="str">
        <f t="shared" ref="BW184" si="13089">IF(MarBoo2LevelCurrent&gt;=$B184,"-",IF(MarBoo2LevelDesired&lt;$B184,"-",$C184))</f>
        <v>-</v>
      </c>
      <c r="BX184" s="1" t="str">
        <f t="shared" ref="BX184" si="13090">IF(MarBoo2LevelCurrent&gt;=$B184,"-",IF(MarBoo2LevelDesired&lt;$B184,"-",$D184))</f>
        <v>-</v>
      </c>
      <c r="BY184" s="21" t="str">
        <f t="shared" ref="BY184" si="13091">IF(MarBoo2LevelCurrent&gt;=$B184,"-",IF(MarBoo2LevelDesired&lt;$B184,"-",$E184))</f>
        <v>-</v>
      </c>
      <c r="BZ184" s="15" t="str">
        <f t="shared" si="11762"/>
        <v>-</v>
      </c>
      <c r="CA184" s="1" t="str" cm="1">
        <f t="array" ref="CA184">IF(InfGog3LevelCurrent&gt;=$B184,"-",IF(InfGog3LevelDesired&lt;$B184,"-",$D184))</f>
        <v>-</v>
      </c>
      <c r="CB184" s="21" t="str" cm="1">
        <f t="array" ref="CB184">IF(InfGog3LevelCurrent&gt;=$B184,"-",IF(InfGog3LevelDesired&lt;$B184,"-",$E184))</f>
        <v>-</v>
      </c>
      <c r="CC184" s="15" t="str">
        <f t="shared" si="11763"/>
        <v>-</v>
      </c>
      <c r="CD184" s="1" t="str">
        <f t="shared" si="11764"/>
        <v>-</v>
      </c>
      <c r="CE184" s="21" t="str">
        <f t="shared" si="11765"/>
        <v>-</v>
      </c>
      <c r="CF184" s="15" t="str">
        <f t="shared" si="11766"/>
        <v>-</v>
      </c>
      <c r="CG184" s="1" t="str">
        <f t="shared" si="11767"/>
        <v>-</v>
      </c>
      <c r="CH184" s="21" t="str">
        <f t="shared" si="11768"/>
        <v>-</v>
      </c>
      <c r="CI184" s="15" t="str">
        <f t="shared" si="11769"/>
        <v>-</v>
      </c>
      <c r="CJ184" s="1" t="str">
        <f t="shared" si="11770"/>
        <v>-</v>
      </c>
      <c r="CK184" s="21" t="str">
        <f t="shared" si="11771"/>
        <v>-</v>
      </c>
      <c r="CL184" s="15" t="str">
        <f t="shared" si="11772"/>
        <v>-</v>
      </c>
      <c r="CM184" s="1" t="str">
        <f t="shared" si="11773"/>
        <v>-</v>
      </c>
      <c r="CN184" s="21" t="str">
        <f t="shared" si="11774"/>
        <v>-</v>
      </c>
      <c r="CO184" s="15" t="str">
        <f t="shared" si="11775"/>
        <v>-</v>
      </c>
      <c r="CP184" s="1" t="str">
        <f t="shared" si="11776"/>
        <v>-</v>
      </c>
      <c r="CQ184" s="21" t="str">
        <f t="shared" si="11777"/>
        <v>-</v>
      </c>
      <c r="CR184" s="15" t="str">
        <f t="shared" si="11778"/>
        <v>-</v>
      </c>
      <c r="CS184" s="1" t="str">
        <f t="shared" si="11779"/>
        <v>-</v>
      </c>
      <c r="CT184" s="21" t="str">
        <f t="shared" si="11780"/>
        <v>-</v>
      </c>
      <c r="CU184" s="15" t="str">
        <f t="shared" si="11781"/>
        <v>-</v>
      </c>
      <c r="CV184" s="1" t="str">
        <f t="shared" si="11782"/>
        <v>-</v>
      </c>
      <c r="CW184" s="21" t="str">
        <f t="shared" si="11783"/>
        <v>-</v>
      </c>
      <c r="CX184" s="15" t="str">
        <f t="shared" si="11784"/>
        <v>-</v>
      </c>
      <c r="CY184" s="1" t="str">
        <f t="shared" si="11785"/>
        <v>-</v>
      </c>
      <c r="CZ184" s="21" t="str">
        <f t="shared" si="11786"/>
        <v>-</v>
      </c>
      <c r="DA184" s="15" t="str">
        <f t="shared" si="11787"/>
        <v>-</v>
      </c>
      <c r="DB184" s="1" t="str">
        <f t="shared" si="11788"/>
        <v>-</v>
      </c>
      <c r="DC184" s="21" t="str">
        <f t="shared" si="11789"/>
        <v>-</v>
      </c>
      <c r="DD184" s="15" t="str">
        <f t="shared" si="11790"/>
        <v>-</v>
      </c>
      <c r="DE184" s="1" t="str">
        <f t="shared" si="11791"/>
        <v>-</v>
      </c>
      <c r="DF184" s="21" t="str">
        <f t="shared" si="11792"/>
        <v>-</v>
      </c>
      <c r="DG184" s="15" t="str">
        <f t="shared" si="11793"/>
        <v>-</v>
      </c>
      <c r="DH184" s="1" t="str">
        <f t="shared" si="11794"/>
        <v>-</v>
      </c>
      <c r="DI184" s="21" t="str">
        <f t="shared" si="11795"/>
        <v>-</v>
      </c>
    </row>
    <row r="185" spans="2:113" x14ac:dyDescent="0.3">
      <c r="B185" s="1">
        <v>180</v>
      </c>
      <c r="C185" s="67">
        <v>0</v>
      </c>
      <c r="D185" s="88">
        <v>10</v>
      </c>
      <c r="E185" s="68">
        <v>40</v>
      </c>
      <c r="F185" s="15" t="str">
        <f t="shared" ref="F185" si="13092">IF(InfGog1LevelCurrent&gt;=$B185,"-",IF(InfGog1LevelDesired&lt;$B185,"-",$C185))</f>
        <v>-</v>
      </c>
      <c r="G185" s="1" t="str">
        <f t="shared" ref="G185" si="13093">IF(InfGog1LevelCurrent&gt;=$B185,"-",IF(InfGog1LevelDesired&lt;$B185,"-",$D185))</f>
        <v>-</v>
      </c>
      <c r="H185" s="21" t="str">
        <f t="shared" ref="H185" si="13094">IF(InfGog1LevelCurrent&gt;=$B185,"-",IF(InfGog1LevelDesired&lt;$B185,"-",$E185))</f>
        <v>-</v>
      </c>
      <c r="I185" s="15" t="str">
        <f t="shared" ref="I185" si="13095">IF(InfGlo1LevelCurrent&gt;=$B185,"-",IF(InfGlo1LevelDesired&lt;$B185,"-",$C185))</f>
        <v>-</v>
      </c>
      <c r="J185" s="1" t="str">
        <f t="shared" ref="J185" si="13096">IF(InfGlo1LevelCurrent&gt;=$B185,"-",IF(InfGlo1LevelDesired&lt;$B185,"-",$D185))</f>
        <v>-</v>
      </c>
      <c r="K185" s="21" t="str">
        <f t="shared" ref="K185" si="13097">IF(InfGlo1LevelCurrent&gt;=$B185,"-",IF(InfGlo1LevelDesired&lt;$B185,"-",$E185))</f>
        <v>-</v>
      </c>
      <c r="L185" s="15" t="str">
        <f t="shared" ref="L185" si="13098">IF(InfBel1LevelCurrent&gt;=$B185,"-",IF(InfBel1LevelDesired&lt;$B185,"-",$C185))</f>
        <v>-</v>
      </c>
      <c r="M185" s="1" t="str">
        <f t="shared" ref="M185" si="13099">IF(InfBel1LevelCurrent&gt;=$B185,"-",IF(InfBel1LevelDesired&lt;$B185,"-",$D185))</f>
        <v>-</v>
      </c>
      <c r="N185" s="21" t="str">
        <f t="shared" ref="N185" si="13100">IF(InfBel1LevelCurrent&gt;=$B185,"-",IF(InfBel1LevelDesired&lt;$B185,"-",$E185))</f>
        <v>-</v>
      </c>
      <c r="O185" s="15" t="str">
        <f t="shared" ref="O185" si="13101">IF(InfBoo1LevelCurrent&gt;=$B185,"-",IF(InfBoo1LevelDesired&lt;$B185,"-",$C185))</f>
        <v>-</v>
      </c>
      <c r="P185" s="1" t="str">
        <f t="shared" ref="P185" si="13102">IF(InfBoo1LevelCurrent&gt;=$B185,"-",IF(InfBoo1LevelDesired&lt;$B185,"-",$D185))</f>
        <v>-</v>
      </c>
      <c r="Q185" s="21" t="str">
        <f t="shared" ref="Q185" si="13103">IF(InfBoo1LevelCurrent&gt;=$B185,"-",IF(InfBoo1LevelDesired&lt;$B185,"-",$E185))</f>
        <v>-</v>
      </c>
      <c r="R185" s="15" t="str">
        <f t="shared" ref="R185" si="13104">IF(LanGog1LevelCurrent&gt;=$B185,"-",IF(LanGog1LevelDesired&lt;$B185,"-",$C185))</f>
        <v>-</v>
      </c>
      <c r="S185" s="1" t="str">
        <f t="shared" ref="S185" si="13105">IF(LanGog1LevelCurrent&gt;=$B185,"-",IF(LanGog1LevelDesired&lt;$B185,"-",$D185))</f>
        <v>-</v>
      </c>
      <c r="T185" s="21" t="str">
        <f t="shared" ref="T185" si="13106">IF(LanGog1LevelCurrent&gt;=$B185,"-",IF(LanGog1LevelDesired&lt;$B185,"-",$E185))</f>
        <v>-</v>
      </c>
      <c r="U185" s="15" t="str">
        <f t="shared" ref="U185" si="13107">IF(LanGlo1LevelCurrent&gt;=$B185,"-",IF(LanGlo1LevelDesired&lt;$B185,"-",$C185))</f>
        <v>-</v>
      </c>
      <c r="V185" s="1" t="str">
        <f t="shared" ref="V185" si="13108">IF(LanGlo1LevelCurrent&gt;=$B185,"-",IF(LanGlo1LevelDesired&lt;$B185,"-",$D185))</f>
        <v>-</v>
      </c>
      <c r="W185" s="21" t="str">
        <f t="shared" ref="W185" si="13109">IF(LanGlo1LevelCurrent&gt;=$B185,"-",IF(LanGlo1LevelDesired&lt;$B185,"-",$E185))</f>
        <v>-</v>
      </c>
      <c r="X185" s="15" t="str">
        <f t="shared" ref="X185" si="13110">IF(LanBel1LevelCurrent&gt;=$B185,"-",IF(LanBel1LevelDesired&lt;$B185,"-",$C185))</f>
        <v>-</v>
      </c>
      <c r="Y185" s="1" t="str">
        <f t="shared" ref="Y185" si="13111">IF(LanBel1LevelCurrent&gt;=$B185,"-",IF(LanBel1LevelDesired&lt;$B185,"-",$D185))</f>
        <v>-</v>
      </c>
      <c r="Z185" s="21" t="str">
        <f t="shared" ref="Z185" si="13112">IF(LanBel1LevelCurrent&gt;=$B185,"-",IF(LanBel1LevelDesired&lt;$B185,"-",$E185))</f>
        <v>-</v>
      </c>
      <c r="AA185" s="15" t="str">
        <f t="shared" ref="AA185" si="13113">IF(LanBoo1LevelCurrent&gt;=$B185,"-",IF(LanBoo1LevelDesired&lt;$B185,"-",$C185))</f>
        <v>-</v>
      </c>
      <c r="AB185" s="1" t="str">
        <f t="shared" ref="AB185" si="13114">IF(LanBoo1LevelCurrent&gt;=$B185,"-",IF(LanBoo1LevelDesired&lt;$B185,"-",$D185))</f>
        <v>-</v>
      </c>
      <c r="AC185" s="21" t="str">
        <f t="shared" ref="AC185" si="13115">IF(LanBoo1LevelCurrent&gt;=$B185,"-",IF(LanBoo1LevelDesired&lt;$B185,"-",$E185))</f>
        <v>-</v>
      </c>
      <c r="AD185" s="15" t="str">
        <f t="shared" ref="AD185" si="13116">IF(MarGog1LevelCurrent&gt;=$B185,"-",IF(MarGog1LevelDesired&lt;$B185,"-",$C185))</f>
        <v>-</v>
      </c>
      <c r="AE185" s="1" t="str">
        <f t="shared" ref="AE185" si="13117">IF(MarGog1LevelCurrent&gt;=$B185,"-",IF(MarGog1LevelDesired&lt;$B185,"-",$D185))</f>
        <v>-</v>
      </c>
      <c r="AF185" s="21" t="str">
        <f t="shared" ref="AF185" si="13118">IF(MarGog1LevelCurrent&gt;=$B185,"-",IF(MarGog1LevelDesired&lt;$B185,"-",$E185))</f>
        <v>-</v>
      </c>
      <c r="AG185" s="15" t="str">
        <f t="shared" ref="AG185" si="13119">IF(MarGlo1LevelCurrent&gt;=$B185,"-",IF(MarGlo1LevelDesired&lt;$B185,"-",$C185))</f>
        <v>-</v>
      </c>
      <c r="AH185" s="1" t="str">
        <f t="shared" ref="AH185" si="13120">IF(MarGlo1LevelCurrent&gt;=$B185,"-",IF(MarGlo1LevelDesired&lt;$B185,"-",$D185))</f>
        <v>-</v>
      </c>
      <c r="AI185" s="21" t="str">
        <f t="shared" ref="AI185" si="13121">IF(MarGlo1LevelCurrent&gt;=$B185,"-",IF(MarGlo1LevelDesired&lt;$B185,"-",$E185))</f>
        <v>-</v>
      </c>
      <c r="AJ185" s="15" t="str">
        <f t="shared" ref="AJ185" si="13122">IF(MarBel1LevelCurrent&gt;=$B185,"-",IF(MarBel1LevelDesired&lt;$B185,"-",$C185))</f>
        <v>-</v>
      </c>
      <c r="AK185" s="1" t="str">
        <f t="shared" ref="AK185" si="13123">IF(MarBel1LevelCurrent&gt;=$B185,"-",IF(MarBel1LevelDesired&lt;$B185,"-",$D185))</f>
        <v>-</v>
      </c>
      <c r="AL185" s="21" t="str">
        <f t="shared" ref="AL185" si="13124">IF(MarBel1LevelCurrent&gt;=$B185,"-",IF(MarBel1LevelDesired&lt;$B185,"-",$E185))</f>
        <v>-</v>
      </c>
      <c r="AM185" s="15" t="str">
        <f t="shared" ref="AM185" si="13125">IF(MarBoo1LevelCurrent&gt;=$B185,"-",IF(MarBoo1LevelDesired&lt;$B185,"-",$C185))</f>
        <v>-</v>
      </c>
      <c r="AN185" s="1" t="str">
        <f t="shared" ref="AN185" si="13126">IF(MarBoo1LevelCurrent&gt;=$B185,"-",IF(MarBoo1LevelDesired&lt;$B185,"-",$D185))</f>
        <v>-</v>
      </c>
      <c r="AO185" s="21" t="str">
        <f t="shared" ref="AO185" si="13127">IF(MarBoo1LevelCurrent&gt;=$B185,"-",IF(MarBoo1LevelDesired&lt;$B185,"-",$E185))</f>
        <v>-</v>
      </c>
      <c r="AP185" s="15" t="str">
        <f t="shared" ref="AP185" si="13128">IF(InfGog2LevelCurrent&gt;=$B185,"-",IF(InfGog2LevelDesired&lt;$B185,"-",$C185))</f>
        <v>-</v>
      </c>
      <c r="AQ185" s="1" t="str">
        <f t="shared" ref="AQ185" si="13129">IF(InfGog2LevelCurrent&gt;=$B185,"-",IF(InfGog2LevelDesired&lt;$B185,"-",$D185))</f>
        <v>-</v>
      </c>
      <c r="AR185" s="21" t="str">
        <f t="shared" ref="AR185" si="13130">IF(InfGog2LevelCurrent&gt;=$B185,"-",IF(InfGog2LevelDesired&lt;$B185,"-",$E185))</f>
        <v>-</v>
      </c>
      <c r="AS185" s="15" t="str">
        <f t="shared" ref="AS185" si="13131">IF(InfGlo2LevelCurrent&gt;=$B185,"-",IF(InfGlo2LevelDesired&lt;$B185,"-",$C185))</f>
        <v>-</v>
      </c>
      <c r="AT185" s="1" t="str">
        <f t="shared" ref="AT185" si="13132">IF(InfGlo2LevelCurrent&gt;=$B185,"-",IF(InfGlo2LevelDesired&lt;$B185,"-",$D185))</f>
        <v>-</v>
      </c>
      <c r="AU185" s="21" t="str">
        <f t="shared" ref="AU185" si="13133">IF(InfGlo2LevelCurrent&gt;=$B185,"-",IF(InfGlo2LevelDesired&lt;$B185,"-",$E185))</f>
        <v>-</v>
      </c>
      <c r="AV185" s="15" t="str">
        <f t="shared" ref="AV185" si="13134">IF(InfBel2LevelCurrent&gt;=$B185,"-",IF(InfBel2LevelDesired&lt;$B185,"-",$C185))</f>
        <v>-</v>
      </c>
      <c r="AW185" s="1" t="str">
        <f t="shared" ref="AW185" si="13135">IF(InfBel2LevelCurrent&gt;=$B185,"-",IF(InfBel2LevelDesired&lt;$B185,"-",$D185))</f>
        <v>-</v>
      </c>
      <c r="AX185" s="21" t="str">
        <f t="shared" ref="AX185" si="13136">IF(InfBel2LevelCurrent&gt;=$B185,"-",IF(InfBel2LevelDesired&lt;$B185,"-",$E185))</f>
        <v>-</v>
      </c>
      <c r="AY185" s="15" t="str">
        <f t="shared" ref="AY185" si="13137">IF(InfBoo2LevelCurrent&gt;=$B185,"-",IF(InfBoo2LevelDesired&lt;$B185,"-",$C185))</f>
        <v>-</v>
      </c>
      <c r="AZ185" s="1" t="str">
        <f t="shared" ref="AZ185" si="13138">IF(InfBoo2LevelCurrent&gt;=$B185,"-",IF(InfBoo2LevelDesired&lt;$B185,"-",$D185))</f>
        <v>-</v>
      </c>
      <c r="BA185" s="21" t="str">
        <f t="shared" ref="BA185" si="13139">IF(InfBoo2LevelCurrent&gt;=$B185,"-",IF(InfBoo2LevelDesired&lt;$B185,"-",$E185))</f>
        <v>-</v>
      </c>
      <c r="BB185" s="15" t="str">
        <f t="shared" ref="BB185" si="13140">IF(LanGog2LevelCurrent&gt;=$B185,"-",IF(LanGog2LevelDesired&lt;$B185,"-",$C185))</f>
        <v>-</v>
      </c>
      <c r="BC185" s="1" t="str">
        <f t="shared" ref="BC185" si="13141">IF(LanGog2LevelCurrent&gt;=$B185,"-",IF(LanGog2LevelDesired&lt;$B185,"-",$D185))</f>
        <v>-</v>
      </c>
      <c r="BD185" s="21" t="str">
        <f t="shared" ref="BD185" si="13142">IF(LanGog2LevelCurrent&gt;=$B185,"-",IF(LanGog2LevelDesired&lt;$B185,"-",$E185))</f>
        <v>-</v>
      </c>
      <c r="BE185" s="15" t="str">
        <f t="shared" ref="BE185" si="13143">IF(LanGlo2LevelCurrent&gt;=$B185,"-",IF(LanGlo2LevelDesired&lt;$B185,"-",$C185))</f>
        <v>-</v>
      </c>
      <c r="BF185" s="1" t="str">
        <f t="shared" ref="BF185" si="13144">IF(LanGlo2LevelCurrent&gt;=$B185,"-",IF(LanGlo2LevelDesired&lt;$B185,"-",$D185))</f>
        <v>-</v>
      </c>
      <c r="BG185" s="21" t="str">
        <f t="shared" ref="BG185" si="13145">IF(LanGlo2LevelCurrent&gt;=$B185,"-",IF(LanGlo2LevelDesired&lt;$B185,"-",$E185))</f>
        <v>-</v>
      </c>
      <c r="BH185" s="15" t="str">
        <f t="shared" ref="BH185" si="13146">IF(LanBel2LevelCurrent&gt;=$B185,"-",IF(LanBel2LevelDesired&lt;$B185,"-",$C185))</f>
        <v>-</v>
      </c>
      <c r="BI185" s="1" t="str">
        <f t="shared" ref="BI185" si="13147">IF(LanBel2LevelCurrent&gt;=$B185,"-",IF(LanBel2LevelDesired&lt;$B185,"-",$D185))</f>
        <v>-</v>
      </c>
      <c r="BJ185" s="21" t="str">
        <f t="shared" ref="BJ185" si="13148">IF(LanBel2LevelCurrent&gt;=$B185,"-",IF(LanBel2LevelDesired&lt;$B185,"-",$E185))</f>
        <v>-</v>
      </c>
      <c r="BK185" s="15" t="str">
        <f t="shared" ref="BK185" si="13149">IF(LanBoo2LevelCurrent&gt;=$B185,"-",IF(LanBoo2LevelDesired&lt;$B185,"-",$C185))</f>
        <v>-</v>
      </c>
      <c r="BL185" s="1" t="str">
        <f t="shared" ref="BL185" si="13150">IF(LanBoo2LevelCurrent&gt;=$B185,"-",IF(LanBoo2LevelDesired&lt;$B185,"-",$D185))</f>
        <v>-</v>
      </c>
      <c r="BM185" s="21" t="str">
        <f t="shared" ref="BM185" si="13151">IF(LanBoo2LevelCurrent&gt;=$B185,"-",IF(LanBoo2LevelDesired&lt;$B185,"-",$E185))</f>
        <v>-</v>
      </c>
      <c r="BN185" s="15" t="str">
        <f t="shared" ref="BN185" si="13152">IF(MarGog2LevelCurrent&gt;=$B185,"-",IF(MarGog2LevelDesired&lt;$B185,"-",$C185))</f>
        <v>-</v>
      </c>
      <c r="BO185" s="1" t="str">
        <f t="shared" ref="BO185" si="13153">IF(MarGog2LevelCurrent&gt;=$B185,"-",IF(MarGog2LevelDesired&lt;$B185,"-",$D185))</f>
        <v>-</v>
      </c>
      <c r="BP185" s="21" t="str">
        <f t="shared" ref="BP185" si="13154">IF(MarGog2LevelCurrent&gt;=$B185,"-",IF(MarGog2LevelDesired&lt;$B185,"-",$E185))</f>
        <v>-</v>
      </c>
      <c r="BQ185" s="15" t="str">
        <f t="shared" ref="BQ185" si="13155">IF(MarGlo2LevelCurrent&gt;=$B185,"-",IF(MarGlo2LevelDesired&lt;$B185,"-",$C185))</f>
        <v>-</v>
      </c>
      <c r="BR185" s="1" t="str">
        <f t="shared" ref="BR185" si="13156">IF(MarGlo2LevelCurrent&gt;=$B185,"-",IF(MarGlo2LevelDesired&lt;$B185,"-",$D185))</f>
        <v>-</v>
      </c>
      <c r="BS185" s="21" t="str">
        <f t="shared" ref="BS185" si="13157">IF(MarGlo2LevelCurrent&gt;=$B185,"-",IF(MarGlo2LevelDesired&lt;$B185,"-",$E185))</f>
        <v>-</v>
      </c>
      <c r="BT185" s="15" t="str">
        <f t="shared" ref="BT185" si="13158">IF(MarBel2LevelCurrent&gt;=$B185,"-",IF(MarBel2LevelDesired&lt;$B185,"-",$C185))</f>
        <v>-</v>
      </c>
      <c r="BU185" s="1" t="str">
        <f t="shared" ref="BU185" si="13159">IF(MarBel2LevelCurrent&gt;=$B185,"-",IF(MarBel2LevelDesired&lt;$B185,"-",$D185))</f>
        <v>-</v>
      </c>
      <c r="BV185" s="21" t="str">
        <f t="shared" ref="BV185" si="13160">IF(MarBel2LevelCurrent&gt;=$B185,"-",IF(MarBel2LevelDesired&lt;$B185,"-",$E185))</f>
        <v>-</v>
      </c>
      <c r="BW185" s="15" t="str">
        <f t="shared" ref="BW185" si="13161">IF(MarBoo2LevelCurrent&gt;=$B185,"-",IF(MarBoo2LevelDesired&lt;$B185,"-",$C185))</f>
        <v>-</v>
      </c>
      <c r="BX185" s="1" t="str">
        <f t="shared" ref="BX185" si="13162">IF(MarBoo2LevelCurrent&gt;=$B185,"-",IF(MarBoo2LevelDesired&lt;$B185,"-",$D185))</f>
        <v>-</v>
      </c>
      <c r="BY185" s="21" t="str">
        <f t="shared" ref="BY185" si="13163">IF(MarBoo2LevelCurrent&gt;=$B185,"-",IF(MarBoo2LevelDesired&lt;$B185,"-",$E185))</f>
        <v>-</v>
      </c>
      <c r="BZ185" s="15" t="str">
        <f t="shared" si="11762"/>
        <v>-</v>
      </c>
      <c r="CA185" s="1" t="str" cm="1">
        <f t="array" ref="CA185">IF(InfGog3LevelCurrent&gt;=$B185,"-",IF(InfGog3LevelDesired&lt;$B185,"-",$D185))</f>
        <v>-</v>
      </c>
      <c r="CB185" s="21" t="str" cm="1">
        <f t="array" ref="CB185">IF(InfGog3LevelCurrent&gt;=$B185,"-",IF(InfGog3LevelDesired&lt;$B185,"-",$E185))</f>
        <v>-</v>
      </c>
      <c r="CC185" s="15" t="str">
        <f t="shared" si="11763"/>
        <v>-</v>
      </c>
      <c r="CD185" s="1" t="str">
        <f t="shared" si="11764"/>
        <v>-</v>
      </c>
      <c r="CE185" s="21" t="str">
        <f t="shared" si="11765"/>
        <v>-</v>
      </c>
      <c r="CF185" s="15" t="str">
        <f t="shared" si="11766"/>
        <v>-</v>
      </c>
      <c r="CG185" s="1" t="str">
        <f t="shared" si="11767"/>
        <v>-</v>
      </c>
      <c r="CH185" s="21" t="str">
        <f t="shared" si="11768"/>
        <v>-</v>
      </c>
      <c r="CI185" s="15" t="str">
        <f t="shared" si="11769"/>
        <v>-</v>
      </c>
      <c r="CJ185" s="1" t="str">
        <f t="shared" si="11770"/>
        <v>-</v>
      </c>
      <c r="CK185" s="21" t="str">
        <f t="shared" si="11771"/>
        <v>-</v>
      </c>
      <c r="CL185" s="15" t="str">
        <f t="shared" si="11772"/>
        <v>-</v>
      </c>
      <c r="CM185" s="1" t="str">
        <f t="shared" si="11773"/>
        <v>-</v>
      </c>
      <c r="CN185" s="21" t="str">
        <f t="shared" si="11774"/>
        <v>-</v>
      </c>
      <c r="CO185" s="15" t="str">
        <f t="shared" si="11775"/>
        <v>-</v>
      </c>
      <c r="CP185" s="1" t="str">
        <f t="shared" si="11776"/>
        <v>-</v>
      </c>
      <c r="CQ185" s="21" t="str">
        <f t="shared" si="11777"/>
        <v>-</v>
      </c>
      <c r="CR185" s="15" t="str">
        <f t="shared" si="11778"/>
        <v>-</v>
      </c>
      <c r="CS185" s="1" t="str">
        <f t="shared" si="11779"/>
        <v>-</v>
      </c>
      <c r="CT185" s="21" t="str">
        <f t="shared" si="11780"/>
        <v>-</v>
      </c>
      <c r="CU185" s="15" t="str">
        <f t="shared" si="11781"/>
        <v>-</v>
      </c>
      <c r="CV185" s="1" t="str">
        <f t="shared" si="11782"/>
        <v>-</v>
      </c>
      <c r="CW185" s="21" t="str">
        <f t="shared" si="11783"/>
        <v>-</v>
      </c>
      <c r="CX185" s="15" t="str">
        <f t="shared" si="11784"/>
        <v>-</v>
      </c>
      <c r="CY185" s="1" t="str">
        <f t="shared" si="11785"/>
        <v>-</v>
      </c>
      <c r="CZ185" s="21" t="str">
        <f t="shared" si="11786"/>
        <v>-</v>
      </c>
      <c r="DA185" s="15" t="str">
        <f t="shared" si="11787"/>
        <v>-</v>
      </c>
      <c r="DB185" s="1" t="str">
        <f t="shared" si="11788"/>
        <v>-</v>
      </c>
      <c r="DC185" s="21" t="str">
        <f t="shared" si="11789"/>
        <v>-</v>
      </c>
      <c r="DD185" s="15" t="str">
        <f t="shared" si="11790"/>
        <v>-</v>
      </c>
      <c r="DE185" s="1" t="str">
        <f t="shared" si="11791"/>
        <v>-</v>
      </c>
      <c r="DF185" s="21" t="str">
        <f t="shared" si="11792"/>
        <v>-</v>
      </c>
      <c r="DG185" s="15" t="str">
        <f t="shared" si="11793"/>
        <v>-</v>
      </c>
      <c r="DH185" s="1" t="str">
        <f t="shared" si="11794"/>
        <v>-</v>
      </c>
      <c r="DI185" s="21" t="str">
        <f t="shared" si="11795"/>
        <v>-</v>
      </c>
    </row>
    <row r="186" spans="2:113" x14ac:dyDescent="0.3">
      <c r="B186" s="1">
        <v>181</v>
      </c>
      <c r="C186" s="67">
        <v>7500</v>
      </c>
      <c r="D186" s="88" t="s">
        <v>27</v>
      </c>
      <c r="E186" s="68" t="s">
        <v>27</v>
      </c>
      <c r="F186" s="15" t="str">
        <f t="shared" ref="F186" si="13164">IF(InfGog1LevelCurrent&gt;=$B186,"-",IF(InfGog1LevelDesired&lt;$B186,"-",$C186))</f>
        <v>-</v>
      </c>
      <c r="G186" s="1" t="str">
        <f t="shared" ref="G186" si="13165">IF(InfGog1LevelCurrent&gt;=$B186,"-",IF(InfGog1LevelDesired&lt;$B186,"-",$D186))</f>
        <v>-</v>
      </c>
      <c r="H186" s="21" t="str">
        <f t="shared" ref="H186" si="13166">IF(InfGog1LevelCurrent&gt;=$B186,"-",IF(InfGog1LevelDesired&lt;$B186,"-",$E186))</f>
        <v>-</v>
      </c>
      <c r="I186" s="15" t="str">
        <f t="shared" ref="I186" si="13167">IF(InfGlo1LevelCurrent&gt;=$B186,"-",IF(InfGlo1LevelDesired&lt;$B186,"-",$C186))</f>
        <v>-</v>
      </c>
      <c r="J186" s="1" t="str">
        <f t="shared" ref="J186" si="13168">IF(InfGlo1LevelCurrent&gt;=$B186,"-",IF(InfGlo1LevelDesired&lt;$B186,"-",$D186))</f>
        <v>-</v>
      </c>
      <c r="K186" s="21" t="str">
        <f t="shared" ref="K186" si="13169">IF(InfGlo1LevelCurrent&gt;=$B186,"-",IF(InfGlo1LevelDesired&lt;$B186,"-",$E186))</f>
        <v>-</v>
      </c>
      <c r="L186" s="15" t="str">
        <f t="shared" ref="L186" si="13170">IF(InfBel1LevelCurrent&gt;=$B186,"-",IF(InfBel1LevelDesired&lt;$B186,"-",$C186))</f>
        <v>-</v>
      </c>
      <c r="M186" s="1" t="str">
        <f t="shared" ref="M186" si="13171">IF(InfBel1LevelCurrent&gt;=$B186,"-",IF(InfBel1LevelDesired&lt;$B186,"-",$D186))</f>
        <v>-</v>
      </c>
      <c r="N186" s="21" t="str">
        <f t="shared" ref="N186" si="13172">IF(InfBel1LevelCurrent&gt;=$B186,"-",IF(InfBel1LevelDesired&lt;$B186,"-",$E186))</f>
        <v>-</v>
      </c>
      <c r="O186" s="15" t="str">
        <f t="shared" ref="O186" si="13173">IF(InfBoo1LevelCurrent&gt;=$B186,"-",IF(InfBoo1LevelDesired&lt;$B186,"-",$C186))</f>
        <v>-</v>
      </c>
      <c r="P186" s="1" t="str">
        <f t="shared" ref="P186" si="13174">IF(InfBoo1LevelCurrent&gt;=$B186,"-",IF(InfBoo1LevelDesired&lt;$B186,"-",$D186))</f>
        <v>-</v>
      </c>
      <c r="Q186" s="21" t="str">
        <f t="shared" ref="Q186" si="13175">IF(InfBoo1LevelCurrent&gt;=$B186,"-",IF(InfBoo1LevelDesired&lt;$B186,"-",$E186))</f>
        <v>-</v>
      </c>
      <c r="R186" s="15" t="str">
        <f t="shared" ref="R186" si="13176">IF(LanGog1LevelCurrent&gt;=$B186,"-",IF(LanGog1LevelDesired&lt;$B186,"-",$C186))</f>
        <v>-</v>
      </c>
      <c r="S186" s="1" t="str">
        <f t="shared" ref="S186" si="13177">IF(LanGog1LevelCurrent&gt;=$B186,"-",IF(LanGog1LevelDesired&lt;$B186,"-",$D186))</f>
        <v>-</v>
      </c>
      <c r="T186" s="21" t="str">
        <f t="shared" ref="T186" si="13178">IF(LanGog1LevelCurrent&gt;=$B186,"-",IF(LanGog1LevelDesired&lt;$B186,"-",$E186))</f>
        <v>-</v>
      </c>
      <c r="U186" s="15" t="str">
        <f t="shared" ref="U186" si="13179">IF(LanGlo1LevelCurrent&gt;=$B186,"-",IF(LanGlo1LevelDesired&lt;$B186,"-",$C186))</f>
        <v>-</v>
      </c>
      <c r="V186" s="1" t="str">
        <f t="shared" ref="V186" si="13180">IF(LanGlo1LevelCurrent&gt;=$B186,"-",IF(LanGlo1LevelDesired&lt;$B186,"-",$D186))</f>
        <v>-</v>
      </c>
      <c r="W186" s="21" t="str">
        <f t="shared" ref="W186" si="13181">IF(LanGlo1LevelCurrent&gt;=$B186,"-",IF(LanGlo1LevelDesired&lt;$B186,"-",$E186))</f>
        <v>-</v>
      </c>
      <c r="X186" s="15" t="str">
        <f t="shared" ref="X186" si="13182">IF(LanBel1LevelCurrent&gt;=$B186,"-",IF(LanBel1LevelDesired&lt;$B186,"-",$C186))</f>
        <v>-</v>
      </c>
      <c r="Y186" s="1" t="str">
        <f t="shared" ref="Y186" si="13183">IF(LanBel1LevelCurrent&gt;=$B186,"-",IF(LanBel1LevelDesired&lt;$B186,"-",$D186))</f>
        <v>-</v>
      </c>
      <c r="Z186" s="21" t="str">
        <f t="shared" ref="Z186" si="13184">IF(LanBel1LevelCurrent&gt;=$B186,"-",IF(LanBel1LevelDesired&lt;$B186,"-",$E186))</f>
        <v>-</v>
      </c>
      <c r="AA186" s="15" t="str">
        <f t="shared" ref="AA186" si="13185">IF(LanBoo1LevelCurrent&gt;=$B186,"-",IF(LanBoo1LevelDesired&lt;$B186,"-",$C186))</f>
        <v>-</v>
      </c>
      <c r="AB186" s="1" t="str">
        <f t="shared" ref="AB186" si="13186">IF(LanBoo1LevelCurrent&gt;=$B186,"-",IF(LanBoo1LevelDesired&lt;$B186,"-",$D186))</f>
        <v>-</v>
      </c>
      <c r="AC186" s="21" t="str">
        <f t="shared" ref="AC186" si="13187">IF(LanBoo1LevelCurrent&gt;=$B186,"-",IF(LanBoo1LevelDesired&lt;$B186,"-",$E186))</f>
        <v>-</v>
      </c>
      <c r="AD186" s="15" t="str">
        <f t="shared" ref="AD186" si="13188">IF(MarGog1LevelCurrent&gt;=$B186,"-",IF(MarGog1LevelDesired&lt;$B186,"-",$C186))</f>
        <v>-</v>
      </c>
      <c r="AE186" s="1" t="str">
        <f t="shared" ref="AE186" si="13189">IF(MarGog1LevelCurrent&gt;=$B186,"-",IF(MarGog1LevelDesired&lt;$B186,"-",$D186))</f>
        <v>-</v>
      </c>
      <c r="AF186" s="21" t="str">
        <f t="shared" ref="AF186" si="13190">IF(MarGog1LevelCurrent&gt;=$B186,"-",IF(MarGog1LevelDesired&lt;$B186,"-",$E186))</f>
        <v>-</v>
      </c>
      <c r="AG186" s="15" t="str">
        <f t="shared" ref="AG186" si="13191">IF(MarGlo1LevelCurrent&gt;=$B186,"-",IF(MarGlo1LevelDesired&lt;$B186,"-",$C186))</f>
        <v>-</v>
      </c>
      <c r="AH186" s="1" t="str">
        <f t="shared" ref="AH186" si="13192">IF(MarGlo1LevelCurrent&gt;=$B186,"-",IF(MarGlo1LevelDesired&lt;$B186,"-",$D186))</f>
        <v>-</v>
      </c>
      <c r="AI186" s="21" t="str">
        <f t="shared" ref="AI186" si="13193">IF(MarGlo1LevelCurrent&gt;=$B186,"-",IF(MarGlo1LevelDesired&lt;$B186,"-",$E186))</f>
        <v>-</v>
      </c>
      <c r="AJ186" s="15" t="str">
        <f t="shared" ref="AJ186" si="13194">IF(MarBel1LevelCurrent&gt;=$B186,"-",IF(MarBel1LevelDesired&lt;$B186,"-",$C186))</f>
        <v>-</v>
      </c>
      <c r="AK186" s="1" t="str">
        <f t="shared" ref="AK186" si="13195">IF(MarBel1LevelCurrent&gt;=$B186,"-",IF(MarBel1LevelDesired&lt;$B186,"-",$D186))</f>
        <v>-</v>
      </c>
      <c r="AL186" s="21" t="str">
        <f t="shared" ref="AL186" si="13196">IF(MarBel1LevelCurrent&gt;=$B186,"-",IF(MarBel1LevelDesired&lt;$B186,"-",$E186))</f>
        <v>-</v>
      </c>
      <c r="AM186" s="15" t="str">
        <f t="shared" ref="AM186" si="13197">IF(MarBoo1LevelCurrent&gt;=$B186,"-",IF(MarBoo1LevelDesired&lt;$B186,"-",$C186))</f>
        <v>-</v>
      </c>
      <c r="AN186" s="1" t="str">
        <f t="shared" ref="AN186" si="13198">IF(MarBoo1LevelCurrent&gt;=$B186,"-",IF(MarBoo1LevelDesired&lt;$B186,"-",$D186))</f>
        <v>-</v>
      </c>
      <c r="AO186" s="21" t="str">
        <f t="shared" ref="AO186" si="13199">IF(MarBoo1LevelCurrent&gt;=$B186,"-",IF(MarBoo1LevelDesired&lt;$B186,"-",$E186))</f>
        <v>-</v>
      </c>
      <c r="AP186" s="15" t="str">
        <f t="shared" ref="AP186" si="13200">IF(InfGog2LevelCurrent&gt;=$B186,"-",IF(InfGog2LevelDesired&lt;$B186,"-",$C186))</f>
        <v>-</v>
      </c>
      <c r="AQ186" s="1" t="str">
        <f t="shared" ref="AQ186" si="13201">IF(InfGog2LevelCurrent&gt;=$B186,"-",IF(InfGog2LevelDesired&lt;$B186,"-",$D186))</f>
        <v>-</v>
      </c>
      <c r="AR186" s="21" t="str">
        <f t="shared" ref="AR186" si="13202">IF(InfGog2LevelCurrent&gt;=$B186,"-",IF(InfGog2LevelDesired&lt;$B186,"-",$E186))</f>
        <v>-</v>
      </c>
      <c r="AS186" s="15" t="str">
        <f t="shared" ref="AS186" si="13203">IF(InfGlo2LevelCurrent&gt;=$B186,"-",IF(InfGlo2LevelDesired&lt;$B186,"-",$C186))</f>
        <v>-</v>
      </c>
      <c r="AT186" s="1" t="str">
        <f t="shared" ref="AT186" si="13204">IF(InfGlo2LevelCurrent&gt;=$B186,"-",IF(InfGlo2LevelDesired&lt;$B186,"-",$D186))</f>
        <v>-</v>
      </c>
      <c r="AU186" s="21" t="str">
        <f t="shared" ref="AU186" si="13205">IF(InfGlo2LevelCurrent&gt;=$B186,"-",IF(InfGlo2LevelDesired&lt;$B186,"-",$E186))</f>
        <v>-</v>
      </c>
      <c r="AV186" s="15" t="str">
        <f t="shared" ref="AV186" si="13206">IF(InfBel2LevelCurrent&gt;=$B186,"-",IF(InfBel2LevelDesired&lt;$B186,"-",$C186))</f>
        <v>-</v>
      </c>
      <c r="AW186" s="1" t="str">
        <f t="shared" ref="AW186" si="13207">IF(InfBel2LevelCurrent&gt;=$B186,"-",IF(InfBel2LevelDesired&lt;$B186,"-",$D186))</f>
        <v>-</v>
      </c>
      <c r="AX186" s="21" t="str">
        <f t="shared" ref="AX186" si="13208">IF(InfBel2LevelCurrent&gt;=$B186,"-",IF(InfBel2LevelDesired&lt;$B186,"-",$E186))</f>
        <v>-</v>
      </c>
      <c r="AY186" s="15" t="str">
        <f t="shared" ref="AY186" si="13209">IF(InfBoo2LevelCurrent&gt;=$B186,"-",IF(InfBoo2LevelDesired&lt;$B186,"-",$C186))</f>
        <v>-</v>
      </c>
      <c r="AZ186" s="1" t="str">
        <f t="shared" ref="AZ186" si="13210">IF(InfBoo2LevelCurrent&gt;=$B186,"-",IF(InfBoo2LevelDesired&lt;$B186,"-",$D186))</f>
        <v>-</v>
      </c>
      <c r="BA186" s="21" t="str">
        <f t="shared" ref="BA186" si="13211">IF(InfBoo2LevelCurrent&gt;=$B186,"-",IF(InfBoo2LevelDesired&lt;$B186,"-",$E186))</f>
        <v>-</v>
      </c>
      <c r="BB186" s="15" t="str">
        <f t="shared" ref="BB186" si="13212">IF(LanGog2LevelCurrent&gt;=$B186,"-",IF(LanGog2LevelDesired&lt;$B186,"-",$C186))</f>
        <v>-</v>
      </c>
      <c r="BC186" s="1" t="str">
        <f t="shared" ref="BC186" si="13213">IF(LanGog2LevelCurrent&gt;=$B186,"-",IF(LanGog2LevelDesired&lt;$B186,"-",$D186))</f>
        <v>-</v>
      </c>
      <c r="BD186" s="21" t="str">
        <f t="shared" ref="BD186" si="13214">IF(LanGog2LevelCurrent&gt;=$B186,"-",IF(LanGog2LevelDesired&lt;$B186,"-",$E186))</f>
        <v>-</v>
      </c>
      <c r="BE186" s="15" t="str">
        <f t="shared" ref="BE186" si="13215">IF(LanGlo2LevelCurrent&gt;=$B186,"-",IF(LanGlo2LevelDesired&lt;$B186,"-",$C186))</f>
        <v>-</v>
      </c>
      <c r="BF186" s="1" t="str">
        <f t="shared" ref="BF186" si="13216">IF(LanGlo2LevelCurrent&gt;=$B186,"-",IF(LanGlo2LevelDesired&lt;$B186,"-",$D186))</f>
        <v>-</v>
      </c>
      <c r="BG186" s="21" t="str">
        <f t="shared" ref="BG186" si="13217">IF(LanGlo2LevelCurrent&gt;=$B186,"-",IF(LanGlo2LevelDesired&lt;$B186,"-",$E186))</f>
        <v>-</v>
      </c>
      <c r="BH186" s="15" t="str">
        <f t="shared" ref="BH186" si="13218">IF(LanBel2LevelCurrent&gt;=$B186,"-",IF(LanBel2LevelDesired&lt;$B186,"-",$C186))</f>
        <v>-</v>
      </c>
      <c r="BI186" s="1" t="str">
        <f t="shared" ref="BI186" si="13219">IF(LanBel2LevelCurrent&gt;=$B186,"-",IF(LanBel2LevelDesired&lt;$B186,"-",$D186))</f>
        <v>-</v>
      </c>
      <c r="BJ186" s="21" t="str">
        <f t="shared" ref="BJ186" si="13220">IF(LanBel2LevelCurrent&gt;=$B186,"-",IF(LanBel2LevelDesired&lt;$B186,"-",$E186))</f>
        <v>-</v>
      </c>
      <c r="BK186" s="15" t="str">
        <f t="shared" ref="BK186" si="13221">IF(LanBoo2LevelCurrent&gt;=$B186,"-",IF(LanBoo2LevelDesired&lt;$B186,"-",$C186))</f>
        <v>-</v>
      </c>
      <c r="BL186" s="1" t="str">
        <f t="shared" ref="BL186" si="13222">IF(LanBoo2LevelCurrent&gt;=$B186,"-",IF(LanBoo2LevelDesired&lt;$B186,"-",$D186))</f>
        <v>-</v>
      </c>
      <c r="BM186" s="21" t="str">
        <f t="shared" ref="BM186" si="13223">IF(LanBoo2LevelCurrent&gt;=$B186,"-",IF(LanBoo2LevelDesired&lt;$B186,"-",$E186))</f>
        <v>-</v>
      </c>
      <c r="BN186" s="15" t="str">
        <f t="shared" ref="BN186" si="13224">IF(MarGog2LevelCurrent&gt;=$B186,"-",IF(MarGog2LevelDesired&lt;$B186,"-",$C186))</f>
        <v>-</v>
      </c>
      <c r="BO186" s="1" t="str">
        <f t="shared" ref="BO186" si="13225">IF(MarGog2LevelCurrent&gt;=$B186,"-",IF(MarGog2LevelDesired&lt;$B186,"-",$D186))</f>
        <v>-</v>
      </c>
      <c r="BP186" s="21" t="str">
        <f t="shared" ref="BP186" si="13226">IF(MarGog2LevelCurrent&gt;=$B186,"-",IF(MarGog2LevelDesired&lt;$B186,"-",$E186))</f>
        <v>-</v>
      </c>
      <c r="BQ186" s="15" t="str">
        <f t="shared" ref="BQ186" si="13227">IF(MarGlo2LevelCurrent&gt;=$B186,"-",IF(MarGlo2LevelDesired&lt;$B186,"-",$C186))</f>
        <v>-</v>
      </c>
      <c r="BR186" s="1" t="str">
        <f t="shared" ref="BR186" si="13228">IF(MarGlo2LevelCurrent&gt;=$B186,"-",IF(MarGlo2LevelDesired&lt;$B186,"-",$D186))</f>
        <v>-</v>
      </c>
      <c r="BS186" s="21" t="str">
        <f t="shared" ref="BS186" si="13229">IF(MarGlo2LevelCurrent&gt;=$B186,"-",IF(MarGlo2LevelDesired&lt;$B186,"-",$E186))</f>
        <v>-</v>
      </c>
      <c r="BT186" s="15" t="str">
        <f t="shared" ref="BT186" si="13230">IF(MarBel2LevelCurrent&gt;=$B186,"-",IF(MarBel2LevelDesired&lt;$B186,"-",$C186))</f>
        <v>-</v>
      </c>
      <c r="BU186" s="1" t="str">
        <f t="shared" ref="BU186" si="13231">IF(MarBel2LevelCurrent&gt;=$B186,"-",IF(MarBel2LevelDesired&lt;$B186,"-",$D186))</f>
        <v>-</v>
      </c>
      <c r="BV186" s="21" t="str">
        <f t="shared" ref="BV186" si="13232">IF(MarBel2LevelCurrent&gt;=$B186,"-",IF(MarBel2LevelDesired&lt;$B186,"-",$E186))</f>
        <v>-</v>
      </c>
      <c r="BW186" s="15" t="str">
        <f t="shared" ref="BW186" si="13233">IF(MarBoo2LevelCurrent&gt;=$B186,"-",IF(MarBoo2LevelDesired&lt;$B186,"-",$C186))</f>
        <v>-</v>
      </c>
      <c r="BX186" s="1" t="str">
        <f t="shared" ref="BX186" si="13234">IF(MarBoo2LevelCurrent&gt;=$B186,"-",IF(MarBoo2LevelDesired&lt;$B186,"-",$D186))</f>
        <v>-</v>
      </c>
      <c r="BY186" s="21" t="str">
        <f t="shared" ref="BY186" si="13235">IF(MarBoo2LevelCurrent&gt;=$B186,"-",IF(MarBoo2LevelDesired&lt;$B186,"-",$E186))</f>
        <v>-</v>
      </c>
      <c r="BZ186" s="15" t="str">
        <f t="shared" si="11762"/>
        <v>-</v>
      </c>
      <c r="CA186" s="1" t="str" cm="1">
        <f t="array" ref="CA186">IF(InfGog3LevelCurrent&gt;=$B186,"-",IF(InfGog3LevelDesired&lt;$B186,"-",$D186))</f>
        <v>-</v>
      </c>
      <c r="CB186" s="21" t="str" cm="1">
        <f t="array" ref="CB186">IF(InfGog3LevelCurrent&gt;=$B186,"-",IF(InfGog3LevelDesired&lt;$B186,"-",$E186))</f>
        <v>-</v>
      </c>
      <c r="CC186" s="15" t="str">
        <f t="shared" si="11763"/>
        <v>-</v>
      </c>
      <c r="CD186" s="1" t="str">
        <f t="shared" si="11764"/>
        <v>-</v>
      </c>
      <c r="CE186" s="21" t="str">
        <f t="shared" si="11765"/>
        <v>-</v>
      </c>
      <c r="CF186" s="15" t="str">
        <f t="shared" si="11766"/>
        <v>-</v>
      </c>
      <c r="CG186" s="1" t="str">
        <f t="shared" si="11767"/>
        <v>-</v>
      </c>
      <c r="CH186" s="21" t="str">
        <f t="shared" si="11768"/>
        <v>-</v>
      </c>
      <c r="CI186" s="15" t="str">
        <f t="shared" si="11769"/>
        <v>-</v>
      </c>
      <c r="CJ186" s="1" t="str">
        <f t="shared" si="11770"/>
        <v>-</v>
      </c>
      <c r="CK186" s="21" t="str">
        <f t="shared" si="11771"/>
        <v>-</v>
      </c>
      <c r="CL186" s="15" t="str">
        <f t="shared" si="11772"/>
        <v>-</v>
      </c>
      <c r="CM186" s="1" t="str">
        <f t="shared" si="11773"/>
        <v>-</v>
      </c>
      <c r="CN186" s="21" t="str">
        <f t="shared" si="11774"/>
        <v>-</v>
      </c>
      <c r="CO186" s="15" t="str">
        <f t="shared" si="11775"/>
        <v>-</v>
      </c>
      <c r="CP186" s="1" t="str">
        <f t="shared" si="11776"/>
        <v>-</v>
      </c>
      <c r="CQ186" s="21" t="str">
        <f t="shared" si="11777"/>
        <v>-</v>
      </c>
      <c r="CR186" s="15" t="str">
        <f t="shared" si="11778"/>
        <v>-</v>
      </c>
      <c r="CS186" s="1" t="str">
        <f t="shared" si="11779"/>
        <v>-</v>
      </c>
      <c r="CT186" s="21" t="str">
        <f t="shared" si="11780"/>
        <v>-</v>
      </c>
      <c r="CU186" s="15" t="str">
        <f t="shared" si="11781"/>
        <v>-</v>
      </c>
      <c r="CV186" s="1" t="str">
        <f t="shared" si="11782"/>
        <v>-</v>
      </c>
      <c r="CW186" s="21" t="str">
        <f t="shared" si="11783"/>
        <v>-</v>
      </c>
      <c r="CX186" s="15" t="str">
        <f t="shared" si="11784"/>
        <v>-</v>
      </c>
      <c r="CY186" s="1" t="str">
        <f t="shared" si="11785"/>
        <v>-</v>
      </c>
      <c r="CZ186" s="21" t="str">
        <f t="shared" si="11786"/>
        <v>-</v>
      </c>
      <c r="DA186" s="15" t="str">
        <f t="shared" si="11787"/>
        <v>-</v>
      </c>
      <c r="DB186" s="1" t="str">
        <f t="shared" si="11788"/>
        <v>-</v>
      </c>
      <c r="DC186" s="21" t="str">
        <f t="shared" si="11789"/>
        <v>-</v>
      </c>
      <c r="DD186" s="15" t="str">
        <f t="shared" si="11790"/>
        <v>-</v>
      </c>
      <c r="DE186" s="1" t="str">
        <f t="shared" si="11791"/>
        <v>-</v>
      </c>
      <c r="DF186" s="21" t="str">
        <f t="shared" si="11792"/>
        <v>-</v>
      </c>
      <c r="DG186" s="15" t="str">
        <f t="shared" si="11793"/>
        <v>-</v>
      </c>
      <c r="DH186" s="1" t="str">
        <f t="shared" si="11794"/>
        <v>-</v>
      </c>
      <c r="DI186" s="21" t="str">
        <f t="shared" si="11795"/>
        <v>-</v>
      </c>
    </row>
    <row r="187" spans="2:113" x14ac:dyDescent="0.3">
      <c r="B187" s="1">
        <v>182</v>
      </c>
      <c r="C187" s="67">
        <v>7600</v>
      </c>
      <c r="D187" s="88" t="s">
        <v>27</v>
      </c>
      <c r="E187" s="68" t="s">
        <v>27</v>
      </c>
      <c r="F187" s="15" t="str">
        <f t="shared" ref="F187" si="13236">IF(InfGog1LevelCurrent&gt;=$B187,"-",IF(InfGog1LevelDesired&lt;$B187,"-",$C187))</f>
        <v>-</v>
      </c>
      <c r="G187" s="1" t="str">
        <f t="shared" ref="G187" si="13237">IF(InfGog1LevelCurrent&gt;=$B187,"-",IF(InfGog1LevelDesired&lt;$B187,"-",$D187))</f>
        <v>-</v>
      </c>
      <c r="H187" s="21" t="str">
        <f t="shared" ref="H187" si="13238">IF(InfGog1LevelCurrent&gt;=$B187,"-",IF(InfGog1LevelDesired&lt;$B187,"-",$E187))</f>
        <v>-</v>
      </c>
      <c r="I187" s="15" t="str">
        <f t="shared" ref="I187" si="13239">IF(InfGlo1LevelCurrent&gt;=$B187,"-",IF(InfGlo1LevelDesired&lt;$B187,"-",$C187))</f>
        <v>-</v>
      </c>
      <c r="J187" s="1" t="str">
        <f t="shared" ref="J187" si="13240">IF(InfGlo1LevelCurrent&gt;=$B187,"-",IF(InfGlo1LevelDesired&lt;$B187,"-",$D187))</f>
        <v>-</v>
      </c>
      <c r="K187" s="21" t="str">
        <f t="shared" ref="K187" si="13241">IF(InfGlo1LevelCurrent&gt;=$B187,"-",IF(InfGlo1LevelDesired&lt;$B187,"-",$E187))</f>
        <v>-</v>
      </c>
      <c r="L187" s="15" t="str">
        <f t="shared" ref="L187" si="13242">IF(InfBel1LevelCurrent&gt;=$B187,"-",IF(InfBel1LevelDesired&lt;$B187,"-",$C187))</f>
        <v>-</v>
      </c>
      <c r="M187" s="1" t="str">
        <f t="shared" ref="M187" si="13243">IF(InfBel1LevelCurrent&gt;=$B187,"-",IF(InfBel1LevelDesired&lt;$B187,"-",$D187))</f>
        <v>-</v>
      </c>
      <c r="N187" s="21" t="str">
        <f t="shared" ref="N187" si="13244">IF(InfBel1LevelCurrent&gt;=$B187,"-",IF(InfBel1LevelDesired&lt;$B187,"-",$E187))</f>
        <v>-</v>
      </c>
      <c r="O187" s="15" t="str">
        <f t="shared" ref="O187" si="13245">IF(InfBoo1LevelCurrent&gt;=$B187,"-",IF(InfBoo1LevelDesired&lt;$B187,"-",$C187))</f>
        <v>-</v>
      </c>
      <c r="P187" s="1" t="str">
        <f t="shared" ref="P187" si="13246">IF(InfBoo1LevelCurrent&gt;=$B187,"-",IF(InfBoo1LevelDesired&lt;$B187,"-",$D187))</f>
        <v>-</v>
      </c>
      <c r="Q187" s="21" t="str">
        <f t="shared" ref="Q187" si="13247">IF(InfBoo1LevelCurrent&gt;=$B187,"-",IF(InfBoo1LevelDesired&lt;$B187,"-",$E187))</f>
        <v>-</v>
      </c>
      <c r="R187" s="15" t="str">
        <f t="shared" ref="R187" si="13248">IF(LanGog1LevelCurrent&gt;=$B187,"-",IF(LanGog1LevelDesired&lt;$B187,"-",$C187))</f>
        <v>-</v>
      </c>
      <c r="S187" s="1" t="str">
        <f t="shared" ref="S187" si="13249">IF(LanGog1LevelCurrent&gt;=$B187,"-",IF(LanGog1LevelDesired&lt;$B187,"-",$D187))</f>
        <v>-</v>
      </c>
      <c r="T187" s="21" t="str">
        <f t="shared" ref="T187" si="13250">IF(LanGog1LevelCurrent&gt;=$B187,"-",IF(LanGog1LevelDesired&lt;$B187,"-",$E187))</f>
        <v>-</v>
      </c>
      <c r="U187" s="15" t="str">
        <f t="shared" ref="U187" si="13251">IF(LanGlo1LevelCurrent&gt;=$B187,"-",IF(LanGlo1LevelDesired&lt;$B187,"-",$C187))</f>
        <v>-</v>
      </c>
      <c r="V187" s="1" t="str">
        <f t="shared" ref="V187" si="13252">IF(LanGlo1LevelCurrent&gt;=$B187,"-",IF(LanGlo1LevelDesired&lt;$B187,"-",$D187))</f>
        <v>-</v>
      </c>
      <c r="W187" s="21" t="str">
        <f t="shared" ref="W187" si="13253">IF(LanGlo1LevelCurrent&gt;=$B187,"-",IF(LanGlo1LevelDesired&lt;$B187,"-",$E187))</f>
        <v>-</v>
      </c>
      <c r="X187" s="15" t="str">
        <f t="shared" ref="X187" si="13254">IF(LanBel1LevelCurrent&gt;=$B187,"-",IF(LanBel1LevelDesired&lt;$B187,"-",$C187))</f>
        <v>-</v>
      </c>
      <c r="Y187" s="1" t="str">
        <f t="shared" ref="Y187" si="13255">IF(LanBel1LevelCurrent&gt;=$B187,"-",IF(LanBel1LevelDesired&lt;$B187,"-",$D187))</f>
        <v>-</v>
      </c>
      <c r="Z187" s="21" t="str">
        <f t="shared" ref="Z187" si="13256">IF(LanBel1LevelCurrent&gt;=$B187,"-",IF(LanBel1LevelDesired&lt;$B187,"-",$E187))</f>
        <v>-</v>
      </c>
      <c r="AA187" s="15" t="str">
        <f t="shared" ref="AA187" si="13257">IF(LanBoo1LevelCurrent&gt;=$B187,"-",IF(LanBoo1LevelDesired&lt;$B187,"-",$C187))</f>
        <v>-</v>
      </c>
      <c r="AB187" s="1" t="str">
        <f t="shared" ref="AB187" si="13258">IF(LanBoo1LevelCurrent&gt;=$B187,"-",IF(LanBoo1LevelDesired&lt;$B187,"-",$D187))</f>
        <v>-</v>
      </c>
      <c r="AC187" s="21" t="str">
        <f t="shared" ref="AC187" si="13259">IF(LanBoo1LevelCurrent&gt;=$B187,"-",IF(LanBoo1LevelDesired&lt;$B187,"-",$E187))</f>
        <v>-</v>
      </c>
      <c r="AD187" s="15" t="str">
        <f t="shared" ref="AD187" si="13260">IF(MarGog1LevelCurrent&gt;=$B187,"-",IF(MarGog1LevelDesired&lt;$B187,"-",$C187))</f>
        <v>-</v>
      </c>
      <c r="AE187" s="1" t="str">
        <f t="shared" ref="AE187" si="13261">IF(MarGog1LevelCurrent&gt;=$B187,"-",IF(MarGog1LevelDesired&lt;$B187,"-",$D187))</f>
        <v>-</v>
      </c>
      <c r="AF187" s="21" t="str">
        <f t="shared" ref="AF187" si="13262">IF(MarGog1LevelCurrent&gt;=$B187,"-",IF(MarGog1LevelDesired&lt;$B187,"-",$E187))</f>
        <v>-</v>
      </c>
      <c r="AG187" s="15" t="str">
        <f t="shared" ref="AG187" si="13263">IF(MarGlo1LevelCurrent&gt;=$B187,"-",IF(MarGlo1LevelDesired&lt;$B187,"-",$C187))</f>
        <v>-</v>
      </c>
      <c r="AH187" s="1" t="str">
        <f t="shared" ref="AH187" si="13264">IF(MarGlo1LevelCurrent&gt;=$B187,"-",IF(MarGlo1LevelDesired&lt;$B187,"-",$D187))</f>
        <v>-</v>
      </c>
      <c r="AI187" s="21" t="str">
        <f t="shared" ref="AI187" si="13265">IF(MarGlo1LevelCurrent&gt;=$B187,"-",IF(MarGlo1LevelDesired&lt;$B187,"-",$E187))</f>
        <v>-</v>
      </c>
      <c r="AJ187" s="15" t="str">
        <f t="shared" ref="AJ187" si="13266">IF(MarBel1LevelCurrent&gt;=$B187,"-",IF(MarBel1LevelDesired&lt;$B187,"-",$C187))</f>
        <v>-</v>
      </c>
      <c r="AK187" s="1" t="str">
        <f t="shared" ref="AK187" si="13267">IF(MarBel1LevelCurrent&gt;=$B187,"-",IF(MarBel1LevelDesired&lt;$B187,"-",$D187))</f>
        <v>-</v>
      </c>
      <c r="AL187" s="21" t="str">
        <f t="shared" ref="AL187" si="13268">IF(MarBel1LevelCurrent&gt;=$B187,"-",IF(MarBel1LevelDesired&lt;$B187,"-",$E187))</f>
        <v>-</v>
      </c>
      <c r="AM187" s="15" t="str">
        <f t="shared" ref="AM187" si="13269">IF(MarBoo1LevelCurrent&gt;=$B187,"-",IF(MarBoo1LevelDesired&lt;$B187,"-",$C187))</f>
        <v>-</v>
      </c>
      <c r="AN187" s="1" t="str">
        <f t="shared" ref="AN187" si="13270">IF(MarBoo1LevelCurrent&gt;=$B187,"-",IF(MarBoo1LevelDesired&lt;$B187,"-",$D187))</f>
        <v>-</v>
      </c>
      <c r="AO187" s="21" t="str">
        <f t="shared" ref="AO187" si="13271">IF(MarBoo1LevelCurrent&gt;=$B187,"-",IF(MarBoo1LevelDesired&lt;$B187,"-",$E187))</f>
        <v>-</v>
      </c>
      <c r="AP187" s="15" t="str">
        <f t="shared" ref="AP187" si="13272">IF(InfGog2LevelCurrent&gt;=$B187,"-",IF(InfGog2LevelDesired&lt;$B187,"-",$C187))</f>
        <v>-</v>
      </c>
      <c r="AQ187" s="1" t="str">
        <f t="shared" ref="AQ187" si="13273">IF(InfGog2LevelCurrent&gt;=$B187,"-",IF(InfGog2LevelDesired&lt;$B187,"-",$D187))</f>
        <v>-</v>
      </c>
      <c r="AR187" s="21" t="str">
        <f t="shared" ref="AR187" si="13274">IF(InfGog2LevelCurrent&gt;=$B187,"-",IF(InfGog2LevelDesired&lt;$B187,"-",$E187))</f>
        <v>-</v>
      </c>
      <c r="AS187" s="15" t="str">
        <f t="shared" ref="AS187" si="13275">IF(InfGlo2LevelCurrent&gt;=$B187,"-",IF(InfGlo2LevelDesired&lt;$B187,"-",$C187))</f>
        <v>-</v>
      </c>
      <c r="AT187" s="1" t="str">
        <f t="shared" ref="AT187" si="13276">IF(InfGlo2LevelCurrent&gt;=$B187,"-",IF(InfGlo2LevelDesired&lt;$B187,"-",$D187))</f>
        <v>-</v>
      </c>
      <c r="AU187" s="21" t="str">
        <f t="shared" ref="AU187" si="13277">IF(InfGlo2LevelCurrent&gt;=$B187,"-",IF(InfGlo2LevelDesired&lt;$B187,"-",$E187))</f>
        <v>-</v>
      </c>
      <c r="AV187" s="15" t="str">
        <f t="shared" ref="AV187" si="13278">IF(InfBel2LevelCurrent&gt;=$B187,"-",IF(InfBel2LevelDesired&lt;$B187,"-",$C187))</f>
        <v>-</v>
      </c>
      <c r="AW187" s="1" t="str">
        <f t="shared" ref="AW187" si="13279">IF(InfBel2LevelCurrent&gt;=$B187,"-",IF(InfBel2LevelDesired&lt;$B187,"-",$D187))</f>
        <v>-</v>
      </c>
      <c r="AX187" s="21" t="str">
        <f t="shared" ref="AX187" si="13280">IF(InfBel2LevelCurrent&gt;=$B187,"-",IF(InfBel2LevelDesired&lt;$B187,"-",$E187))</f>
        <v>-</v>
      </c>
      <c r="AY187" s="15" t="str">
        <f t="shared" ref="AY187" si="13281">IF(InfBoo2LevelCurrent&gt;=$B187,"-",IF(InfBoo2LevelDesired&lt;$B187,"-",$C187))</f>
        <v>-</v>
      </c>
      <c r="AZ187" s="1" t="str">
        <f t="shared" ref="AZ187" si="13282">IF(InfBoo2LevelCurrent&gt;=$B187,"-",IF(InfBoo2LevelDesired&lt;$B187,"-",$D187))</f>
        <v>-</v>
      </c>
      <c r="BA187" s="21" t="str">
        <f t="shared" ref="BA187" si="13283">IF(InfBoo2LevelCurrent&gt;=$B187,"-",IF(InfBoo2LevelDesired&lt;$B187,"-",$E187))</f>
        <v>-</v>
      </c>
      <c r="BB187" s="15" t="str">
        <f t="shared" ref="BB187" si="13284">IF(LanGog2LevelCurrent&gt;=$B187,"-",IF(LanGog2LevelDesired&lt;$B187,"-",$C187))</f>
        <v>-</v>
      </c>
      <c r="BC187" s="1" t="str">
        <f t="shared" ref="BC187" si="13285">IF(LanGog2LevelCurrent&gt;=$B187,"-",IF(LanGog2LevelDesired&lt;$B187,"-",$D187))</f>
        <v>-</v>
      </c>
      <c r="BD187" s="21" t="str">
        <f t="shared" ref="BD187" si="13286">IF(LanGog2LevelCurrent&gt;=$B187,"-",IF(LanGog2LevelDesired&lt;$B187,"-",$E187))</f>
        <v>-</v>
      </c>
      <c r="BE187" s="15" t="str">
        <f t="shared" ref="BE187" si="13287">IF(LanGlo2LevelCurrent&gt;=$B187,"-",IF(LanGlo2LevelDesired&lt;$B187,"-",$C187))</f>
        <v>-</v>
      </c>
      <c r="BF187" s="1" t="str">
        <f t="shared" ref="BF187" si="13288">IF(LanGlo2LevelCurrent&gt;=$B187,"-",IF(LanGlo2LevelDesired&lt;$B187,"-",$D187))</f>
        <v>-</v>
      </c>
      <c r="BG187" s="21" t="str">
        <f t="shared" ref="BG187" si="13289">IF(LanGlo2LevelCurrent&gt;=$B187,"-",IF(LanGlo2LevelDesired&lt;$B187,"-",$E187))</f>
        <v>-</v>
      </c>
      <c r="BH187" s="15" t="str">
        <f t="shared" ref="BH187" si="13290">IF(LanBel2LevelCurrent&gt;=$B187,"-",IF(LanBel2LevelDesired&lt;$B187,"-",$C187))</f>
        <v>-</v>
      </c>
      <c r="BI187" s="1" t="str">
        <f t="shared" ref="BI187" si="13291">IF(LanBel2LevelCurrent&gt;=$B187,"-",IF(LanBel2LevelDesired&lt;$B187,"-",$D187))</f>
        <v>-</v>
      </c>
      <c r="BJ187" s="21" t="str">
        <f t="shared" ref="BJ187" si="13292">IF(LanBel2LevelCurrent&gt;=$B187,"-",IF(LanBel2LevelDesired&lt;$B187,"-",$E187))</f>
        <v>-</v>
      </c>
      <c r="BK187" s="15" t="str">
        <f t="shared" ref="BK187" si="13293">IF(LanBoo2LevelCurrent&gt;=$B187,"-",IF(LanBoo2LevelDesired&lt;$B187,"-",$C187))</f>
        <v>-</v>
      </c>
      <c r="BL187" s="1" t="str">
        <f t="shared" ref="BL187" si="13294">IF(LanBoo2LevelCurrent&gt;=$B187,"-",IF(LanBoo2LevelDesired&lt;$B187,"-",$D187))</f>
        <v>-</v>
      </c>
      <c r="BM187" s="21" t="str">
        <f t="shared" ref="BM187" si="13295">IF(LanBoo2LevelCurrent&gt;=$B187,"-",IF(LanBoo2LevelDesired&lt;$B187,"-",$E187))</f>
        <v>-</v>
      </c>
      <c r="BN187" s="15" t="str">
        <f t="shared" ref="BN187" si="13296">IF(MarGog2LevelCurrent&gt;=$B187,"-",IF(MarGog2LevelDesired&lt;$B187,"-",$C187))</f>
        <v>-</v>
      </c>
      <c r="BO187" s="1" t="str">
        <f t="shared" ref="BO187" si="13297">IF(MarGog2LevelCurrent&gt;=$B187,"-",IF(MarGog2LevelDesired&lt;$B187,"-",$D187))</f>
        <v>-</v>
      </c>
      <c r="BP187" s="21" t="str">
        <f t="shared" ref="BP187" si="13298">IF(MarGog2LevelCurrent&gt;=$B187,"-",IF(MarGog2LevelDesired&lt;$B187,"-",$E187))</f>
        <v>-</v>
      </c>
      <c r="BQ187" s="15" t="str">
        <f t="shared" ref="BQ187" si="13299">IF(MarGlo2LevelCurrent&gt;=$B187,"-",IF(MarGlo2LevelDesired&lt;$B187,"-",$C187))</f>
        <v>-</v>
      </c>
      <c r="BR187" s="1" t="str">
        <f t="shared" ref="BR187" si="13300">IF(MarGlo2LevelCurrent&gt;=$B187,"-",IF(MarGlo2LevelDesired&lt;$B187,"-",$D187))</f>
        <v>-</v>
      </c>
      <c r="BS187" s="21" t="str">
        <f t="shared" ref="BS187" si="13301">IF(MarGlo2LevelCurrent&gt;=$B187,"-",IF(MarGlo2LevelDesired&lt;$B187,"-",$E187))</f>
        <v>-</v>
      </c>
      <c r="BT187" s="15" t="str">
        <f t="shared" ref="BT187" si="13302">IF(MarBel2LevelCurrent&gt;=$B187,"-",IF(MarBel2LevelDesired&lt;$B187,"-",$C187))</f>
        <v>-</v>
      </c>
      <c r="BU187" s="1" t="str">
        <f t="shared" ref="BU187" si="13303">IF(MarBel2LevelCurrent&gt;=$B187,"-",IF(MarBel2LevelDesired&lt;$B187,"-",$D187))</f>
        <v>-</v>
      </c>
      <c r="BV187" s="21" t="str">
        <f t="shared" ref="BV187" si="13304">IF(MarBel2LevelCurrent&gt;=$B187,"-",IF(MarBel2LevelDesired&lt;$B187,"-",$E187))</f>
        <v>-</v>
      </c>
      <c r="BW187" s="15" t="str">
        <f t="shared" ref="BW187" si="13305">IF(MarBoo2LevelCurrent&gt;=$B187,"-",IF(MarBoo2LevelDesired&lt;$B187,"-",$C187))</f>
        <v>-</v>
      </c>
      <c r="BX187" s="1" t="str">
        <f t="shared" ref="BX187" si="13306">IF(MarBoo2LevelCurrent&gt;=$B187,"-",IF(MarBoo2LevelDesired&lt;$B187,"-",$D187))</f>
        <v>-</v>
      </c>
      <c r="BY187" s="21" t="str">
        <f t="shared" ref="BY187" si="13307">IF(MarBoo2LevelCurrent&gt;=$B187,"-",IF(MarBoo2LevelDesired&lt;$B187,"-",$E187))</f>
        <v>-</v>
      </c>
      <c r="BZ187" s="15" t="str">
        <f t="shared" si="11762"/>
        <v>-</v>
      </c>
      <c r="CA187" s="1" t="str" cm="1">
        <f t="array" ref="CA187">IF(InfGog3LevelCurrent&gt;=$B187,"-",IF(InfGog3LevelDesired&lt;$B187,"-",$D187))</f>
        <v>-</v>
      </c>
      <c r="CB187" s="21" t="str" cm="1">
        <f t="array" ref="CB187">IF(InfGog3LevelCurrent&gt;=$B187,"-",IF(InfGog3LevelDesired&lt;$B187,"-",$E187))</f>
        <v>-</v>
      </c>
      <c r="CC187" s="15" t="str">
        <f t="shared" si="11763"/>
        <v>-</v>
      </c>
      <c r="CD187" s="1" t="str">
        <f t="shared" si="11764"/>
        <v>-</v>
      </c>
      <c r="CE187" s="21" t="str">
        <f t="shared" si="11765"/>
        <v>-</v>
      </c>
      <c r="CF187" s="15" t="str">
        <f t="shared" si="11766"/>
        <v>-</v>
      </c>
      <c r="CG187" s="1" t="str">
        <f t="shared" si="11767"/>
        <v>-</v>
      </c>
      <c r="CH187" s="21" t="str">
        <f t="shared" si="11768"/>
        <v>-</v>
      </c>
      <c r="CI187" s="15" t="str">
        <f t="shared" si="11769"/>
        <v>-</v>
      </c>
      <c r="CJ187" s="1" t="str">
        <f t="shared" si="11770"/>
        <v>-</v>
      </c>
      <c r="CK187" s="21" t="str">
        <f t="shared" si="11771"/>
        <v>-</v>
      </c>
      <c r="CL187" s="15" t="str">
        <f t="shared" si="11772"/>
        <v>-</v>
      </c>
      <c r="CM187" s="1" t="str">
        <f t="shared" si="11773"/>
        <v>-</v>
      </c>
      <c r="CN187" s="21" t="str">
        <f t="shared" si="11774"/>
        <v>-</v>
      </c>
      <c r="CO187" s="15" t="str">
        <f t="shared" si="11775"/>
        <v>-</v>
      </c>
      <c r="CP187" s="1" t="str">
        <f t="shared" si="11776"/>
        <v>-</v>
      </c>
      <c r="CQ187" s="21" t="str">
        <f t="shared" si="11777"/>
        <v>-</v>
      </c>
      <c r="CR187" s="15" t="str">
        <f t="shared" si="11778"/>
        <v>-</v>
      </c>
      <c r="CS187" s="1" t="str">
        <f t="shared" si="11779"/>
        <v>-</v>
      </c>
      <c r="CT187" s="21" t="str">
        <f t="shared" si="11780"/>
        <v>-</v>
      </c>
      <c r="CU187" s="15" t="str">
        <f t="shared" si="11781"/>
        <v>-</v>
      </c>
      <c r="CV187" s="1" t="str">
        <f t="shared" si="11782"/>
        <v>-</v>
      </c>
      <c r="CW187" s="21" t="str">
        <f t="shared" si="11783"/>
        <v>-</v>
      </c>
      <c r="CX187" s="15" t="str">
        <f t="shared" si="11784"/>
        <v>-</v>
      </c>
      <c r="CY187" s="1" t="str">
        <f t="shared" si="11785"/>
        <v>-</v>
      </c>
      <c r="CZ187" s="21" t="str">
        <f t="shared" si="11786"/>
        <v>-</v>
      </c>
      <c r="DA187" s="15" t="str">
        <f t="shared" si="11787"/>
        <v>-</v>
      </c>
      <c r="DB187" s="1" t="str">
        <f t="shared" si="11788"/>
        <v>-</v>
      </c>
      <c r="DC187" s="21" t="str">
        <f t="shared" si="11789"/>
        <v>-</v>
      </c>
      <c r="DD187" s="15" t="str">
        <f t="shared" si="11790"/>
        <v>-</v>
      </c>
      <c r="DE187" s="1" t="str">
        <f t="shared" si="11791"/>
        <v>-</v>
      </c>
      <c r="DF187" s="21" t="str">
        <f t="shared" si="11792"/>
        <v>-</v>
      </c>
      <c r="DG187" s="15" t="str">
        <f t="shared" si="11793"/>
        <v>-</v>
      </c>
      <c r="DH187" s="1" t="str">
        <f t="shared" si="11794"/>
        <v>-</v>
      </c>
      <c r="DI187" s="21" t="str">
        <f t="shared" si="11795"/>
        <v>-</v>
      </c>
    </row>
    <row r="188" spans="2:113" x14ac:dyDescent="0.3">
      <c r="B188" s="1">
        <v>183</v>
      </c>
      <c r="C188" s="67">
        <v>7700</v>
      </c>
      <c r="D188" s="88" t="s">
        <v>27</v>
      </c>
      <c r="E188" s="68" t="s">
        <v>27</v>
      </c>
      <c r="F188" s="15" t="str">
        <f t="shared" ref="F188" si="13308">IF(InfGog1LevelCurrent&gt;=$B188,"-",IF(InfGog1LevelDesired&lt;$B188,"-",$C188))</f>
        <v>-</v>
      </c>
      <c r="G188" s="1" t="str">
        <f t="shared" ref="G188" si="13309">IF(InfGog1LevelCurrent&gt;=$B188,"-",IF(InfGog1LevelDesired&lt;$B188,"-",$D188))</f>
        <v>-</v>
      </c>
      <c r="H188" s="21" t="str">
        <f t="shared" ref="H188" si="13310">IF(InfGog1LevelCurrent&gt;=$B188,"-",IF(InfGog1LevelDesired&lt;$B188,"-",$E188))</f>
        <v>-</v>
      </c>
      <c r="I188" s="15" t="str">
        <f t="shared" ref="I188" si="13311">IF(InfGlo1LevelCurrent&gt;=$B188,"-",IF(InfGlo1LevelDesired&lt;$B188,"-",$C188))</f>
        <v>-</v>
      </c>
      <c r="J188" s="1" t="str">
        <f t="shared" ref="J188" si="13312">IF(InfGlo1LevelCurrent&gt;=$B188,"-",IF(InfGlo1LevelDesired&lt;$B188,"-",$D188))</f>
        <v>-</v>
      </c>
      <c r="K188" s="21" t="str">
        <f t="shared" ref="K188" si="13313">IF(InfGlo1LevelCurrent&gt;=$B188,"-",IF(InfGlo1LevelDesired&lt;$B188,"-",$E188))</f>
        <v>-</v>
      </c>
      <c r="L188" s="15" t="str">
        <f t="shared" ref="L188" si="13314">IF(InfBel1LevelCurrent&gt;=$B188,"-",IF(InfBel1LevelDesired&lt;$B188,"-",$C188))</f>
        <v>-</v>
      </c>
      <c r="M188" s="1" t="str">
        <f t="shared" ref="M188" si="13315">IF(InfBel1LevelCurrent&gt;=$B188,"-",IF(InfBel1LevelDesired&lt;$B188,"-",$D188))</f>
        <v>-</v>
      </c>
      <c r="N188" s="21" t="str">
        <f t="shared" ref="N188" si="13316">IF(InfBel1LevelCurrent&gt;=$B188,"-",IF(InfBel1LevelDesired&lt;$B188,"-",$E188))</f>
        <v>-</v>
      </c>
      <c r="O188" s="15" t="str">
        <f t="shared" ref="O188" si="13317">IF(InfBoo1LevelCurrent&gt;=$B188,"-",IF(InfBoo1LevelDesired&lt;$B188,"-",$C188))</f>
        <v>-</v>
      </c>
      <c r="P188" s="1" t="str">
        <f t="shared" ref="P188" si="13318">IF(InfBoo1LevelCurrent&gt;=$B188,"-",IF(InfBoo1LevelDesired&lt;$B188,"-",$D188))</f>
        <v>-</v>
      </c>
      <c r="Q188" s="21" t="str">
        <f t="shared" ref="Q188" si="13319">IF(InfBoo1LevelCurrent&gt;=$B188,"-",IF(InfBoo1LevelDesired&lt;$B188,"-",$E188))</f>
        <v>-</v>
      </c>
      <c r="R188" s="15" t="str">
        <f t="shared" ref="R188" si="13320">IF(LanGog1LevelCurrent&gt;=$B188,"-",IF(LanGog1LevelDesired&lt;$B188,"-",$C188))</f>
        <v>-</v>
      </c>
      <c r="S188" s="1" t="str">
        <f t="shared" ref="S188" si="13321">IF(LanGog1LevelCurrent&gt;=$B188,"-",IF(LanGog1LevelDesired&lt;$B188,"-",$D188))</f>
        <v>-</v>
      </c>
      <c r="T188" s="21" t="str">
        <f t="shared" ref="T188" si="13322">IF(LanGog1LevelCurrent&gt;=$B188,"-",IF(LanGog1LevelDesired&lt;$B188,"-",$E188))</f>
        <v>-</v>
      </c>
      <c r="U188" s="15" t="str">
        <f t="shared" ref="U188" si="13323">IF(LanGlo1LevelCurrent&gt;=$B188,"-",IF(LanGlo1LevelDesired&lt;$B188,"-",$C188))</f>
        <v>-</v>
      </c>
      <c r="V188" s="1" t="str">
        <f t="shared" ref="V188" si="13324">IF(LanGlo1LevelCurrent&gt;=$B188,"-",IF(LanGlo1LevelDesired&lt;$B188,"-",$D188))</f>
        <v>-</v>
      </c>
      <c r="W188" s="21" t="str">
        <f t="shared" ref="W188" si="13325">IF(LanGlo1LevelCurrent&gt;=$B188,"-",IF(LanGlo1LevelDesired&lt;$B188,"-",$E188))</f>
        <v>-</v>
      </c>
      <c r="X188" s="15" t="str">
        <f t="shared" ref="X188" si="13326">IF(LanBel1LevelCurrent&gt;=$B188,"-",IF(LanBel1LevelDesired&lt;$B188,"-",$C188))</f>
        <v>-</v>
      </c>
      <c r="Y188" s="1" t="str">
        <f t="shared" ref="Y188" si="13327">IF(LanBel1LevelCurrent&gt;=$B188,"-",IF(LanBel1LevelDesired&lt;$B188,"-",$D188))</f>
        <v>-</v>
      </c>
      <c r="Z188" s="21" t="str">
        <f t="shared" ref="Z188" si="13328">IF(LanBel1LevelCurrent&gt;=$B188,"-",IF(LanBel1LevelDesired&lt;$B188,"-",$E188))</f>
        <v>-</v>
      </c>
      <c r="AA188" s="15" t="str">
        <f t="shared" ref="AA188" si="13329">IF(LanBoo1LevelCurrent&gt;=$B188,"-",IF(LanBoo1LevelDesired&lt;$B188,"-",$C188))</f>
        <v>-</v>
      </c>
      <c r="AB188" s="1" t="str">
        <f t="shared" ref="AB188" si="13330">IF(LanBoo1LevelCurrent&gt;=$B188,"-",IF(LanBoo1LevelDesired&lt;$B188,"-",$D188))</f>
        <v>-</v>
      </c>
      <c r="AC188" s="21" t="str">
        <f t="shared" ref="AC188" si="13331">IF(LanBoo1LevelCurrent&gt;=$B188,"-",IF(LanBoo1LevelDesired&lt;$B188,"-",$E188))</f>
        <v>-</v>
      </c>
      <c r="AD188" s="15" t="str">
        <f t="shared" ref="AD188" si="13332">IF(MarGog1LevelCurrent&gt;=$B188,"-",IF(MarGog1LevelDesired&lt;$B188,"-",$C188))</f>
        <v>-</v>
      </c>
      <c r="AE188" s="1" t="str">
        <f t="shared" ref="AE188" si="13333">IF(MarGog1LevelCurrent&gt;=$B188,"-",IF(MarGog1LevelDesired&lt;$B188,"-",$D188))</f>
        <v>-</v>
      </c>
      <c r="AF188" s="21" t="str">
        <f t="shared" ref="AF188" si="13334">IF(MarGog1LevelCurrent&gt;=$B188,"-",IF(MarGog1LevelDesired&lt;$B188,"-",$E188))</f>
        <v>-</v>
      </c>
      <c r="AG188" s="15" t="str">
        <f t="shared" ref="AG188" si="13335">IF(MarGlo1LevelCurrent&gt;=$B188,"-",IF(MarGlo1LevelDesired&lt;$B188,"-",$C188))</f>
        <v>-</v>
      </c>
      <c r="AH188" s="1" t="str">
        <f t="shared" ref="AH188" si="13336">IF(MarGlo1LevelCurrent&gt;=$B188,"-",IF(MarGlo1LevelDesired&lt;$B188,"-",$D188))</f>
        <v>-</v>
      </c>
      <c r="AI188" s="21" t="str">
        <f t="shared" ref="AI188" si="13337">IF(MarGlo1LevelCurrent&gt;=$B188,"-",IF(MarGlo1LevelDesired&lt;$B188,"-",$E188))</f>
        <v>-</v>
      </c>
      <c r="AJ188" s="15" t="str">
        <f t="shared" ref="AJ188" si="13338">IF(MarBel1LevelCurrent&gt;=$B188,"-",IF(MarBel1LevelDesired&lt;$B188,"-",$C188))</f>
        <v>-</v>
      </c>
      <c r="AK188" s="1" t="str">
        <f t="shared" ref="AK188" si="13339">IF(MarBel1LevelCurrent&gt;=$B188,"-",IF(MarBel1LevelDesired&lt;$B188,"-",$D188))</f>
        <v>-</v>
      </c>
      <c r="AL188" s="21" t="str">
        <f t="shared" ref="AL188" si="13340">IF(MarBel1LevelCurrent&gt;=$B188,"-",IF(MarBel1LevelDesired&lt;$B188,"-",$E188))</f>
        <v>-</v>
      </c>
      <c r="AM188" s="15" t="str">
        <f t="shared" ref="AM188" si="13341">IF(MarBoo1LevelCurrent&gt;=$B188,"-",IF(MarBoo1LevelDesired&lt;$B188,"-",$C188))</f>
        <v>-</v>
      </c>
      <c r="AN188" s="1" t="str">
        <f t="shared" ref="AN188" si="13342">IF(MarBoo1LevelCurrent&gt;=$B188,"-",IF(MarBoo1LevelDesired&lt;$B188,"-",$D188))</f>
        <v>-</v>
      </c>
      <c r="AO188" s="21" t="str">
        <f t="shared" ref="AO188" si="13343">IF(MarBoo1LevelCurrent&gt;=$B188,"-",IF(MarBoo1LevelDesired&lt;$B188,"-",$E188))</f>
        <v>-</v>
      </c>
      <c r="AP188" s="15" t="str">
        <f t="shared" ref="AP188" si="13344">IF(InfGog2LevelCurrent&gt;=$B188,"-",IF(InfGog2LevelDesired&lt;$B188,"-",$C188))</f>
        <v>-</v>
      </c>
      <c r="AQ188" s="1" t="str">
        <f t="shared" ref="AQ188" si="13345">IF(InfGog2LevelCurrent&gt;=$B188,"-",IF(InfGog2LevelDesired&lt;$B188,"-",$D188))</f>
        <v>-</v>
      </c>
      <c r="AR188" s="21" t="str">
        <f t="shared" ref="AR188" si="13346">IF(InfGog2LevelCurrent&gt;=$B188,"-",IF(InfGog2LevelDesired&lt;$B188,"-",$E188))</f>
        <v>-</v>
      </c>
      <c r="AS188" s="15" t="str">
        <f t="shared" ref="AS188" si="13347">IF(InfGlo2LevelCurrent&gt;=$B188,"-",IF(InfGlo2LevelDesired&lt;$B188,"-",$C188))</f>
        <v>-</v>
      </c>
      <c r="AT188" s="1" t="str">
        <f t="shared" ref="AT188" si="13348">IF(InfGlo2LevelCurrent&gt;=$B188,"-",IF(InfGlo2LevelDesired&lt;$B188,"-",$D188))</f>
        <v>-</v>
      </c>
      <c r="AU188" s="21" t="str">
        <f t="shared" ref="AU188" si="13349">IF(InfGlo2LevelCurrent&gt;=$B188,"-",IF(InfGlo2LevelDesired&lt;$B188,"-",$E188))</f>
        <v>-</v>
      </c>
      <c r="AV188" s="15" t="str">
        <f t="shared" ref="AV188" si="13350">IF(InfBel2LevelCurrent&gt;=$B188,"-",IF(InfBel2LevelDesired&lt;$B188,"-",$C188))</f>
        <v>-</v>
      </c>
      <c r="AW188" s="1" t="str">
        <f t="shared" ref="AW188" si="13351">IF(InfBel2LevelCurrent&gt;=$B188,"-",IF(InfBel2LevelDesired&lt;$B188,"-",$D188))</f>
        <v>-</v>
      </c>
      <c r="AX188" s="21" t="str">
        <f t="shared" ref="AX188" si="13352">IF(InfBel2LevelCurrent&gt;=$B188,"-",IF(InfBel2LevelDesired&lt;$B188,"-",$E188))</f>
        <v>-</v>
      </c>
      <c r="AY188" s="15" t="str">
        <f t="shared" ref="AY188" si="13353">IF(InfBoo2LevelCurrent&gt;=$B188,"-",IF(InfBoo2LevelDesired&lt;$B188,"-",$C188))</f>
        <v>-</v>
      </c>
      <c r="AZ188" s="1" t="str">
        <f t="shared" ref="AZ188" si="13354">IF(InfBoo2LevelCurrent&gt;=$B188,"-",IF(InfBoo2LevelDesired&lt;$B188,"-",$D188))</f>
        <v>-</v>
      </c>
      <c r="BA188" s="21" t="str">
        <f t="shared" ref="BA188" si="13355">IF(InfBoo2LevelCurrent&gt;=$B188,"-",IF(InfBoo2LevelDesired&lt;$B188,"-",$E188))</f>
        <v>-</v>
      </c>
      <c r="BB188" s="15" t="str">
        <f t="shared" ref="BB188" si="13356">IF(LanGog2LevelCurrent&gt;=$B188,"-",IF(LanGog2LevelDesired&lt;$B188,"-",$C188))</f>
        <v>-</v>
      </c>
      <c r="BC188" s="1" t="str">
        <f t="shared" ref="BC188" si="13357">IF(LanGog2LevelCurrent&gt;=$B188,"-",IF(LanGog2LevelDesired&lt;$B188,"-",$D188))</f>
        <v>-</v>
      </c>
      <c r="BD188" s="21" t="str">
        <f t="shared" ref="BD188" si="13358">IF(LanGog2LevelCurrent&gt;=$B188,"-",IF(LanGog2LevelDesired&lt;$B188,"-",$E188))</f>
        <v>-</v>
      </c>
      <c r="BE188" s="15" t="str">
        <f t="shared" ref="BE188" si="13359">IF(LanGlo2LevelCurrent&gt;=$B188,"-",IF(LanGlo2LevelDesired&lt;$B188,"-",$C188))</f>
        <v>-</v>
      </c>
      <c r="BF188" s="1" t="str">
        <f t="shared" ref="BF188" si="13360">IF(LanGlo2LevelCurrent&gt;=$B188,"-",IF(LanGlo2LevelDesired&lt;$B188,"-",$D188))</f>
        <v>-</v>
      </c>
      <c r="BG188" s="21" t="str">
        <f t="shared" ref="BG188" si="13361">IF(LanGlo2LevelCurrent&gt;=$B188,"-",IF(LanGlo2LevelDesired&lt;$B188,"-",$E188))</f>
        <v>-</v>
      </c>
      <c r="BH188" s="15" t="str">
        <f t="shared" ref="BH188" si="13362">IF(LanBel2LevelCurrent&gt;=$B188,"-",IF(LanBel2LevelDesired&lt;$B188,"-",$C188))</f>
        <v>-</v>
      </c>
      <c r="BI188" s="1" t="str">
        <f t="shared" ref="BI188" si="13363">IF(LanBel2LevelCurrent&gt;=$B188,"-",IF(LanBel2LevelDesired&lt;$B188,"-",$D188))</f>
        <v>-</v>
      </c>
      <c r="BJ188" s="21" t="str">
        <f t="shared" ref="BJ188" si="13364">IF(LanBel2LevelCurrent&gt;=$B188,"-",IF(LanBel2LevelDesired&lt;$B188,"-",$E188))</f>
        <v>-</v>
      </c>
      <c r="BK188" s="15" t="str">
        <f t="shared" ref="BK188" si="13365">IF(LanBoo2LevelCurrent&gt;=$B188,"-",IF(LanBoo2LevelDesired&lt;$B188,"-",$C188))</f>
        <v>-</v>
      </c>
      <c r="BL188" s="1" t="str">
        <f t="shared" ref="BL188" si="13366">IF(LanBoo2LevelCurrent&gt;=$B188,"-",IF(LanBoo2LevelDesired&lt;$B188,"-",$D188))</f>
        <v>-</v>
      </c>
      <c r="BM188" s="21" t="str">
        <f t="shared" ref="BM188" si="13367">IF(LanBoo2LevelCurrent&gt;=$B188,"-",IF(LanBoo2LevelDesired&lt;$B188,"-",$E188))</f>
        <v>-</v>
      </c>
      <c r="BN188" s="15" t="str">
        <f t="shared" ref="BN188" si="13368">IF(MarGog2LevelCurrent&gt;=$B188,"-",IF(MarGog2LevelDesired&lt;$B188,"-",$C188))</f>
        <v>-</v>
      </c>
      <c r="BO188" s="1" t="str">
        <f t="shared" ref="BO188" si="13369">IF(MarGog2LevelCurrent&gt;=$B188,"-",IF(MarGog2LevelDesired&lt;$B188,"-",$D188))</f>
        <v>-</v>
      </c>
      <c r="BP188" s="21" t="str">
        <f t="shared" ref="BP188" si="13370">IF(MarGog2LevelCurrent&gt;=$B188,"-",IF(MarGog2LevelDesired&lt;$B188,"-",$E188))</f>
        <v>-</v>
      </c>
      <c r="BQ188" s="15" t="str">
        <f t="shared" ref="BQ188" si="13371">IF(MarGlo2LevelCurrent&gt;=$B188,"-",IF(MarGlo2LevelDesired&lt;$B188,"-",$C188))</f>
        <v>-</v>
      </c>
      <c r="BR188" s="1" t="str">
        <f t="shared" ref="BR188" si="13372">IF(MarGlo2LevelCurrent&gt;=$B188,"-",IF(MarGlo2LevelDesired&lt;$B188,"-",$D188))</f>
        <v>-</v>
      </c>
      <c r="BS188" s="21" t="str">
        <f t="shared" ref="BS188" si="13373">IF(MarGlo2LevelCurrent&gt;=$B188,"-",IF(MarGlo2LevelDesired&lt;$B188,"-",$E188))</f>
        <v>-</v>
      </c>
      <c r="BT188" s="15" t="str">
        <f t="shared" ref="BT188" si="13374">IF(MarBel2LevelCurrent&gt;=$B188,"-",IF(MarBel2LevelDesired&lt;$B188,"-",$C188))</f>
        <v>-</v>
      </c>
      <c r="BU188" s="1" t="str">
        <f t="shared" ref="BU188" si="13375">IF(MarBel2LevelCurrent&gt;=$B188,"-",IF(MarBel2LevelDesired&lt;$B188,"-",$D188))</f>
        <v>-</v>
      </c>
      <c r="BV188" s="21" t="str">
        <f t="shared" ref="BV188" si="13376">IF(MarBel2LevelCurrent&gt;=$B188,"-",IF(MarBel2LevelDesired&lt;$B188,"-",$E188))</f>
        <v>-</v>
      </c>
      <c r="BW188" s="15" t="str">
        <f t="shared" ref="BW188" si="13377">IF(MarBoo2LevelCurrent&gt;=$B188,"-",IF(MarBoo2LevelDesired&lt;$B188,"-",$C188))</f>
        <v>-</v>
      </c>
      <c r="BX188" s="1" t="str">
        <f t="shared" ref="BX188" si="13378">IF(MarBoo2LevelCurrent&gt;=$B188,"-",IF(MarBoo2LevelDesired&lt;$B188,"-",$D188))</f>
        <v>-</v>
      </c>
      <c r="BY188" s="21" t="str">
        <f t="shared" ref="BY188" si="13379">IF(MarBoo2LevelCurrent&gt;=$B188,"-",IF(MarBoo2LevelDesired&lt;$B188,"-",$E188))</f>
        <v>-</v>
      </c>
      <c r="BZ188" s="15" t="str">
        <f t="shared" si="11762"/>
        <v>-</v>
      </c>
      <c r="CA188" s="1" t="str" cm="1">
        <f t="array" ref="CA188">IF(InfGog3LevelCurrent&gt;=$B188,"-",IF(InfGog3LevelDesired&lt;$B188,"-",$D188))</f>
        <v>-</v>
      </c>
      <c r="CB188" s="21" t="str" cm="1">
        <f t="array" ref="CB188">IF(InfGog3LevelCurrent&gt;=$B188,"-",IF(InfGog3LevelDesired&lt;$B188,"-",$E188))</f>
        <v>-</v>
      </c>
      <c r="CC188" s="15" t="str">
        <f t="shared" si="11763"/>
        <v>-</v>
      </c>
      <c r="CD188" s="1" t="str">
        <f t="shared" si="11764"/>
        <v>-</v>
      </c>
      <c r="CE188" s="21" t="str">
        <f t="shared" si="11765"/>
        <v>-</v>
      </c>
      <c r="CF188" s="15" t="str">
        <f t="shared" si="11766"/>
        <v>-</v>
      </c>
      <c r="CG188" s="1" t="str">
        <f t="shared" si="11767"/>
        <v>-</v>
      </c>
      <c r="CH188" s="21" t="str">
        <f t="shared" si="11768"/>
        <v>-</v>
      </c>
      <c r="CI188" s="15" t="str">
        <f t="shared" si="11769"/>
        <v>-</v>
      </c>
      <c r="CJ188" s="1" t="str">
        <f t="shared" si="11770"/>
        <v>-</v>
      </c>
      <c r="CK188" s="21" t="str">
        <f t="shared" si="11771"/>
        <v>-</v>
      </c>
      <c r="CL188" s="15" t="str">
        <f t="shared" si="11772"/>
        <v>-</v>
      </c>
      <c r="CM188" s="1" t="str">
        <f t="shared" si="11773"/>
        <v>-</v>
      </c>
      <c r="CN188" s="21" t="str">
        <f t="shared" si="11774"/>
        <v>-</v>
      </c>
      <c r="CO188" s="15" t="str">
        <f t="shared" si="11775"/>
        <v>-</v>
      </c>
      <c r="CP188" s="1" t="str">
        <f t="shared" si="11776"/>
        <v>-</v>
      </c>
      <c r="CQ188" s="21" t="str">
        <f t="shared" si="11777"/>
        <v>-</v>
      </c>
      <c r="CR188" s="15" t="str">
        <f t="shared" si="11778"/>
        <v>-</v>
      </c>
      <c r="CS188" s="1" t="str">
        <f t="shared" si="11779"/>
        <v>-</v>
      </c>
      <c r="CT188" s="21" t="str">
        <f t="shared" si="11780"/>
        <v>-</v>
      </c>
      <c r="CU188" s="15" t="str">
        <f t="shared" si="11781"/>
        <v>-</v>
      </c>
      <c r="CV188" s="1" t="str">
        <f t="shared" si="11782"/>
        <v>-</v>
      </c>
      <c r="CW188" s="21" t="str">
        <f t="shared" si="11783"/>
        <v>-</v>
      </c>
      <c r="CX188" s="15" t="str">
        <f t="shared" si="11784"/>
        <v>-</v>
      </c>
      <c r="CY188" s="1" t="str">
        <f t="shared" si="11785"/>
        <v>-</v>
      </c>
      <c r="CZ188" s="21" t="str">
        <f t="shared" si="11786"/>
        <v>-</v>
      </c>
      <c r="DA188" s="15" t="str">
        <f t="shared" si="11787"/>
        <v>-</v>
      </c>
      <c r="DB188" s="1" t="str">
        <f t="shared" si="11788"/>
        <v>-</v>
      </c>
      <c r="DC188" s="21" t="str">
        <f t="shared" si="11789"/>
        <v>-</v>
      </c>
      <c r="DD188" s="15" t="str">
        <f t="shared" si="11790"/>
        <v>-</v>
      </c>
      <c r="DE188" s="1" t="str">
        <f t="shared" si="11791"/>
        <v>-</v>
      </c>
      <c r="DF188" s="21" t="str">
        <f t="shared" si="11792"/>
        <v>-</v>
      </c>
      <c r="DG188" s="15" t="str">
        <f t="shared" si="11793"/>
        <v>-</v>
      </c>
      <c r="DH188" s="1" t="str">
        <f t="shared" si="11794"/>
        <v>-</v>
      </c>
      <c r="DI188" s="21" t="str">
        <f t="shared" si="11795"/>
        <v>-</v>
      </c>
    </row>
    <row r="189" spans="2:113" x14ac:dyDescent="0.3">
      <c r="B189" s="1">
        <v>184</v>
      </c>
      <c r="C189" s="67">
        <v>7800</v>
      </c>
      <c r="D189" s="88" t="s">
        <v>27</v>
      </c>
      <c r="E189" s="68" t="s">
        <v>27</v>
      </c>
      <c r="F189" s="15" t="str">
        <f t="shared" ref="F189" si="13380">IF(InfGog1LevelCurrent&gt;=$B189,"-",IF(InfGog1LevelDesired&lt;$B189,"-",$C189))</f>
        <v>-</v>
      </c>
      <c r="G189" s="1" t="str">
        <f t="shared" ref="G189" si="13381">IF(InfGog1LevelCurrent&gt;=$B189,"-",IF(InfGog1LevelDesired&lt;$B189,"-",$D189))</f>
        <v>-</v>
      </c>
      <c r="H189" s="21" t="str">
        <f t="shared" ref="H189" si="13382">IF(InfGog1LevelCurrent&gt;=$B189,"-",IF(InfGog1LevelDesired&lt;$B189,"-",$E189))</f>
        <v>-</v>
      </c>
      <c r="I189" s="15" t="str">
        <f t="shared" ref="I189" si="13383">IF(InfGlo1LevelCurrent&gt;=$B189,"-",IF(InfGlo1LevelDesired&lt;$B189,"-",$C189))</f>
        <v>-</v>
      </c>
      <c r="J189" s="1" t="str">
        <f t="shared" ref="J189" si="13384">IF(InfGlo1LevelCurrent&gt;=$B189,"-",IF(InfGlo1LevelDesired&lt;$B189,"-",$D189))</f>
        <v>-</v>
      </c>
      <c r="K189" s="21" t="str">
        <f t="shared" ref="K189" si="13385">IF(InfGlo1LevelCurrent&gt;=$B189,"-",IF(InfGlo1LevelDesired&lt;$B189,"-",$E189))</f>
        <v>-</v>
      </c>
      <c r="L189" s="15" t="str">
        <f t="shared" ref="L189" si="13386">IF(InfBel1LevelCurrent&gt;=$B189,"-",IF(InfBel1LevelDesired&lt;$B189,"-",$C189))</f>
        <v>-</v>
      </c>
      <c r="M189" s="1" t="str">
        <f t="shared" ref="M189" si="13387">IF(InfBel1LevelCurrent&gt;=$B189,"-",IF(InfBel1LevelDesired&lt;$B189,"-",$D189))</f>
        <v>-</v>
      </c>
      <c r="N189" s="21" t="str">
        <f t="shared" ref="N189" si="13388">IF(InfBel1LevelCurrent&gt;=$B189,"-",IF(InfBel1LevelDesired&lt;$B189,"-",$E189))</f>
        <v>-</v>
      </c>
      <c r="O189" s="15" t="str">
        <f t="shared" ref="O189" si="13389">IF(InfBoo1LevelCurrent&gt;=$B189,"-",IF(InfBoo1LevelDesired&lt;$B189,"-",$C189))</f>
        <v>-</v>
      </c>
      <c r="P189" s="1" t="str">
        <f t="shared" ref="P189" si="13390">IF(InfBoo1LevelCurrent&gt;=$B189,"-",IF(InfBoo1LevelDesired&lt;$B189,"-",$D189))</f>
        <v>-</v>
      </c>
      <c r="Q189" s="21" t="str">
        <f t="shared" ref="Q189" si="13391">IF(InfBoo1LevelCurrent&gt;=$B189,"-",IF(InfBoo1LevelDesired&lt;$B189,"-",$E189))</f>
        <v>-</v>
      </c>
      <c r="R189" s="15" t="str">
        <f t="shared" ref="R189" si="13392">IF(LanGog1LevelCurrent&gt;=$B189,"-",IF(LanGog1LevelDesired&lt;$B189,"-",$C189))</f>
        <v>-</v>
      </c>
      <c r="S189" s="1" t="str">
        <f t="shared" ref="S189" si="13393">IF(LanGog1LevelCurrent&gt;=$B189,"-",IF(LanGog1LevelDesired&lt;$B189,"-",$D189))</f>
        <v>-</v>
      </c>
      <c r="T189" s="21" t="str">
        <f t="shared" ref="T189" si="13394">IF(LanGog1LevelCurrent&gt;=$B189,"-",IF(LanGog1LevelDesired&lt;$B189,"-",$E189))</f>
        <v>-</v>
      </c>
      <c r="U189" s="15" t="str">
        <f t="shared" ref="U189" si="13395">IF(LanGlo1LevelCurrent&gt;=$B189,"-",IF(LanGlo1LevelDesired&lt;$B189,"-",$C189))</f>
        <v>-</v>
      </c>
      <c r="V189" s="1" t="str">
        <f t="shared" ref="V189" si="13396">IF(LanGlo1LevelCurrent&gt;=$B189,"-",IF(LanGlo1LevelDesired&lt;$B189,"-",$D189))</f>
        <v>-</v>
      </c>
      <c r="W189" s="21" t="str">
        <f t="shared" ref="W189" si="13397">IF(LanGlo1LevelCurrent&gt;=$B189,"-",IF(LanGlo1LevelDesired&lt;$B189,"-",$E189))</f>
        <v>-</v>
      </c>
      <c r="X189" s="15" t="str">
        <f t="shared" ref="X189" si="13398">IF(LanBel1LevelCurrent&gt;=$B189,"-",IF(LanBel1LevelDesired&lt;$B189,"-",$C189))</f>
        <v>-</v>
      </c>
      <c r="Y189" s="1" t="str">
        <f t="shared" ref="Y189" si="13399">IF(LanBel1LevelCurrent&gt;=$B189,"-",IF(LanBel1LevelDesired&lt;$B189,"-",$D189))</f>
        <v>-</v>
      </c>
      <c r="Z189" s="21" t="str">
        <f t="shared" ref="Z189" si="13400">IF(LanBel1LevelCurrent&gt;=$B189,"-",IF(LanBel1LevelDesired&lt;$B189,"-",$E189))</f>
        <v>-</v>
      </c>
      <c r="AA189" s="15" t="str">
        <f t="shared" ref="AA189" si="13401">IF(LanBoo1LevelCurrent&gt;=$B189,"-",IF(LanBoo1LevelDesired&lt;$B189,"-",$C189))</f>
        <v>-</v>
      </c>
      <c r="AB189" s="1" t="str">
        <f t="shared" ref="AB189" si="13402">IF(LanBoo1LevelCurrent&gt;=$B189,"-",IF(LanBoo1LevelDesired&lt;$B189,"-",$D189))</f>
        <v>-</v>
      </c>
      <c r="AC189" s="21" t="str">
        <f t="shared" ref="AC189" si="13403">IF(LanBoo1LevelCurrent&gt;=$B189,"-",IF(LanBoo1LevelDesired&lt;$B189,"-",$E189))</f>
        <v>-</v>
      </c>
      <c r="AD189" s="15" t="str">
        <f t="shared" ref="AD189" si="13404">IF(MarGog1LevelCurrent&gt;=$B189,"-",IF(MarGog1LevelDesired&lt;$B189,"-",$C189))</f>
        <v>-</v>
      </c>
      <c r="AE189" s="1" t="str">
        <f t="shared" ref="AE189" si="13405">IF(MarGog1LevelCurrent&gt;=$B189,"-",IF(MarGog1LevelDesired&lt;$B189,"-",$D189))</f>
        <v>-</v>
      </c>
      <c r="AF189" s="21" t="str">
        <f t="shared" ref="AF189" si="13406">IF(MarGog1LevelCurrent&gt;=$B189,"-",IF(MarGog1LevelDesired&lt;$B189,"-",$E189))</f>
        <v>-</v>
      </c>
      <c r="AG189" s="15" t="str">
        <f t="shared" ref="AG189" si="13407">IF(MarGlo1LevelCurrent&gt;=$B189,"-",IF(MarGlo1LevelDesired&lt;$B189,"-",$C189))</f>
        <v>-</v>
      </c>
      <c r="AH189" s="1" t="str">
        <f t="shared" ref="AH189" si="13408">IF(MarGlo1LevelCurrent&gt;=$B189,"-",IF(MarGlo1LevelDesired&lt;$B189,"-",$D189))</f>
        <v>-</v>
      </c>
      <c r="AI189" s="21" t="str">
        <f t="shared" ref="AI189" si="13409">IF(MarGlo1LevelCurrent&gt;=$B189,"-",IF(MarGlo1LevelDesired&lt;$B189,"-",$E189))</f>
        <v>-</v>
      </c>
      <c r="AJ189" s="15" t="str">
        <f t="shared" ref="AJ189" si="13410">IF(MarBel1LevelCurrent&gt;=$B189,"-",IF(MarBel1LevelDesired&lt;$B189,"-",$C189))</f>
        <v>-</v>
      </c>
      <c r="AK189" s="1" t="str">
        <f t="shared" ref="AK189" si="13411">IF(MarBel1LevelCurrent&gt;=$B189,"-",IF(MarBel1LevelDesired&lt;$B189,"-",$D189))</f>
        <v>-</v>
      </c>
      <c r="AL189" s="21" t="str">
        <f t="shared" ref="AL189" si="13412">IF(MarBel1LevelCurrent&gt;=$B189,"-",IF(MarBel1LevelDesired&lt;$B189,"-",$E189))</f>
        <v>-</v>
      </c>
      <c r="AM189" s="15" t="str">
        <f t="shared" ref="AM189" si="13413">IF(MarBoo1LevelCurrent&gt;=$B189,"-",IF(MarBoo1LevelDesired&lt;$B189,"-",$C189))</f>
        <v>-</v>
      </c>
      <c r="AN189" s="1" t="str">
        <f t="shared" ref="AN189" si="13414">IF(MarBoo1LevelCurrent&gt;=$B189,"-",IF(MarBoo1LevelDesired&lt;$B189,"-",$D189))</f>
        <v>-</v>
      </c>
      <c r="AO189" s="21" t="str">
        <f t="shared" ref="AO189" si="13415">IF(MarBoo1LevelCurrent&gt;=$B189,"-",IF(MarBoo1LevelDesired&lt;$B189,"-",$E189))</f>
        <v>-</v>
      </c>
      <c r="AP189" s="15" t="str">
        <f t="shared" ref="AP189" si="13416">IF(InfGog2LevelCurrent&gt;=$B189,"-",IF(InfGog2LevelDesired&lt;$B189,"-",$C189))</f>
        <v>-</v>
      </c>
      <c r="AQ189" s="1" t="str">
        <f t="shared" ref="AQ189" si="13417">IF(InfGog2LevelCurrent&gt;=$B189,"-",IF(InfGog2LevelDesired&lt;$B189,"-",$D189))</f>
        <v>-</v>
      </c>
      <c r="AR189" s="21" t="str">
        <f t="shared" ref="AR189" si="13418">IF(InfGog2LevelCurrent&gt;=$B189,"-",IF(InfGog2LevelDesired&lt;$B189,"-",$E189))</f>
        <v>-</v>
      </c>
      <c r="AS189" s="15" t="str">
        <f t="shared" ref="AS189" si="13419">IF(InfGlo2LevelCurrent&gt;=$B189,"-",IF(InfGlo2LevelDesired&lt;$B189,"-",$C189))</f>
        <v>-</v>
      </c>
      <c r="AT189" s="1" t="str">
        <f t="shared" ref="AT189" si="13420">IF(InfGlo2LevelCurrent&gt;=$B189,"-",IF(InfGlo2LevelDesired&lt;$B189,"-",$D189))</f>
        <v>-</v>
      </c>
      <c r="AU189" s="21" t="str">
        <f t="shared" ref="AU189" si="13421">IF(InfGlo2LevelCurrent&gt;=$B189,"-",IF(InfGlo2LevelDesired&lt;$B189,"-",$E189))</f>
        <v>-</v>
      </c>
      <c r="AV189" s="15" t="str">
        <f t="shared" ref="AV189" si="13422">IF(InfBel2LevelCurrent&gt;=$B189,"-",IF(InfBel2LevelDesired&lt;$B189,"-",$C189))</f>
        <v>-</v>
      </c>
      <c r="AW189" s="1" t="str">
        <f t="shared" ref="AW189" si="13423">IF(InfBel2LevelCurrent&gt;=$B189,"-",IF(InfBel2LevelDesired&lt;$B189,"-",$D189))</f>
        <v>-</v>
      </c>
      <c r="AX189" s="21" t="str">
        <f t="shared" ref="AX189" si="13424">IF(InfBel2LevelCurrent&gt;=$B189,"-",IF(InfBel2LevelDesired&lt;$B189,"-",$E189))</f>
        <v>-</v>
      </c>
      <c r="AY189" s="15" t="str">
        <f t="shared" ref="AY189" si="13425">IF(InfBoo2LevelCurrent&gt;=$B189,"-",IF(InfBoo2LevelDesired&lt;$B189,"-",$C189))</f>
        <v>-</v>
      </c>
      <c r="AZ189" s="1" t="str">
        <f t="shared" ref="AZ189" si="13426">IF(InfBoo2LevelCurrent&gt;=$B189,"-",IF(InfBoo2LevelDesired&lt;$B189,"-",$D189))</f>
        <v>-</v>
      </c>
      <c r="BA189" s="21" t="str">
        <f t="shared" ref="BA189" si="13427">IF(InfBoo2LevelCurrent&gt;=$B189,"-",IF(InfBoo2LevelDesired&lt;$B189,"-",$E189))</f>
        <v>-</v>
      </c>
      <c r="BB189" s="15" t="str">
        <f t="shared" ref="BB189" si="13428">IF(LanGog2LevelCurrent&gt;=$B189,"-",IF(LanGog2LevelDesired&lt;$B189,"-",$C189))</f>
        <v>-</v>
      </c>
      <c r="BC189" s="1" t="str">
        <f t="shared" ref="BC189" si="13429">IF(LanGog2LevelCurrent&gt;=$B189,"-",IF(LanGog2LevelDesired&lt;$B189,"-",$D189))</f>
        <v>-</v>
      </c>
      <c r="BD189" s="21" t="str">
        <f t="shared" ref="BD189" si="13430">IF(LanGog2LevelCurrent&gt;=$B189,"-",IF(LanGog2LevelDesired&lt;$B189,"-",$E189))</f>
        <v>-</v>
      </c>
      <c r="BE189" s="15" t="str">
        <f t="shared" ref="BE189" si="13431">IF(LanGlo2LevelCurrent&gt;=$B189,"-",IF(LanGlo2LevelDesired&lt;$B189,"-",$C189))</f>
        <v>-</v>
      </c>
      <c r="BF189" s="1" t="str">
        <f t="shared" ref="BF189" si="13432">IF(LanGlo2LevelCurrent&gt;=$B189,"-",IF(LanGlo2LevelDesired&lt;$B189,"-",$D189))</f>
        <v>-</v>
      </c>
      <c r="BG189" s="21" t="str">
        <f t="shared" ref="BG189" si="13433">IF(LanGlo2LevelCurrent&gt;=$B189,"-",IF(LanGlo2LevelDesired&lt;$B189,"-",$E189))</f>
        <v>-</v>
      </c>
      <c r="BH189" s="15" t="str">
        <f t="shared" ref="BH189" si="13434">IF(LanBel2LevelCurrent&gt;=$B189,"-",IF(LanBel2LevelDesired&lt;$B189,"-",$C189))</f>
        <v>-</v>
      </c>
      <c r="BI189" s="1" t="str">
        <f t="shared" ref="BI189" si="13435">IF(LanBel2LevelCurrent&gt;=$B189,"-",IF(LanBel2LevelDesired&lt;$B189,"-",$D189))</f>
        <v>-</v>
      </c>
      <c r="BJ189" s="21" t="str">
        <f t="shared" ref="BJ189" si="13436">IF(LanBel2LevelCurrent&gt;=$B189,"-",IF(LanBel2LevelDesired&lt;$B189,"-",$E189))</f>
        <v>-</v>
      </c>
      <c r="BK189" s="15" t="str">
        <f t="shared" ref="BK189" si="13437">IF(LanBoo2LevelCurrent&gt;=$B189,"-",IF(LanBoo2LevelDesired&lt;$B189,"-",$C189))</f>
        <v>-</v>
      </c>
      <c r="BL189" s="1" t="str">
        <f t="shared" ref="BL189" si="13438">IF(LanBoo2LevelCurrent&gt;=$B189,"-",IF(LanBoo2LevelDesired&lt;$B189,"-",$D189))</f>
        <v>-</v>
      </c>
      <c r="BM189" s="21" t="str">
        <f t="shared" ref="BM189" si="13439">IF(LanBoo2LevelCurrent&gt;=$B189,"-",IF(LanBoo2LevelDesired&lt;$B189,"-",$E189))</f>
        <v>-</v>
      </c>
      <c r="BN189" s="15" t="str">
        <f t="shared" ref="BN189" si="13440">IF(MarGog2LevelCurrent&gt;=$B189,"-",IF(MarGog2LevelDesired&lt;$B189,"-",$C189))</f>
        <v>-</v>
      </c>
      <c r="BO189" s="1" t="str">
        <f t="shared" ref="BO189" si="13441">IF(MarGog2LevelCurrent&gt;=$B189,"-",IF(MarGog2LevelDesired&lt;$B189,"-",$D189))</f>
        <v>-</v>
      </c>
      <c r="BP189" s="21" t="str">
        <f t="shared" ref="BP189" si="13442">IF(MarGog2LevelCurrent&gt;=$B189,"-",IF(MarGog2LevelDesired&lt;$B189,"-",$E189))</f>
        <v>-</v>
      </c>
      <c r="BQ189" s="15" t="str">
        <f t="shared" ref="BQ189" si="13443">IF(MarGlo2LevelCurrent&gt;=$B189,"-",IF(MarGlo2LevelDesired&lt;$B189,"-",$C189))</f>
        <v>-</v>
      </c>
      <c r="BR189" s="1" t="str">
        <f t="shared" ref="BR189" si="13444">IF(MarGlo2LevelCurrent&gt;=$B189,"-",IF(MarGlo2LevelDesired&lt;$B189,"-",$D189))</f>
        <v>-</v>
      </c>
      <c r="BS189" s="21" t="str">
        <f t="shared" ref="BS189" si="13445">IF(MarGlo2LevelCurrent&gt;=$B189,"-",IF(MarGlo2LevelDesired&lt;$B189,"-",$E189))</f>
        <v>-</v>
      </c>
      <c r="BT189" s="15" t="str">
        <f t="shared" ref="BT189" si="13446">IF(MarBel2LevelCurrent&gt;=$B189,"-",IF(MarBel2LevelDesired&lt;$B189,"-",$C189))</f>
        <v>-</v>
      </c>
      <c r="BU189" s="1" t="str">
        <f t="shared" ref="BU189" si="13447">IF(MarBel2LevelCurrent&gt;=$B189,"-",IF(MarBel2LevelDesired&lt;$B189,"-",$D189))</f>
        <v>-</v>
      </c>
      <c r="BV189" s="21" t="str">
        <f t="shared" ref="BV189" si="13448">IF(MarBel2LevelCurrent&gt;=$B189,"-",IF(MarBel2LevelDesired&lt;$B189,"-",$E189))</f>
        <v>-</v>
      </c>
      <c r="BW189" s="15" t="str">
        <f t="shared" ref="BW189" si="13449">IF(MarBoo2LevelCurrent&gt;=$B189,"-",IF(MarBoo2LevelDesired&lt;$B189,"-",$C189))</f>
        <v>-</v>
      </c>
      <c r="BX189" s="1" t="str">
        <f t="shared" ref="BX189" si="13450">IF(MarBoo2LevelCurrent&gt;=$B189,"-",IF(MarBoo2LevelDesired&lt;$B189,"-",$D189))</f>
        <v>-</v>
      </c>
      <c r="BY189" s="21" t="str">
        <f t="shared" ref="BY189" si="13451">IF(MarBoo2LevelCurrent&gt;=$B189,"-",IF(MarBoo2LevelDesired&lt;$B189,"-",$E189))</f>
        <v>-</v>
      </c>
      <c r="BZ189" s="15" t="str">
        <f t="shared" si="11762"/>
        <v>-</v>
      </c>
      <c r="CA189" s="1" t="str" cm="1">
        <f t="array" ref="CA189">IF(InfGog3LevelCurrent&gt;=$B189,"-",IF(InfGog3LevelDesired&lt;$B189,"-",$D189))</f>
        <v>-</v>
      </c>
      <c r="CB189" s="21" t="str" cm="1">
        <f t="array" ref="CB189">IF(InfGog3LevelCurrent&gt;=$B189,"-",IF(InfGog3LevelDesired&lt;$B189,"-",$E189))</f>
        <v>-</v>
      </c>
      <c r="CC189" s="15" t="str">
        <f t="shared" si="11763"/>
        <v>-</v>
      </c>
      <c r="CD189" s="1" t="str">
        <f t="shared" si="11764"/>
        <v>-</v>
      </c>
      <c r="CE189" s="21" t="str">
        <f t="shared" si="11765"/>
        <v>-</v>
      </c>
      <c r="CF189" s="15" t="str">
        <f t="shared" si="11766"/>
        <v>-</v>
      </c>
      <c r="CG189" s="1" t="str">
        <f t="shared" si="11767"/>
        <v>-</v>
      </c>
      <c r="CH189" s="21" t="str">
        <f t="shared" si="11768"/>
        <v>-</v>
      </c>
      <c r="CI189" s="15" t="str">
        <f t="shared" si="11769"/>
        <v>-</v>
      </c>
      <c r="CJ189" s="1" t="str">
        <f t="shared" si="11770"/>
        <v>-</v>
      </c>
      <c r="CK189" s="21" t="str">
        <f t="shared" si="11771"/>
        <v>-</v>
      </c>
      <c r="CL189" s="15" t="str">
        <f t="shared" si="11772"/>
        <v>-</v>
      </c>
      <c r="CM189" s="1" t="str">
        <f t="shared" si="11773"/>
        <v>-</v>
      </c>
      <c r="CN189" s="21" t="str">
        <f t="shared" si="11774"/>
        <v>-</v>
      </c>
      <c r="CO189" s="15" t="str">
        <f t="shared" si="11775"/>
        <v>-</v>
      </c>
      <c r="CP189" s="1" t="str">
        <f t="shared" si="11776"/>
        <v>-</v>
      </c>
      <c r="CQ189" s="21" t="str">
        <f t="shared" si="11777"/>
        <v>-</v>
      </c>
      <c r="CR189" s="15" t="str">
        <f t="shared" si="11778"/>
        <v>-</v>
      </c>
      <c r="CS189" s="1" t="str">
        <f t="shared" si="11779"/>
        <v>-</v>
      </c>
      <c r="CT189" s="21" t="str">
        <f t="shared" si="11780"/>
        <v>-</v>
      </c>
      <c r="CU189" s="15" t="str">
        <f t="shared" si="11781"/>
        <v>-</v>
      </c>
      <c r="CV189" s="1" t="str">
        <f t="shared" si="11782"/>
        <v>-</v>
      </c>
      <c r="CW189" s="21" t="str">
        <f t="shared" si="11783"/>
        <v>-</v>
      </c>
      <c r="CX189" s="15" t="str">
        <f t="shared" si="11784"/>
        <v>-</v>
      </c>
      <c r="CY189" s="1" t="str">
        <f t="shared" si="11785"/>
        <v>-</v>
      </c>
      <c r="CZ189" s="21" t="str">
        <f t="shared" si="11786"/>
        <v>-</v>
      </c>
      <c r="DA189" s="15" t="str">
        <f t="shared" si="11787"/>
        <v>-</v>
      </c>
      <c r="DB189" s="1" t="str">
        <f t="shared" si="11788"/>
        <v>-</v>
      </c>
      <c r="DC189" s="21" t="str">
        <f t="shared" si="11789"/>
        <v>-</v>
      </c>
      <c r="DD189" s="15" t="str">
        <f t="shared" si="11790"/>
        <v>-</v>
      </c>
      <c r="DE189" s="1" t="str">
        <f t="shared" si="11791"/>
        <v>-</v>
      </c>
      <c r="DF189" s="21" t="str">
        <f t="shared" si="11792"/>
        <v>-</v>
      </c>
      <c r="DG189" s="15" t="str">
        <f t="shared" si="11793"/>
        <v>-</v>
      </c>
      <c r="DH189" s="1" t="str">
        <f t="shared" si="11794"/>
        <v>-</v>
      </c>
      <c r="DI189" s="21" t="str">
        <f t="shared" si="11795"/>
        <v>-</v>
      </c>
    </row>
    <row r="190" spans="2:113" x14ac:dyDescent="0.3">
      <c r="B190" s="1">
        <v>185</v>
      </c>
      <c r="C190" s="67">
        <v>7900</v>
      </c>
      <c r="D190" s="88" t="s">
        <v>27</v>
      </c>
      <c r="E190" s="68" t="s">
        <v>27</v>
      </c>
      <c r="F190" s="15" t="str">
        <f t="shared" ref="F190" si="13452">IF(InfGog1LevelCurrent&gt;=$B190,"-",IF(InfGog1LevelDesired&lt;$B190,"-",$C190))</f>
        <v>-</v>
      </c>
      <c r="G190" s="1" t="str">
        <f t="shared" ref="G190" si="13453">IF(InfGog1LevelCurrent&gt;=$B190,"-",IF(InfGog1LevelDesired&lt;$B190,"-",$D190))</f>
        <v>-</v>
      </c>
      <c r="H190" s="21" t="str">
        <f t="shared" ref="H190" si="13454">IF(InfGog1LevelCurrent&gt;=$B190,"-",IF(InfGog1LevelDesired&lt;$B190,"-",$E190))</f>
        <v>-</v>
      </c>
      <c r="I190" s="15" t="str">
        <f t="shared" ref="I190" si="13455">IF(InfGlo1LevelCurrent&gt;=$B190,"-",IF(InfGlo1LevelDesired&lt;$B190,"-",$C190))</f>
        <v>-</v>
      </c>
      <c r="J190" s="1" t="str">
        <f t="shared" ref="J190" si="13456">IF(InfGlo1LevelCurrent&gt;=$B190,"-",IF(InfGlo1LevelDesired&lt;$B190,"-",$D190))</f>
        <v>-</v>
      </c>
      <c r="K190" s="21" t="str">
        <f t="shared" ref="K190" si="13457">IF(InfGlo1LevelCurrent&gt;=$B190,"-",IF(InfGlo1LevelDesired&lt;$B190,"-",$E190))</f>
        <v>-</v>
      </c>
      <c r="L190" s="15" t="str">
        <f t="shared" ref="L190" si="13458">IF(InfBel1LevelCurrent&gt;=$B190,"-",IF(InfBel1LevelDesired&lt;$B190,"-",$C190))</f>
        <v>-</v>
      </c>
      <c r="M190" s="1" t="str">
        <f t="shared" ref="M190" si="13459">IF(InfBel1LevelCurrent&gt;=$B190,"-",IF(InfBel1LevelDesired&lt;$B190,"-",$D190))</f>
        <v>-</v>
      </c>
      <c r="N190" s="21" t="str">
        <f t="shared" ref="N190" si="13460">IF(InfBel1LevelCurrent&gt;=$B190,"-",IF(InfBel1LevelDesired&lt;$B190,"-",$E190))</f>
        <v>-</v>
      </c>
      <c r="O190" s="15" t="str">
        <f t="shared" ref="O190" si="13461">IF(InfBoo1LevelCurrent&gt;=$B190,"-",IF(InfBoo1LevelDesired&lt;$B190,"-",$C190))</f>
        <v>-</v>
      </c>
      <c r="P190" s="1" t="str">
        <f t="shared" ref="P190" si="13462">IF(InfBoo1LevelCurrent&gt;=$B190,"-",IF(InfBoo1LevelDesired&lt;$B190,"-",$D190))</f>
        <v>-</v>
      </c>
      <c r="Q190" s="21" t="str">
        <f t="shared" ref="Q190" si="13463">IF(InfBoo1LevelCurrent&gt;=$B190,"-",IF(InfBoo1LevelDesired&lt;$B190,"-",$E190))</f>
        <v>-</v>
      </c>
      <c r="R190" s="15" t="str">
        <f t="shared" ref="R190" si="13464">IF(LanGog1LevelCurrent&gt;=$B190,"-",IF(LanGog1LevelDesired&lt;$B190,"-",$C190))</f>
        <v>-</v>
      </c>
      <c r="S190" s="1" t="str">
        <f t="shared" ref="S190" si="13465">IF(LanGog1LevelCurrent&gt;=$B190,"-",IF(LanGog1LevelDesired&lt;$B190,"-",$D190))</f>
        <v>-</v>
      </c>
      <c r="T190" s="21" t="str">
        <f t="shared" ref="T190" si="13466">IF(LanGog1LevelCurrent&gt;=$B190,"-",IF(LanGog1LevelDesired&lt;$B190,"-",$E190))</f>
        <v>-</v>
      </c>
      <c r="U190" s="15" t="str">
        <f t="shared" ref="U190" si="13467">IF(LanGlo1LevelCurrent&gt;=$B190,"-",IF(LanGlo1LevelDesired&lt;$B190,"-",$C190))</f>
        <v>-</v>
      </c>
      <c r="V190" s="1" t="str">
        <f t="shared" ref="V190" si="13468">IF(LanGlo1LevelCurrent&gt;=$B190,"-",IF(LanGlo1LevelDesired&lt;$B190,"-",$D190))</f>
        <v>-</v>
      </c>
      <c r="W190" s="21" t="str">
        <f t="shared" ref="W190" si="13469">IF(LanGlo1LevelCurrent&gt;=$B190,"-",IF(LanGlo1LevelDesired&lt;$B190,"-",$E190))</f>
        <v>-</v>
      </c>
      <c r="X190" s="15" t="str">
        <f t="shared" ref="X190" si="13470">IF(LanBel1LevelCurrent&gt;=$B190,"-",IF(LanBel1LevelDesired&lt;$B190,"-",$C190))</f>
        <v>-</v>
      </c>
      <c r="Y190" s="1" t="str">
        <f t="shared" ref="Y190" si="13471">IF(LanBel1LevelCurrent&gt;=$B190,"-",IF(LanBel1LevelDesired&lt;$B190,"-",$D190))</f>
        <v>-</v>
      </c>
      <c r="Z190" s="21" t="str">
        <f t="shared" ref="Z190" si="13472">IF(LanBel1LevelCurrent&gt;=$B190,"-",IF(LanBel1LevelDesired&lt;$B190,"-",$E190))</f>
        <v>-</v>
      </c>
      <c r="AA190" s="15" t="str">
        <f t="shared" ref="AA190" si="13473">IF(LanBoo1LevelCurrent&gt;=$B190,"-",IF(LanBoo1LevelDesired&lt;$B190,"-",$C190))</f>
        <v>-</v>
      </c>
      <c r="AB190" s="1" t="str">
        <f t="shared" ref="AB190" si="13474">IF(LanBoo1LevelCurrent&gt;=$B190,"-",IF(LanBoo1LevelDesired&lt;$B190,"-",$D190))</f>
        <v>-</v>
      </c>
      <c r="AC190" s="21" t="str">
        <f t="shared" ref="AC190" si="13475">IF(LanBoo1LevelCurrent&gt;=$B190,"-",IF(LanBoo1LevelDesired&lt;$B190,"-",$E190))</f>
        <v>-</v>
      </c>
      <c r="AD190" s="15" t="str">
        <f t="shared" ref="AD190" si="13476">IF(MarGog1LevelCurrent&gt;=$B190,"-",IF(MarGog1LevelDesired&lt;$B190,"-",$C190))</f>
        <v>-</v>
      </c>
      <c r="AE190" s="1" t="str">
        <f t="shared" ref="AE190" si="13477">IF(MarGog1LevelCurrent&gt;=$B190,"-",IF(MarGog1LevelDesired&lt;$B190,"-",$D190))</f>
        <v>-</v>
      </c>
      <c r="AF190" s="21" t="str">
        <f t="shared" ref="AF190" si="13478">IF(MarGog1LevelCurrent&gt;=$B190,"-",IF(MarGog1LevelDesired&lt;$B190,"-",$E190))</f>
        <v>-</v>
      </c>
      <c r="AG190" s="15" t="str">
        <f t="shared" ref="AG190" si="13479">IF(MarGlo1LevelCurrent&gt;=$B190,"-",IF(MarGlo1LevelDesired&lt;$B190,"-",$C190))</f>
        <v>-</v>
      </c>
      <c r="AH190" s="1" t="str">
        <f t="shared" ref="AH190" si="13480">IF(MarGlo1LevelCurrent&gt;=$B190,"-",IF(MarGlo1LevelDesired&lt;$B190,"-",$D190))</f>
        <v>-</v>
      </c>
      <c r="AI190" s="21" t="str">
        <f t="shared" ref="AI190" si="13481">IF(MarGlo1LevelCurrent&gt;=$B190,"-",IF(MarGlo1LevelDesired&lt;$B190,"-",$E190))</f>
        <v>-</v>
      </c>
      <c r="AJ190" s="15" t="str">
        <f t="shared" ref="AJ190" si="13482">IF(MarBel1LevelCurrent&gt;=$B190,"-",IF(MarBel1LevelDesired&lt;$B190,"-",$C190))</f>
        <v>-</v>
      </c>
      <c r="AK190" s="1" t="str">
        <f t="shared" ref="AK190" si="13483">IF(MarBel1LevelCurrent&gt;=$B190,"-",IF(MarBel1LevelDesired&lt;$B190,"-",$D190))</f>
        <v>-</v>
      </c>
      <c r="AL190" s="21" t="str">
        <f t="shared" ref="AL190" si="13484">IF(MarBel1LevelCurrent&gt;=$B190,"-",IF(MarBel1LevelDesired&lt;$B190,"-",$E190))</f>
        <v>-</v>
      </c>
      <c r="AM190" s="15" t="str">
        <f t="shared" ref="AM190" si="13485">IF(MarBoo1LevelCurrent&gt;=$B190,"-",IF(MarBoo1LevelDesired&lt;$B190,"-",$C190))</f>
        <v>-</v>
      </c>
      <c r="AN190" s="1" t="str">
        <f t="shared" ref="AN190" si="13486">IF(MarBoo1LevelCurrent&gt;=$B190,"-",IF(MarBoo1LevelDesired&lt;$B190,"-",$D190))</f>
        <v>-</v>
      </c>
      <c r="AO190" s="21" t="str">
        <f t="shared" ref="AO190" si="13487">IF(MarBoo1LevelCurrent&gt;=$B190,"-",IF(MarBoo1LevelDesired&lt;$B190,"-",$E190))</f>
        <v>-</v>
      </c>
      <c r="AP190" s="15" t="str">
        <f t="shared" ref="AP190" si="13488">IF(InfGog2LevelCurrent&gt;=$B190,"-",IF(InfGog2LevelDesired&lt;$B190,"-",$C190))</f>
        <v>-</v>
      </c>
      <c r="AQ190" s="1" t="str">
        <f t="shared" ref="AQ190" si="13489">IF(InfGog2LevelCurrent&gt;=$B190,"-",IF(InfGog2LevelDesired&lt;$B190,"-",$D190))</f>
        <v>-</v>
      </c>
      <c r="AR190" s="21" t="str">
        <f t="shared" ref="AR190" si="13490">IF(InfGog2LevelCurrent&gt;=$B190,"-",IF(InfGog2LevelDesired&lt;$B190,"-",$E190))</f>
        <v>-</v>
      </c>
      <c r="AS190" s="15" t="str">
        <f t="shared" ref="AS190" si="13491">IF(InfGlo2LevelCurrent&gt;=$B190,"-",IF(InfGlo2LevelDesired&lt;$B190,"-",$C190))</f>
        <v>-</v>
      </c>
      <c r="AT190" s="1" t="str">
        <f t="shared" ref="AT190" si="13492">IF(InfGlo2LevelCurrent&gt;=$B190,"-",IF(InfGlo2LevelDesired&lt;$B190,"-",$D190))</f>
        <v>-</v>
      </c>
      <c r="AU190" s="21" t="str">
        <f t="shared" ref="AU190" si="13493">IF(InfGlo2LevelCurrent&gt;=$B190,"-",IF(InfGlo2LevelDesired&lt;$B190,"-",$E190))</f>
        <v>-</v>
      </c>
      <c r="AV190" s="15" t="str">
        <f t="shared" ref="AV190" si="13494">IF(InfBel2LevelCurrent&gt;=$B190,"-",IF(InfBel2LevelDesired&lt;$B190,"-",$C190))</f>
        <v>-</v>
      </c>
      <c r="AW190" s="1" t="str">
        <f t="shared" ref="AW190" si="13495">IF(InfBel2LevelCurrent&gt;=$B190,"-",IF(InfBel2LevelDesired&lt;$B190,"-",$D190))</f>
        <v>-</v>
      </c>
      <c r="AX190" s="21" t="str">
        <f t="shared" ref="AX190" si="13496">IF(InfBel2LevelCurrent&gt;=$B190,"-",IF(InfBel2LevelDesired&lt;$B190,"-",$E190))</f>
        <v>-</v>
      </c>
      <c r="AY190" s="15" t="str">
        <f t="shared" ref="AY190" si="13497">IF(InfBoo2LevelCurrent&gt;=$B190,"-",IF(InfBoo2LevelDesired&lt;$B190,"-",$C190))</f>
        <v>-</v>
      </c>
      <c r="AZ190" s="1" t="str">
        <f t="shared" ref="AZ190" si="13498">IF(InfBoo2LevelCurrent&gt;=$B190,"-",IF(InfBoo2LevelDesired&lt;$B190,"-",$D190))</f>
        <v>-</v>
      </c>
      <c r="BA190" s="21" t="str">
        <f t="shared" ref="BA190" si="13499">IF(InfBoo2LevelCurrent&gt;=$B190,"-",IF(InfBoo2LevelDesired&lt;$B190,"-",$E190))</f>
        <v>-</v>
      </c>
      <c r="BB190" s="15" t="str">
        <f t="shared" ref="BB190" si="13500">IF(LanGog2LevelCurrent&gt;=$B190,"-",IF(LanGog2LevelDesired&lt;$B190,"-",$C190))</f>
        <v>-</v>
      </c>
      <c r="BC190" s="1" t="str">
        <f t="shared" ref="BC190" si="13501">IF(LanGog2LevelCurrent&gt;=$B190,"-",IF(LanGog2LevelDesired&lt;$B190,"-",$D190))</f>
        <v>-</v>
      </c>
      <c r="BD190" s="21" t="str">
        <f t="shared" ref="BD190" si="13502">IF(LanGog2LevelCurrent&gt;=$B190,"-",IF(LanGog2LevelDesired&lt;$B190,"-",$E190))</f>
        <v>-</v>
      </c>
      <c r="BE190" s="15" t="str">
        <f t="shared" ref="BE190" si="13503">IF(LanGlo2LevelCurrent&gt;=$B190,"-",IF(LanGlo2LevelDesired&lt;$B190,"-",$C190))</f>
        <v>-</v>
      </c>
      <c r="BF190" s="1" t="str">
        <f t="shared" ref="BF190" si="13504">IF(LanGlo2LevelCurrent&gt;=$B190,"-",IF(LanGlo2LevelDesired&lt;$B190,"-",$D190))</f>
        <v>-</v>
      </c>
      <c r="BG190" s="21" t="str">
        <f t="shared" ref="BG190" si="13505">IF(LanGlo2LevelCurrent&gt;=$B190,"-",IF(LanGlo2LevelDesired&lt;$B190,"-",$E190))</f>
        <v>-</v>
      </c>
      <c r="BH190" s="15" t="str">
        <f t="shared" ref="BH190" si="13506">IF(LanBel2LevelCurrent&gt;=$B190,"-",IF(LanBel2LevelDesired&lt;$B190,"-",$C190))</f>
        <v>-</v>
      </c>
      <c r="BI190" s="1" t="str">
        <f t="shared" ref="BI190" si="13507">IF(LanBel2LevelCurrent&gt;=$B190,"-",IF(LanBel2LevelDesired&lt;$B190,"-",$D190))</f>
        <v>-</v>
      </c>
      <c r="BJ190" s="21" t="str">
        <f t="shared" ref="BJ190" si="13508">IF(LanBel2LevelCurrent&gt;=$B190,"-",IF(LanBel2LevelDesired&lt;$B190,"-",$E190))</f>
        <v>-</v>
      </c>
      <c r="BK190" s="15" t="str">
        <f t="shared" ref="BK190" si="13509">IF(LanBoo2LevelCurrent&gt;=$B190,"-",IF(LanBoo2LevelDesired&lt;$B190,"-",$C190))</f>
        <v>-</v>
      </c>
      <c r="BL190" s="1" t="str">
        <f t="shared" ref="BL190" si="13510">IF(LanBoo2LevelCurrent&gt;=$B190,"-",IF(LanBoo2LevelDesired&lt;$B190,"-",$D190))</f>
        <v>-</v>
      </c>
      <c r="BM190" s="21" t="str">
        <f t="shared" ref="BM190" si="13511">IF(LanBoo2LevelCurrent&gt;=$B190,"-",IF(LanBoo2LevelDesired&lt;$B190,"-",$E190))</f>
        <v>-</v>
      </c>
      <c r="BN190" s="15" t="str">
        <f t="shared" ref="BN190" si="13512">IF(MarGog2LevelCurrent&gt;=$B190,"-",IF(MarGog2LevelDesired&lt;$B190,"-",$C190))</f>
        <v>-</v>
      </c>
      <c r="BO190" s="1" t="str">
        <f t="shared" ref="BO190" si="13513">IF(MarGog2LevelCurrent&gt;=$B190,"-",IF(MarGog2LevelDesired&lt;$B190,"-",$D190))</f>
        <v>-</v>
      </c>
      <c r="BP190" s="21" t="str">
        <f t="shared" ref="BP190" si="13514">IF(MarGog2LevelCurrent&gt;=$B190,"-",IF(MarGog2LevelDesired&lt;$B190,"-",$E190))</f>
        <v>-</v>
      </c>
      <c r="BQ190" s="15" t="str">
        <f t="shared" ref="BQ190" si="13515">IF(MarGlo2LevelCurrent&gt;=$B190,"-",IF(MarGlo2LevelDesired&lt;$B190,"-",$C190))</f>
        <v>-</v>
      </c>
      <c r="BR190" s="1" t="str">
        <f t="shared" ref="BR190" si="13516">IF(MarGlo2LevelCurrent&gt;=$B190,"-",IF(MarGlo2LevelDesired&lt;$B190,"-",$D190))</f>
        <v>-</v>
      </c>
      <c r="BS190" s="21" t="str">
        <f t="shared" ref="BS190" si="13517">IF(MarGlo2LevelCurrent&gt;=$B190,"-",IF(MarGlo2LevelDesired&lt;$B190,"-",$E190))</f>
        <v>-</v>
      </c>
      <c r="BT190" s="15" t="str">
        <f t="shared" ref="BT190" si="13518">IF(MarBel2LevelCurrent&gt;=$B190,"-",IF(MarBel2LevelDesired&lt;$B190,"-",$C190))</f>
        <v>-</v>
      </c>
      <c r="BU190" s="1" t="str">
        <f t="shared" ref="BU190" si="13519">IF(MarBel2LevelCurrent&gt;=$B190,"-",IF(MarBel2LevelDesired&lt;$B190,"-",$D190))</f>
        <v>-</v>
      </c>
      <c r="BV190" s="21" t="str">
        <f t="shared" ref="BV190" si="13520">IF(MarBel2LevelCurrent&gt;=$B190,"-",IF(MarBel2LevelDesired&lt;$B190,"-",$E190))</f>
        <v>-</v>
      </c>
      <c r="BW190" s="15" t="str">
        <f t="shared" ref="BW190" si="13521">IF(MarBoo2LevelCurrent&gt;=$B190,"-",IF(MarBoo2LevelDesired&lt;$B190,"-",$C190))</f>
        <v>-</v>
      </c>
      <c r="BX190" s="1" t="str">
        <f t="shared" ref="BX190" si="13522">IF(MarBoo2LevelCurrent&gt;=$B190,"-",IF(MarBoo2LevelDesired&lt;$B190,"-",$D190))</f>
        <v>-</v>
      </c>
      <c r="BY190" s="21" t="str">
        <f t="shared" ref="BY190" si="13523">IF(MarBoo2LevelCurrent&gt;=$B190,"-",IF(MarBoo2LevelDesired&lt;$B190,"-",$E190))</f>
        <v>-</v>
      </c>
      <c r="BZ190" s="15" t="str">
        <f t="shared" si="11762"/>
        <v>-</v>
      </c>
      <c r="CA190" s="1" t="str" cm="1">
        <f t="array" ref="CA190">IF(InfGog3LevelCurrent&gt;=$B190,"-",IF(InfGog3LevelDesired&lt;$B190,"-",$D190))</f>
        <v>-</v>
      </c>
      <c r="CB190" s="21" t="str" cm="1">
        <f t="array" ref="CB190">IF(InfGog3LevelCurrent&gt;=$B190,"-",IF(InfGog3LevelDesired&lt;$B190,"-",$E190))</f>
        <v>-</v>
      </c>
      <c r="CC190" s="15" t="str">
        <f t="shared" si="11763"/>
        <v>-</v>
      </c>
      <c r="CD190" s="1" t="str">
        <f t="shared" si="11764"/>
        <v>-</v>
      </c>
      <c r="CE190" s="21" t="str">
        <f t="shared" si="11765"/>
        <v>-</v>
      </c>
      <c r="CF190" s="15" t="str">
        <f t="shared" si="11766"/>
        <v>-</v>
      </c>
      <c r="CG190" s="1" t="str">
        <f t="shared" si="11767"/>
        <v>-</v>
      </c>
      <c r="CH190" s="21" t="str">
        <f t="shared" si="11768"/>
        <v>-</v>
      </c>
      <c r="CI190" s="15" t="str">
        <f t="shared" si="11769"/>
        <v>-</v>
      </c>
      <c r="CJ190" s="1" t="str">
        <f t="shared" si="11770"/>
        <v>-</v>
      </c>
      <c r="CK190" s="21" t="str">
        <f t="shared" si="11771"/>
        <v>-</v>
      </c>
      <c r="CL190" s="15" t="str">
        <f t="shared" si="11772"/>
        <v>-</v>
      </c>
      <c r="CM190" s="1" t="str">
        <f t="shared" si="11773"/>
        <v>-</v>
      </c>
      <c r="CN190" s="21" t="str">
        <f t="shared" si="11774"/>
        <v>-</v>
      </c>
      <c r="CO190" s="15" t="str">
        <f t="shared" si="11775"/>
        <v>-</v>
      </c>
      <c r="CP190" s="1" t="str">
        <f t="shared" si="11776"/>
        <v>-</v>
      </c>
      <c r="CQ190" s="21" t="str">
        <f t="shared" si="11777"/>
        <v>-</v>
      </c>
      <c r="CR190" s="15" t="str">
        <f t="shared" si="11778"/>
        <v>-</v>
      </c>
      <c r="CS190" s="1" t="str">
        <f t="shared" si="11779"/>
        <v>-</v>
      </c>
      <c r="CT190" s="21" t="str">
        <f t="shared" si="11780"/>
        <v>-</v>
      </c>
      <c r="CU190" s="15" t="str">
        <f t="shared" si="11781"/>
        <v>-</v>
      </c>
      <c r="CV190" s="1" t="str">
        <f t="shared" si="11782"/>
        <v>-</v>
      </c>
      <c r="CW190" s="21" t="str">
        <f t="shared" si="11783"/>
        <v>-</v>
      </c>
      <c r="CX190" s="15" t="str">
        <f t="shared" si="11784"/>
        <v>-</v>
      </c>
      <c r="CY190" s="1" t="str">
        <f t="shared" si="11785"/>
        <v>-</v>
      </c>
      <c r="CZ190" s="21" t="str">
        <f t="shared" si="11786"/>
        <v>-</v>
      </c>
      <c r="DA190" s="15" t="str">
        <f t="shared" si="11787"/>
        <v>-</v>
      </c>
      <c r="DB190" s="1" t="str">
        <f t="shared" si="11788"/>
        <v>-</v>
      </c>
      <c r="DC190" s="21" t="str">
        <f t="shared" si="11789"/>
        <v>-</v>
      </c>
      <c r="DD190" s="15" t="str">
        <f t="shared" si="11790"/>
        <v>-</v>
      </c>
      <c r="DE190" s="1" t="str">
        <f t="shared" si="11791"/>
        <v>-</v>
      </c>
      <c r="DF190" s="21" t="str">
        <f t="shared" si="11792"/>
        <v>-</v>
      </c>
      <c r="DG190" s="15" t="str">
        <f t="shared" si="11793"/>
        <v>-</v>
      </c>
      <c r="DH190" s="1" t="str">
        <f t="shared" si="11794"/>
        <v>-</v>
      </c>
      <c r="DI190" s="21" t="str">
        <f t="shared" si="11795"/>
        <v>-</v>
      </c>
    </row>
    <row r="191" spans="2:113" x14ac:dyDescent="0.3">
      <c r="B191" s="1">
        <v>186</v>
      </c>
      <c r="C191" s="67">
        <v>8000</v>
      </c>
      <c r="D191" s="88" t="s">
        <v>27</v>
      </c>
      <c r="E191" s="68" t="s">
        <v>27</v>
      </c>
      <c r="F191" s="15" t="str">
        <f t="shared" ref="F191" si="13524">IF(InfGog1LevelCurrent&gt;=$B191,"-",IF(InfGog1LevelDesired&lt;$B191,"-",$C191))</f>
        <v>-</v>
      </c>
      <c r="G191" s="1" t="str">
        <f t="shared" ref="G191" si="13525">IF(InfGog1LevelCurrent&gt;=$B191,"-",IF(InfGog1LevelDesired&lt;$B191,"-",$D191))</f>
        <v>-</v>
      </c>
      <c r="H191" s="21" t="str">
        <f t="shared" ref="H191" si="13526">IF(InfGog1LevelCurrent&gt;=$B191,"-",IF(InfGog1LevelDesired&lt;$B191,"-",$E191))</f>
        <v>-</v>
      </c>
      <c r="I191" s="15" t="str">
        <f t="shared" ref="I191" si="13527">IF(InfGlo1LevelCurrent&gt;=$B191,"-",IF(InfGlo1LevelDesired&lt;$B191,"-",$C191))</f>
        <v>-</v>
      </c>
      <c r="J191" s="1" t="str">
        <f t="shared" ref="J191" si="13528">IF(InfGlo1LevelCurrent&gt;=$B191,"-",IF(InfGlo1LevelDesired&lt;$B191,"-",$D191))</f>
        <v>-</v>
      </c>
      <c r="K191" s="21" t="str">
        <f t="shared" ref="K191" si="13529">IF(InfGlo1LevelCurrent&gt;=$B191,"-",IF(InfGlo1LevelDesired&lt;$B191,"-",$E191))</f>
        <v>-</v>
      </c>
      <c r="L191" s="15" t="str">
        <f t="shared" ref="L191" si="13530">IF(InfBel1LevelCurrent&gt;=$B191,"-",IF(InfBel1LevelDesired&lt;$B191,"-",$C191))</f>
        <v>-</v>
      </c>
      <c r="M191" s="1" t="str">
        <f t="shared" ref="M191" si="13531">IF(InfBel1LevelCurrent&gt;=$B191,"-",IF(InfBel1LevelDesired&lt;$B191,"-",$D191))</f>
        <v>-</v>
      </c>
      <c r="N191" s="21" t="str">
        <f t="shared" ref="N191" si="13532">IF(InfBel1LevelCurrent&gt;=$B191,"-",IF(InfBel1LevelDesired&lt;$B191,"-",$E191))</f>
        <v>-</v>
      </c>
      <c r="O191" s="15" t="str">
        <f t="shared" ref="O191" si="13533">IF(InfBoo1LevelCurrent&gt;=$B191,"-",IF(InfBoo1LevelDesired&lt;$B191,"-",$C191))</f>
        <v>-</v>
      </c>
      <c r="P191" s="1" t="str">
        <f t="shared" ref="P191" si="13534">IF(InfBoo1LevelCurrent&gt;=$B191,"-",IF(InfBoo1LevelDesired&lt;$B191,"-",$D191))</f>
        <v>-</v>
      </c>
      <c r="Q191" s="21" t="str">
        <f t="shared" ref="Q191" si="13535">IF(InfBoo1LevelCurrent&gt;=$B191,"-",IF(InfBoo1LevelDesired&lt;$B191,"-",$E191))</f>
        <v>-</v>
      </c>
      <c r="R191" s="15" t="str">
        <f t="shared" ref="R191" si="13536">IF(LanGog1LevelCurrent&gt;=$B191,"-",IF(LanGog1LevelDesired&lt;$B191,"-",$C191))</f>
        <v>-</v>
      </c>
      <c r="S191" s="1" t="str">
        <f t="shared" ref="S191" si="13537">IF(LanGog1LevelCurrent&gt;=$B191,"-",IF(LanGog1LevelDesired&lt;$B191,"-",$D191))</f>
        <v>-</v>
      </c>
      <c r="T191" s="21" t="str">
        <f t="shared" ref="T191" si="13538">IF(LanGog1LevelCurrent&gt;=$B191,"-",IF(LanGog1LevelDesired&lt;$B191,"-",$E191))</f>
        <v>-</v>
      </c>
      <c r="U191" s="15" t="str">
        <f t="shared" ref="U191" si="13539">IF(LanGlo1LevelCurrent&gt;=$B191,"-",IF(LanGlo1LevelDesired&lt;$B191,"-",$C191))</f>
        <v>-</v>
      </c>
      <c r="V191" s="1" t="str">
        <f t="shared" ref="V191" si="13540">IF(LanGlo1LevelCurrent&gt;=$B191,"-",IF(LanGlo1LevelDesired&lt;$B191,"-",$D191))</f>
        <v>-</v>
      </c>
      <c r="W191" s="21" t="str">
        <f t="shared" ref="W191" si="13541">IF(LanGlo1LevelCurrent&gt;=$B191,"-",IF(LanGlo1LevelDesired&lt;$B191,"-",$E191))</f>
        <v>-</v>
      </c>
      <c r="X191" s="15" t="str">
        <f t="shared" ref="X191" si="13542">IF(LanBel1LevelCurrent&gt;=$B191,"-",IF(LanBel1LevelDesired&lt;$B191,"-",$C191))</f>
        <v>-</v>
      </c>
      <c r="Y191" s="1" t="str">
        <f t="shared" ref="Y191" si="13543">IF(LanBel1LevelCurrent&gt;=$B191,"-",IF(LanBel1LevelDesired&lt;$B191,"-",$D191))</f>
        <v>-</v>
      </c>
      <c r="Z191" s="21" t="str">
        <f t="shared" ref="Z191" si="13544">IF(LanBel1LevelCurrent&gt;=$B191,"-",IF(LanBel1LevelDesired&lt;$B191,"-",$E191))</f>
        <v>-</v>
      </c>
      <c r="AA191" s="15" t="str">
        <f t="shared" ref="AA191" si="13545">IF(LanBoo1LevelCurrent&gt;=$B191,"-",IF(LanBoo1LevelDesired&lt;$B191,"-",$C191))</f>
        <v>-</v>
      </c>
      <c r="AB191" s="1" t="str">
        <f t="shared" ref="AB191" si="13546">IF(LanBoo1LevelCurrent&gt;=$B191,"-",IF(LanBoo1LevelDesired&lt;$B191,"-",$D191))</f>
        <v>-</v>
      </c>
      <c r="AC191" s="21" t="str">
        <f t="shared" ref="AC191" si="13547">IF(LanBoo1LevelCurrent&gt;=$B191,"-",IF(LanBoo1LevelDesired&lt;$B191,"-",$E191))</f>
        <v>-</v>
      </c>
      <c r="AD191" s="15" t="str">
        <f t="shared" ref="AD191" si="13548">IF(MarGog1LevelCurrent&gt;=$B191,"-",IF(MarGog1LevelDesired&lt;$B191,"-",$C191))</f>
        <v>-</v>
      </c>
      <c r="AE191" s="1" t="str">
        <f t="shared" ref="AE191" si="13549">IF(MarGog1LevelCurrent&gt;=$B191,"-",IF(MarGog1LevelDesired&lt;$B191,"-",$D191))</f>
        <v>-</v>
      </c>
      <c r="AF191" s="21" t="str">
        <f t="shared" ref="AF191" si="13550">IF(MarGog1LevelCurrent&gt;=$B191,"-",IF(MarGog1LevelDesired&lt;$B191,"-",$E191))</f>
        <v>-</v>
      </c>
      <c r="AG191" s="15" t="str">
        <f t="shared" ref="AG191" si="13551">IF(MarGlo1LevelCurrent&gt;=$B191,"-",IF(MarGlo1LevelDesired&lt;$B191,"-",$C191))</f>
        <v>-</v>
      </c>
      <c r="AH191" s="1" t="str">
        <f t="shared" ref="AH191" si="13552">IF(MarGlo1LevelCurrent&gt;=$B191,"-",IF(MarGlo1LevelDesired&lt;$B191,"-",$D191))</f>
        <v>-</v>
      </c>
      <c r="AI191" s="21" t="str">
        <f t="shared" ref="AI191" si="13553">IF(MarGlo1LevelCurrent&gt;=$B191,"-",IF(MarGlo1LevelDesired&lt;$B191,"-",$E191))</f>
        <v>-</v>
      </c>
      <c r="AJ191" s="15" t="str">
        <f t="shared" ref="AJ191" si="13554">IF(MarBel1LevelCurrent&gt;=$B191,"-",IF(MarBel1LevelDesired&lt;$B191,"-",$C191))</f>
        <v>-</v>
      </c>
      <c r="AK191" s="1" t="str">
        <f t="shared" ref="AK191" si="13555">IF(MarBel1LevelCurrent&gt;=$B191,"-",IF(MarBel1LevelDesired&lt;$B191,"-",$D191))</f>
        <v>-</v>
      </c>
      <c r="AL191" s="21" t="str">
        <f t="shared" ref="AL191" si="13556">IF(MarBel1LevelCurrent&gt;=$B191,"-",IF(MarBel1LevelDesired&lt;$B191,"-",$E191))</f>
        <v>-</v>
      </c>
      <c r="AM191" s="15" t="str">
        <f t="shared" ref="AM191" si="13557">IF(MarBoo1LevelCurrent&gt;=$B191,"-",IF(MarBoo1LevelDesired&lt;$B191,"-",$C191))</f>
        <v>-</v>
      </c>
      <c r="AN191" s="1" t="str">
        <f t="shared" ref="AN191" si="13558">IF(MarBoo1LevelCurrent&gt;=$B191,"-",IF(MarBoo1LevelDesired&lt;$B191,"-",$D191))</f>
        <v>-</v>
      </c>
      <c r="AO191" s="21" t="str">
        <f t="shared" ref="AO191" si="13559">IF(MarBoo1LevelCurrent&gt;=$B191,"-",IF(MarBoo1LevelDesired&lt;$B191,"-",$E191))</f>
        <v>-</v>
      </c>
      <c r="AP191" s="15" t="str">
        <f t="shared" ref="AP191" si="13560">IF(InfGog2LevelCurrent&gt;=$B191,"-",IF(InfGog2LevelDesired&lt;$B191,"-",$C191))</f>
        <v>-</v>
      </c>
      <c r="AQ191" s="1" t="str">
        <f t="shared" ref="AQ191" si="13561">IF(InfGog2LevelCurrent&gt;=$B191,"-",IF(InfGog2LevelDesired&lt;$B191,"-",$D191))</f>
        <v>-</v>
      </c>
      <c r="AR191" s="21" t="str">
        <f t="shared" ref="AR191" si="13562">IF(InfGog2LevelCurrent&gt;=$B191,"-",IF(InfGog2LevelDesired&lt;$B191,"-",$E191))</f>
        <v>-</v>
      </c>
      <c r="AS191" s="15" t="str">
        <f t="shared" ref="AS191" si="13563">IF(InfGlo2LevelCurrent&gt;=$B191,"-",IF(InfGlo2LevelDesired&lt;$B191,"-",$C191))</f>
        <v>-</v>
      </c>
      <c r="AT191" s="1" t="str">
        <f t="shared" ref="AT191" si="13564">IF(InfGlo2LevelCurrent&gt;=$B191,"-",IF(InfGlo2LevelDesired&lt;$B191,"-",$D191))</f>
        <v>-</v>
      </c>
      <c r="AU191" s="21" t="str">
        <f t="shared" ref="AU191" si="13565">IF(InfGlo2LevelCurrent&gt;=$B191,"-",IF(InfGlo2LevelDesired&lt;$B191,"-",$E191))</f>
        <v>-</v>
      </c>
      <c r="AV191" s="15" t="str">
        <f t="shared" ref="AV191" si="13566">IF(InfBel2LevelCurrent&gt;=$B191,"-",IF(InfBel2LevelDesired&lt;$B191,"-",$C191))</f>
        <v>-</v>
      </c>
      <c r="AW191" s="1" t="str">
        <f t="shared" ref="AW191" si="13567">IF(InfBel2LevelCurrent&gt;=$B191,"-",IF(InfBel2LevelDesired&lt;$B191,"-",$D191))</f>
        <v>-</v>
      </c>
      <c r="AX191" s="21" t="str">
        <f t="shared" ref="AX191" si="13568">IF(InfBel2LevelCurrent&gt;=$B191,"-",IF(InfBel2LevelDesired&lt;$B191,"-",$E191))</f>
        <v>-</v>
      </c>
      <c r="AY191" s="15" t="str">
        <f t="shared" ref="AY191" si="13569">IF(InfBoo2LevelCurrent&gt;=$B191,"-",IF(InfBoo2LevelDesired&lt;$B191,"-",$C191))</f>
        <v>-</v>
      </c>
      <c r="AZ191" s="1" t="str">
        <f t="shared" ref="AZ191" si="13570">IF(InfBoo2LevelCurrent&gt;=$B191,"-",IF(InfBoo2LevelDesired&lt;$B191,"-",$D191))</f>
        <v>-</v>
      </c>
      <c r="BA191" s="21" t="str">
        <f t="shared" ref="BA191" si="13571">IF(InfBoo2LevelCurrent&gt;=$B191,"-",IF(InfBoo2LevelDesired&lt;$B191,"-",$E191))</f>
        <v>-</v>
      </c>
      <c r="BB191" s="15" t="str">
        <f t="shared" ref="BB191" si="13572">IF(LanGog2LevelCurrent&gt;=$B191,"-",IF(LanGog2LevelDesired&lt;$B191,"-",$C191))</f>
        <v>-</v>
      </c>
      <c r="BC191" s="1" t="str">
        <f t="shared" ref="BC191" si="13573">IF(LanGog2LevelCurrent&gt;=$B191,"-",IF(LanGog2LevelDesired&lt;$B191,"-",$D191))</f>
        <v>-</v>
      </c>
      <c r="BD191" s="21" t="str">
        <f t="shared" ref="BD191" si="13574">IF(LanGog2LevelCurrent&gt;=$B191,"-",IF(LanGog2LevelDesired&lt;$B191,"-",$E191))</f>
        <v>-</v>
      </c>
      <c r="BE191" s="15" t="str">
        <f t="shared" ref="BE191" si="13575">IF(LanGlo2LevelCurrent&gt;=$B191,"-",IF(LanGlo2LevelDesired&lt;$B191,"-",$C191))</f>
        <v>-</v>
      </c>
      <c r="BF191" s="1" t="str">
        <f t="shared" ref="BF191" si="13576">IF(LanGlo2LevelCurrent&gt;=$B191,"-",IF(LanGlo2LevelDesired&lt;$B191,"-",$D191))</f>
        <v>-</v>
      </c>
      <c r="BG191" s="21" t="str">
        <f t="shared" ref="BG191" si="13577">IF(LanGlo2LevelCurrent&gt;=$B191,"-",IF(LanGlo2LevelDesired&lt;$B191,"-",$E191))</f>
        <v>-</v>
      </c>
      <c r="BH191" s="15" t="str">
        <f t="shared" ref="BH191" si="13578">IF(LanBel2LevelCurrent&gt;=$B191,"-",IF(LanBel2LevelDesired&lt;$B191,"-",$C191))</f>
        <v>-</v>
      </c>
      <c r="BI191" s="1" t="str">
        <f t="shared" ref="BI191" si="13579">IF(LanBel2LevelCurrent&gt;=$B191,"-",IF(LanBel2LevelDesired&lt;$B191,"-",$D191))</f>
        <v>-</v>
      </c>
      <c r="BJ191" s="21" t="str">
        <f t="shared" ref="BJ191" si="13580">IF(LanBel2LevelCurrent&gt;=$B191,"-",IF(LanBel2LevelDesired&lt;$B191,"-",$E191))</f>
        <v>-</v>
      </c>
      <c r="BK191" s="15" t="str">
        <f t="shared" ref="BK191" si="13581">IF(LanBoo2LevelCurrent&gt;=$B191,"-",IF(LanBoo2LevelDesired&lt;$B191,"-",$C191))</f>
        <v>-</v>
      </c>
      <c r="BL191" s="1" t="str">
        <f t="shared" ref="BL191" si="13582">IF(LanBoo2LevelCurrent&gt;=$B191,"-",IF(LanBoo2LevelDesired&lt;$B191,"-",$D191))</f>
        <v>-</v>
      </c>
      <c r="BM191" s="21" t="str">
        <f t="shared" ref="BM191" si="13583">IF(LanBoo2LevelCurrent&gt;=$B191,"-",IF(LanBoo2LevelDesired&lt;$B191,"-",$E191))</f>
        <v>-</v>
      </c>
      <c r="BN191" s="15" t="str">
        <f t="shared" ref="BN191" si="13584">IF(MarGog2LevelCurrent&gt;=$B191,"-",IF(MarGog2LevelDesired&lt;$B191,"-",$C191))</f>
        <v>-</v>
      </c>
      <c r="BO191" s="1" t="str">
        <f t="shared" ref="BO191" si="13585">IF(MarGog2LevelCurrent&gt;=$B191,"-",IF(MarGog2LevelDesired&lt;$B191,"-",$D191))</f>
        <v>-</v>
      </c>
      <c r="BP191" s="21" t="str">
        <f t="shared" ref="BP191" si="13586">IF(MarGog2LevelCurrent&gt;=$B191,"-",IF(MarGog2LevelDesired&lt;$B191,"-",$E191))</f>
        <v>-</v>
      </c>
      <c r="BQ191" s="15" t="str">
        <f t="shared" ref="BQ191" si="13587">IF(MarGlo2LevelCurrent&gt;=$B191,"-",IF(MarGlo2LevelDesired&lt;$B191,"-",$C191))</f>
        <v>-</v>
      </c>
      <c r="BR191" s="1" t="str">
        <f t="shared" ref="BR191" si="13588">IF(MarGlo2LevelCurrent&gt;=$B191,"-",IF(MarGlo2LevelDesired&lt;$B191,"-",$D191))</f>
        <v>-</v>
      </c>
      <c r="BS191" s="21" t="str">
        <f t="shared" ref="BS191" si="13589">IF(MarGlo2LevelCurrent&gt;=$B191,"-",IF(MarGlo2LevelDesired&lt;$B191,"-",$E191))</f>
        <v>-</v>
      </c>
      <c r="BT191" s="15" t="str">
        <f t="shared" ref="BT191" si="13590">IF(MarBel2LevelCurrent&gt;=$B191,"-",IF(MarBel2LevelDesired&lt;$B191,"-",$C191))</f>
        <v>-</v>
      </c>
      <c r="BU191" s="1" t="str">
        <f t="shared" ref="BU191" si="13591">IF(MarBel2LevelCurrent&gt;=$B191,"-",IF(MarBel2LevelDesired&lt;$B191,"-",$D191))</f>
        <v>-</v>
      </c>
      <c r="BV191" s="21" t="str">
        <f t="shared" ref="BV191" si="13592">IF(MarBel2LevelCurrent&gt;=$B191,"-",IF(MarBel2LevelDesired&lt;$B191,"-",$E191))</f>
        <v>-</v>
      </c>
      <c r="BW191" s="15" t="str">
        <f t="shared" ref="BW191" si="13593">IF(MarBoo2LevelCurrent&gt;=$B191,"-",IF(MarBoo2LevelDesired&lt;$B191,"-",$C191))</f>
        <v>-</v>
      </c>
      <c r="BX191" s="1" t="str">
        <f t="shared" ref="BX191" si="13594">IF(MarBoo2LevelCurrent&gt;=$B191,"-",IF(MarBoo2LevelDesired&lt;$B191,"-",$D191))</f>
        <v>-</v>
      </c>
      <c r="BY191" s="21" t="str">
        <f t="shared" ref="BY191" si="13595">IF(MarBoo2LevelCurrent&gt;=$B191,"-",IF(MarBoo2LevelDesired&lt;$B191,"-",$E191))</f>
        <v>-</v>
      </c>
      <c r="BZ191" s="15" t="str">
        <f t="shared" si="11762"/>
        <v>-</v>
      </c>
      <c r="CA191" s="1" t="str" cm="1">
        <f t="array" ref="CA191">IF(InfGog3LevelCurrent&gt;=$B191,"-",IF(InfGog3LevelDesired&lt;$B191,"-",$D191))</f>
        <v>-</v>
      </c>
      <c r="CB191" s="21" t="str" cm="1">
        <f t="array" ref="CB191">IF(InfGog3LevelCurrent&gt;=$B191,"-",IF(InfGog3LevelDesired&lt;$B191,"-",$E191))</f>
        <v>-</v>
      </c>
      <c r="CC191" s="15" t="str">
        <f t="shared" si="11763"/>
        <v>-</v>
      </c>
      <c r="CD191" s="1" t="str">
        <f t="shared" si="11764"/>
        <v>-</v>
      </c>
      <c r="CE191" s="21" t="str">
        <f t="shared" si="11765"/>
        <v>-</v>
      </c>
      <c r="CF191" s="15" t="str">
        <f t="shared" si="11766"/>
        <v>-</v>
      </c>
      <c r="CG191" s="1" t="str">
        <f t="shared" si="11767"/>
        <v>-</v>
      </c>
      <c r="CH191" s="21" t="str">
        <f t="shared" si="11768"/>
        <v>-</v>
      </c>
      <c r="CI191" s="15" t="str">
        <f t="shared" si="11769"/>
        <v>-</v>
      </c>
      <c r="CJ191" s="1" t="str">
        <f t="shared" si="11770"/>
        <v>-</v>
      </c>
      <c r="CK191" s="21" t="str">
        <f t="shared" si="11771"/>
        <v>-</v>
      </c>
      <c r="CL191" s="15" t="str">
        <f t="shared" si="11772"/>
        <v>-</v>
      </c>
      <c r="CM191" s="1" t="str">
        <f t="shared" si="11773"/>
        <v>-</v>
      </c>
      <c r="CN191" s="21" t="str">
        <f t="shared" si="11774"/>
        <v>-</v>
      </c>
      <c r="CO191" s="15" t="str">
        <f t="shared" si="11775"/>
        <v>-</v>
      </c>
      <c r="CP191" s="1" t="str">
        <f t="shared" si="11776"/>
        <v>-</v>
      </c>
      <c r="CQ191" s="21" t="str">
        <f t="shared" si="11777"/>
        <v>-</v>
      </c>
      <c r="CR191" s="15" t="str">
        <f t="shared" si="11778"/>
        <v>-</v>
      </c>
      <c r="CS191" s="1" t="str">
        <f t="shared" si="11779"/>
        <v>-</v>
      </c>
      <c r="CT191" s="21" t="str">
        <f t="shared" si="11780"/>
        <v>-</v>
      </c>
      <c r="CU191" s="15" t="str">
        <f t="shared" si="11781"/>
        <v>-</v>
      </c>
      <c r="CV191" s="1" t="str">
        <f t="shared" si="11782"/>
        <v>-</v>
      </c>
      <c r="CW191" s="21" t="str">
        <f t="shared" si="11783"/>
        <v>-</v>
      </c>
      <c r="CX191" s="15" t="str">
        <f t="shared" si="11784"/>
        <v>-</v>
      </c>
      <c r="CY191" s="1" t="str">
        <f t="shared" si="11785"/>
        <v>-</v>
      </c>
      <c r="CZ191" s="21" t="str">
        <f t="shared" si="11786"/>
        <v>-</v>
      </c>
      <c r="DA191" s="15" t="str">
        <f t="shared" si="11787"/>
        <v>-</v>
      </c>
      <c r="DB191" s="1" t="str">
        <f t="shared" si="11788"/>
        <v>-</v>
      </c>
      <c r="DC191" s="21" t="str">
        <f t="shared" si="11789"/>
        <v>-</v>
      </c>
      <c r="DD191" s="15" t="str">
        <f t="shared" si="11790"/>
        <v>-</v>
      </c>
      <c r="DE191" s="1" t="str">
        <f t="shared" si="11791"/>
        <v>-</v>
      </c>
      <c r="DF191" s="21" t="str">
        <f t="shared" si="11792"/>
        <v>-</v>
      </c>
      <c r="DG191" s="15" t="str">
        <f t="shared" si="11793"/>
        <v>-</v>
      </c>
      <c r="DH191" s="1" t="str">
        <f t="shared" si="11794"/>
        <v>-</v>
      </c>
      <c r="DI191" s="21" t="str">
        <f t="shared" si="11795"/>
        <v>-</v>
      </c>
    </row>
    <row r="192" spans="2:113" x14ac:dyDescent="0.3">
      <c r="B192" s="1">
        <v>187</v>
      </c>
      <c r="C192" s="67">
        <v>8100</v>
      </c>
      <c r="D192" s="88" t="s">
        <v>27</v>
      </c>
      <c r="E192" s="68" t="s">
        <v>27</v>
      </c>
      <c r="F192" s="15" t="str">
        <f t="shared" ref="F192" si="13596">IF(InfGog1LevelCurrent&gt;=$B192,"-",IF(InfGog1LevelDesired&lt;$B192,"-",$C192))</f>
        <v>-</v>
      </c>
      <c r="G192" s="1" t="str">
        <f t="shared" ref="G192" si="13597">IF(InfGog1LevelCurrent&gt;=$B192,"-",IF(InfGog1LevelDesired&lt;$B192,"-",$D192))</f>
        <v>-</v>
      </c>
      <c r="H192" s="21" t="str">
        <f t="shared" ref="H192" si="13598">IF(InfGog1LevelCurrent&gt;=$B192,"-",IF(InfGog1LevelDesired&lt;$B192,"-",$E192))</f>
        <v>-</v>
      </c>
      <c r="I192" s="15" t="str">
        <f t="shared" ref="I192" si="13599">IF(InfGlo1LevelCurrent&gt;=$B192,"-",IF(InfGlo1LevelDesired&lt;$B192,"-",$C192))</f>
        <v>-</v>
      </c>
      <c r="J192" s="1" t="str">
        <f t="shared" ref="J192" si="13600">IF(InfGlo1LevelCurrent&gt;=$B192,"-",IF(InfGlo1LevelDesired&lt;$B192,"-",$D192))</f>
        <v>-</v>
      </c>
      <c r="K192" s="21" t="str">
        <f t="shared" ref="K192" si="13601">IF(InfGlo1LevelCurrent&gt;=$B192,"-",IF(InfGlo1LevelDesired&lt;$B192,"-",$E192))</f>
        <v>-</v>
      </c>
      <c r="L192" s="15" t="str">
        <f t="shared" ref="L192" si="13602">IF(InfBel1LevelCurrent&gt;=$B192,"-",IF(InfBel1LevelDesired&lt;$B192,"-",$C192))</f>
        <v>-</v>
      </c>
      <c r="M192" s="1" t="str">
        <f t="shared" ref="M192" si="13603">IF(InfBel1LevelCurrent&gt;=$B192,"-",IF(InfBel1LevelDesired&lt;$B192,"-",$D192))</f>
        <v>-</v>
      </c>
      <c r="N192" s="21" t="str">
        <f t="shared" ref="N192" si="13604">IF(InfBel1LevelCurrent&gt;=$B192,"-",IF(InfBel1LevelDesired&lt;$B192,"-",$E192))</f>
        <v>-</v>
      </c>
      <c r="O192" s="15" t="str">
        <f t="shared" ref="O192" si="13605">IF(InfBoo1LevelCurrent&gt;=$B192,"-",IF(InfBoo1LevelDesired&lt;$B192,"-",$C192))</f>
        <v>-</v>
      </c>
      <c r="P192" s="1" t="str">
        <f t="shared" ref="P192" si="13606">IF(InfBoo1LevelCurrent&gt;=$B192,"-",IF(InfBoo1LevelDesired&lt;$B192,"-",$D192))</f>
        <v>-</v>
      </c>
      <c r="Q192" s="21" t="str">
        <f t="shared" ref="Q192" si="13607">IF(InfBoo1LevelCurrent&gt;=$B192,"-",IF(InfBoo1LevelDesired&lt;$B192,"-",$E192))</f>
        <v>-</v>
      </c>
      <c r="R192" s="15" t="str">
        <f t="shared" ref="R192" si="13608">IF(LanGog1LevelCurrent&gt;=$B192,"-",IF(LanGog1LevelDesired&lt;$B192,"-",$C192))</f>
        <v>-</v>
      </c>
      <c r="S192" s="1" t="str">
        <f t="shared" ref="S192" si="13609">IF(LanGog1LevelCurrent&gt;=$B192,"-",IF(LanGog1LevelDesired&lt;$B192,"-",$D192))</f>
        <v>-</v>
      </c>
      <c r="T192" s="21" t="str">
        <f t="shared" ref="T192" si="13610">IF(LanGog1LevelCurrent&gt;=$B192,"-",IF(LanGog1LevelDesired&lt;$B192,"-",$E192))</f>
        <v>-</v>
      </c>
      <c r="U192" s="15" t="str">
        <f t="shared" ref="U192" si="13611">IF(LanGlo1LevelCurrent&gt;=$B192,"-",IF(LanGlo1LevelDesired&lt;$B192,"-",$C192))</f>
        <v>-</v>
      </c>
      <c r="V192" s="1" t="str">
        <f t="shared" ref="V192" si="13612">IF(LanGlo1LevelCurrent&gt;=$B192,"-",IF(LanGlo1LevelDesired&lt;$B192,"-",$D192))</f>
        <v>-</v>
      </c>
      <c r="W192" s="21" t="str">
        <f t="shared" ref="W192" si="13613">IF(LanGlo1LevelCurrent&gt;=$B192,"-",IF(LanGlo1LevelDesired&lt;$B192,"-",$E192))</f>
        <v>-</v>
      </c>
      <c r="X192" s="15" t="str">
        <f t="shared" ref="X192" si="13614">IF(LanBel1LevelCurrent&gt;=$B192,"-",IF(LanBel1LevelDesired&lt;$B192,"-",$C192))</f>
        <v>-</v>
      </c>
      <c r="Y192" s="1" t="str">
        <f t="shared" ref="Y192" si="13615">IF(LanBel1LevelCurrent&gt;=$B192,"-",IF(LanBel1LevelDesired&lt;$B192,"-",$D192))</f>
        <v>-</v>
      </c>
      <c r="Z192" s="21" t="str">
        <f t="shared" ref="Z192" si="13616">IF(LanBel1LevelCurrent&gt;=$B192,"-",IF(LanBel1LevelDesired&lt;$B192,"-",$E192))</f>
        <v>-</v>
      </c>
      <c r="AA192" s="15" t="str">
        <f t="shared" ref="AA192" si="13617">IF(LanBoo1LevelCurrent&gt;=$B192,"-",IF(LanBoo1LevelDesired&lt;$B192,"-",$C192))</f>
        <v>-</v>
      </c>
      <c r="AB192" s="1" t="str">
        <f t="shared" ref="AB192" si="13618">IF(LanBoo1LevelCurrent&gt;=$B192,"-",IF(LanBoo1LevelDesired&lt;$B192,"-",$D192))</f>
        <v>-</v>
      </c>
      <c r="AC192" s="21" t="str">
        <f t="shared" ref="AC192" si="13619">IF(LanBoo1LevelCurrent&gt;=$B192,"-",IF(LanBoo1LevelDesired&lt;$B192,"-",$E192))</f>
        <v>-</v>
      </c>
      <c r="AD192" s="15" t="str">
        <f t="shared" ref="AD192" si="13620">IF(MarGog1LevelCurrent&gt;=$B192,"-",IF(MarGog1LevelDesired&lt;$B192,"-",$C192))</f>
        <v>-</v>
      </c>
      <c r="AE192" s="1" t="str">
        <f t="shared" ref="AE192" si="13621">IF(MarGog1LevelCurrent&gt;=$B192,"-",IF(MarGog1LevelDesired&lt;$B192,"-",$D192))</f>
        <v>-</v>
      </c>
      <c r="AF192" s="21" t="str">
        <f t="shared" ref="AF192" si="13622">IF(MarGog1LevelCurrent&gt;=$B192,"-",IF(MarGog1LevelDesired&lt;$B192,"-",$E192))</f>
        <v>-</v>
      </c>
      <c r="AG192" s="15" t="str">
        <f t="shared" ref="AG192" si="13623">IF(MarGlo1LevelCurrent&gt;=$B192,"-",IF(MarGlo1LevelDesired&lt;$B192,"-",$C192))</f>
        <v>-</v>
      </c>
      <c r="AH192" s="1" t="str">
        <f t="shared" ref="AH192" si="13624">IF(MarGlo1LevelCurrent&gt;=$B192,"-",IF(MarGlo1LevelDesired&lt;$B192,"-",$D192))</f>
        <v>-</v>
      </c>
      <c r="AI192" s="21" t="str">
        <f t="shared" ref="AI192" si="13625">IF(MarGlo1LevelCurrent&gt;=$B192,"-",IF(MarGlo1LevelDesired&lt;$B192,"-",$E192))</f>
        <v>-</v>
      </c>
      <c r="AJ192" s="15" t="str">
        <f t="shared" ref="AJ192" si="13626">IF(MarBel1LevelCurrent&gt;=$B192,"-",IF(MarBel1LevelDesired&lt;$B192,"-",$C192))</f>
        <v>-</v>
      </c>
      <c r="AK192" s="1" t="str">
        <f t="shared" ref="AK192" si="13627">IF(MarBel1LevelCurrent&gt;=$B192,"-",IF(MarBel1LevelDesired&lt;$B192,"-",$D192))</f>
        <v>-</v>
      </c>
      <c r="AL192" s="21" t="str">
        <f t="shared" ref="AL192" si="13628">IF(MarBel1LevelCurrent&gt;=$B192,"-",IF(MarBel1LevelDesired&lt;$B192,"-",$E192))</f>
        <v>-</v>
      </c>
      <c r="AM192" s="15" t="str">
        <f t="shared" ref="AM192" si="13629">IF(MarBoo1LevelCurrent&gt;=$B192,"-",IF(MarBoo1LevelDesired&lt;$B192,"-",$C192))</f>
        <v>-</v>
      </c>
      <c r="AN192" s="1" t="str">
        <f t="shared" ref="AN192" si="13630">IF(MarBoo1LevelCurrent&gt;=$B192,"-",IF(MarBoo1LevelDesired&lt;$B192,"-",$D192))</f>
        <v>-</v>
      </c>
      <c r="AO192" s="21" t="str">
        <f t="shared" ref="AO192" si="13631">IF(MarBoo1LevelCurrent&gt;=$B192,"-",IF(MarBoo1LevelDesired&lt;$B192,"-",$E192))</f>
        <v>-</v>
      </c>
      <c r="AP192" s="15" t="str">
        <f t="shared" ref="AP192" si="13632">IF(InfGog2LevelCurrent&gt;=$B192,"-",IF(InfGog2LevelDesired&lt;$B192,"-",$C192))</f>
        <v>-</v>
      </c>
      <c r="AQ192" s="1" t="str">
        <f t="shared" ref="AQ192" si="13633">IF(InfGog2LevelCurrent&gt;=$B192,"-",IF(InfGog2LevelDesired&lt;$B192,"-",$D192))</f>
        <v>-</v>
      </c>
      <c r="AR192" s="21" t="str">
        <f t="shared" ref="AR192" si="13634">IF(InfGog2LevelCurrent&gt;=$B192,"-",IF(InfGog2LevelDesired&lt;$B192,"-",$E192))</f>
        <v>-</v>
      </c>
      <c r="AS192" s="15" t="str">
        <f t="shared" ref="AS192" si="13635">IF(InfGlo2LevelCurrent&gt;=$B192,"-",IF(InfGlo2LevelDesired&lt;$B192,"-",$C192))</f>
        <v>-</v>
      </c>
      <c r="AT192" s="1" t="str">
        <f t="shared" ref="AT192" si="13636">IF(InfGlo2LevelCurrent&gt;=$B192,"-",IF(InfGlo2LevelDesired&lt;$B192,"-",$D192))</f>
        <v>-</v>
      </c>
      <c r="AU192" s="21" t="str">
        <f t="shared" ref="AU192" si="13637">IF(InfGlo2LevelCurrent&gt;=$B192,"-",IF(InfGlo2LevelDesired&lt;$B192,"-",$E192))</f>
        <v>-</v>
      </c>
      <c r="AV192" s="15" t="str">
        <f t="shared" ref="AV192" si="13638">IF(InfBel2LevelCurrent&gt;=$B192,"-",IF(InfBel2LevelDesired&lt;$B192,"-",$C192))</f>
        <v>-</v>
      </c>
      <c r="AW192" s="1" t="str">
        <f t="shared" ref="AW192" si="13639">IF(InfBel2LevelCurrent&gt;=$B192,"-",IF(InfBel2LevelDesired&lt;$B192,"-",$D192))</f>
        <v>-</v>
      </c>
      <c r="AX192" s="21" t="str">
        <f t="shared" ref="AX192" si="13640">IF(InfBel2LevelCurrent&gt;=$B192,"-",IF(InfBel2LevelDesired&lt;$B192,"-",$E192))</f>
        <v>-</v>
      </c>
      <c r="AY192" s="15" t="str">
        <f t="shared" ref="AY192" si="13641">IF(InfBoo2LevelCurrent&gt;=$B192,"-",IF(InfBoo2LevelDesired&lt;$B192,"-",$C192))</f>
        <v>-</v>
      </c>
      <c r="AZ192" s="1" t="str">
        <f t="shared" ref="AZ192" si="13642">IF(InfBoo2LevelCurrent&gt;=$B192,"-",IF(InfBoo2LevelDesired&lt;$B192,"-",$D192))</f>
        <v>-</v>
      </c>
      <c r="BA192" s="21" t="str">
        <f t="shared" ref="BA192" si="13643">IF(InfBoo2LevelCurrent&gt;=$B192,"-",IF(InfBoo2LevelDesired&lt;$B192,"-",$E192))</f>
        <v>-</v>
      </c>
      <c r="BB192" s="15" t="str">
        <f t="shared" ref="BB192" si="13644">IF(LanGog2LevelCurrent&gt;=$B192,"-",IF(LanGog2LevelDesired&lt;$B192,"-",$C192))</f>
        <v>-</v>
      </c>
      <c r="BC192" s="1" t="str">
        <f t="shared" ref="BC192" si="13645">IF(LanGog2LevelCurrent&gt;=$B192,"-",IF(LanGog2LevelDesired&lt;$B192,"-",$D192))</f>
        <v>-</v>
      </c>
      <c r="BD192" s="21" t="str">
        <f t="shared" ref="BD192" si="13646">IF(LanGog2LevelCurrent&gt;=$B192,"-",IF(LanGog2LevelDesired&lt;$B192,"-",$E192))</f>
        <v>-</v>
      </c>
      <c r="BE192" s="15" t="str">
        <f t="shared" ref="BE192" si="13647">IF(LanGlo2LevelCurrent&gt;=$B192,"-",IF(LanGlo2LevelDesired&lt;$B192,"-",$C192))</f>
        <v>-</v>
      </c>
      <c r="BF192" s="1" t="str">
        <f t="shared" ref="BF192" si="13648">IF(LanGlo2LevelCurrent&gt;=$B192,"-",IF(LanGlo2LevelDesired&lt;$B192,"-",$D192))</f>
        <v>-</v>
      </c>
      <c r="BG192" s="21" t="str">
        <f t="shared" ref="BG192" si="13649">IF(LanGlo2LevelCurrent&gt;=$B192,"-",IF(LanGlo2LevelDesired&lt;$B192,"-",$E192))</f>
        <v>-</v>
      </c>
      <c r="BH192" s="15" t="str">
        <f t="shared" ref="BH192" si="13650">IF(LanBel2LevelCurrent&gt;=$B192,"-",IF(LanBel2LevelDesired&lt;$B192,"-",$C192))</f>
        <v>-</v>
      </c>
      <c r="BI192" s="1" t="str">
        <f t="shared" ref="BI192" si="13651">IF(LanBel2LevelCurrent&gt;=$B192,"-",IF(LanBel2LevelDesired&lt;$B192,"-",$D192))</f>
        <v>-</v>
      </c>
      <c r="BJ192" s="21" t="str">
        <f t="shared" ref="BJ192" si="13652">IF(LanBel2LevelCurrent&gt;=$B192,"-",IF(LanBel2LevelDesired&lt;$B192,"-",$E192))</f>
        <v>-</v>
      </c>
      <c r="BK192" s="15" t="str">
        <f t="shared" ref="BK192" si="13653">IF(LanBoo2LevelCurrent&gt;=$B192,"-",IF(LanBoo2LevelDesired&lt;$B192,"-",$C192))</f>
        <v>-</v>
      </c>
      <c r="BL192" s="1" t="str">
        <f t="shared" ref="BL192" si="13654">IF(LanBoo2LevelCurrent&gt;=$B192,"-",IF(LanBoo2LevelDesired&lt;$B192,"-",$D192))</f>
        <v>-</v>
      </c>
      <c r="BM192" s="21" t="str">
        <f t="shared" ref="BM192" si="13655">IF(LanBoo2LevelCurrent&gt;=$B192,"-",IF(LanBoo2LevelDesired&lt;$B192,"-",$E192))</f>
        <v>-</v>
      </c>
      <c r="BN192" s="15" t="str">
        <f t="shared" ref="BN192" si="13656">IF(MarGog2LevelCurrent&gt;=$B192,"-",IF(MarGog2LevelDesired&lt;$B192,"-",$C192))</f>
        <v>-</v>
      </c>
      <c r="BO192" s="1" t="str">
        <f t="shared" ref="BO192" si="13657">IF(MarGog2LevelCurrent&gt;=$B192,"-",IF(MarGog2LevelDesired&lt;$B192,"-",$D192))</f>
        <v>-</v>
      </c>
      <c r="BP192" s="21" t="str">
        <f t="shared" ref="BP192" si="13658">IF(MarGog2LevelCurrent&gt;=$B192,"-",IF(MarGog2LevelDesired&lt;$B192,"-",$E192))</f>
        <v>-</v>
      </c>
      <c r="BQ192" s="15" t="str">
        <f t="shared" ref="BQ192" si="13659">IF(MarGlo2LevelCurrent&gt;=$B192,"-",IF(MarGlo2LevelDesired&lt;$B192,"-",$C192))</f>
        <v>-</v>
      </c>
      <c r="BR192" s="1" t="str">
        <f t="shared" ref="BR192" si="13660">IF(MarGlo2LevelCurrent&gt;=$B192,"-",IF(MarGlo2LevelDesired&lt;$B192,"-",$D192))</f>
        <v>-</v>
      </c>
      <c r="BS192" s="21" t="str">
        <f t="shared" ref="BS192" si="13661">IF(MarGlo2LevelCurrent&gt;=$B192,"-",IF(MarGlo2LevelDesired&lt;$B192,"-",$E192))</f>
        <v>-</v>
      </c>
      <c r="BT192" s="15" t="str">
        <f t="shared" ref="BT192" si="13662">IF(MarBel2LevelCurrent&gt;=$B192,"-",IF(MarBel2LevelDesired&lt;$B192,"-",$C192))</f>
        <v>-</v>
      </c>
      <c r="BU192" s="1" t="str">
        <f t="shared" ref="BU192" si="13663">IF(MarBel2LevelCurrent&gt;=$B192,"-",IF(MarBel2LevelDesired&lt;$B192,"-",$D192))</f>
        <v>-</v>
      </c>
      <c r="BV192" s="21" t="str">
        <f t="shared" ref="BV192" si="13664">IF(MarBel2LevelCurrent&gt;=$B192,"-",IF(MarBel2LevelDesired&lt;$B192,"-",$E192))</f>
        <v>-</v>
      </c>
      <c r="BW192" s="15" t="str">
        <f t="shared" ref="BW192" si="13665">IF(MarBoo2LevelCurrent&gt;=$B192,"-",IF(MarBoo2LevelDesired&lt;$B192,"-",$C192))</f>
        <v>-</v>
      </c>
      <c r="BX192" s="1" t="str">
        <f t="shared" ref="BX192" si="13666">IF(MarBoo2LevelCurrent&gt;=$B192,"-",IF(MarBoo2LevelDesired&lt;$B192,"-",$D192))</f>
        <v>-</v>
      </c>
      <c r="BY192" s="21" t="str">
        <f t="shared" ref="BY192" si="13667">IF(MarBoo2LevelCurrent&gt;=$B192,"-",IF(MarBoo2LevelDesired&lt;$B192,"-",$E192))</f>
        <v>-</v>
      </c>
      <c r="BZ192" s="15" t="str">
        <f t="shared" si="11762"/>
        <v>-</v>
      </c>
      <c r="CA192" s="1" t="str" cm="1">
        <f t="array" ref="CA192">IF(InfGog3LevelCurrent&gt;=$B192,"-",IF(InfGog3LevelDesired&lt;$B192,"-",$D192))</f>
        <v>-</v>
      </c>
      <c r="CB192" s="21" t="str" cm="1">
        <f t="array" ref="CB192">IF(InfGog3LevelCurrent&gt;=$B192,"-",IF(InfGog3LevelDesired&lt;$B192,"-",$E192))</f>
        <v>-</v>
      </c>
      <c r="CC192" s="15" t="str">
        <f t="shared" si="11763"/>
        <v>-</v>
      </c>
      <c r="CD192" s="1" t="str">
        <f t="shared" si="11764"/>
        <v>-</v>
      </c>
      <c r="CE192" s="21" t="str">
        <f t="shared" si="11765"/>
        <v>-</v>
      </c>
      <c r="CF192" s="15" t="str">
        <f t="shared" si="11766"/>
        <v>-</v>
      </c>
      <c r="CG192" s="1" t="str">
        <f t="shared" si="11767"/>
        <v>-</v>
      </c>
      <c r="CH192" s="21" t="str">
        <f t="shared" si="11768"/>
        <v>-</v>
      </c>
      <c r="CI192" s="15" t="str">
        <f t="shared" si="11769"/>
        <v>-</v>
      </c>
      <c r="CJ192" s="1" t="str">
        <f t="shared" si="11770"/>
        <v>-</v>
      </c>
      <c r="CK192" s="21" t="str">
        <f t="shared" si="11771"/>
        <v>-</v>
      </c>
      <c r="CL192" s="15" t="str">
        <f t="shared" si="11772"/>
        <v>-</v>
      </c>
      <c r="CM192" s="1" t="str">
        <f t="shared" si="11773"/>
        <v>-</v>
      </c>
      <c r="CN192" s="21" t="str">
        <f t="shared" si="11774"/>
        <v>-</v>
      </c>
      <c r="CO192" s="15" t="str">
        <f t="shared" si="11775"/>
        <v>-</v>
      </c>
      <c r="CP192" s="1" t="str">
        <f t="shared" si="11776"/>
        <v>-</v>
      </c>
      <c r="CQ192" s="21" t="str">
        <f t="shared" si="11777"/>
        <v>-</v>
      </c>
      <c r="CR192" s="15" t="str">
        <f t="shared" si="11778"/>
        <v>-</v>
      </c>
      <c r="CS192" s="1" t="str">
        <f t="shared" si="11779"/>
        <v>-</v>
      </c>
      <c r="CT192" s="21" t="str">
        <f t="shared" si="11780"/>
        <v>-</v>
      </c>
      <c r="CU192" s="15" t="str">
        <f t="shared" si="11781"/>
        <v>-</v>
      </c>
      <c r="CV192" s="1" t="str">
        <f t="shared" si="11782"/>
        <v>-</v>
      </c>
      <c r="CW192" s="21" t="str">
        <f t="shared" si="11783"/>
        <v>-</v>
      </c>
      <c r="CX192" s="15" t="str">
        <f t="shared" si="11784"/>
        <v>-</v>
      </c>
      <c r="CY192" s="1" t="str">
        <f t="shared" si="11785"/>
        <v>-</v>
      </c>
      <c r="CZ192" s="21" t="str">
        <f t="shared" si="11786"/>
        <v>-</v>
      </c>
      <c r="DA192" s="15" t="str">
        <f t="shared" si="11787"/>
        <v>-</v>
      </c>
      <c r="DB192" s="1" t="str">
        <f t="shared" si="11788"/>
        <v>-</v>
      </c>
      <c r="DC192" s="21" t="str">
        <f t="shared" si="11789"/>
        <v>-</v>
      </c>
      <c r="DD192" s="15" t="str">
        <f t="shared" si="11790"/>
        <v>-</v>
      </c>
      <c r="DE192" s="1" t="str">
        <f t="shared" si="11791"/>
        <v>-</v>
      </c>
      <c r="DF192" s="21" t="str">
        <f t="shared" si="11792"/>
        <v>-</v>
      </c>
      <c r="DG192" s="15" t="str">
        <f t="shared" si="11793"/>
        <v>-</v>
      </c>
      <c r="DH192" s="1" t="str">
        <f t="shared" si="11794"/>
        <v>-</v>
      </c>
      <c r="DI192" s="21" t="str">
        <f t="shared" si="11795"/>
        <v>-</v>
      </c>
    </row>
    <row r="193" spans="2:113" x14ac:dyDescent="0.3">
      <c r="B193" s="1">
        <v>188</v>
      </c>
      <c r="C193" s="67">
        <v>8200</v>
      </c>
      <c r="D193" s="88" t="s">
        <v>27</v>
      </c>
      <c r="E193" s="68" t="s">
        <v>27</v>
      </c>
      <c r="F193" s="15" t="str">
        <f t="shared" ref="F193" si="13668">IF(InfGog1LevelCurrent&gt;=$B193,"-",IF(InfGog1LevelDesired&lt;$B193,"-",$C193))</f>
        <v>-</v>
      </c>
      <c r="G193" s="1" t="str">
        <f t="shared" ref="G193" si="13669">IF(InfGog1LevelCurrent&gt;=$B193,"-",IF(InfGog1LevelDesired&lt;$B193,"-",$D193))</f>
        <v>-</v>
      </c>
      <c r="H193" s="21" t="str">
        <f t="shared" ref="H193" si="13670">IF(InfGog1LevelCurrent&gt;=$B193,"-",IF(InfGog1LevelDesired&lt;$B193,"-",$E193))</f>
        <v>-</v>
      </c>
      <c r="I193" s="15" t="str">
        <f t="shared" ref="I193" si="13671">IF(InfGlo1LevelCurrent&gt;=$B193,"-",IF(InfGlo1LevelDesired&lt;$B193,"-",$C193))</f>
        <v>-</v>
      </c>
      <c r="J193" s="1" t="str">
        <f t="shared" ref="J193" si="13672">IF(InfGlo1LevelCurrent&gt;=$B193,"-",IF(InfGlo1LevelDesired&lt;$B193,"-",$D193))</f>
        <v>-</v>
      </c>
      <c r="K193" s="21" t="str">
        <f t="shared" ref="K193" si="13673">IF(InfGlo1LevelCurrent&gt;=$B193,"-",IF(InfGlo1LevelDesired&lt;$B193,"-",$E193))</f>
        <v>-</v>
      </c>
      <c r="L193" s="15" t="str">
        <f t="shared" ref="L193" si="13674">IF(InfBel1LevelCurrent&gt;=$B193,"-",IF(InfBel1LevelDesired&lt;$B193,"-",$C193))</f>
        <v>-</v>
      </c>
      <c r="M193" s="1" t="str">
        <f t="shared" ref="M193" si="13675">IF(InfBel1LevelCurrent&gt;=$B193,"-",IF(InfBel1LevelDesired&lt;$B193,"-",$D193))</f>
        <v>-</v>
      </c>
      <c r="N193" s="21" t="str">
        <f t="shared" ref="N193" si="13676">IF(InfBel1LevelCurrent&gt;=$B193,"-",IF(InfBel1LevelDesired&lt;$B193,"-",$E193))</f>
        <v>-</v>
      </c>
      <c r="O193" s="15" t="str">
        <f t="shared" ref="O193" si="13677">IF(InfBoo1LevelCurrent&gt;=$B193,"-",IF(InfBoo1LevelDesired&lt;$B193,"-",$C193))</f>
        <v>-</v>
      </c>
      <c r="P193" s="1" t="str">
        <f t="shared" ref="P193" si="13678">IF(InfBoo1LevelCurrent&gt;=$B193,"-",IF(InfBoo1LevelDesired&lt;$B193,"-",$D193))</f>
        <v>-</v>
      </c>
      <c r="Q193" s="21" t="str">
        <f t="shared" ref="Q193" si="13679">IF(InfBoo1LevelCurrent&gt;=$B193,"-",IF(InfBoo1LevelDesired&lt;$B193,"-",$E193))</f>
        <v>-</v>
      </c>
      <c r="R193" s="15" t="str">
        <f t="shared" ref="R193" si="13680">IF(LanGog1LevelCurrent&gt;=$B193,"-",IF(LanGog1LevelDesired&lt;$B193,"-",$C193))</f>
        <v>-</v>
      </c>
      <c r="S193" s="1" t="str">
        <f t="shared" ref="S193" si="13681">IF(LanGog1LevelCurrent&gt;=$B193,"-",IF(LanGog1LevelDesired&lt;$B193,"-",$D193))</f>
        <v>-</v>
      </c>
      <c r="T193" s="21" t="str">
        <f t="shared" ref="T193" si="13682">IF(LanGog1LevelCurrent&gt;=$B193,"-",IF(LanGog1LevelDesired&lt;$B193,"-",$E193))</f>
        <v>-</v>
      </c>
      <c r="U193" s="15" t="str">
        <f t="shared" ref="U193" si="13683">IF(LanGlo1LevelCurrent&gt;=$B193,"-",IF(LanGlo1LevelDesired&lt;$B193,"-",$C193))</f>
        <v>-</v>
      </c>
      <c r="V193" s="1" t="str">
        <f t="shared" ref="V193" si="13684">IF(LanGlo1LevelCurrent&gt;=$B193,"-",IF(LanGlo1LevelDesired&lt;$B193,"-",$D193))</f>
        <v>-</v>
      </c>
      <c r="W193" s="21" t="str">
        <f t="shared" ref="W193" si="13685">IF(LanGlo1LevelCurrent&gt;=$B193,"-",IF(LanGlo1LevelDesired&lt;$B193,"-",$E193))</f>
        <v>-</v>
      </c>
      <c r="X193" s="15" t="str">
        <f t="shared" ref="X193" si="13686">IF(LanBel1LevelCurrent&gt;=$B193,"-",IF(LanBel1LevelDesired&lt;$B193,"-",$C193))</f>
        <v>-</v>
      </c>
      <c r="Y193" s="1" t="str">
        <f t="shared" ref="Y193" si="13687">IF(LanBel1LevelCurrent&gt;=$B193,"-",IF(LanBel1LevelDesired&lt;$B193,"-",$D193))</f>
        <v>-</v>
      </c>
      <c r="Z193" s="21" t="str">
        <f t="shared" ref="Z193" si="13688">IF(LanBel1LevelCurrent&gt;=$B193,"-",IF(LanBel1LevelDesired&lt;$B193,"-",$E193))</f>
        <v>-</v>
      </c>
      <c r="AA193" s="15" t="str">
        <f t="shared" ref="AA193" si="13689">IF(LanBoo1LevelCurrent&gt;=$B193,"-",IF(LanBoo1LevelDesired&lt;$B193,"-",$C193))</f>
        <v>-</v>
      </c>
      <c r="AB193" s="1" t="str">
        <f t="shared" ref="AB193" si="13690">IF(LanBoo1LevelCurrent&gt;=$B193,"-",IF(LanBoo1LevelDesired&lt;$B193,"-",$D193))</f>
        <v>-</v>
      </c>
      <c r="AC193" s="21" t="str">
        <f t="shared" ref="AC193" si="13691">IF(LanBoo1LevelCurrent&gt;=$B193,"-",IF(LanBoo1LevelDesired&lt;$B193,"-",$E193))</f>
        <v>-</v>
      </c>
      <c r="AD193" s="15" t="str">
        <f t="shared" ref="AD193" si="13692">IF(MarGog1LevelCurrent&gt;=$B193,"-",IF(MarGog1LevelDesired&lt;$B193,"-",$C193))</f>
        <v>-</v>
      </c>
      <c r="AE193" s="1" t="str">
        <f t="shared" ref="AE193" si="13693">IF(MarGog1LevelCurrent&gt;=$B193,"-",IF(MarGog1LevelDesired&lt;$B193,"-",$D193))</f>
        <v>-</v>
      </c>
      <c r="AF193" s="21" t="str">
        <f t="shared" ref="AF193" si="13694">IF(MarGog1LevelCurrent&gt;=$B193,"-",IF(MarGog1LevelDesired&lt;$B193,"-",$E193))</f>
        <v>-</v>
      </c>
      <c r="AG193" s="15" t="str">
        <f t="shared" ref="AG193" si="13695">IF(MarGlo1LevelCurrent&gt;=$B193,"-",IF(MarGlo1LevelDesired&lt;$B193,"-",$C193))</f>
        <v>-</v>
      </c>
      <c r="AH193" s="1" t="str">
        <f t="shared" ref="AH193" si="13696">IF(MarGlo1LevelCurrent&gt;=$B193,"-",IF(MarGlo1LevelDesired&lt;$B193,"-",$D193))</f>
        <v>-</v>
      </c>
      <c r="AI193" s="21" t="str">
        <f t="shared" ref="AI193" si="13697">IF(MarGlo1LevelCurrent&gt;=$B193,"-",IF(MarGlo1LevelDesired&lt;$B193,"-",$E193))</f>
        <v>-</v>
      </c>
      <c r="AJ193" s="15" t="str">
        <f t="shared" ref="AJ193" si="13698">IF(MarBel1LevelCurrent&gt;=$B193,"-",IF(MarBel1LevelDesired&lt;$B193,"-",$C193))</f>
        <v>-</v>
      </c>
      <c r="AK193" s="1" t="str">
        <f t="shared" ref="AK193" si="13699">IF(MarBel1LevelCurrent&gt;=$B193,"-",IF(MarBel1LevelDesired&lt;$B193,"-",$D193))</f>
        <v>-</v>
      </c>
      <c r="AL193" s="21" t="str">
        <f t="shared" ref="AL193" si="13700">IF(MarBel1LevelCurrent&gt;=$B193,"-",IF(MarBel1LevelDesired&lt;$B193,"-",$E193))</f>
        <v>-</v>
      </c>
      <c r="AM193" s="15" t="str">
        <f t="shared" ref="AM193" si="13701">IF(MarBoo1LevelCurrent&gt;=$B193,"-",IF(MarBoo1LevelDesired&lt;$B193,"-",$C193))</f>
        <v>-</v>
      </c>
      <c r="AN193" s="1" t="str">
        <f t="shared" ref="AN193" si="13702">IF(MarBoo1LevelCurrent&gt;=$B193,"-",IF(MarBoo1LevelDesired&lt;$B193,"-",$D193))</f>
        <v>-</v>
      </c>
      <c r="AO193" s="21" t="str">
        <f t="shared" ref="AO193" si="13703">IF(MarBoo1LevelCurrent&gt;=$B193,"-",IF(MarBoo1LevelDesired&lt;$B193,"-",$E193))</f>
        <v>-</v>
      </c>
      <c r="AP193" s="15" t="str">
        <f t="shared" ref="AP193" si="13704">IF(InfGog2LevelCurrent&gt;=$B193,"-",IF(InfGog2LevelDesired&lt;$B193,"-",$C193))</f>
        <v>-</v>
      </c>
      <c r="AQ193" s="1" t="str">
        <f t="shared" ref="AQ193" si="13705">IF(InfGog2LevelCurrent&gt;=$B193,"-",IF(InfGog2LevelDesired&lt;$B193,"-",$D193))</f>
        <v>-</v>
      </c>
      <c r="AR193" s="21" t="str">
        <f t="shared" ref="AR193" si="13706">IF(InfGog2LevelCurrent&gt;=$B193,"-",IF(InfGog2LevelDesired&lt;$B193,"-",$E193))</f>
        <v>-</v>
      </c>
      <c r="AS193" s="15" t="str">
        <f t="shared" ref="AS193" si="13707">IF(InfGlo2LevelCurrent&gt;=$B193,"-",IF(InfGlo2LevelDesired&lt;$B193,"-",$C193))</f>
        <v>-</v>
      </c>
      <c r="AT193" s="1" t="str">
        <f t="shared" ref="AT193" si="13708">IF(InfGlo2LevelCurrent&gt;=$B193,"-",IF(InfGlo2LevelDesired&lt;$B193,"-",$D193))</f>
        <v>-</v>
      </c>
      <c r="AU193" s="21" t="str">
        <f t="shared" ref="AU193" si="13709">IF(InfGlo2LevelCurrent&gt;=$B193,"-",IF(InfGlo2LevelDesired&lt;$B193,"-",$E193))</f>
        <v>-</v>
      </c>
      <c r="AV193" s="15" t="str">
        <f t="shared" ref="AV193" si="13710">IF(InfBel2LevelCurrent&gt;=$B193,"-",IF(InfBel2LevelDesired&lt;$B193,"-",$C193))</f>
        <v>-</v>
      </c>
      <c r="AW193" s="1" t="str">
        <f t="shared" ref="AW193" si="13711">IF(InfBel2LevelCurrent&gt;=$B193,"-",IF(InfBel2LevelDesired&lt;$B193,"-",$D193))</f>
        <v>-</v>
      </c>
      <c r="AX193" s="21" t="str">
        <f t="shared" ref="AX193" si="13712">IF(InfBel2LevelCurrent&gt;=$B193,"-",IF(InfBel2LevelDesired&lt;$B193,"-",$E193))</f>
        <v>-</v>
      </c>
      <c r="AY193" s="15" t="str">
        <f t="shared" ref="AY193" si="13713">IF(InfBoo2LevelCurrent&gt;=$B193,"-",IF(InfBoo2LevelDesired&lt;$B193,"-",$C193))</f>
        <v>-</v>
      </c>
      <c r="AZ193" s="1" t="str">
        <f t="shared" ref="AZ193" si="13714">IF(InfBoo2LevelCurrent&gt;=$B193,"-",IF(InfBoo2LevelDesired&lt;$B193,"-",$D193))</f>
        <v>-</v>
      </c>
      <c r="BA193" s="21" t="str">
        <f t="shared" ref="BA193" si="13715">IF(InfBoo2LevelCurrent&gt;=$B193,"-",IF(InfBoo2LevelDesired&lt;$B193,"-",$E193))</f>
        <v>-</v>
      </c>
      <c r="BB193" s="15" t="str">
        <f t="shared" ref="BB193" si="13716">IF(LanGog2LevelCurrent&gt;=$B193,"-",IF(LanGog2LevelDesired&lt;$B193,"-",$C193))</f>
        <v>-</v>
      </c>
      <c r="BC193" s="1" t="str">
        <f t="shared" ref="BC193" si="13717">IF(LanGog2LevelCurrent&gt;=$B193,"-",IF(LanGog2LevelDesired&lt;$B193,"-",$D193))</f>
        <v>-</v>
      </c>
      <c r="BD193" s="21" t="str">
        <f t="shared" ref="BD193" si="13718">IF(LanGog2LevelCurrent&gt;=$B193,"-",IF(LanGog2LevelDesired&lt;$B193,"-",$E193))</f>
        <v>-</v>
      </c>
      <c r="BE193" s="15" t="str">
        <f t="shared" ref="BE193" si="13719">IF(LanGlo2LevelCurrent&gt;=$B193,"-",IF(LanGlo2LevelDesired&lt;$B193,"-",$C193))</f>
        <v>-</v>
      </c>
      <c r="BF193" s="1" t="str">
        <f t="shared" ref="BF193" si="13720">IF(LanGlo2LevelCurrent&gt;=$B193,"-",IF(LanGlo2LevelDesired&lt;$B193,"-",$D193))</f>
        <v>-</v>
      </c>
      <c r="BG193" s="21" t="str">
        <f t="shared" ref="BG193" si="13721">IF(LanGlo2LevelCurrent&gt;=$B193,"-",IF(LanGlo2LevelDesired&lt;$B193,"-",$E193))</f>
        <v>-</v>
      </c>
      <c r="BH193" s="15" t="str">
        <f t="shared" ref="BH193" si="13722">IF(LanBel2LevelCurrent&gt;=$B193,"-",IF(LanBel2LevelDesired&lt;$B193,"-",$C193))</f>
        <v>-</v>
      </c>
      <c r="BI193" s="1" t="str">
        <f t="shared" ref="BI193" si="13723">IF(LanBel2LevelCurrent&gt;=$B193,"-",IF(LanBel2LevelDesired&lt;$B193,"-",$D193))</f>
        <v>-</v>
      </c>
      <c r="BJ193" s="21" t="str">
        <f t="shared" ref="BJ193" si="13724">IF(LanBel2LevelCurrent&gt;=$B193,"-",IF(LanBel2LevelDesired&lt;$B193,"-",$E193))</f>
        <v>-</v>
      </c>
      <c r="BK193" s="15" t="str">
        <f t="shared" ref="BK193" si="13725">IF(LanBoo2LevelCurrent&gt;=$B193,"-",IF(LanBoo2LevelDesired&lt;$B193,"-",$C193))</f>
        <v>-</v>
      </c>
      <c r="BL193" s="1" t="str">
        <f t="shared" ref="BL193" si="13726">IF(LanBoo2LevelCurrent&gt;=$B193,"-",IF(LanBoo2LevelDesired&lt;$B193,"-",$D193))</f>
        <v>-</v>
      </c>
      <c r="BM193" s="21" t="str">
        <f t="shared" ref="BM193" si="13727">IF(LanBoo2LevelCurrent&gt;=$B193,"-",IF(LanBoo2LevelDesired&lt;$B193,"-",$E193))</f>
        <v>-</v>
      </c>
      <c r="BN193" s="15" t="str">
        <f t="shared" ref="BN193" si="13728">IF(MarGog2LevelCurrent&gt;=$B193,"-",IF(MarGog2LevelDesired&lt;$B193,"-",$C193))</f>
        <v>-</v>
      </c>
      <c r="BO193" s="1" t="str">
        <f t="shared" ref="BO193" si="13729">IF(MarGog2LevelCurrent&gt;=$B193,"-",IF(MarGog2LevelDesired&lt;$B193,"-",$D193))</f>
        <v>-</v>
      </c>
      <c r="BP193" s="21" t="str">
        <f t="shared" ref="BP193" si="13730">IF(MarGog2LevelCurrent&gt;=$B193,"-",IF(MarGog2LevelDesired&lt;$B193,"-",$E193))</f>
        <v>-</v>
      </c>
      <c r="BQ193" s="15" t="str">
        <f t="shared" ref="BQ193" si="13731">IF(MarGlo2LevelCurrent&gt;=$B193,"-",IF(MarGlo2LevelDesired&lt;$B193,"-",$C193))</f>
        <v>-</v>
      </c>
      <c r="BR193" s="1" t="str">
        <f t="shared" ref="BR193" si="13732">IF(MarGlo2LevelCurrent&gt;=$B193,"-",IF(MarGlo2LevelDesired&lt;$B193,"-",$D193))</f>
        <v>-</v>
      </c>
      <c r="BS193" s="21" t="str">
        <f t="shared" ref="BS193" si="13733">IF(MarGlo2LevelCurrent&gt;=$B193,"-",IF(MarGlo2LevelDesired&lt;$B193,"-",$E193))</f>
        <v>-</v>
      </c>
      <c r="BT193" s="15" t="str">
        <f t="shared" ref="BT193" si="13734">IF(MarBel2LevelCurrent&gt;=$B193,"-",IF(MarBel2LevelDesired&lt;$B193,"-",$C193))</f>
        <v>-</v>
      </c>
      <c r="BU193" s="1" t="str">
        <f t="shared" ref="BU193" si="13735">IF(MarBel2LevelCurrent&gt;=$B193,"-",IF(MarBel2LevelDesired&lt;$B193,"-",$D193))</f>
        <v>-</v>
      </c>
      <c r="BV193" s="21" t="str">
        <f t="shared" ref="BV193" si="13736">IF(MarBel2LevelCurrent&gt;=$B193,"-",IF(MarBel2LevelDesired&lt;$B193,"-",$E193))</f>
        <v>-</v>
      </c>
      <c r="BW193" s="15" t="str">
        <f t="shared" ref="BW193" si="13737">IF(MarBoo2LevelCurrent&gt;=$B193,"-",IF(MarBoo2LevelDesired&lt;$B193,"-",$C193))</f>
        <v>-</v>
      </c>
      <c r="BX193" s="1" t="str">
        <f t="shared" ref="BX193" si="13738">IF(MarBoo2LevelCurrent&gt;=$B193,"-",IF(MarBoo2LevelDesired&lt;$B193,"-",$D193))</f>
        <v>-</v>
      </c>
      <c r="BY193" s="21" t="str">
        <f t="shared" ref="BY193" si="13739">IF(MarBoo2LevelCurrent&gt;=$B193,"-",IF(MarBoo2LevelDesired&lt;$B193,"-",$E193))</f>
        <v>-</v>
      </c>
      <c r="BZ193" s="15" t="str">
        <f t="shared" si="11762"/>
        <v>-</v>
      </c>
      <c r="CA193" s="1" t="str" cm="1">
        <f t="array" ref="CA193">IF(InfGog3LevelCurrent&gt;=$B193,"-",IF(InfGog3LevelDesired&lt;$B193,"-",$D193))</f>
        <v>-</v>
      </c>
      <c r="CB193" s="21" t="str" cm="1">
        <f t="array" ref="CB193">IF(InfGog3LevelCurrent&gt;=$B193,"-",IF(InfGog3LevelDesired&lt;$B193,"-",$E193))</f>
        <v>-</v>
      </c>
      <c r="CC193" s="15" t="str">
        <f t="shared" si="11763"/>
        <v>-</v>
      </c>
      <c r="CD193" s="1" t="str">
        <f t="shared" si="11764"/>
        <v>-</v>
      </c>
      <c r="CE193" s="21" t="str">
        <f t="shared" si="11765"/>
        <v>-</v>
      </c>
      <c r="CF193" s="15" t="str">
        <f t="shared" si="11766"/>
        <v>-</v>
      </c>
      <c r="CG193" s="1" t="str">
        <f t="shared" si="11767"/>
        <v>-</v>
      </c>
      <c r="CH193" s="21" t="str">
        <f t="shared" si="11768"/>
        <v>-</v>
      </c>
      <c r="CI193" s="15" t="str">
        <f t="shared" si="11769"/>
        <v>-</v>
      </c>
      <c r="CJ193" s="1" t="str">
        <f t="shared" si="11770"/>
        <v>-</v>
      </c>
      <c r="CK193" s="21" t="str">
        <f t="shared" si="11771"/>
        <v>-</v>
      </c>
      <c r="CL193" s="15" t="str">
        <f t="shared" si="11772"/>
        <v>-</v>
      </c>
      <c r="CM193" s="1" t="str">
        <f t="shared" si="11773"/>
        <v>-</v>
      </c>
      <c r="CN193" s="21" t="str">
        <f t="shared" si="11774"/>
        <v>-</v>
      </c>
      <c r="CO193" s="15" t="str">
        <f t="shared" si="11775"/>
        <v>-</v>
      </c>
      <c r="CP193" s="1" t="str">
        <f t="shared" si="11776"/>
        <v>-</v>
      </c>
      <c r="CQ193" s="21" t="str">
        <f t="shared" si="11777"/>
        <v>-</v>
      </c>
      <c r="CR193" s="15" t="str">
        <f t="shared" si="11778"/>
        <v>-</v>
      </c>
      <c r="CS193" s="1" t="str">
        <f t="shared" si="11779"/>
        <v>-</v>
      </c>
      <c r="CT193" s="21" t="str">
        <f t="shared" si="11780"/>
        <v>-</v>
      </c>
      <c r="CU193" s="15" t="str">
        <f t="shared" si="11781"/>
        <v>-</v>
      </c>
      <c r="CV193" s="1" t="str">
        <f t="shared" si="11782"/>
        <v>-</v>
      </c>
      <c r="CW193" s="21" t="str">
        <f t="shared" si="11783"/>
        <v>-</v>
      </c>
      <c r="CX193" s="15" t="str">
        <f t="shared" si="11784"/>
        <v>-</v>
      </c>
      <c r="CY193" s="1" t="str">
        <f t="shared" si="11785"/>
        <v>-</v>
      </c>
      <c r="CZ193" s="21" t="str">
        <f t="shared" si="11786"/>
        <v>-</v>
      </c>
      <c r="DA193" s="15" t="str">
        <f t="shared" si="11787"/>
        <v>-</v>
      </c>
      <c r="DB193" s="1" t="str">
        <f t="shared" si="11788"/>
        <v>-</v>
      </c>
      <c r="DC193" s="21" t="str">
        <f t="shared" si="11789"/>
        <v>-</v>
      </c>
      <c r="DD193" s="15" t="str">
        <f t="shared" si="11790"/>
        <v>-</v>
      </c>
      <c r="DE193" s="1" t="str">
        <f t="shared" si="11791"/>
        <v>-</v>
      </c>
      <c r="DF193" s="21" t="str">
        <f t="shared" si="11792"/>
        <v>-</v>
      </c>
      <c r="DG193" s="15" t="str">
        <f t="shared" si="11793"/>
        <v>-</v>
      </c>
      <c r="DH193" s="1" t="str">
        <f t="shared" si="11794"/>
        <v>-</v>
      </c>
      <c r="DI193" s="21" t="str">
        <f t="shared" si="11795"/>
        <v>-</v>
      </c>
    </row>
    <row r="194" spans="2:113" x14ac:dyDescent="0.3">
      <c r="B194" s="1">
        <v>189</v>
      </c>
      <c r="C194" s="67">
        <v>8300</v>
      </c>
      <c r="D194" s="88" t="s">
        <v>27</v>
      </c>
      <c r="E194" s="68" t="s">
        <v>27</v>
      </c>
      <c r="F194" s="15" t="str">
        <f t="shared" ref="F194" si="13740">IF(InfGog1LevelCurrent&gt;=$B194,"-",IF(InfGog1LevelDesired&lt;$B194,"-",$C194))</f>
        <v>-</v>
      </c>
      <c r="G194" s="1" t="str">
        <f t="shared" ref="G194" si="13741">IF(InfGog1LevelCurrent&gt;=$B194,"-",IF(InfGog1LevelDesired&lt;$B194,"-",$D194))</f>
        <v>-</v>
      </c>
      <c r="H194" s="21" t="str">
        <f t="shared" ref="H194" si="13742">IF(InfGog1LevelCurrent&gt;=$B194,"-",IF(InfGog1LevelDesired&lt;$B194,"-",$E194))</f>
        <v>-</v>
      </c>
      <c r="I194" s="15" t="str">
        <f t="shared" ref="I194" si="13743">IF(InfGlo1LevelCurrent&gt;=$B194,"-",IF(InfGlo1LevelDesired&lt;$B194,"-",$C194))</f>
        <v>-</v>
      </c>
      <c r="J194" s="1" t="str">
        <f t="shared" ref="J194" si="13744">IF(InfGlo1LevelCurrent&gt;=$B194,"-",IF(InfGlo1LevelDesired&lt;$B194,"-",$D194))</f>
        <v>-</v>
      </c>
      <c r="K194" s="21" t="str">
        <f t="shared" ref="K194" si="13745">IF(InfGlo1LevelCurrent&gt;=$B194,"-",IF(InfGlo1LevelDesired&lt;$B194,"-",$E194))</f>
        <v>-</v>
      </c>
      <c r="L194" s="15" t="str">
        <f t="shared" ref="L194" si="13746">IF(InfBel1LevelCurrent&gt;=$B194,"-",IF(InfBel1LevelDesired&lt;$B194,"-",$C194))</f>
        <v>-</v>
      </c>
      <c r="M194" s="1" t="str">
        <f t="shared" ref="M194" si="13747">IF(InfBel1LevelCurrent&gt;=$B194,"-",IF(InfBel1LevelDesired&lt;$B194,"-",$D194))</f>
        <v>-</v>
      </c>
      <c r="N194" s="21" t="str">
        <f t="shared" ref="N194" si="13748">IF(InfBel1LevelCurrent&gt;=$B194,"-",IF(InfBel1LevelDesired&lt;$B194,"-",$E194))</f>
        <v>-</v>
      </c>
      <c r="O194" s="15" t="str">
        <f t="shared" ref="O194" si="13749">IF(InfBoo1LevelCurrent&gt;=$B194,"-",IF(InfBoo1LevelDesired&lt;$B194,"-",$C194))</f>
        <v>-</v>
      </c>
      <c r="P194" s="1" t="str">
        <f t="shared" ref="P194" si="13750">IF(InfBoo1LevelCurrent&gt;=$B194,"-",IF(InfBoo1LevelDesired&lt;$B194,"-",$D194))</f>
        <v>-</v>
      </c>
      <c r="Q194" s="21" t="str">
        <f t="shared" ref="Q194" si="13751">IF(InfBoo1LevelCurrent&gt;=$B194,"-",IF(InfBoo1LevelDesired&lt;$B194,"-",$E194))</f>
        <v>-</v>
      </c>
      <c r="R194" s="15" t="str">
        <f t="shared" ref="R194" si="13752">IF(LanGog1LevelCurrent&gt;=$B194,"-",IF(LanGog1LevelDesired&lt;$B194,"-",$C194))</f>
        <v>-</v>
      </c>
      <c r="S194" s="1" t="str">
        <f t="shared" ref="S194" si="13753">IF(LanGog1LevelCurrent&gt;=$B194,"-",IF(LanGog1LevelDesired&lt;$B194,"-",$D194))</f>
        <v>-</v>
      </c>
      <c r="T194" s="21" t="str">
        <f t="shared" ref="T194" si="13754">IF(LanGog1LevelCurrent&gt;=$B194,"-",IF(LanGog1LevelDesired&lt;$B194,"-",$E194))</f>
        <v>-</v>
      </c>
      <c r="U194" s="15" t="str">
        <f t="shared" ref="U194" si="13755">IF(LanGlo1LevelCurrent&gt;=$B194,"-",IF(LanGlo1LevelDesired&lt;$B194,"-",$C194))</f>
        <v>-</v>
      </c>
      <c r="V194" s="1" t="str">
        <f t="shared" ref="V194" si="13756">IF(LanGlo1LevelCurrent&gt;=$B194,"-",IF(LanGlo1LevelDesired&lt;$B194,"-",$D194))</f>
        <v>-</v>
      </c>
      <c r="W194" s="21" t="str">
        <f t="shared" ref="W194" si="13757">IF(LanGlo1LevelCurrent&gt;=$B194,"-",IF(LanGlo1LevelDesired&lt;$B194,"-",$E194))</f>
        <v>-</v>
      </c>
      <c r="X194" s="15" t="str">
        <f t="shared" ref="X194" si="13758">IF(LanBel1LevelCurrent&gt;=$B194,"-",IF(LanBel1LevelDesired&lt;$B194,"-",$C194))</f>
        <v>-</v>
      </c>
      <c r="Y194" s="1" t="str">
        <f t="shared" ref="Y194" si="13759">IF(LanBel1LevelCurrent&gt;=$B194,"-",IF(LanBel1LevelDesired&lt;$B194,"-",$D194))</f>
        <v>-</v>
      </c>
      <c r="Z194" s="21" t="str">
        <f t="shared" ref="Z194" si="13760">IF(LanBel1LevelCurrent&gt;=$B194,"-",IF(LanBel1LevelDesired&lt;$B194,"-",$E194))</f>
        <v>-</v>
      </c>
      <c r="AA194" s="15" t="str">
        <f t="shared" ref="AA194" si="13761">IF(LanBoo1LevelCurrent&gt;=$B194,"-",IF(LanBoo1LevelDesired&lt;$B194,"-",$C194))</f>
        <v>-</v>
      </c>
      <c r="AB194" s="1" t="str">
        <f t="shared" ref="AB194" si="13762">IF(LanBoo1LevelCurrent&gt;=$B194,"-",IF(LanBoo1LevelDesired&lt;$B194,"-",$D194))</f>
        <v>-</v>
      </c>
      <c r="AC194" s="21" t="str">
        <f t="shared" ref="AC194" si="13763">IF(LanBoo1LevelCurrent&gt;=$B194,"-",IF(LanBoo1LevelDesired&lt;$B194,"-",$E194))</f>
        <v>-</v>
      </c>
      <c r="AD194" s="15" t="str">
        <f t="shared" ref="AD194" si="13764">IF(MarGog1LevelCurrent&gt;=$B194,"-",IF(MarGog1LevelDesired&lt;$B194,"-",$C194))</f>
        <v>-</v>
      </c>
      <c r="AE194" s="1" t="str">
        <f t="shared" ref="AE194" si="13765">IF(MarGog1LevelCurrent&gt;=$B194,"-",IF(MarGog1LevelDesired&lt;$B194,"-",$D194))</f>
        <v>-</v>
      </c>
      <c r="AF194" s="21" t="str">
        <f t="shared" ref="AF194" si="13766">IF(MarGog1LevelCurrent&gt;=$B194,"-",IF(MarGog1LevelDesired&lt;$B194,"-",$E194))</f>
        <v>-</v>
      </c>
      <c r="AG194" s="15" t="str">
        <f t="shared" ref="AG194" si="13767">IF(MarGlo1LevelCurrent&gt;=$B194,"-",IF(MarGlo1LevelDesired&lt;$B194,"-",$C194))</f>
        <v>-</v>
      </c>
      <c r="AH194" s="1" t="str">
        <f t="shared" ref="AH194" si="13768">IF(MarGlo1LevelCurrent&gt;=$B194,"-",IF(MarGlo1LevelDesired&lt;$B194,"-",$D194))</f>
        <v>-</v>
      </c>
      <c r="AI194" s="21" t="str">
        <f t="shared" ref="AI194" si="13769">IF(MarGlo1LevelCurrent&gt;=$B194,"-",IF(MarGlo1LevelDesired&lt;$B194,"-",$E194))</f>
        <v>-</v>
      </c>
      <c r="AJ194" s="15" t="str">
        <f t="shared" ref="AJ194" si="13770">IF(MarBel1LevelCurrent&gt;=$B194,"-",IF(MarBel1LevelDesired&lt;$B194,"-",$C194))</f>
        <v>-</v>
      </c>
      <c r="AK194" s="1" t="str">
        <f t="shared" ref="AK194" si="13771">IF(MarBel1LevelCurrent&gt;=$B194,"-",IF(MarBel1LevelDesired&lt;$B194,"-",$D194))</f>
        <v>-</v>
      </c>
      <c r="AL194" s="21" t="str">
        <f t="shared" ref="AL194" si="13772">IF(MarBel1LevelCurrent&gt;=$B194,"-",IF(MarBel1LevelDesired&lt;$B194,"-",$E194))</f>
        <v>-</v>
      </c>
      <c r="AM194" s="15" t="str">
        <f t="shared" ref="AM194" si="13773">IF(MarBoo1LevelCurrent&gt;=$B194,"-",IF(MarBoo1LevelDesired&lt;$B194,"-",$C194))</f>
        <v>-</v>
      </c>
      <c r="AN194" s="1" t="str">
        <f t="shared" ref="AN194" si="13774">IF(MarBoo1LevelCurrent&gt;=$B194,"-",IF(MarBoo1LevelDesired&lt;$B194,"-",$D194))</f>
        <v>-</v>
      </c>
      <c r="AO194" s="21" t="str">
        <f t="shared" ref="AO194" si="13775">IF(MarBoo1LevelCurrent&gt;=$B194,"-",IF(MarBoo1LevelDesired&lt;$B194,"-",$E194))</f>
        <v>-</v>
      </c>
      <c r="AP194" s="15" t="str">
        <f t="shared" ref="AP194" si="13776">IF(InfGog2LevelCurrent&gt;=$B194,"-",IF(InfGog2LevelDesired&lt;$B194,"-",$C194))</f>
        <v>-</v>
      </c>
      <c r="AQ194" s="1" t="str">
        <f t="shared" ref="AQ194" si="13777">IF(InfGog2LevelCurrent&gt;=$B194,"-",IF(InfGog2LevelDesired&lt;$B194,"-",$D194))</f>
        <v>-</v>
      </c>
      <c r="AR194" s="21" t="str">
        <f t="shared" ref="AR194" si="13778">IF(InfGog2LevelCurrent&gt;=$B194,"-",IF(InfGog2LevelDesired&lt;$B194,"-",$E194))</f>
        <v>-</v>
      </c>
      <c r="AS194" s="15" t="str">
        <f t="shared" ref="AS194" si="13779">IF(InfGlo2LevelCurrent&gt;=$B194,"-",IF(InfGlo2LevelDesired&lt;$B194,"-",$C194))</f>
        <v>-</v>
      </c>
      <c r="AT194" s="1" t="str">
        <f t="shared" ref="AT194" si="13780">IF(InfGlo2LevelCurrent&gt;=$B194,"-",IF(InfGlo2LevelDesired&lt;$B194,"-",$D194))</f>
        <v>-</v>
      </c>
      <c r="AU194" s="21" t="str">
        <f t="shared" ref="AU194" si="13781">IF(InfGlo2LevelCurrent&gt;=$B194,"-",IF(InfGlo2LevelDesired&lt;$B194,"-",$E194))</f>
        <v>-</v>
      </c>
      <c r="AV194" s="15" t="str">
        <f t="shared" ref="AV194" si="13782">IF(InfBel2LevelCurrent&gt;=$B194,"-",IF(InfBel2LevelDesired&lt;$B194,"-",$C194))</f>
        <v>-</v>
      </c>
      <c r="AW194" s="1" t="str">
        <f t="shared" ref="AW194" si="13783">IF(InfBel2LevelCurrent&gt;=$B194,"-",IF(InfBel2LevelDesired&lt;$B194,"-",$D194))</f>
        <v>-</v>
      </c>
      <c r="AX194" s="21" t="str">
        <f t="shared" ref="AX194" si="13784">IF(InfBel2LevelCurrent&gt;=$B194,"-",IF(InfBel2LevelDesired&lt;$B194,"-",$E194))</f>
        <v>-</v>
      </c>
      <c r="AY194" s="15" t="str">
        <f t="shared" ref="AY194" si="13785">IF(InfBoo2LevelCurrent&gt;=$B194,"-",IF(InfBoo2LevelDesired&lt;$B194,"-",$C194))</f>
        <v>-</v>
      </c>
      <c r="AZ194" s="1" t="str">
        <f t="shared" ref="AZ194" si="13786">IF(InfBoo2LevelCurrent&gt;=$B194,"-",IF(InfBoo2LevelDesired&lt;$B194,"-",$D194))</f>
        <v>-</v>
      </c>
      <c r="BA194" s="21" t="str">
        <f t="shared" ref="BA194" si="13787">IF(InfBoo2LevelCurrent&gt;=$B194,"-",IF(InfBoo2LevelDesired&lt;$B194,"-",$E194))</f>
        <v>-</v>
      </c>
      <c r="BB194" s="15" t="str">
        <f t="shared" ref="BB194" si="13788">IF(LanGog2LevelCurrent&gt;=$B194,"-",IF(LanGog2LevelDesired&lt;$B194,"-",$C194))</f>
        <v>-</v>
      </c>
      <c r="BC194" s="1" t="str">
        <f t="shared" ref="BC194" si="13789">IF(LanGog2LevelCurrent&gt;=$B194,"-",IF(LanGog2LevelDesired&lt;$B194,"-",$D194))</f>
        <v>-</v>
      </c>
      <c r="BD194" s="21" t="str">
        <f t="shared" ref="BD194" si="13790">IF(LanGog2LevelCurrent&gt;=$B194,"-",IF(LanGog2LevelDesired&lt;$B194,"-",$E194))</f>
        <v>-</v>
      </c>
      <c r="BE194" s="15" t="str">
        <f t="shared" ref="BE194" si="13791">IF(LanGlo2LevelCurrent&gt;=$B194,"-",IF(LanGlo2LevelDesired&lt;$B194,"-",$C194))</f>
        <v>-</v>
      </c>
      <c r="BF194" s="1" t="str">
        <f t="shared" ref="BF194" si="13792">IF(LanGlo2LevelCurrent&gt;=$B194,"-",IF(LanGlo2LevelDesired&lt;$B194,"-",$D194))</f>
        <v>-</v>
      </c>
      <c r="BG194" s="21" t="str">
        <f t="shared" ref="BG194" si="13793">IF(LanGlo2LevelCurrent&gt;=$B194,"-",IF(LanGlo2LevelDesired&lt;$B194,"-",$E194))</f>
        <v>-</v>
      </c>
      <c r="BH194" s="15" t="str">
        <f t="shared" ref="BH194" si="13794">IF(LanBel2LevelCurrent&gt;=$B194,"-",IF(LanBel2LevelDesired&lt;$B194,"-",$C194))</f>
        <v>-</v>
      </c>
      <c r="BI194" s="1" t="str">
        <f t="shared" ref="BI194" si="13795">IF(LanBel2LevelCurrent&gt;=$B194,"-",IF(LanBel2LevelDesired&lt;$B194,"-",$D194))</f>
        <v>-</v>
      </c>
      <c r="BJ194" s="21" t="str">
        <f t="shared" ref="BJ194" si="13796">IF(LanBel2LevelCurrent&gt;=$B194,"-",IF(LanBel2LevelDesired&lt;$B194,"-",$E194))</f>
        <v>-</v>
      </c>
      <c r="BK194" s="15" t="str">
        <f t="shared" ref="BK194" si="13797">IF(LanBoo2LevelCurrent&gt;=$B194,"-",IF(LanBoo2LevelDesired&lt;$B194,"-",$C194))</f>
        <v>-</v>
      </c>
      <c r="BL194" s="1" t="str">
        <f t="shared" ref="BL194" si="13798">IF(LanBoo2LevelCurrent&gt;=$B194,"-",IF(LanBoo2LevelDesired&lt;$B194,"-",$D194))</f>
        <v>-</v>
      </c>
      <c r="BM194" s="21" t="str">
        <f t="shared" ref="BM194" si="13799">IF(LanBoo2LevelCurrent&gt;=$B194,"-",IF(LanBoo2LevelDesired&lt;$B194,"-",$E194))</f>
        <v>-</v>
      </c>
      <c r="BN194" s="15" t="str">
        <f t="shared" ref="BN194" si="13800">IF(MarGog2LevelCurrent&gt;=$B194,"-",IF(MarGog2LevelDesired&lt;$B194,"-",$C194))</f>
        <v>-</v>
      </c>
      <c r="BO194" s="1" t="str">
        <f t="shared" ref="BO194" si="13801">IF(MarGog2LevelCurrent&gt;=$B194,"-",IF(MarGog2LevelDesired&lt;$B194,"-",$D194))</f>
        <v>-</v>
      </c>
      <c r="BP194" s="21" t="str">
        <f t="shared" ref="BP194" si="13802">IF(MarGog2LevelCurrent&gt;=$B194,"-",IF(MarGog2LevelDesired&lt;$B194,"-",$E194))</f>
        <v>-</v>
      </c>
      <c r="BQ194" s="15" t="str">
        <f t="shared" ref="BQ194" si="13803">IF(MarGlo2LevelCurrent&gt;=$B194,"-",IF(MarGlo2LevelDesired&lt;$B194,"-",$C194))</f>
        <v>-</v>
      </c>
      <c r="BR194" s="1" t="str">
        <f t="shared" ref="BR194" si="13804">IF(MarGlo2LevelCurrent&gt;=$B194,"-",IF(MarGlo2LevelDesired&lt;$B194,"-",$D194))</f>
        <v>-</v>
      </c>
      <c r="BS194" s="21" t="str">
        <f t="shared" ref="BS194" si="13805">IF(MarGlo2LevelCurrent&gt;=$B194,"-",IF(MarGlo2LevelDesired&lt;$B194,"-",$E194))</f>
        <v>-</v>
      </c>
      <c r="BT194" s="15" t="str">
        <f t="shared" ref="BT194" si="13806">IF(MarBel2LevelCurrent&gt;=$B194,"-",IF(MarBel2LevelDesired&lt;$B194,"-",$C194))</f>
        <v>-</v>
      </c>
      <c r="BU194" s="1" t="str">
        <f t="shared" ref="BU194" si="13807">IF(MarBel2LevelCurrent&gt;=$B194,"-",IF(MarBel2LevelDesired&lt;$B194,"-",$D194))</f>
        <v>-</v>
      </c>
      <c r="BV194" s="21" t="str">
        <f t="shared" ref="BV194" si="13808">IF(MarBel2LevelCurrent&gt;=$B194,"-",IF(MarBel2LevelDesired&lt;$B194,"-",$E194))</f>
        <v>-</v>
      </c>
      <c r="BW194" s="15" t="str">
        <f t="shared" ref="BW194" si="13809">IF(MarBoo2LevelCurrent&gt;=$B194,"-",IF(MarBoo2LevelDesired&lt;$B194,"-",$C194))</f>
        <v>-</v>
      </c>
      <c r="BX194" s="1" t="str">
        <f t="shared" ref="BX194" si="13810">IF(MarBoo2LevelCurrent&gt;=$B194,"-",IF(MarBoo2LevelDesired&lt;$B194,"-",$D194))</f>
        <v>-</v>
      </c>
      <c r="BY194" s="21" t="str">
        <f t="shared" ref="BY194" si="13811">IF(MarBoo2LevelCurrent&gt;=$B194,"-",IF(MarBoo2LevelDesired&lt;$B194,"-",$E194))</f>
        <v>-</v>
      </c>
      <c r="BZ194" s="15" t="str">
        <f t="shared" si="11762"/>
        <v>-</v>
      </c>
      <c r="CA194" s="1" t="str" cm="1">
        <f t="array" ref="CA194">IF(InfGog3LevelCurrent&gt;=$B194,"-",IF(InfGog3LevelDesired&lt;$B194,"-",$D194))</f>
        <v>-</v>
      </c>
      <c r="CB194" s="21" t="str" cm="1">
        <f t="array" ref="CB194">IF(InfGog3LevelCurrent&gt;=$B194,"-",IF(InfGog3LevelDesired&lt;$B194,"-",$E194))</f>
        <v>-</v>
      </c>
      <c r="CC194" s="15" t="str">
        <f t="shared" si="11763"/>
        <v>-</v>
      </c>
      <c r="CD194" s="1" t="str">
        <f t="shared" si="11764"/>
        <v>-</v>
      </c>
      <c r="CE194" s="21" t="str">
        <f t="shared" si="11765"/>
        <v>-</v>
      </c>
      <c r="CF194" s="15" t="str">
        <f t="shared" si="11766"/>
        <v>-</v>
      </c>
      <c r="CG194" s="1" t="str">
        <f t="shared" si="11767"/>
        <v>-</v>
      </c>
      <c r="CH194" s="21" t="str">
        <f t="shared" si="11768"/>
        <v>-</v>
      </c>
      <c r="CI194" s="15" t="str">
        <f t="shared" si="11769"/>
        <v>-</v>
      </c>
      <c r="CJ194" s="1" t="str">
        <f t="shared" si="11770"/>
        <v>-</v>
      </c>
      <c r="CK194" s="21" t="str">
        <f t="shared" si="11771"/>
        <v>-</v>
      </c>
      <c r="CL194" s="15" t="str">
        <f t="shared" si="11772"/>
        <v>-</v>
      </c>
      <c r="CM194" s="1" t="str">
        <f t="shared" si="11773"/>
        <v>-</v>
      </c>
      <c r="CN194" s="21" t="str">
        <f t="shared" si="11774"/>
        <v>-</v>
      </c>
      <c r="CO194" s="15" t="str">
        <f t="shared" si="11775"/>
        <v>-</v>
      </c>
      <c r="CP194" s="1" t="str">
        <f t="shared" si="11776"/>
        <v>-</v>
      </c>
      <c r="CQ194" s="21" t="str">
        <f t="shared" si="11777"/>
        <v>-</v>
      </c>
      <c r="CR194" s="15" t="str">
        <f t="shared" si="11778"/>
        <v>-</v>
      </c>
      <c r="CS194" s="1" t="str">
        <f t="shared" si="11779"/>
        <v>-</v>
      </c>
      <c r="CT194" s="21" t="str">
        <f t="shared" si="11780"/>
        <v>-</v>
      </c>
      <c r="CU194" s="15" t="str">
        <f t="shared" si="11781"/>
        <v>-</v>
      </c>
      <c r="CV194" s="1" t="str">
        <f t="shared" si="11782"/>
        <v>-</v>
      </c>
      <c r="CW194" s="21" t="str">
        <f t="shared" si="11783"/>
        <v>-</v>
      </c>
      <c r="CX194" s="15" t="str">
        <f t="shared" si="11784"/>
        <v>-</v>
      </c>
      <c r="CY194" s="1" t="str">
        <f t="shared" si="11785"/>
        <v>-</v>
      </c>
      <c r="CZ194" s="21" t="str">
        <f t="shared" si="11786"/>
        <v>-</v>
      </c>
      <c r="DA194" s="15" t="str">
        <f t="shared" si="11787"/>
        <v>-</v>
      </c>
      <c r="DB194" s="1" t="str">
        <f t="shared" si="11788"/>
        <v>-</v>
      </c>
      <c r="DC194" s="21" t="str">
        <f t="shared" si="11789"/>
        <v>-</v>
      </c>
      <c r="DD194" s="15" t="str">
        <f t="shared" si="11790"/>
        <v>-</v>
      </c>
      <c r="DE194" s="1" t="str">
        <f t="shared" si="11791"/>
        <v>-</v>
      </c>
      <c r="DF194" s="21" t="str">
        <f t="shared" si="11792"/>
        <v>-</v>
      </c>
      <c r="DG194" s="15" t="str">
        <f t="shared" si="11793"/>
        <v>-</v>
      </c>
      <c r="DH194" s="1" t="str">
        <f t="shared" si="11794"/>
        <v>-</v>
      </c>
      <c r="DI194" s="21" t="str">
        <f t="shared" si="11795"/>
        <v>-</v>
      </c>
    </row>
    <row r="195" spans="2:113" x14ac:dyDescent="0.3">
      <c r="B195" s="1">
        <v>190</v>
      </c>
      <c r="C195" s="67">
        <v>8400</v>
      </c>
      <c r="D195" s="88" t="s">
        <v>27</v>
      </c>
      <c r="E195" s="68" t="s">
        <v>27</v>
      </c>
      <c r="F195" s="15" t="str">
        <f t="shared" ref="F195" si="13812">IF(InfGog1LevelCurrent&gt;=$B195,"-",IF(InfGog1LevelDesired&lt;$B195,"-",$C195))</f>
        <v>-</v>
      </c>
      <c r="G195" s="1" t="str">
        <f t="shared" ref="G195" si="13813">IF(InfGog1LevelCurrent&gt;=$B195,"-",IF(InfGog1LevelDesired&lt;$B195,"-",$D195))</f>
        <v>-</v>
      </c>
      <c r="H195" s="21" t="str">
        <f t="shared" ref="H195" si="13814">IF(InfGog1LevelCurrent&gt;=$B195,"-",IF(InfGog1LevelDesired&lt;$B195,"-",$E195))</f>
        <v>-</v>
      </c>
      <c r="I195" s="15" t="str">
        <f t="shared" ref="I195" si="13815">IF(InfGlo1LevelCurrent&gt;=$B195,"-",IF(InfGlo1LevelDesired&lt;$B195,"-",$C195))</f>
        <v>-</v>
      </c>
      <c r="J195" s="1" t="str">
        <f t="shared" ref="J195" si="13816">IF(InfGlo1LevelCurrent&gt;=$B195,"-",IF(InfGlo1LevelDesired&lt;$B195,"-",$D195))</f>
        <v>-</v>
      </c>
      <c r="K195" s="21" t="str">
        <f t="shared" ref="K195" si="13817">IF(InfGlo1LevelCurrent&gt;=$B195,"-",IF(InfGlo1LevelDesired&lt;$B195,"-",$E195))</f>
        <v>-</v>
      </c>
      <c r="L195" s="15" t="str">
        <f t="shared" ref="L195" si="13818">IF(InfBel1LevelCurrent&gt;=$B195,"-",IF(InfBel1LevelDesired&lt;$B195,"-",$C195))</f>
        <v>-</v>
      </c>
      <c r="M195" s="1" t="str">
        <f t="shared" ref="M195" si="13819">IF(InfBel1LevelCurrent&gt;=$B195,"-",IF(InfBel1LevelDesired&lt;$B195,"-",$D195))</f>
        <v>-</v>
      </c>
      <c r="N195" s="21" t="str">
        <f t="shared" ref="N195" si="13820">IF(InfBel1LevelCurrent&gt;=$B195,"-",IF(InfBel1LevelDesired&lt;$B195,"-",$E195))</f>
        <v>-</v>
      </c>
      <c r="O195" s="15" t="str">
        <f t="shared" ref="O195" si="13821">IF(InfBoo1LevelCurrent&gt;=$B195,"-",IF(InfBoo1LevelDesired&lt;$B195,"-",$C195))</f>
        <v>-</v>
      </c>
      <c r="P195" s="1" t="str">
        <f t="shared" ref="P195" si="13822">IF(InfBoo1LevelCurrent&gt;=$B195,"-",IF(InfBoo1LevelDesired&lt;$B195,"-",$D195))</f>
        <v>-</v>
      </c>
      <c r="Q195" s="21" t="str">
        <f t="shared" ref="Q195" si="13823">IF(InfBoo1LevelCurrent&gt;=$B195,"-",IF(InfBoo1LevelDesired&lt;$B195,"-",$E195))</f>
        <v>-</v>
      </c>
      <c r="R195" s="15" t="str">
        <f t="shared" ref="R195" si="13824">IF(LanGog1LevelCurrent&gt;=$B195,"-",IF(LanGog1LevelDesired&lt;$B195,"-",$C195))</f>
        <v>-</v>
      </c>
      <c r="S195" s="1" t="str">
        <f t="shared" ref="S195" si="13825">IF(LanGog1LevelCurrent&gt;=$B195,"-",IF(LanGog1LevelDesired&lt;$B195,"-",$D195))</f>
        <v>-</v>
      </c>
      <c r="T195" s="21" t="str">
        <f t="shared" ref="T195" si="13826">IF(LanGog1LevelCurrent&gt;=$B195,"-",IF(LanGog1LevelDesired&lt;$B195,"-",$E195))</f>
        <v>-</v>
      </c>
      <c r="U195" s="15" t="str">
        <f t="shared" ref="U195" si="13827">IF(LanGlo1LevelCurrent&gt;=$B195,"-",IF(LanGlo1LevelDesired&lt;$B195,"-",$C195))</f>
        <v>-</v>
      </c>
      <c r="V195" s="1" t="str">
        <f t="shared" ref="V195" si="13828">IF(LanGlo1LevelCurrent&gt;=$B195,"-",IF(LanGlo1LevelDesired&lt;$B195,"-",$D195))</f>
        <v>-</v>
      </c>
      <c r="W195" s="21" t="str">
        <f t="shared" ref="W195" si="13829">IF(LanGlo1LevelCurrent&gt;=$B195,"-",IF(LanGlo1LevelDesired&lt;$B195,"-",$E195))</f>
        <v>-</v>
      </c>
      <c r="X195" s="15" t="str">
        <f t="shared" ref="X195" si="13830">IF(LanBel1LevelCurrent&gt;=$B195,"-",IF(LanBel1LevelDesired&lt;$B195,"-",$C195))</f>
        <v>-</v>
      </c>
      <c r="Y195" s="1" t="str">
        <f t="shared" ref="Y195" si="13831">IF(LanBel1LevelCurrent&gt;=$B195,"-",IF(LanBel1LevelDesired&lt;$B195,"-",$D195))</f>
        <v>-</v>
      </c>
      <c r="Z195" s="21" t="str">
        <f t="shared" ref="Z195" si="13832">IF(LanBel1LevelCurrent&gt;=$B195,"-",IF(LanBel1LevelDesired&lt;$B195,"-",$E195))</f>
        <v>-</v>
      </c>
      <c r="AA195" s="15" t="str">
        <f t="shared" ref="AA195" si="13833">IF(LanBoo1LevelCurrent&gt;=$B195,"-",IF(LanBoo1LevelDesired&lt;$B195,"-",$C195))</f>
        <v>-</v>
      </c>
      <c r="AB195" s="1" t="str">
        <f t="shared" ref="AB195" si="13834">IF(LanBoo1LevelCurrent&gt;=$B195,"-",IF(LanBoo1LevelDesired&lt;$B195,"-",$D195))</f>
        <v>-</v>
      </c>
      <c r="AC195" s="21" t="str">
        <f t="shared" ref="AC195" si="13835">IF(LanBoo1LevelCurrent&gt;=$B195,"-",IF(LanBoo1LevelDesired&lt;$B195,"-",$E195))</f>
        <v>-</v>
      </c>
      <c r="AD195" s="15" t="str">
        <f t="shared" ref="AD195" si="13836">IF(MarGog1LevelCurrent&gt;=$B195,"-",IF(MarGog1LevelDesired&lt;$B195,"-",$C195))</f>
        <v>-</v>
      </c>
      <c r="AE195" s="1" t="str">
        <f t="shared" ref="AE195" si="13837">IF(MarGog1LevelCurrent&gt;=$B195,"-",IF(MarGog1LevelDesired&lt;$B195,"-",$D195))</f>
        <v>-</v>
      </c>
      <c r="AF195" s="21" t="str">
        <f t="shared" ref="AF195" si="13838">IF(MarGog1LevelCurrent&gt;=$B195,"-",IF(MarGog1LevelDesired&lt;$B195,"-",$E195))</f>
        <v>-</v>
      </c>
      <c r="AG195" s="15" t="str">
        <f t="shared" ref="AG195" si="13839">IF(MarGlo1LevelCurrent&gt;=$B195,"-",IF(MarGlo1LevelDesired&lt;$B195,"-",$C195))</f>
        <v>-</v>
      </c>
      <c r="AH195" s="1" t="str">
        <f t="shared" ref="AH195" si="13840">IF(MarGlo1LevelCurrent&gt;=$B195,"-",IF(MarGlo1LevelDesired&lt;$B195,"-",$D195))</f>
        <v>-</v>
      </c>
      <c r="AI195" s="21" t="str">
        <f t="shared" ref="AI195" si="13841">IF(MarGlo1LevelCurrent&gt;=$B195,"-",IF(MarGlo1LevelDesired&lt;$B195,"-",$E195))</f>
        <v>-</v>
      </c>
      <c r="AJ195" s="15" t="str">
        <f t="shared" ref="AJ195" si="13842">IF(MarBel1LevelCurrent&gt;=$B195,"-",IF(MarBel1LevelDesired&lt;$B195,"-",$C195))</f>
        <v>-</v>
      </c>
      <c r="AK195" s="1" t="str">
        <f t="shared" ref="AK195" si="13843">IF(MarBel1LevelCurrent&gt;=$B195,"-",IF(MarBel1LevelDesired&lt;$B195,"-",$D195))</f>
        <v>-</v>
      </c>
      <c r="AL195" s="21" t="str">
        <f t="shared" ref="AL195" si="13844">IF(MarBel1LevelCurrent&gt;=$B195,"-",IF(MarBel1LevelDesired&lt;$B195,"-",$E195))</f>
        <v>-</v>
      </c>
      <c r="AM195" s="15" t="str">
        <f t="shared" ref="AM195" si="13845">IF(MarBoo1LevelCurrent&gt;=$B195,"-",IF(MarBoo1LevelDesired&lt;$B195,"-",$C195))</f>
        <v>-</v>
      </c>
      <c r="AN195" s="1" t="str">
        <f t="shared" ref="AN195" si="13846">IF(MarBoo1LevelCurrent&gt;=$B195,"-",IF(MarBoo1LevelDesired&lt;$B195,"-",$D195))</f>
        <v>-</v>
      </c>
      <c r="AO195" s="21" t="str">
        <f t="shared" ref="AO195" si="13847">IF(MarBoo1LevelCurrent&gt;=$B195,"-",IF(MarBoo1LevelDesired&lt;$B195,"-",$E195))</f>
        <v>-</v>
      </c>
      <c r="AP195" s="15" t="str">
        <f t="shared" ref="AP195" si="13848">IF(InfGog2LevelCurrent&gt;=$B195,"-",IF(InfGog2LevelDesired&lt;$B195,"-",$C195))</f>
        <v>-</v>
      </c>
      <c r="AQ195" s="1" t="str">
        <f t="shared" ref="AQ195" si="13849">IF(InfGog2LevelCurrent&gt;=$B195,"-",IF(InfGog2LevelDesired&lt;$B195,"-",$D195))</f>
        <v>-</v>
      </c>
      <c r="AR195" s="21" t="str">
        <f t="shared" ref="AR195" si="13850">IF(InfGog2LevelCurrent&gt;=$B195,"-",IF(InfGog2LevelDesired&lt;$B195,"-",$E195))</f>
        <v>-</v>
      </c>
      <c r="AS195" s="15" t="str">
        <f t="shared" ref="AS195" si="13851">IF(InfGlo2LevelCurrent&gt;=$B195,"-",IF(InfGlo2LevelDesired&lt;$B195,"-",$C195))</f>
        <v>-</v>
      </c>
      <c r="AT195" s="1" t="str">
        <f t="shared" ref="AT195" si="13852">IF(InfGlo2LevelCurrent&gt;=$B195,"-",IF(InfGlo2LevelDesired&lt;$B195,"-",$D195))</f>
        <v>-</v>
      </c>
      <c r="AU195" s="21" t="str">
        <f t="shared" ref="AU195" si="13853">IF(InfGlo2LevelCurrent&gt;=$B195,"-",IF(InfGlo2LevelDesired&lt;$B195,"-",$E195))</f>
        <v>-</v>
      </c>
      <c r="AV195" s="15" t="str">
        <f t="shared" ref="AV195" si="13854">IF(InfBel2LevelCurrent&gt;=$B195,"-",IF(InfBel2LevelDesired&lt;$B195,"-",$C195))</f>
        <v>-</v>
      </c>
      <c r="AW195" s="1" t="str">
        <f t="shared" ref="AW195" si="13855">IF(InfBel2LevelCurrent&gt;=$B195,"-",IF(InfBel2LevelDesired&lt;$B195,"-",$D195))</f>
        <v>-</v>
      </c>
      <c r="AX195" s="21" t="str">
        <f t="shared" ref="AX195" si="13856">IF(InfBel2LevelCurrent&gt;=$B195,"-",IF(InfBel2LevelDesired&lt;$B195,"-",$E195))</f>
        <v>-</v>
      </c>
      <c r="AY195" s="15" t="str">
        <f t="shared" ref="AY195" si="13857">IF(InfBoo2LevelCurrent&gt;=$B195,"-",IF(InfBoo2LevelDesired&lt;$B195,"-",$C195))</f>
        <v>-</v>
      </c>
      <c r="AZ195" s="1" t="str">
        <f t="shared" ref="AZ195" si="13858">IF(InfBoo2LevelCurrent&gt;=$B195,"-",IF(InfBoo2LevelDesired&lt;$B195,"-",$D195))</f>
        <v>-</v>
      </c>
      <c r="BA195" s="21" t="str">
        <f t="shared" ref="BA195" si="13859">IF(InfBoo2LevelCurrent&gt;=$B195,"-",IF(InfBoo2LevelDesired&lt;$B195,"-",$E195))</f>
        <v>-</v>
      </c>
      <c r="BB195" s="15" t="str">
        <f t="shared" ref="BB195" si="13860">IF(LanGog2LevelCurrent&gt;=$B195,"-",IF(LanGog2LevelDesired&lt;$B195,"-",$C195))</f>
        <v>-</v>
      </c>
      <c r="BC195" s="1" t="str">
        <f t="shared" ref="BC195" si="13861">IF(LanGog2LevelCurrent&gt;=$B195,"-",IF(LanGog2LevelDesired&lt;$B195,"-",$D195))</f>
        <v>-</v>
      </c>
      <c r="BD195" s="21" t="str">
        <f t="shared" ref="BD195" si="13862">IF(LanGog2LevelCurrent&gt;=$B195,"-",IF(LanGog2LevelDesired&lt;$B195,"-",$E195))</f>
        <v>-</v>
      </c>
      <c r="BE195" s="15" t="str">
        <f t="shared" ref="BE195" si="13863">IF(LanGlo2LevelCurrent&gt;=$B195,"-",IF(LanGlo2LevelDesired&lt;$B195,"-",$C195))</f>
        <v>-</v>
      </c>
      <c r="BF195" s="1" t="str">
        <f t="shared" ref="BF195" si="13864">IF(LanGlo2LevelCurrent&gt;=$B195,"-",IF(LanGlo2LevelDesired&lt;$B195,"-",$D195))</f>
        <v>-</v>
      </c>
      <c r="BG195" s="21" t="str">
        <f t="shared" ref="BG195" si="13865">IF(LanGlo2LevelCurrent&gt;=$B195,"-",IF(LanGlo2LevelDesired&lt;$B195,"-",$E195))</f>
        <v>-</v>
      </c>
      <c r="BH195" s="15" t="str">
        <f t="shared" ref="BH195" si="13866">IF(LanBel2LevelCurrent&gt;=$B195,"-",IF(LanBel2LevelDesired&lt;$B195,"-",$C195))</f>
        <v>-</v>
      </c>
      <c r="BI195" s="1" t="str">
        <f t="shared" ref="BI195" si="13867">IF(LanBel2LevelCurrent&gt;=$B195,"-",IF(LanBel2LevelDesired&lt;$B195,"-",$D195))</f>
        <v>-</v>
      </c>
      <c r="BJ195" s="21" t="str">
        <f t="shared" ref="BJ195" si="13868">IF(LanBel2LevelCurrent&gt;=$B195,"-",IF(LanBel2LevelDesired&lt;$B195,"-",$E195))</f>
        <v>-</v>
      </c>
      <c r="BK195" s="15" t="str">
        <f t="shared" ref="BK195" si="13869">IF(LanBoo2LevelCurrent&gt;=$B195,"-",IF(LanBoo2LevelDesired&lt;$B195,"-",$C195))</f>
        <v>-</v>
      </c>
      <c r="BL195" s="1" t="str">
        <f t="shared" ref="BL195" si="13870">IF(LanBoo2LevelCurrent&gt;=$B195,"-",IF(LanBoo2LevelDesired&lt;$B195,"-",$D195))</f>
        <v>-</v>
      </c>
      <c r="BM195" s="21" t="str">
        <f t="shared" ref="BM195" si="13871">IF(LanBoo2LevelCurrent&gt;=$B195,"-",IF(LanBoo2LevelDesired&lt;$B195,"-",$E195))</f>
        <v>-</v>
      </c>
      <c r="BN195" s="15" t="str">
        <f t="shared" ref="BN195" si="13872">IF(MarGog2LevelCurrent&gt;=$B195,"-",IF(MarGog2LevelDesired&lt;$B195,"-",$C195))</f>
        <v>-</v>
      </c>
      <c r="BO195" s="1" t="str">
        <f t="shared" ref="BO195" si="13873">IF(MarGog2LevelCurrent&gt;=$B195,"-",IF(MarGog2LevelDesired&lt;$B195,"-",$D195))</f>
        <v>-</v>
      </c>
      <c r="BP195" s="21" t="str">
        <f t="shared" ref="BP195" si="13874">IF(MarGog2LevelCurrent&gt;=$B195,"-",IF(MarGog2LevelDesired&lt;$B195,"-",$E195))</f>
        <v>-</v>
      </c>
      <c r="BQ195" s="15" t="str">
        <f t="shared" ref="BQ195" si="13875">IF(MarGlo2LevelCurrent&gt;=$B195,"-",IF(MarGlo2LevelDesired&lt;$B195,"-",$C195))</f>
        <v>-</v>
      </c>
      <c r="BR195" s="1" t="str">
        <f t="shared" ref="BR195" si="13876">IF(MarGlo2LevelCurrent&gt;=$B195,"-",IF(MarGlo2LevelDesired&lt;$B195,"-",$D195))</f>
        <v>-</v>
      </c>
      <c r="BS195" s="21" t="str">
        <f t="shared" ref="BS195" si="13877">IF(MarGlo2LevelCurrent&gt;=$B195,"-",IF(MarGlo2LevelDesired&lt;$B195,"-",$E195))</f>
        <v>-</v>
      </c>
      <c r="BT195" s="15" t="str">
        <f t="shared" ref="BT195" si="13878">IF(MarBel2LevelCurrent&gt;=$B195,"-",IF(MarBel2LevelDesired&lt;$B195,"-",$C195))</f>
        <v>-</v>
      </c>
      <c r="BU195" s="1" t="str">
        <f t="shared" ref="BU195" si="13879">IF(MarBel2LevelCurrent&gt;=$B195,"-",IF(MarBel2LevelDesired&lt;$B195,"-",$D195))</f>
        <v>-</v>
      </c>
      <c r="BV195" s="21" t="str">
        <f t="shared" ref="BV195" si="13880">IF(MarBel2LevelCurrent&gt;=$B195,"-",IF(MarBel2LevelDesired&lt;$B195,"-",$E195))</f>
        <v>-</v>
      </c>
      <c r="BW195" s="15" t="str">
        <f t="shared" ref="BW195" si="13881">IF(MarBoo2LevelCurrent&gt;=$B195,"-",IF(MarBoo2LevelDesired&lt;$B195,"-",$C195))</f>
        <v>-</v>
      </c>
      <c r="BX195" s="1" t="str">
        <f t="shared" ref="BX195" si="13882">IF(MarBoo2LevelCurrent&gt;=$B195,"-",IF(MarBoo2LevelDesired&lt;$B195,"-",$D195))</f>
        <v>-</v>
      </c>
      <c r="BY195" s="21" t="str">
        <f t="shared" ref="BY195" si="13883">IF(MarBoo2LevelCurrent&gt;=$B195,"-",IF(MarBoo2LevelDesired&lt;$B195,"-",$E195))</f>
        <v>-</v>
      </c>
      <c r="BZ195" s="15" t="str">
        <f t="shared" si="11762"/>
        <v>-</v>
      </c>
      <c r="CA195" s="1" t="str" cm="1">
        <f t="array" ref="CA195">IF(InfGog3LevelCurrent&gt;=$B195,"-",IF(InfGog3LevelDesired&lt;$B195,"-",$D195))</f>
        <v>-</v>
      </c>
      <c r="CB195" s="21" t="str" cm="1">
        <f t="array" ref="CB195">IF(InfGog3LevelCurrent&gt;=$B195,"-",IF(InfGog3LevelDesired&lt;$B195,"-",$E195))</f>
        <v>-</v>
      </c>
      <c r="CC195" s="15" t="str">
        <f t="shared" si="11763"/>
        <v>-</v>
      </c>
      <c r="CD195" s="1" t="str">
        <f t="shared" si="11764"/>
        <v>-</v>
      </c>
      <c r="CE195" s="21" t="str">
        <f t="shared" si="11765"/>
        <v>-</v>
      </c>
      <c r="CF195" s="15" t="str">
        <f t="shared" si="11766"/>
        <v>-</v>
      </c>
      <c r="CG195" s="1" t="str">
        <f t="shared" si="11767"/>
        <v>-</v>
      </c>
      <c r="CH195" s="21" t="str">
        <f t="shared" si="11768"/>
        <v>-</v>
      </c>
      <c r="CI195" s="15" t="str">
        <f t="shared" si="11769"/>
        <v>-</v>
      </c>
      <c r="CJ195" s="1" t="str">
        <f t="shared" si="11770"/>
        <v>-</v>
      </c>
      <c r="CK195" s="21" t="str">
        <f t="shared" si="11771"/>
        <v>-</v>
      </c>
      <c r="CL195" s="15" t="str">
        <f t="shared" si="11772"/>
        <v>-</v>
      </c>
      <c r="CM195" s="1" t="str">
        <f t="shared" si="11773"/>
        <v>-</v>
      </c>
      <c r="CN195" s="21" t="str">
        <f t="shared" si="11774"/>
        <v>-</v>
      </c>
      <c r="CO195" s="15" t="str">
        <f t="shared" si="11775"/>
        <v>-</v>
      </c>
      <c r="CP195" s="1" t="str">
        <f t="shared" si="11776"/>
        <v>-</v>
      </c>
      <c r="CQ195" s="21" t="str">
        <f t="shared" si="11777"/>
        <v>-</v>
      </c>
      <c r="CR195" s="15" t="str">
        <f t="shared" si="11778"/>
        <v>-</v>
      </c>
      <c r="CS195" s="1" t="str">
        <f t="shared" si="11779"/>
        <v>-</v>
      </c>
      <c r="CT195" s="21" t="str">
        <f t="shared" si="11780"/>
        <v>-</v>
      </c>
      <c r="CU195" s="15" t="str">
        <f t="shared" si="11781"/>
        <v>-</v>
      </c>
      <c r="CV195" s="1" t="str">
        <f t="shared" si="11782"/>
        <v>-</v>
      </c>
      <c r="CW195" s="21" t="str">
        <f t="shared" si="11783"/>
        <v>-</v>
      </c>
      <c r="CX195" s="15" t="str">
        <f t="shared" si="11784"/>
        <v>-</v>
      </c>
      <c r="CY195" s="1" t="str">
        <f t="shared" si="11785"/>
        <v>-</v>
      </c>
      <c r="CZ195" s="21" t="str">
        <f t="shared" si="11786"/>
        <v>-</v>
      </c>
      <c r="DA195" s="15" t="str">
        <f t="shared" si="11787"/>
        <v>-</v>
      </c>
      <c r="DB195" s="1" t="str">
        <f t="shared" si="11788"/>
        <v>-</v>
      </c>
      <c r="DC195" s="21" t="str">
        <f t="shared" si="11789"/>
        <v>-</v>
      </c>
      <c r="DD195" s="15" t="str">
        <f t="shared" si="11790"/>
        <v>-</v>
      </c>
      <c r="DE195" s="1" t="str">
        <f t="shared" si="11791"/>
        <v>-</v>
      </c>
      <c r="DF195" s="21" t="str">
        <f t="shared" si="11792"/>
        <v>-</v>
      </c>
      <c r="DG195" s="15" t="str">
        <f t="shared" si="11793"/>
        <v>-</v>
      </c>
      <c r="DH195" s="1" t="str">
        <f t="shared" si="11794"/>
        <v>-</v>
      </c>
      <c r="DI195" s="21" t="str">
        <f t="shared" si="11795"/>
        <v>-</v>
      </c>
    </row>
    <row r="196" spans="2:113" x14ac:dyDescent="0.3">
      <c r="B196" s="1">
        <v>191</v>
      </c>
      <c r="C196" s="67">
        <v>8500</v>
      </c>
      <c r="D196" s="88" t="s">
        <v>27</v>
      </c>
      <c r="E196" s="68" t="s">
        <v>27</v>
      </c>
      <c r="F196" s="15" t="str">
        <f t="shared" ref="F196" si="13884">IF(InfGog1LevelCurrent&gt;=$B196,"-",IF(InfGog1LevelDesired&lt;$B196,"-",$C196))</f>
        <v>-</v>
      </c>
      <c r="G196" s="1" t="str">
        <f t="shared" ref="G196" si="13885">IF(InfGog1LevelCurrent&gt;=$B196,"-",IF(InfGog1LevelDesired&lt;$B196,"-",$D196))</f>
        <v>-</v>
      </c>
      <c r="H196" s="21" t="str">
        <f t="shared" ref="H196" si="13886">IF(InfGog1LevelCurrent&gt;=$B196,"-",IF(InfGog1LevelDesired&lt;$B196,"-",$E196))</f>
        <v>-</v>
      </c>
      <c r="I196" s="15" t="str">
        <f t="shared" ref="I196" si="13887">IF(InfGlo1LevelCurrent&gt;=$B196,"-",IF(InfGlo1LevelDesired&lt;$B196,"-",$C196))</f>
        <v>-</v>
      </c>
      <c r="J196" s="1" t="str">
        <f t="shared" ref="J196" si="13888">IF(InfGlo1LevelCurrent&gt;=$B196,"-",IF(InfGlo1LevelDesired&lt;$B196,"-",$D196))</f>
        <v>-</v>
      </c>
      <c r="K196" s="21" t="str">
        <f t="shared" ref="K196" si="13889">IF(InfGlo1LevelCurrent&gt;=$B196,"-",IF(InfGlo1LevelDesired&lt;$B196,"-",$E196))</f>
        <v>-</v>
      </c>
      <c r="L196" s="15" t="str">
        <f t="shared" ref="L196" si="13890">IF(InfBel1LevelCurrent&gt;=$B196,"-",IF(InfBel1LevelDesired&lt;$B196,"-",$C196))</f>
        <v>-</v>
      </c>
      <c r="M196" s="1" t="str">
        <f t="shared" ref="M196" si="13891">IF(InfBel1LevelCurrent&gt;=$B196,"-",IF(InfBel1LevelDesired&lt;$B196,"-",$D196))</f>
        <v>-</v>
      </c>
      <c r="N196" s="21" t="str">
        <f t="shared" ref="N196" si="13892">IF(InfBel1LevelCurrent&gt;=$B196,"-",IF(InfBel1LevelDesired&lt;$B196,"-",$E196))</f>
        <v>-</v>
      </c>
      <c r="O196" s="15" t="str">
        <f t="shared" ref="O196" si="13893">IF(InfBoo1LevelCurrent&gt;=$B196,"-",IF(InfBoo1LevelDesired&lt;$B196,"-",$C196))</f>
        <v>-</v>
      </c>
      <c r="P196" s="1" t="str">
        <f t="shared" ref="P196" si="13894">IF(InfBoo1LevelCurrent&gt;=$B196,"-",IF(InfBoo1LevelDesired&lt;$B196,"-",$D196))</f>
        <v>-</v>
      </c>
      <c r="Q196" s="21" t="str">
        <f t="shared" ref="Q196" si="13895">IF(InfBoo1LevelCurrent&gt;=$B196,"-",IF(InfBoo1LevelDesired&lt;$B196,"-",$E196))</f>
        <v>-</v>
      </c>
      <c r="R196" s="15" t="str">
        <f t="shared" ref="R196" si="13896">IF(LanGog1LevelCurrent&gt;=$B196,"-",IF(LanGog1LevelDesired&lt;$B196,"-",$C196))</f>
        <v>-</v>
      </c>
      <c r="S196" s="1" t="str">
        <f t="shared" ref="S196" si="13897">IF(LanGog1LevelCurrent&gt;=$B196,"-",IF(LanGog1LevelDesired&lt;$B196,"-",$D196))</f>
        <v>-</v>
      </c>
      <c r="T196" s="21" t="str">
        <f t="shared" ref="T196" si="13898">IF(LanGog1LevelCurrent&gt;=$B196,"-",IF(LanGog1LevelDesired&lt;$B196,"-",$E196))</f>
        <v>-</v>
      </c>
      <c r="U196" s="15" t="str">
        <f t="shared" ref="U196" si="13899">IF(LanGlo1LevelCurrent&gt;=$B196,"-",IF(LanGlo1LevelDesired&lt;$B196,"-",$C196))</f>
        <v>-</v>
      </c>
      <c r="V196" s="1" t="str">
        <f t="shared" ref="V196" si="13900">IF(LanGlo1LevelCurrent&gt;=$B196,"-",IF(LanGlo1LevelDesired&lt;$B196,"-",$D196))</f>
        <v>-</v>
      </c>
      <c r="W196" s="21" t="str">
        <f t="shared" ref="W196" si="13901">IF(LanGlo1LevelCurrent&gt;=$B196,"-",IF(LanGlo1LevelDesired&lt;$B196,"-",$E196))</f>
        <v>-</v>
      </c>
      <c r="X196" s="15" t="str">
        <f t="shared" ref="X196" si="13902">IF(LanBel1LevelCurrent&gt;=$B196,"-",IF(LanBel1LevelDesired&lt;$B196,"-",$C196))</f>
        <v>-</v>
      </c>
      <c r="Y196" s="1" t="str">
        <f t="shared" ref="Y196" si="13903">IF(LanBel1LevelCurrent&gt;=$B196,"-",IF(LanBel1LevelDesired&lt;$B196,"-",$D196))</f>
        <v>-</v>
      </c>
      <c r="Z196" s="21" t="str">
        <f t="shared" ref="Z196" si="13904">IF(LanBel1LevelCurrent&gt;=$B196,"-",IF(LanBel1LevelDesired&lt;$B196,"-",$E196))</f>
        <v>-</v>
      </c>
      <c r="AA196" s="15" t="str">
        <f t="shared" ref="AA196" si="13905">IF(LanBoo1LevelCurrent&gt;=$B196,"-",IF(LanBoo1LevelDesired&lt;$B196,"-",$C196))</f>
        <v>-</v>
      </c>
      <c r="AB196" s="1" t="str">
        <f t="shared" ref="AB196" si="13906">IF(LanBoo1LevelCurrent&gt;=$B196,"-",IF(LanBoo1LevelDesired&lt;$B196,"-",$D196))</f>
        <v>-</v>
      </c>
      <c r="AC196" s="21" t="str">
        <f t="shared" ref="AC196" si="13907">IF(LanBoo1LevelCurrent&gt;=$B196,"-",IF(LanBoo1LevelDesired&lt;$B196,"-",$E196))</f>
        <v>-</v>
      </c>
      <c r="AD196" s="15" t="str">
        <f t="shared" ref="AD196" si="13908">IF(MarGog1LevelCurrent&gt;=$B196,"-",IF(MarGog1LevelDesired&lt;$B196,"-",$C196))</f>
        <v>-</v>
      </c>
      <c r="AE196" s="1" t="str">
        <f t="shared" ref="AE196" si="13909">IF(MarGog1LevelCurrent&gt;=$B196,"-",IF(MarGog1LevelDesired&lt;$B196,"-",$D196))</f>
        <v>-</v>
      </c>
      <c r="AF196" s="21" t="str">
        <f t="shared" ref="AF196" si="13910">IF(MarGog1LevelCurrent&gt;=$B196,"-",IF(MarGog1LevelDesired&lt;$B196,"-",$E196))</f>
        <v>-</v>
      </c>
      <c r="AG196" s="15" t="str">
        <f t="shared" ref="AG196" si="13911">IF(MarGlo1LevelCurrent&gt;=$B196,"-",IF(MarGlo1LevelDesired&lt;$B196,"-",$C196))</f>
        <v>-</v>
      </c>
      <c r="AH196" s="1" t="str">
        <f t="shared" ref="AH196" si="13912">IF(MarGlo1LevelCurrent&gt;=$B196,"-",IF(MarGlo1LevelDesired&lt;$B196,"-",$D196))</f>
        <v>-</v>
      </c>
      <c r="AI196" s="21" t="str">
        <f t="shared" ref="AI196" si="13913">IF(MarGlo1LevelCurrent&gt;=$B196,"-",IF(MarGlo1LevelDesired&lt;$B196,"-",$E196))</f>
        <v>-</v>
      </c>
      <c r="AJ196" s="15" t="str">
        <f t="shared" ref="AJ196" si="13914">IF(MarBel1LevelCurrent&gt;=$B196,"-",IF(MarBel1LevelDesired&lt;$B196,"-",$C196))</f>
        <v>-</v>
      </c>
      <c r="AK196" s="1" t="str">
        <f t="shared" ref="AK196" si="13915">IF(MarBel1LevelCurrent&gt;=$B196,"-",IF(MarBel1LevelDesired&lt;$B196,"-",$D196))</f>
        <v>-</v>
      </c>
      <c r="AL196" s="21" t="str">
        <f t="shared" ref="AL196" si="13916">IF(MarBel1LevelCurrent&gt;=$B196,"-",IF(MarBel1LevelDesired&lt;$B196,"-",$E196))</f>
        <v>-</v>
      </c>
      <c r="AM196" s="15" t="str">
        <f t="shared" ref="AM196" si="13917">IF(MarBoo1LevelCurrent&gt;=$B196,"-",IF(MarBoo1LevelDesired&lt;$B196,"-",$C196))</f>
        <v>-</v>
      </c>
      <c r="AN196" s="1" t="str">
        <f t="shared" ref="AN196" si="13918">IF(MarBoo1LevelCurrent&gt;=$B196,"-",IF(MarBoo1LevelDesired&lt;$B196,"-",$D196))</f>
        <v>-</v>
      </c>
      <c r="AO196" s="21" t="str">
        <f t="shared" ref="AO196" si="13919">IF(MarBoo1LevelCurrent&gt;=$B196,"-",IF(MarBoo1LevelDesired&lt;$B196,"-",$E196))</f>
        <v>-</v>
      </c>
      <c r="AP196" s="15" t="str">
        <f t="shared" ref="AP196" si="13920">IF(InfGog2LevelCurrent&gt;=$B196,"-",IF(InfGog2LevelDesired&lt;$B196,"-",$C196))</f>
        <v>-</v>
      </c>
      <c r="AQ196" s="1" t="str">
        <f t="shared" ref="AQ196" si="13921">IF(InfGog2LevelCurrent&gt;=$B196,"-",IF(InfGog2LevelDesired&lt;$B196,"-",$D196))</f>
        <v>-</v>
      </c>
      <c r="AR196" s="21" t="str">
        <f t="shared" ref="AR196" si="13922">IF(InfGog2LevelCurrent&gt;=$B196,"-",IF(InfGog2LevelDesired&lt;$B196,"-",$E196))</f>
        <v>-</v>
      </c>
      <c r="AS196" s="15" t="str">
        <f t="shared" ref="AS196" si="13923">IF(InfGlo2LevelCurrent&gt;=$B196,"-",IF(InfGlo2LevelDesired&lt;$B196,"-",$C196))</f>
        <v>-</v>
      </c>
      <c r="AT196" s="1" t="str">
        <f t="shared" ref="AT196" si="13924">IF(InfGlo2LevelCurrent&gt;=$B196,"-",IF(InfGlo2LevelDesired&lt;$B196,"-",$D196))</f>
        <v>-</v>
      </c>
      <c r="AU196" s="21" t="str">
        <f t="shared" ref="AU196" si="13925">IF(InfGlo2LevelCurrent&gt;=$B196,"-",IF(InfGlo2LevelDesired&lt;$B196,"-",$E196))</f>
        <v>-</v>
      </c>
      <c r="AV196" s="15" t="str">
        <f t="shared" ref="AV196" si="13926">IF(InfBel2LevelCurrent&gt;=$B196,"-",IF(InfBel2LevelDesired&lt;$B196,"-",$C196))</f>
        <v>-</v>
      </c>
      <c r="AW196" s="1" t="str">
        <f t="shared" ref="AW196" si="13927">IF(InfBel2LevelCurrent&gt;=$B196,"-",IF(InfBel2LevelDesired&lt;$B196,"-",$D196))</f>
        <v>-</v>
      </c>
      <c r="AX196" s="21" t="str">
        <f t="shared" ref="AX196" si="13928">IF(InfBel2LevelCurrent&gt;=$B196,"-",IF(InfBel2LevelDesired&lt;$B196,"-",$E196))</f>
        <v>-</v>
      </c>
      <c r="AY196" s="15" t="str">
        <f t="shared" ref="AY196" si="13929">IF(InfBoo2LevelCurrent&gt;=$B196,"-",IF(InfBoo2LevelDesired&lt;$B196,"-",$C196))</f>
        <v>-</v>
      </c>
      <c r="AZ196" s="1" t="str">
        <f t="shared" ref="AZ196" si="13930">IF(InfBoo2LevelCurrent&gt;=$B196,"-",IF(InfBoo2LevelDesired&lt;$B196,"-",$D196))</f>
        <v>-</v>
      </c>
      <c r="BA196" s="21" t="str">
        <f t="shared" ref="BA196" si="13931">IF(InfBoo2LevelCurrent&gt;=$B196,"-",IF(InfBoo2LevelDesired&lt;$B196,"-",$E196))</f>
        <v>-</v>
      </c>
      <c r="BB196" s="15" t="str">
        <f t="shared" ref="BB196" si="13932">IF(LanGog2LevelCurrent&gt;=$B196,"-",IF(LanGog2LevelDesired&lt;$B196,"-",$C196))</f>
        <v>-</v>
      </c>
      <c r="BC196" s="1" t="str">
        <f t="shared" ref="BC196" si="13933">IF(LanGog2LevelCurrent&gt;=$B196,"-",IF(LanGog2LevelDesired&lt;$B196,"-",$D196))</f>
        <v>-</v>
      </c>
      <c r="BD196" s="21" t="str">
        <f t="shared" ref="BD196" si="13934">IF(LanGog2LevelCurrent&gt;=$B196,"-",IF(LanGog2LevelDesired&lt;$B196,"-",$E196))</f>
        <v>-</v>
      </c>
      <c r="BE196" s="15" t="str">
        <f t="shared" ref="BE196" si="13935">IF(LanGlo2LevelCurrent&gt;=$B196,"-",IF(LanGlo2LevelDesired&lt;$B196,"-",$C196))</f>
        <v>-</v>
      </c>
      <c r="BF196" s="1" t="str">
        <f t="shared" ref="BF196" si="13936">IF(LanGlo2LevelCurrent&gt;=$B196,"-",IF(LanGlo2LevelDesired&lt;$B196,"-",$D196))</f>
        <v>-</v>
      </c>
      <c r="BG196" s="21" t="str">
        <f t="shared" ref="BG196" si="13937">IF(LanGlo2LevelCurrent&gt;=$B196,"-",IF(LanGlo2LevelDesired&lt;$B196,"-",$E196))</f>
        <v>-</v>
      </c>
      <c r="BH196" s="15" t="str">
        <f t="shared" ref="BH196" si="13938">IF(LanBel2LevelCurrent&gt;=$B196,"-",IF(LanBel2LevelDesired&lt;$B196,"-",$C196))</f>
        <v>-</v>
      </c>
      <c r="BI196" s="1" t="str">
        <f t="shared" ref="BI196" si="13939">IF(LanBel2LevelCurrent&gt;=$B196,"-",IF(LanBel2LevelDesired&lt;$B196,"-",$D196))</f>
        <v>-</v>
      </c>
      <c r="BJ196" s="21" t="str">
        <f t="shared" ref="BJ196" si="13940">IF(LanBel2LevelCurrent&gt;=$B196,"-",IF(LanBel2LevelDesired&lt;$B196,"-",$E196))</f>
        <v>-</v>
      </c>
      <c r="BK196" s="15" t="str">
        <f t="shared" ref="BK196" si="13941">IF(LanBoo2LevelCurrent&gt;=$B196,"-",IF(LanBoo2LevelDesired&lt;$B196,"-",$C196))</f>
        <v>-</v>
      </c>
      <c r="BL196" s="1" t="str">
        <f t="shared" ref="BL196" si="13942">IF(LanBoo2LevelCurrent&gt;=$B196,"-",IF(LanBoo2LevelDesired&lt;$B196,"-",$D196))</f>
        <v>-</v>
      </c>
      <c r="BM196" s="21" t="str">
        <f t="shared" ref="BM196" si="13943">IF(LanBoo2LevelCurrent&gt;=$B196,"-",IF(LanBoo2LevelDesired&lt;$B196,"-",$E196))</f>
        <v>-</v>
      </c>
      <c r="BN196" s="15" t="str">
        <f t="shared" ref="BN196" si="13944">IF(MarGog2LevelCurrent&gt;=$B196,"-",IF(MarGog2LevelDesired&lt;$B196,"-",$C196))</f>
        <v>-</v>
      </c>
      <c r="BO196" s="1" t="str">
        <f t="shared" ref="BO196" si="13945">IF(MarGog2LevelCurrent&gt;=$B196,"-",IF(MarGog2LevelDesired&lt;$B196,"-",$D196))</f>
        <v>-</v>
      </c>
      <c r="BP196" s="21" t="str">
        <f t="shared" ref="BP196" si="13946">IF(MarGog2LevelCurrent&gt;=$B196,"-",IF(MarGog2LevelDesired&lt;$B196,"-",$E196))</f>
        <v>-</v>
      </c>
      <c r="BQ196" s="15" t="str">
        <f t="shared" ref="BQ196" si="13947">IF(MarGlo2LevelCurrent&gt;=$B196,"-",IF(MarGlo2LevelDesired&lt;$B196,"-",$C196))</f>
        <v>-</v>
      </c>
      <c r="BR196" s="1" t="str">
        <f t="shared" ref="BR196" si="13948">IF(MarGlo2LevelCurrent&gt;=$B196,"-",IF(MarGlo2LevelDesired&lt;$B196,"-",$D196))</f>
        <v>-</v>
      </c>
      <c r="BS196" s="21" t="str">
        <f t="shared" ref="BS196" si="13949">IF(MarGlo2LevelCurrent&gt;=$B196,"-",IF(MarGlo2LevelDesired&lt;$B196,"-",$E196))</f>
        <v>-</v>
      </c>
      <c r="BT196" s="15" t="str">
        <f t="shared" ref="BT196" si="13950">IF(MarBel2LevelCurrent&gt;=$B196,"-",IF(MarBel2LevelDesired&lt;$B196,"-",$C196))</f>
        <v>-</v>
      </c>
      <c r="BU196" s="1" t="str">
        <f t="shared" ref="BU196" si="13951">IF(MarBel2LevelCurrent&gt;=$B196,"-",IF(MarBel2LevelDesired&lt;$B196,"-",$D196))</f>
        <v>-</v>
      </c>
      <c r="BV196" s="21" t="str">
        <f t="shared" ref="BV196" si="13952">IF(MarBel2LevelCurrent&gt;=$B196,"-",IF(MarBel2LevelDesired&lt;$B196,"-",$E196))</f>
        <v>-</v>
      </c>
      <c r="BW196" s="15" t="str">
        <f t="shared" ref="BW196" si="13953">IF(MarBoo2LevelCurrent&gt;=$B196,"-",IF(MarBoo2LevelDesired&lt;$B196,"-",$C196))</f>
        <v>-</v>
      </c>
      <c r="BX196" s="1" t="str">
        <f t="shared" ref="BX196" si="13954">IF(MarBoo2LevelCurrent&gt;=$B196,"-",IF(MarBoo2LevelDesired&lt;$B196,"-",$D196))</f>
        <v>-</v>
      </c>
      <c r="BY196" s="21" t="str">
        <f t="shared" ref="BY196" si="13955">IF(MarBoo2LevelCurrent&gt;=$B196,"-",IF(MarBoo2LevelDesired&lt;$B196,"-",$E196))</f>
        <v>-</v>
      </c>
      <c r="BZ196" s="15" t="str">
        <f t="shared" si="11762"/>
        <v>-</v>
      </c>
      <c r="CA196" s="1" t="str" cm="1">
        <f t="array" ref="CA196">IF(InfGog3LevelCurrent&gt;=$B196,"-",IF(InfGog3LevelDesired&lt;$B196,"-",$D196))</f>
        <v>-</v>
      </c>
      <c r="CB196" s="21" t="str" cm="1">
        <f t="array" ref="CB196">IF(InfGog3LevelCurrent&gt;=$B196,"-",IF(InfGog3LevelDesired&lt;$B196,"-",$E196))</f>
        <v>-</v>
      </c>
      <c r="CC196" s="15" t="str">
        <f t="shared" si="11763"/>
        <v>-</v>
      </c>
      <c r="CD196" s="1" t="str">
        <f t="shared" si="11764"/>
        <v>-</v>
      </c>
      <c r="CE196" s="21" t="str">
        <f t="shared" si="11765"/>
        <v>-</v>
      </c>
      <c r="CF196" s="15" t="str">
        <f t="shared" si="11766"/>
        <v>-</v>
      </c>
      <c r="CG196" s="1" t="str">
        <f t="shared" si="11767"/>
        <v>-</v>
      </c>
      <c r="CH196" s="21" t="str">
        <f t="shared" si="11768"/>
        <v>-</v>
      </c>
      <c r="CI196" s="15" t="str">
        <f t="shared" si="11769"/>
        <v>-</v>
      </c>
      <c r="CJ196" s="1" t="str">
        <f t="shared" si="11770"/>
        <v>-</v>
      </c>
      <c r="CK196" s="21" t="str">
        <f t="shared" si="11771"/>
        <v>-</v>
      </c>
      <c r="CL196" s="15" t="str">
        <f t="shared" si="11772"/>
        <v>-</v>
      </c>
      <c r="CM196" s="1" t="str">
        <f t="shared" si="11773"/>
        <v>-</v>
      </c>
      <c r="CN196" s="21" t="str">
        <f t="shared" si="11774"/>
        <v>-</v>
      </c>
      <c r="CO196" s="15" t="str">
        <f t="shared" si="11775"/>
        <v>-</v>
      </c>
      <c r="CP196" s="1" t="str">
        <f t="shared" si="11776"/>
        <v>-</v>
      </c>
      <c r="CQ196" s="21" t="str">
        <f t="shared" si="11777"/>
        <v>-</v>
      </c>
      <c r="CR196" s="15" t="str">
        <f t="shared" si="11778"/>
        <v>-</v>
      </c>
      <c r="CS196" s="1" t="str">
        <f t="shared" si="11779"/>
        <v>-</v>
      </c>
      <c r="CT196" s="21" t="str">
        <f t="shared" si="11780"/>
        <v>-</v>
      </c>
      <c r="CU196" s="15" t="str">
        <f t="shared" si="11781"/>
        <v>-</v>
      </c>
      <c r="CV196" s="1" t="str">
        <f t="shared" si="11782"/>
        <v>-</v>
      </c>
      <c r="CW196" s="21" t="str">
        <f t="shared" si="11783"/>
        <v>-</v>
      </c>
      <c r="CX196" s="15" t="str">
        <f t="shared" si="11784"/>
        <v>-</v>
      </c>
      <c r="CY196" s="1" t="str">
        <f t="shared" si="11785"/>
        <v>-</v>
      </c>
      <c r="CZ196" s="21" t="str">
        <f t="shared" si="11786"/>
        <v>-</v>
      </c>
      <c r="DA196" s="15" t="str">
        <f t="shared" si="11787"/>
        <v>-</v>
      </c>
      <c r="DB196" s="1" t="str">
        <f t="shared" si="11788"/>
        <v>-</v>
      </c>
      <c r="DC196" s="21" t="str">
        <f t="shared" si="11789"/>
        <v>-</v>
      </c>
      <c r="DD196" s="15" t="str">
        <f t="shared" si="11790"/>
        <v>-</v>
      </c>
      <c r="DE196" s="1" t="str">
        <f t="shared" si="11791"/>
        <v>-</v>
      </c>
      <c r="DF196" s="21" t="str">
        <f t="shared" si="11792"/>
        <v>-</v>
      </c>
      <c r="DG196" s="15" t="str">
        <f t="shared" si="11793"/>
        <v>-</v>
      </c>
      <c r="DH196" s="1" t="str">
        <f t="shared" si="11794"/>
        <v>-</v>
      </c>
      <c r="DI196" s="21" t="str">
        <f t="shared" si="11795"/>
        <v>-</v>
      </c>
    </row>
    <row r="197" spans="2:113" x14ac:dyDescent="0.3">
      <c r="B197" s="1">
        <v>192</v>
      </c>
      <c r="C197" s="67">
        <v>8600</v>
      </c>
      <c r="D197" s="88" t="s">
        <v>27</v>
      </c>
      <c r="E197" s="68" t="s">
        <v>27</v>
      </c>
      <c r="F197" s="15" t="str">
        <f t="shared" ref="F197" si="13956">IF(InfGog1LevelCurrent&gt;=$B197,"-",IF(InfGog1LevelDesired&lt;$B197,"-",$C197))</f>
        <v>-</v>
      </c>
      <c r="G197" s="1" t="str">
        <f t="shared" ref="G197" si="13957">IF(InfGog1LevelCurrent&gt;=$B197,"-",IF(InfGog1LevelDesired&lt;$B197,"-",$D197))</f>
        <v>-</v>
      </c>
      <c r="H197" s="21" t="str">
        <f t="shared" ref="H197" si="13958">IF(InfGog1LevelCurrent&gt;=$B197,"-",IF(InfGog1LevelDesired&lt;$B197,"-",$E197))</f>
        <v>-</v>
      </c>
      <c r="I197" s="15" t="str">
        <f t="shared" ref="I197" si="13959">IF(InfGlo1LevelCurrent&gt;=$B197,"-",IF(InfGlo1LevelDesired&lt;$B197,"-",$C197))</f>
        <v>-</v>
      </c>
      <c r="J197" s="1" t="str">
        <f t="shared" ref="J197" si="13960">IF(InfGlo1LevelCurrent&gt;=$B197,"-",IF(InfGlo1LevelDesired&lt;$B197,"-",$D197))</f>
        <v>-</v>
      </c>
      <c r="K197" s="21" t="str">
        <f t="shared" ref="K197" si="13961">IF(InfGlo1LevelCurrent&gt;=$B197,"-",IF(InfGlo1LevelDesired&lt;$B197,"-",$E197))</f>
        <v>-</v>
      </c>
      <c r="L197" s="15" t="str">
        <f t="shared" ref="L197" si="13962">IF(InfBel1LevelCurrent&gt;=$B197,"-",IF(InfBel1LevelDesired&lt;$B197,"-",$C197))</f>
        <v>-</v>
      </c>
      <c r="M197" s="1" t="str">
        <f t="shared" ref="M197" si="13963">IF(InfBel1LevelCurrent&gt;=$B197,"-",IF(InfBel1LevelDesired&lt;$B197,"-",$D197))</f>
        <v>-</v>
      </c>
      <c r="N197" s="21" t="str">
        <f t="shared" ref="N197" si="13964">IF(InfBel1LevelCurrent&gt;=$B197,"-",IF(InfBel1LevelDesired&lt;$B197,"-",$E197))</f>
        <v>-</v>
      </c>
      <c r="O197" s="15" t="str">
        <f t="shared" ref="O197" si="13965">IF(InfBoo1LevelCurrent&gt;=$B197,"-",IF(InfBoo1LevelDesired&lt;$B197,"-",$C197))</f>
        <v>-</v>
      </c>
      <c r="P197" s="1" t="str">
        <f t="shared" ref="P197" si="13966">IF(InfBoo1LevelCurrent&gt;=$B197,"-",IF(InfBoo1LevelDesired&lt;$B197,"-",$D197))</f>
        <v>-</v>
      </c>
      <c r="Q197" s="21" t="str">
        <f t="shared" ref="Q197" si="13967">IF(InfBoo1LevelCurrent&gt;=$B197,"-",IF(InfBoo1LevelDesired&lt;$B197,"-",$E197))</f>
        <v>-</v>
      </c>
      <c r="R197" s="15" t="str">
        <f t="shared" ref="R197" si="13968">IF(LanGog1LevelCurrent&gt;=$B197,"-",IF(LanGog1LevelDesired&lt;$B197,"-",$C197))</f>
        <v>-</v>
      </c>
      <c r="S197" s="1" t="str">
        <f t="shared" ref="S197" si="13969">IF(LanGog1LevelCurrent&gt;=$B197,"-",IF(LanGog1LevelDesired&lt;$B197,"-",$D197))</f>
        <v>-</v>
      </c>
      <c r="T197" s="21" t="str">
        <f t="shared" ref="T197" si="13970">IF(LanGog1LevelCurrent&gt;=$B197,"-",IF(LanGog1LevelDesired&lt;$B197,"-",$E197))</f>
        <v>-</v>
      </c>
      <c r="U197" s="15" t="str">
        <f t="shared" ref="U197" si="13971">IF(LanGlo1LevelCurrent&gt;=$B197,"-",IF(LanGlo1LevelDesired&lt;$B197,"-",$C197))</f>
        <v>-</v>
      </c>
      <c r="V197" s="1" t="str">
        <f t="shared" ref="V197" si="13972">IF(LanGlo1LevelCurrent&gt;=$B197,"-",IF(LanGlo1LevelDesired&lt;$B197,"-",$D197))</f>
        <v>-</v>
      </c>
      <c r="W197" s="21" t="str">
        <f t="shared" ref="W197" si="13973">IF(LanGlo1LevelCurrent&gt;=$B197,"-",IF(LanGlo1LevelDesired&lt;$B197,"-",$E197))</f>
        <v>-</v>
      </c>
      <c r="X197" s="15" t="str">
        <f t="shared" ref="X197" si="13974">IF(LanBel1LevelCurrent&gt;=$B197,"-",IF(LanBel1LevelDesired&lt;$B197,"-",$C197))</f>
        <v>-</v>
      </c>
      <c r="Y197" s="1" t="str">
        <f t="shared" ref="Y197" si="13975">IF(LanBel1LevelCurrent&gt;=$B197,"-",IF(LanBel1LevelDesired&lt;$B197,"-",$D197))</f>
        <v>-</v>
      </c>
      <c r="Z197" s="21" t="str">
        <f t="shared" ref="Z197" si="13976">IF(LanBel1LevelCurrent&gt;=$B197,"-",IF(LanBel1LevelDesired&lt;$B197,"-",$E197))</f>
        <v>-</v>
      </c>
      <c r="AA197" s="15" t="str">
        <f t="shared" ref="AA197" si="13977">IF(LanBoo1LevelCurrent&gt;=$B197,"-",IF(LanBoo1LevelDesired&lt;$B197,"-",$C197))</f>
        <v>-</v>
      </c>
      <c r="AB197" s="1" t="str">
        <f t="shared" ref="AB197" si="13978">IF(LanBoo1LevelCurrent&gt;=$B197,"-",IF(LanBoo1LevelDesired&lt;$B197,"-",$D197))</f>
        <v>-</v>
      </c>
      <c r="AC197" s="21" t="str">
        <f t="shared" ref="AC197" si="13979">IF(LanBoo1LevelCurrent&gt;=$B197,"-",IF(LanBoo1LevelDesired&lt;$B197,"-",$E197))</f>
        <v>-</v>
      </c>
      <c r="AD197" s="15" t="str">
        <f t="shared" ref="AD197" si="13980">IF(MarGog1LevelCurrent&gt;=$B197,"-",IF(MarGog1LevelDesired&lt;$B197,"-",$C197))</f>
        <v>-</v>
      </c>
      <c r="AE197" s="1" t="str">
        <f t="shared" ref="AE197" si="13981">IF(MarGog1LevelCurrent&gt;=$B197,"-",IF(MarGog1LevelDesired&lt;$B197,"-",$D197))</f>
        <v>-</v>
      </c>
      <c r="AF197" s="21" t="str">
        <f t="shared" ref="AF197" si="13982">IF(MarGog1LevelCurrent&gt;=$B197,"-",IF(MarGog1LevelDesired&lt;$B197,"-",$E197))</f>
        <v>-</v>
      </c>
      <c r="AG197" s="15" t="str">
        <f t="shared" ref="AG197" si="13983">IF(MarGlo1LevelCurrent&gt;=$B197,"-",IF(MarGlo1LevelDesired&lt;$B197,"-",$C197))</f>
        <v>-</v>
      </c>
      <c r="AH197" s="1" t="str">
        <f t="shared" ref="AH197" si="13984">IF(MarGlo1LevelCurrent&gt;=$B197,"-",IF(MarGlo1LevelDesired&lt;$B197,"-",$D197))</f>
        <v>-</v>
      </c>
      <c r="AI197" s="21" t="str">
        <f t="shared" ref="AI197" si="13985">IF(MarGlo1LevelCurrent&gt;=$B197,"-",IF(MarGlo1LevelDesired&lt;$B197,"-",$E197))</f>
        <v>-</v>
      </c>
      <c r="AJ197" s="15" t="str">
        <f t="shared" ref="AJ197" si="13986">IF(MarBel1LevelCurrent&gt;=$B197,"-",IF(MarBel1LevelDesired&lt;$B197,"-",$C197))</f>
        <v>-</v>
      </c>
      <c r="AK197" s="1" t="str">
        <f t="shared" ref="AK197" si="13987">IF(MarBel1LevelCurrent&gt;=$B197,"-",IF(MarBel1LevelDesired&lt;$B197,"-",$D197))</f>
        <v>-</v>
      </c>
      <c r="AL197" s="21" t="str">
        <f t="shared" ref="AL197" si="13988">IF(MarBel1LevelCurrent&gt;=$B197,"-",IF(MarBel1LevelDesired&lt;$B197,"-",$E197))</f>
        <v>-</v>
      </c>
      <c r="AM197" s="15" t="str">
        <f t="shared" ref="AM197" si="13989">IF(MarBoo1LevelCurrent&gt;=$B197,"-",IF(MarBoo1LevelDesired&lt;$B197,"-",$C197))</f>
        <v>-</v>
      </c>
      <c r="AN197" s="1" t="str">
        <f t="shared" ref="AN197" si="13990">IF(MarBoo1LevelCurrent&gt;=$B197,"-",IF(MarBoo1LevelDesired&lt;$B197,"-",$D197))</f>
        <v>-</v>
      </c>
      <c r="AO197" s="21" t="str">
        <f t="shared" ref="AO197" si="13991">IF(MarBoo1LevelCurrent&gt;=$B197,"-",IF(MarBoo1LevelDesired&lt;$B197,"-",$E197))</f>
        <v>-</v>
      </c>
      <c r="AP197" s="15" t="str">
        <f t="shared" ref="AP197" si="13992">IF(InfGog2LevelCurrent&gt;=$B197,"-",IF(InfGog2LevelDesired&lt;$B197,"-",$C197))</f>
        <v>-</v>
      </c>
      <c r="AQ197" s="1" t="str">
        <f t="shared" ref="AQ197" si="13993">IF(InfGog2LevelCurrent&gt;=$B197,"-",IF(InfGog2LevelDesired&lt;$B197,"-",$D197))</f>
        <v>-</v>
      </c>
      <c r="AR197" s="21" t="str">
        <f t="shared" ref="AR197" si="13994">IF(InfGog2LevelCurrent&gt;=$B197,"-",IF(InfGog2LevelDesired&lt;$B197,"-",$E197))</f>
        <v>-</v>
      </c>
      <c r="AS197" s="15" t="str">
        <f t="shared" ref="AS197" si="13995">IF(InfGlo2LevelCurrent&gt;=$B197,"-",IF(InfGlo2LevelDesired&lt;$B197,"-",$C197))</f>
        <v>-</v>
      </c>
      <c r="AT197" s="1" t="str">
        <f t="shared" ref="AT197" si="13996">IF(InfGlo2LevelCurrent&gt;=$B197,"-",IF(InfGlo2LevelDesired&lt;$B197,"-",$D197))</f>
        <v>-</v>
      </c>
      <c r="AU197" s="21" t="str">
        <f t="shared" ref="AU197" si="13997">IF(InfGlo2LevelCurrent&gt;=$B197,"-",IF(InfGlo2LevelDesired&lt;$B197,"-",$E197))</f>
        <v>-</v>
      </c>
      <c r="AV197" s="15" t="str">
        <f t="shared" ref="AV197" si="13998">IF(InfBel2LevelCurrent&gt;=$B197,"-",IF(InfBel2LevelDesired&lt;$B197,"-",$C197))</f>
        <v>-</v>
      </c>
      <c r="AW197" s="1" t="str">
        <f t="shared" ref="AW197" si="13999">IF(InfBel2LevelCurrent&gt;=$B197,"-",IF(InfBel2LevelDesired&lt;$B197,"-",$D197))</f>
        <v>-</v>
      </c>
      <c r="AX197" s="21" t="str">
        <f t="shared" ref="AX197" si="14000">IF(InfBel2LevelCurrent&gt;=$B197,"-",IF(InfBel2LevelDesired&lt;$B197,"-",$E197))</f>
        <v>-</v>
      </c>
      <c r="AY197" s="15" t="str">
        <f t="shared" ref="AY197" si="14001">IF(InfBoo2LevelCurrent&gt;=$B197,"-",IF(InfBoo2LevelDesired&lt;$B197,"-",$C197))</f>
        <v>-</v>
      </c>
      <c r="AZ197" s="1" t="str">
        <f t="shared" ref="AZ197" si="14002">IF(InfBoo2LevelCurrent&gt;=$B197,"-",IF(InfBoo2LevelDesired&lt;$B197,"-",$D197))</f>
        <v>-</v>
      </c>
      <c r="BA197" s="21" t="str">
        <f t="shared" ref="BA197" si="14003">IF(InfBoo2LevelCurrent&gt;=$B197,"-",IF(InfBoo2LevelDesired&lt;$B197,"-",$E197))</f>
        <v>-</v>
      </c>
      <c r="BB197" s="15" t="str">
        <f t="shared" ref="BB197" si="14004">IF(LanGog2LevelCurrent&gt;=$B197,"-",IF(LanGog2LevelDesired&lt;$B197,"-",$C197))</f>
        <v>-</v>
      </c>
      <c r="BC197" s="1" t="str">
        <f t="shared" ref="BC197" si="14005">IF(LanGog2LevelCurrent&gt;=$B197,"-",IF(LanGog2LevelDesired&lt;$B197,"-",$D197))</f>
        <v>-</v>
      </c>
      <c r="BD197" s="21" t="str">
        <f t="shared" ref="BD197" si="14006">IF(LanGog2LevelCurrent&gt;=$B197,"-",IF(LanGog2LevelDesired&lt;$B197,"-",$E197))</f>
        <v>-</v>
      </c>
      <c r="BE197" s="15" t="str">
        <f t="shared" ref="BE197" si="14007">IF(LanGlo2LevelCurrent&gt;=$B197,"-",IF(LanGlo2LevelDesired&lt;$B197,"-",$C197))</f>
        <v>-</v>
      </c>
      <c r="BF197" s="1" t="str">
        <f t="shared" ref="BF197" si="14008">IF(LanGlo2LevelCurrent&gt;=$B197,"-",IF(LanGlo2LevelDesired&lt;$B197,"-",$D197))</f>
        <v>-</v>
      </c>
      <c r="BG197" s="21" t="str">
        <f t="shared" ref="BG197" si="14009">IF(LanGlo2LevelCurrent&gt;=$B197,"-",IF(LanGlo2LevelDesired&lt;$B197,"-",$E197))</f>
        <v>-</v>
      </c>
      <c r="BH197" s="15" t="str">
        <f t="shared" ref="BH197" si="14010">IF(LanBel2LevelCurrent&gt;=$B197,"-",IF(LanBel2LevelDesired&lt;$B197,"-",$C197))</f>
        <v>-</v>
      </c>
      <c r="BI197" s="1" t="str">
        <f t="shared" ref="BI197" si="14011">IF(LanBel2LevelCurrent&gt;=$B197,"-",IF(LanBel2LevelDesired&lt;$B197,"-",$D197))</f>
        <v>-</v>
      </c>
      <c r="BJ197" s="21" t="str">
        <f t="shared" ref="BJ197" si="14012">IF(LanBel2LevelCurrent&gt;=$B197,"-",IF(LanBel2LevelDesired&lt;$B197,"-",$E197))</f>
        <v>-</v>
      </c>
      <c r="BK197" s="15" t="str">
        <f t="shared" ref="BK197" si="14013">IF(LanBoo2LevelCurrent&gt;=$B197,"-",IF(LanBoo2LevelDesired&lt;$B197,"-",$C197))</f>
        <v>-</v>
      </c>
      <c r="BL197" s="1" t="str">
        <f t="shared" ref="BL197" si="14014">IF(LanBoo2LevelCurrent&gt;=$B197,"-",IF(LanBoo2LevelDesired&lt;$B197,"-",$D197))</f>
        <v>-</v>
      </c>
      <c r="BM197" s="21" t="str">
        <f t="shared" ref="BM197" si="14015">IF(LanBoo2LevelCurrent&gt;=$B197,"-",IF(LanBoo2LevelDesired&lt;$B197,"-",$E197))</f>
        <v>-</v>
      </c>
      <c r="BN197" s="15" t="str">
        <f t="shared" ref="BN197" si="14016">IF(MarGog2LevelCurrent&gt;=$B197,"-",IF(MarGog2LevelDesired&lt;$B197,"-",$C197))</f>
        <v>-</v>
      </c>
      <c r="BO197" s="1" t="str">
        <f t="shared" ref="BO197" si="14017">IF(MarGog2LevelCurrent&gt;=$B197,"-",IF(MarGog2LevelDesired&lt;$B197,"-",$D197))</f>
        <v>-</v>
      </c>
      <c r="BP197" s="21" t="str">
        <f t="shared" ref="BP197" si="14018">IF(MarGog2LevelCurrent&gt;=$B197,"-",IF(MarGog2LevelDesired&lt;$B197,"-",$E197))</f>
        <v>-</v>
      </c>
      <c r="BQ197" s="15" t="str">
        <f t="shared" ref="BQ197" si="14019">IF(MarGlo2LevelCurrent&gt;=$B197,"-",IF(MarGlo2LevelDesired&lt;$B197,"-",$C197))</f>
        <v>-</v>
      </c>
      <c r="BR197" s="1" t="str">
        <f t="shared" ref="BR197" si="14020">IF(MarGlo2LevelCurrent&gt;=$B197,"-",IF(MarGlo2LevelDesired&lt;$B197,"-",$D197))</f>
        <v>-</v>
      </c>
      <c r="BS197" s="21" t="str">
        <f t="shared" ref="BS197" si="14021">IF(MarGlo2LevelCurrent&gt;=$B197,"-",IF(MarGlo2LevelDesired&lt;$B197,"-",$E197))</f>
        <v>-</v>
      </c>
      <c r="BT197" s="15" t="str">
        <f t="shared" ref="BT197" si="14022">IF(MarBel2LevelCurrent&gt;=$B197,"-",IF(MarBel2LevelDesired&lt;$B197,"-",$C197))</f>
        <v>-</v>
      </c>
      <c r="BU197" s="1" t="str">
        <f t="shared" ref="BU197" si="14023">IF(MarBel2LevelCurrent&gt;=$B197,"-",IF(MarBel2LevelDesired&lt;$B197,"-",$D197))</f>
        <v>-</v>
      </c>
      <c r="BV197" s="21" t="str">
        <f t="shared" ref="BV197" si="14024">IF(MarBel2LevelCurrent&gt;=$B197,"-",IF(MarBel2LevelDesired&lt;$B197,"-",$E197))</f>
        <v>-</v>
      </c>
      <c r="BW197" s="15" t="str">
        <f t="shared" ref="BW197" si="14025">IF(MarBoo2LevelCurrent&gt;=$B197,"-",IF(MarBoo2LevelDesired&lt;$B197,"-",$C197))</f>
        <v>-</v>
      </c>
      <c r="BX197" s="1" t="str">
        <f t="shared" ref="BX197" si="14026">IF(MarBoo2LevelCurrent&gt;=$B197,"-",IF(MarBoo2LevelDesired&lt;$B197,"-",$D197))</f>
        <v>-</v>
      </c>
      <c r="BY197" s="21" t="str">
        <f t="shared" ref="BY197" si="14027">IF(MarBoo2LevelCurrent&gt;=$B197,"-",IF(MarBoo2LevelDesired&lt;$B197,"-",$E197))</f>
        <v>-</v>
      </c>
      <c r="BZ197" s="15" t="str">
        <f t="shared" si="11762"/>
        <v>-</v>
      </c>
      <c r="CA197" s="1" t="str" cm="1">
        <f t="array" ref="CA197">IF(InfGog3LevelCurrent&gt;=$B197,"-",IF(InfGog3LevelDesired&lt;$B197,"-",$D197))</f>
        <v>-</v>
      </c>
      <c r="CB197" s="21" t="str" cm="1">
        <f t="array" ref="CB197">IF(InfGog3LevelCurrent&gt;=$B197,"-",IF(InfGog3LevelDesired&lt;$B197,"-",$E197))</f>
        <v>-</v>
      </c>
      <c r="CC197" s="15" t="str">
        <f t="shared" si="11763"/>
        <v>-</v>
      </c>
      <c r="CD197" s="1" t="str">
        <f t="shared" si="11764"/>
        <v>-</v>
      </c>
      <c r="CE197" s="21" t="str">
        <f t="shared" si="11765"/>
        <v>-</v>
      </c>
      <c r="CF197" s="15" t="str">
        <f t="shared" si="11766"/>
        <v>-</v>
      </c>
      <c r="CG197" s="1" t="str">
        <f t="shared" si="11767"/>
        <v>-</v>
      </c>
      <c r="CH197" s="21" t="str">
        <f t="shared" si="11768"/>
        <v>-</v>
      </c>
      <c r="CI197" s="15" t="str">
        <f t="shared" si="11769"/>
        <v>-</v>
      </c>
      <c r="CJ197" s="1" t="str">
        <f t="shared" si="11770"/>
        <v>-</v>
      </c>
      <c r="CK197" s="21" t="str">
        <f t="shared" si="11771"/>
        <v>-</v>
      </c>
      <c r="CL197" s="15" t="str">
        <f t="shared" si="11772"/>
        <v>-</v>
      </c>
      <c r="CM197" s="1" t="str">
        <f t="shared" si="11773"/>
        <v>-</v>
      </c>
      <c r="CN197" s="21" t="str">
        <f t="shared" si="11774"/>
        <v>-</v>
      </c>
      <c r="CO197" s="15" t="str">
        <f t="shared" si="11775"/>
        <v>-</v>
      </c>
      <c r="CP197" s="1" t="str">
        <f t="shared" si="11776"/>
        <v>-</v>
      </c>
      <c r="CQ197" s="21" t="str">
        <f t="shared" si="11777"/>
        <v>-</v>
      </c>
      <c r="CR197" s="15" t="str">
        <f t="shared" si="11778"/>
        <v>-</v>
      </c>
      <c r="CS197" s="1" t="str">
        <f t="shared" si="11779"/>
        <v>-</v>
      </c>
      <c r="CT197" s="21" t="str">
        <f t="shared" si="11780"/>
        <v>-</v>
      </c>
      <c r="CU197" s="15" t="str">
        <f t="shared" si="11781"/>
        <v>-</v>
      </c>
      <c r="CV197" s="1" t="str">
        <f t="shared" si="11782"/>
        <v>-</v>
      </c>
      <c r="CW197" s="21" t="str">
        <f t="shared" si="11783"/>
        <v>-</v>
      </c>
      <c r="CX197" s="15" t="str">
        <f t="shared" si="11784"/>
        <v>-</v>
      </c>
      <c r="CY197" s="1" t="str">
        <f t="shared" si="11785"/>
        <v>-</v>
      </c>
      <c r="CZ197" s="21" t="str">
        <f t="shared" si="11786"/>
        <v>-</v>
      </c>
      <c r="DA197" s="15" t="str">
        <f t="shared" si="11787"/>
        <v>-</v>
      </c>
      <c r="DB197" s="1" t="str">
        <f t="shared" si="11788"/>
        <v>-</v>
      </c>
      <c r="DC197" s="21" t="str">
        <f t="shared" si="11789"/>
        <v>-</v>
      </c>
      <c r="DD197" s="15" t="str">
        <f t="shared" si="11790"/>
        <v>-</v>
      </c>
      <c r="DE197" s="1" t="str">
        <f t="shared" si="11791"/>
        <v>-</v>
      </c>
      <c r="DF197" s="21" t="str">
        <f t="shared" si="11792"/>
        <v>-</v>
      </c>
      <c r="DG197" s="15" t="str">
        <f t="shared" si="11793"/>
        <v>-</v>
      </c>
      <c r="DH197" s="1" t="str">
        <f t="shared" si="11794"/>
        <v>-</v>
      </c>
      <c r="DI197" s="21" t="str">
        <f t="shared" si="11795"/>
        <v>-</v>
      </c>
    </row>
    <row r="198" spans="2:113" x14ac:dyDescent="0.3">
      <c r="B198" s="1">
        <v>193</v>
      </c>
      <c r="C198" s="67">
        <v>8700</v>
      </c>
      <c r="D198" s="88" t="s">
        <v>27</v>
      </c>
      <c r="E198" s="68" t="s">
        <v>27</v>
      </c>
      <c r="F198" s="15" t="str">
        <f t="shared" ref="F198" si="14028">IF(InfGog1LevelCurrent&gt;=$B198,"-",IF(InfGog1LevelDesired&lt;$B198,"-",$C198))</f>
        <v>-</v>
      </c>
      <c r="G198" s="1" t="str">
        <f t="shared" ref="G198" si="14029">IF(InfGog1LevelCurrent&gt;=$B198,"-",IF(InfGog1LevelDesired&lt;$B198,"-",$D198))</f>
        <v>-</v>
      </c>
      <c r="H198" s="21" t="str">
        <f t="shared" ref="H198" si="14030">IF(InfGog1LevelCurrent&gt;=$B198,"-",IF(InfGog1LevelDesired&lt;$B198,"-",$E198))</f>
        <v>-</v>
      </c>
      <c r="I198" s="15" t="str">
        <f t="shared" ref="I198" si="14031">IF(InfGlo1LevelCurrent&gt;=$B198,"-",IF(InfGlo1LevelDesired&lt;$B198,"-",$C198))</f>
        <v>-</v>
      </c>
      <c r="J198" s="1" t="str">
        <f t="shared" ref="J198" si="14032">IF(InfGlo1LevelCurrent&gt;=$B198,"-",IF(InfGlo1LevelDesired&lt;$B198,"-",$D198))</f>
        <v>-</v>
      </c>
      <c r="K198" s="21" t="str">
        <f t="shared" ref="K198" si="14033">IF(InfGlo1LevelCurrent&gt;=$B198,"-",IF(InfGlo1LevelDesired&lt;$B198,"-",$E198))</f>
        <v>-</v>
      </c>
      <c r="L198" s="15" t="str">
        <f t="shared" ref="L198" si="14034">IF(InfBel1LevelCurrent&gt;=$B198,"-",IF(InfBel1LevelDesired&lt;$B198,"-",$C198))</f>
        <v>-</v>
      </c>
      <c r="M198" s="1" t="str">
        <f t="shared" ref="M198" si="14035">IF(InfBel1LevelCurrent&gt;=$B198,"-",IF(InfBel1LevelDesired&lt;$B198,"-",$D198))</f>
        <v>-</v>
      </c>
      <c r="N198" s="21" t="str">
        <f t="shared" ref="N198" si="14036">IF(InfBel1LevelCurrent&gt;=$B198,"-",IF(InfBel1LevelDesired&lt;$B198,"-",$E198))</f>
        <v>-</v>
      </c>
      <c r="O198" s="15" t="str">
        <f t="shared" ref="O198" si="14037">IF(InfBoo1LevelCurrent&gt;=$B198,"-",IF(InfBoo1LevelDesired&lt;$B198,"-",$C198))</f>
        <v>-</v>
      </c>
      <c r="P198" s="1" t="str">
        <f t="shared" ref="P198" si="14038">IF(InfBoo1LevelCurrent&gt;=$B198,"-",IF(InfBoo1LevelDesired&lt;$B198,"-",$D198))</f>
        <v>-</v>
      </c>
      <c r="Q198" s="21" t="str">
        <f t="shared" ref="Q198" si="14039">IF(InfBoo1LevelCurrent&gt;=$B198,"-",IF(InfBoo1LevelDesired&lt;$B198,"-",$E198))</f>
        <v>-</v>
      </c>
      <c r="R198" s="15" t="str">
        <f t="shared" ref="R198" si="14040">IF(LanGog1LevelCurrent&gt;=$B198,"-",IF(LanGog1LevelDesired&lt;$B198,"-",$C198))</f>
        <v>-</v>
      </c>
      <c r="S198" s="1" t="str">
        <f t="shared" ref="S198" si="14041">IF(LanGog1LevelCurrent&gt;=$B198,"-",IF(LanGog1LevelDesired&lt;$B198,"-",$D198))</f>
        <v>-</v>
      </c>
      <c r="T198" s="21" t="str">
        <f t="shared" ref="T198" si="14042">IF(LanGog1LevelCurrent&gt;=$B198,"-",IF(LanGog1LevelDesired&lt;$B198,"-",$E198))</f>
        <v>-</v>
      </c>
      <c r="U198" s="15" t="str">
        <f t="shared" ref="U198" si="14043">IF(LanGlo1LevelCurrent&gt;=$B198,"-",IF(LanGlo1LevelDesired&lt;$B198,"-",$C198))</f>
        <v>-</v>
      </c>
      <c r="V198" s="1" t="str">
        <f t="shared" ref="V198" si="14044">IF(LanGlo1LevelCurrent&gt;=$B198,"-",IF(LanGlo1LevelDesired&lt;$B198,"-",$D198))</f>
        <v>-</v>
      </c>
      <c r="W198" s="21" t="str">
        <f t="shared" ref="W198" si="14045">IF(LanGlo1LevelCurrent&gt;=$B198,"-",IF(LanGlo1LevelDesired&lt;$B198,"-",$E198))</f>
        <v>-</v>
      </c>
      <c r="X198" s="15" t="str">
        <f t="shared" ref="X198" si="14046">IF(LanBel1LevelCurrent&gt;=$B198,"-",IF(LanBel1LevelDesired&lt;$B198,"-",$C198))</f>
        <v>-</v>
      </c>
      <c r="Y198" s="1" t="str">
        <f t="shared" ref="Y198" si="14047">IF(LanBel1LevelCurrent&gt;=$B198,"-",IF(LanBel1LevelDesired&lt;$B198,"-",$D198))</f>
        <v>-</v>
      </c>
      <c r="Z198" s="21" t="str">
        <f t="shared" ref="Z198" si="14048">IF(LanBel1LevelCurrent&gt;=$B198,"-",IF(LanBel1LevelDesired&lt;$B198,"-",$E198))</f>
        <v>-</v>
      </c>
      <c r="AA198" s="15" t="str">
        <f t="shared" ref="AA198" si="14049">IF(LanBoo1LevelCurrent&gt;=$B198,"-",IF(LanBoo1LevelDesired&lt;$B198,"-",$C198))</f>
        <v>-</v>
      </c>
      <c r="AB198" s="1" t="str">
        <f t="shared" ref="AB198" si="14050">IF(LanBoo1LevelCurrent&gt;=$B198,"-",IF(LanBoo1LevelDesired&lt;$B198,"-",$D198))</f>
        <v>-</v>
      </c>
      <c r="AC198" s="21" t="str">
        <f t="shared" ref="AC198" si="14051">IF(LanBoo1LevelCurrent&gt;=$B198,"-",IF(LanBoo1LevelDesired&lt;$B198,"-",$E198))</f>
        <v>-</v>
      </c>
      <c r="AD198" s="15" t="str">
        <f t="shared" ref="AD198" si="14052">IF(MarGog1LevelCurrent&gt;=$B198,"-",IF(MarGog1LevelDesired&lt;$B198,"-",$C198))</f>
        <v>-</v>
      </c>
      <c r="AE198" s="1" t="str">
        <f t="shared" ref="AE198" si="14053">IF(MarGog1LevelCurrent&gt;=$B198,"-",IF(MarGog1LevelDesired&lt;$B198,"-",$D198))</f>
        <v>-</v>
      </c>
      <c r="AF198" s="21" t="str">
        <f t="shared" ref="AF198" si="14054">IF(MarGog1LevelCurrent&gt;=$B198,"-",IF(MarGog1LevelDesired&lt;$B198,"-",$E198))</f>
        <v>-</v>
      </c>
      <c r="AG198" s="15" t="str">
        <f t="shared" ref="AG198" si="14055">IF(MarGlo1LevelCurrent&gt;=$B198,"-",IF(MarGlo1LevelDesired&lt;$B198,"-",$C198))</f>
        <v>-</v>
      </c>
      <c r="AH198" s="1" t="str">
        <f t="shared" ref="AH198" si="14056">IF(MarGlo1LevelCurrent&gt;=$B198,"-",IF(MarGlo1LevelDesired&lt;$B198,"-",$D198))</f>
        <v>-</v>
      </c>
      <c r="AI198" s="21" t="str">
        <f t="shared" ref="AI198" si="14057">IF(MarGlo1LevelCurrent&gt;=$B198,"-",IF(MarGlo1LevelDesired&lt;$B198,"-",$E198))</f>
        <v>-</v>
      </c>
      <c r="AJ198" s="15" t="str">
        <f t="shared" ref="AJ198" si="14058">IF(MarBel1LevelCurrent&gt;=$B198,"-",IF(MarBel1LevelDesired&lt;$B198,"-",$C198))</f>
        <v>-</v>
      </c>
      <c r="AK198" s="1" t="str">
        <f t="shared" ref="AK198" si="14059">IF(MarBel1LevelCurrent&gt;=$B198,"-",IF(MarBel1LevelDesired&lt;$B198,"-",$D198))</f>
        <v>-</v>
      </c>
      <c r="AL198" s="21" t="str">
        <f t="shared" ref="AL198" si="14060">IF(MarBel1LevelCurrent&gt;=$B198,"-",IF(MarBel1LevelDesired&lt;$B198,"-",$E198))</f>
        <v>-</v>
      </c>
      <c r="AM198" s="15" t="str">
        <f t="shared" ref="AM198" si="14061">IF(MarBoo1LevelCurrent&gt;=$B198,"-",IF(MarBoo1LevelDesired&lt;$B198,"-",$C198))</f>
        <v>-</v>
      </c>
      <c r="AN198" s="1" t="str">
        <f t="shared" ref="AN198" si="14062">IF(MarBoo1LevelCurrent&gt;=$B198,"-",IF(MarBoo1LevelDesired&lt;$B198,"-",$D198))</f>
        <v>-</v>
      </c>
      <c r="AO198" s="21" t="str">
        <f t="shared" ref="AO198" si="14063">IF(MarBoo1LevelCurrent&gt;=$B198,"-",IF(MarBoo1LevelDesired&lt;$B198,"-",$E198))</f>
        <v>-</v>
      </c>
      <c r="AP198" s="15" t="str">
        <f t="shared" ref="AP198" si="14064">IF(InfGog2LevelCurrent&gt;=$B198,"-",IF(InfGog2LevelDesired&lt;$B198,"-",$C198))</f>
        <v>-</v>
      </c>
      <c r="AQ198" s="1" t="str">
        <f t="shared" ref="AQ198" si="14065">IF(InfGog2LevelCurrent&gt;=$B198,"-",IF(InfGog2LevelDesired&lt;$B198,"-",$D198))</f>
        <v>-</v>
      </c>
      <c r="AR198" s="21" t="str">
        <f t="shared" ref="AR198" si="14066">IF(InfGog2LevelCurrent&gt;=$B198,"-",IF(InfGog2LevelDesired&lt;$B198,"-",$E198))</f>
        <v>-</v>
      </c>
      <c r="AS198" s="15" t="str">
        <f t="shared" ref="AS198" si="14067">IF(InfGlo2LevelCurrent&gt;=$B198,"-",IF(InfGlo2LevelDesired&lt;$B198,"-",$C198))</f>
        <v>-</v>
      </c>
      <c r="AT198" s="1" t="str">
        <f t="shared" ref="AT198" si="14068">IF(InfGlo2LevelCurrent&gt;=$B198,"-",IF(InfGlo2LevelDesired&lt;$B198,"-",$D198))</f>
        <v>-</v>
      </c>
      <c r="AU198" s="21" t="str">
        <f t="shared" ref="AU198" si="14069">IF(InfGlo2LevelCurrent&gt;=$B198,"-",IF(InfGlo2LevelDesired&lt;$B198,"-",$E198))</f>
        <v>-</v>
      </c>
      <c r="AV198" s="15" t="str">
        <f t="shared" ref="AV198" si="14070">IF(InfBel2LevelCurrent&gt;=$B198,"-",IF(InfBel2LevelDesired&lt;$B198,"-",$C198))</f>
        <v>-</v>
      </c>
      <c r="AW198" s="1" t="str">
        <f t="shared" ref="AW198" si="14071">IF(InfBel2LevelCurrent&gt;=$B198,"-",IF(InfBel2LevelDesired&lt;$B198,"-",$D198))</f>
        <v>-</v>
      </c>
      <c r="AX198" s="21" t="str">
        <f t="shared" ref="AX198" si="14072">IF(InfBel2LevelCurrent&gt;=$B198,"-",IF(InfBel2LevelDesired&lt;$B198,"-",$E198))</f>
        <v>-</v>
      </c>
      <c r="AY198" s="15" t="str">
        <f t="shared" ref="AY198" si="14073">IF(InfBoo2LevelCurrent&gt;=$B198,"-",IF(InfBoo2LevelDesired&lt;$B198,"-",$C198))</f>
        <v>-</v>
      </c>
      <c r="AZ198" s="1" t="str">
        <f t="shared" ref="AZ198" si="14074">IF(InfBoo2LevelCurrent&gt;=$B198,"-",IF(InfBoo2LevelDesired&lt;$B198,"-",$D198))</f>
        <v>-</v>
      </c>
      <c r="BA198" s="21" t="str">
        <f t="shared" ref="BA198" si="14075">IF(InfBoo2LevelCurrent&gt;=$B198,"-",IF(InfBoo2LevelDesired&lt;$B198,"-",$E198))</f>
        <v>-</v>
      </c>
      <c r="BB198" s="15" t="str">
        <f t="shared" ref="BB198" si="14076">IF(LanGog2LevelCurrent&gt;=$B198,"-",IF(LanGog2LevelDesired&lt;$B198,"-",$C198))</f>
        <v>-</v>
      </c>
      <c r="BC198" s="1" t="str">
        <f t="shared" ref="BC198" si="14077">IF(LanGog2LevelCurrent&gt;=$B198,"-",IF(LanGog2LevelDesired&lt;$B198,"-",$D198))</f>
        <v>-</v>
      </c>
      <c r="BD198" s="21" t="str">
        <f t="shared" ref="BD198" si="14078">IF(LanGog2LevelCurrent&gt;=$B198,"-",IF(LanGog2LevelDesired&lt;$B198,"-",$E198))</f>
        <v>-</v>
      </c>
      <c r="BE198" s="15" t="str">
        <f t="shared" ref="BE198" si="14079">IF(LanGlo2LevelCurrent&gt;=$B198,"-",IF(LanGlo2LevelDesired&lt;$B198,"-",$C198))</f>
        <v>-</v>
      </c>
      <c r="BF198" s="1" t="str">
        <f t="shared" ref="BF198" si="14080">IF(LanGlo2LevelCurrent&gt;=$B198,"-",IF(LanGlo2LevelDesired&lt;$B198,"-",$D198))</f>
        <v>-</v>
      </c>
      <c r="BG198" s="21" t="str">
        <f t="shared" ref="BG198" si="14081">IF(LanGlo2LevelCurrent&gt;=$B198,"-",IF(LanGlo2LevelDesired&lt;$B198,"-",$E198))</f>
        <v>-</v>
      </c>
      <c r="BH198" s="15" t="str">
        <f t="shared" ref="BH198" si="14082">IF(LanBel2LevelCurrent&gt;=$B198,"-",IF(LanBel2LevelDesired&lt;$B198,"-",$C198))</f>
        <v>-</v>
      </c>
      <c r="BI198" s="1" t="str">
        <f t="shared" ref="BI198" si="14083">IF(LanBel2LevelCurrent&gt;=$B198,"-",IF(LanBel2LevelDesired&lt;$B198,"-",$D198))</f>
        <v>-</v>
      </c>
      <c r="BJ198" s="21" t="str">
        <f t="shared" ref="BJ198" si="14084">IF(LanBel2LevelCurrent&gt;=$B198,"-",IF(LanBel2LevelDesired&lt;$B198,"-",$E198))</f>
        <v>-</v>
      </c>
      <c r="BK198" s="15" t="str">
        <f t="shared" ref="BK198" si="14085">IF(LanBoo2LevelCurrent&gt;=$B198,"-",IF(LanBoo2LevelDesired&lt;$B198,"-",$C198))</f>
        <v>-</v>
      </c>
      <c r="BL198" s="1" t="str">
        <f t="shared" ref="BL198" si="14086">IF(LanBoo2LevelCurrent&gt;=$B198,"-",IF(LanBoo2LevelDesired&lt;$B198,"-",$D198))</f>
        <v>-</v>
      </c>
      <c r="BM198" s="21" t="str">
        <f t="shared" ref="BM198" si="14087">IF(LanBoo2LevelCurrent&gt;=$B198,"-",IF(LanBoo2LevelDesired&lt;$B198,"-",$E198))</f>
        <v>-</v>
      </c>
      <c r="BN198" s="15" t="str">
        <f t="shared" ref="BN198" si="14088">IF(MarGog2LevelCurrent&gt;=$B198,"-",IF(MarGog2LevelDesired&lt;$B198,"-",$C198))</f>
        <v>-</v>
      </c>
      <c r="BO198" s="1" t="str">
        <f t="shared" ref="BO198" si="14089">IF(MarGog2LevelCurrent&gt;=$B198,"-",IF(MarGog2LevelDesired&lt;$B198,"-",$D198))</f>
        <v>-</v>
      </c>
      <c r="BP198" s="21" t="str">
        <f t="shared" ref="BP198" si="14090">IF(MarGog2LevelCurrent&gt;=$B198,"-",IF(MarGog2LevelDesired&lt;$B198,"-",$E198))</f>
        <v>-</v>
      </c>
      <c r="BQ198" s="15" t="str">
        <f t="shared" ref="BQ198" si="14091">IF(MarGlo2LevelCurrent&gt;=$B198,"-",IF(MarGlo2LevelDesired&lt;$B198,"-",$C198))</f>
        <v>-</v>
      </c>
      <c r="BR198" s="1" t="str">
        <f t="shared" ref="BR198" si="14092">IF(MarGlo2LevelCurrent&gt;=$B198,"-",IF(MarGlo2LevelDesired&lt;$B198,"-",$D198))</f>
        <v>-</v>
      </c>
      <c r="BS198" s="21" t="str">
        <f t="shared" ref="BS198" si="14093">IF(MarGlo2LevelCurrent&gt;=$B198,"-",IF(MarGlo2LevelDesired&lt;$B198,"-",$E198))</f>
        <v>-</v>
      </c>
      <c r="BT198" s="15" t="str">
        <f t="shared" ref="BT198" si="14094">IF(MarBel2LevelCurrent&gt;=$B198,"-",IF(MarBel2LevelDesired&lt;$B198,"-",$C198))</f>
        <v>-</v>
      </c>
      <c r="BU198" s="1" t="str">
        <f t="shared" ref="BU198" si="14095">IF(MarBel2LevelCurrent&gt;=$B198,"-",IF(MarBel2LevelDesired&lt;$B198,"-",$D198))</f>
        <v>-</v>
      </c>
      <c r="BV198" s="21" t="str">
        <f t="shared" ref="BV198" si="14096">IF(MarBel2LevelCurrent&gt;=$B198,"-",IF(MarBel2LevelDesired&lt;$B198,"-",$E198))</f>
        <v>-</v>
      </c>
      <c r="BW198" s="15" t="str">
        <f t="shared" ref="BW198" si="14097">IF(MarBoo2LevelCurrent&gt;=$B198,"-",IF(MarBoo2LevelDesired&lt;$B198,"-",$C198))</f>
        <v>-</v>
      </c>
      <c r="BX198" s="1" t="str">
        <f t="shared" ref="BX198" si="14098">IF(MarBoo2LevelCurrent&gt;=$B198,"-",IF(MarBoo2LevelDesired&lt;$B198,"-",$D198))</f>
        <v>-</v>
      </c>
      <c r="BY198" s="21" t="str">
        <f t="shared" ref="BY198" si="14099">IF(MarBoo2LevelCurrent&gt;=$B198,"-",IF(MarBoo2LevelDesired&lt;$B198,"-",$E198))</f>
        <v>-</v>
      </c>
      <c r="BZ198" s="15" t="str">
        <f t="shared" ref="BZ198:BZ205" si="14100">IF(InfGog3LevelCurrent&gt;=$B198,"-",IF(InfGog3LevelDesired&lt;$B198,"-",$C198))</f>
        <v>-</v>
      </c>
      <c r="CA198" s="1" t="str" cm="1">
        <f t="array" ref="CA198">IF(InfGog3LevelCurrent&gt;=$B198,"-",IF(InfGog3LevelDesired&lt;$B198,"-",$D198))</f>
        <v>-</v>
      </c>
      <c r="CB198" s="21" t="str" cm="1">
        <f t="array" ref="CB198">IF(InfGog3LevelCurrent&gt;=$B198,"-",IF(InfGog3LevelDesired&lt;$B198,"-",$E198))</f>
        <v>-</v>
      </c>
      <c r="CC198" s="15" t="str">
        <f t="shared" ref="CC198:CC205" si="14101">IF(InfGlo3LevelCurrent&gt;=$B198,"-",IF(InfGlo3LevelDesired&lt;$B198,"-",$C198))</f>
        <v>-</v>
      </c>
      <c r="CD198" s="1" t="str">
        <f t="shared" ref="CD198:CD205" si="14102">IF(InfGlo3LevelCurrent&gt;=$B198,"-",IF(InfGlo3LevelDesired&lt;$B198,"-",$D198))</f>
        <v>-</v>
      </c>
      <c r="CE198" s="21" t="str">
        <f t="shared" ref="CE198:CE205" si="14103">IF(InfGlo3LevelCurrent&gt;=$B198,"-",IF(InfGlo3LevelDesired&lt;$B198,"-",$E198))</f>
        <v>-</v>
      </c>
      <c r="CF198" s="15" t="str">
        <f t="shared" ref="CF198:CF205" si="14104">IF(InfBel3LevelCurrent&gt;=$B198,"-",IF(InfBel3LevelDesired&lt;$B198,"-",$C198))</f>
        <v>-</v>
      </c>
      <c r="CG198" s="1" t="str">
        <f t="shared" ref="CG198:CG205" si="14105">IF(InfBel3LevelCurrent&gt;=$B198,"-",IF(InfBel3LevelDesired&lt;$B198,"-",$D198))</f>
        <v>-</v>
      </c>
      <c r="CH198" s="21" t="str">
        <f t="shared" ref="CH198:CH205" si="14106">IF(InfBel3LevelCurrent&gt;=$B198,"-",IF(InfBel3LevelDesired&lt;$B198,"-",$E198))</f>
        <v>-</v>
      </c>
      <c r="CI198" s="15" t="str">
        <f t="shared" ref="CI198:CI205" si="14107">IF(InfBoo3LevelCurrent&gt;=$B198,"-",IF(InfBoo3LevelDesired&lt;$B198,"-",$C198))</f>
        <v>-</v>
      </c>
      <c r="CJ198" s="1" t="str">
        <f t="shared" ref="CJ198:CJ205" si="14108">IF(InfBoo3LevelCurrent&gt;=$B198,"-",IF(InfBoo3LevelDesired&lt;$B198,"-",$D198))</f>
        <v>-</v>
      </c>
      <c r="CK198" s="21" t="str">
        <f t="shared" ref="CK198:CK205" si="14109">IF(InfBoo3LevelCurrent&gt;=$B198,"-",IF(InfBoo3LevelDesired&lt;$B198,"-",$E198))</f>
        <v>-</v>
      </c>
      <c r="CL198" s="15" t="str">
        <f t="shared" ref="CL198:CL205" si="14110">IF(LanGog3LevelCurrent&gt;=$B198,"-",IF(LanGog3LevelDesired&lt;$B198,"-",$C198))</f>
        <v>-</v>
      </c>
      <c r="CM198" s="1" t="str">
        <f t="shared" ref="CM198:CM205" si="14111">IF(LanGog3LevelCurrent&gt;=$B198,"-",IF(LanGog3LevelDesired&lt;$B198,"-",$D198))</f>
        <v>-</v>
      </c>
      <c r="CN198" s="21" t="str">
        <f t="shared" ref="CN198:CN205" si="14112">IF(LanGog3LevelCurrent&gt;=$B198,"-",IF(LanGog3LevelDesired&lt;$B198,"-",$E198))</f>
        <v>-</v>
      </c>
      <c r="CO198" s="15" t="str">
        <f t="shared" ref="CO198:CO205" si="14113">IF(LanGlo3LevelCurrent&gt;=$B198,"-",IF(LanGlo3LevelDesired&lt;$B198,"-",$C198))</f>
        <v>-</v>
      </c>
      <c r="CP198" s="1" t="str">
        <f t="shared" ref="CP198:CP205" si="14114">IF(LanGlo3LevelCurrent&gt;=$B198,"-",IF(LanGlo3LevelDesired&lt;$B198,"-",$D198))</f>
        <v>-</v>
      </c>
      <c r="CQ198" s="21" t="str">
        <f t="shared" ref="CQ198:CQ205" si="14115">IF(LanGlo3LevelCurrent&gt;=$B198,"-",IF(LanGlo3LevelDesired&lt;$B198,"-",$E198))</f>
        <v>-</v>
      </c>
      <c r="CR198" s="15" t="str">
        <f t="shared" ref="CR198:CR205" si="14116">IF(LanBel3LevelCurrent&gt;=$B198,"-",IF(LanBel3LevelDesired&lt;$B198,"-",$C198))</f>
        <v>-</v>
      </c>
      <c r="CS198" s="1" t="str">
        <f t="shared" ref="CS198:CS205" si="14117">IF(LanBel3LevelCurrent&gt;=$B198,"-",IF(LanBel3LevelDesired&lt;$B198,"-",$D198))</f>
        <v>-</v>
      </c>
      <c r="CT198" s="21" t="str">
        <f t="shared" ref="CT198:CT205" si="14118">IF(LanBel3LevelCurrent&gt;=$B198,"-",IF(LanBel3LevelDesired&lt;$B198,"-",$E198))</f>
        <v>-</v>
      </c>
      <c r="CU198" s="15" t="str">
        <f t="shared" ref="CU198:CU205" si="14119">IF(LanBoo3LevelCurrent&gt;=$B198,"-",IF(LanBoo3LevelDesired&lt;$B198,"-",$C198))</f>
        <v>-</v>
      </c>
      <c r="CV198" s="1" t="str">
        <f t="shared" ref="CV198:CV205" si="14120">IF(LanBoo3LevelCurrent&gt;=$B198,"-",IF(LanBoo3LevelDesired&lt;$B198,"-",$D198))</f>
        <v>-</v>
      </c>
      <c r="CW198" s="21" t="str">
        <f t="shared" ref="CW198:CW205" si="14121">IF(LanBoo3LevelCurrent&gt;=$B198,"-",IF(LanBoo3LevelDesired&lt;$B198,"-",$E198))</f>
        <v>-</v>
      </c>
      <c r="CX198" s="15" t="str">
        <f t="shared" ref="CX198:CX205" si="14122">IF(MarGog3LevelCurrent&gt;=$B198,"-",IF(MarGog3LevelDesired&lt;$B198,"-",$C198))</f>
        <v>-</v>
      </c>
      <c r="CY198" s="1" t="str">
        <f t="shared" ref="CY198:CY205" si="14123">IF(MarGog3LevelCurrent&gt;=$B198,"-",IF(MarGog3LevelDesired&lt;$B198,"-",$D198))</f>
        <v>-</v>
      </c>
      <c r="CZ198" s="21" t="str">
        <f t="shared" ref="CZ198:CZ205" si="14124">IF(MarGog3LevelCurrent&gt;=$B198,"-",IF(MarGog3LevelDesired&lt;$B198,"-",$E198))</f>
        <v>-</v>
      </c>
      <c r="DA198" s="15" t="str">
        <f t="shared" ref="DA198:DA205" si="14125">IF(MarGlo3LevelCurrent&gt;=$B198,"-",IF(MarGlo3LevelDesired&lt;$B198,"-",$C198))</f>
        <v>-</v>
      </c>
      <c r="DB198" s="1" t="str">
        <f t="shared" ref="DB198:DB205" si="14126">IF(MarGlo3LevelCurrent&gt;=$B198,"-",IF(MarGlo3LevelDesired&lt;$B198,"-",$D198))</f>
        <v>-</v>
      </c>
      <c r="DC198" s="21" t="str">
        <f t="shared" ref="DC198:DC205" si="14127">IF(MarGlo3LevelCurrent&gt;=$B198,"-",IF(MarGlo3LevelDesired&lt;$B198,"-",$E198))</f>
        <v>-</v>
      </c>
      <c r="DD198" s="15" t="str">
        <f t="shared" ref="DD198:DD205" si="14128">IF(MarBel3LevelCurrent&gt;=$B198,"-",IF(MarBel3LevelDesired&lt;$B198,"-",$C198))</f>
        <v>-</v>
      </c>
      <c r="DE198" s="1" t="str">
        <f t="shared" ref="DE198:DE205" si="14129">IF(MarBel3LevelCurrent&gt;=$B198,"-",IF(MarBel3LevelDesired&lt;$B198,"-",$D198))</f>
        <v>-</v>
      </c>
      <c r="DF198" s="21" t="str">
        <f t="shared" ref="DF198:DF205" si="14130">IF(MarBel3LevelCurrent&gt;=$B198,"-",IF(MarBel3LevelDesired&lt;$B198,"-",$E198))</f>
        <v>-</v>
      </c>
      <c r="DG198" s="15" t="str">
        <f t="shared" ref="DG198:DG205" si="14131">IF(MarBoo3LevelCurrent&gt;=$B198,"-",IF(MarBoo3LevelDesired&lt;$B198,"-",$C198))</f>
        <v>-</v>
      </c>
      <c r="DH198" s="1" t="str">
        <f t="shared" ref="DH198:DH205" si="14132">IF(MarBoo3LevelCurrent&gt;=$B198,"-",IF(MarBoo3LevelDesired&lt;$B198,"-",$D198))</f>
        <v>-</v>
      </c>
      <c r="DI198" s="21" t="str">
        <f t="shared" ref="DI198:DI205" si="14133">IF(MarBoo3LevelCurrent&gt;=$B198,"-",IF(MarBoo3LevelDesired&lt;$B198,"-",$E198))</f>
        <v>-</v>
      </c>
    </row>
    <row r="199" spans="2:113" x14ac:dyDescent="0.3">
      <c r="B199" s="1">
        <v>194</v>
      </c>
      <c r="C199" s="67">
        <v>8800</v>
      </c>
      <c r="D199" s="88" t="s">
        <v>27</v>
      </c>
      <c r="E199" s="68" t="s">
        <v>27</v>
      </c>
      <c r="F199" s="15" t="str">
        <f t="shared" ref="F199" si="14134">IF(InfGog1LevelCurrent&gt;=$B199,"-",IF(InfGog1LevelDesired&lt;$B199,"-",$C199))</f>
        <v>-</v>
      </c>
      <c r="G199" s="1" t="str">
        <f t="shared" ref="G199" si="14135">IF(InfGog1LevelCurrent&gt;=$B199,"-",IF(InfGog1LevelDesired&lt;$B199,"-",$D199))</f>
        <v>-</v>
      </c>
      <c r="H199" s="21" t="str">
        <f t="shared" ref="H199" si="14136">IF(InfGog1LevelCurrent&gt;=$B199,"-",IF(InfGog1LevelDesired&lt;$B199,"-",$E199))</f>
        <v>-</v>
      </c>
      <c r="I199" s="15" t="str">
        <f t="shared" ref="I199" si="14137">IF(InfGlo1LevelCurrent&gt;=$B199,"-",IF(InfGlo1LevelDesired&lt;$B199,"-",$C199))</f>
        <v>-</v>
      </c>
      <c r="J199" s="1" t="str">
        <f t="shared" ref="J199" si="14138">IF(InfGlo1LevelCurrent&gt;=$B199,"-",IF(InfGlo1LevelDesired&lt;$B199,"-",$D199))</f>
        <v>-</v>
      </c>
      <c r="K199" s="21" t="str">
        <f t="shared" ref="K199" si="14139">IF(InfGlo1LevelCurrent&gt;=$B199,"-",IF(InfGlo1LevelDesired&lt;$B199,"-",$E199))</f>
        <v>-</v>
      </c>
      <c r="L199" s="15" t="str">
        <f t="shared" ref="L199" si="14140">IF(InfBel1LevelCurrent&gt;=$B199,"-",IF(InfBel1LevelDesired&lt;$B199,"-",$C199))</f>
        <v>-</v>
      </c>
      <c r="M199" s="1" t="str">
        <f t="shared" ref="M199" si="14141">IF(InfBel1LevelCurrent&gt;=$B199,"-",IF(InfBel1LevelDesired&lt;$B199,"-",$D199))</f>
        <v>-</v>
      </c>
      <c r="N199" s="21" t="str">
        <f t="shared" ref="N199" si="14142">IF(InfBel1LevelCurrent&gt;=$B199,"-",IF(InfBel1LevelDesired&lt;$B199,"-",$E199))</f>
        <v>-</v>
      </c>
      <c r="O199" s="15" t="str">
        <f t="shared" ref="O199" si="14143">IF(InfBoo1LevelCurrent&gt;=$B199,"-",IF(InfBoo1LevelDesired&lt;$B199,"-",$C199))</f>
        <v>-</v>
      </c>
      <c r="P199" s="1" t="str">
        <f t="shared" ref="P199" si="14144">IF(InfBoo1LevelCurrent&gt;=$B199,"-",IF(InfBoo1LevelDesired&lt;$B199,"-",$D199))</f>
        <v>-</v>
      </c>
      <c r="Q199" s="21" t="str">
        <f t="shared" ref="Q199" si="14145">IF(InfBoo1LevelCurrent&gt;=$B199,"-",IF(InfBoo1LevelDesired&lt;$B199,"-",$E199))</f>
        <v>-</v>
      </c>
      <c r="R199" s="15" t="str">
        <f t="shared" ref="R199" si="14146">IF(LanGog1LevelCurrent&gt;=$B199,"-",IF(LanGog1LevelDesired&lt;$B199,"-",$C199))</f>
        <v>-</v>
      </c>
      <c r="S199" s="1" t="str">
        <f t="shared" ref="S199" si="14147">IF(LanGog1LevelCurrent&gt;=$B199,"-",IF(LanGog1LevelDesired&lt;$B199,"-",$D199))</f>
        <v>-</v>
      </c>
      <c r="T199" s="21" t="str">
        <f t="shared" ref="T199" si="14148">IF(LanGog1LevelCurrent&gt;=$B199,"-",IF(LanGog1LevelDesired&lt;$B199,"-",$E199))</f>
        <v>-</v>
      </c>
      <c r="U199" s="15" t="str">
        <f t="shared" ref="U199" si="14149">IF(LanGlo1LevelCurrent&gt;=$B199,"-",IF(LanGlo1LevelDesired&lt;$B199,"-",$C199))</f>
        <v>-</v>
      </c>
      <c r="V199" s="1" t="str">
        <f t="shared" ref="V199" si="14150">IF(LanGlo1LevelCurrent&gt;=$B199,"-",IF(LanGlo1LevelDesired&lt;$B199,"-",$D199))</f>
        <v>-</v>
      </c>
      <c r="W199" s="21" t="str">
        <f t="shared" ref="W199" si="14151">IF(LanGlo1LevelCurrent&gt;=$B199,"-",IF(LanGlo1LevelDesired&lt;$B199,"-",$E199))</f>
        <v>-</v>
      </c>
      <c r="X199" s="15" t="str">
        <f t="shared" ref="X199" si="14152">IF(LanBel1LevelCurrent&gt;=$B199,"-",IF(LanBel1LevelDesired&lt;$B199,"-",$C199))</f>
        <v>-</v>
      </c>
      <c r="Y199" s="1" t="str">
        <f t="shared" ref="Y199" si="14153">IF(LanBel1LevelCurrent&gt;=$B199,"-",IF(LanBel1LevelDesired&lt;$B199,"-",$D199))</f>
        <v>-</v>
      </c>
      <c r="Z199" s="21" t="str">
        <f t="shared" ref="Z199" si="14154">IF(LanBel1LevelCurrent&gt;=$B199,"-",IF(LanBel1LevelDesired&lt;$B199,"-",$E199))</f>
        <v>-</v>
      </c>
      <c r="AA199" s="15" t="str">
        <f t="shared" ref="AA199" si="14155">IF(LanBoo1LevelCurrent&gt;=$B199,"-",IF(LanBoo1LevelDesired&lt;$B199,"-",$C199))</f>
        <v>-</v>
      </c>
      <c r="AB199" s="1" t="str">
        <f t="shared" ref="AB199" si="14156">IF(LanBoo1LevelCurrent&gt;=$B199,"-",IF(LanBoo1LevelDesired&lt;$B199,"-",$D199))</f>
        <v>-</v>
      </c>
      <c r="AC199" s="21" t="str">
        <f t="shared" ref="AC199" si="14157">IF(LanBoo1LevelCurrent&gt;=$B199,"-",IF(LanBoo1LevelDesired&lt;$B199,"-",$E199))</f>
        <v>-</v>
      </c>
      <c r="AD199" s="15" t="str">
        <f t="shared" ref="AD199" si="14158">IF(MarGog1LevelCurrent&gt;=$B199,"-",IF(MarGog1LevelDesired&lt;$B199,"-",$C199))</f>
        <v>-</v>
      </c>
      <c r="AE199" s="1" t="str">
        <f t="shared" ref="AE199" si="14159">IF(MarGog1LevelCurrent&gt;=$B199,"-",IF(MarGog1LevelDesired&lt;$B199,"-",$D199))</f>
        <v>-</v>
      </c>
      <c r="AF199" s="21" t="str">
        <f t="shared" ref="AF199" si="14160">IF(MarGog1LevelCurrent&gt;=$B199,"-",IF(MarGog1LevelDesired&lt;$B199,"-",$E199))</f>
        <v>-</v>
      </c>
      <c r="AG199" s="15" t="str">
        <f t="shared" ref="AG199" si="14161">IF(MarGlo1LevelCurrent&gt;=$B199,"-",IF(MarGlo1LevelDesired&lt;$B199,"-",$C199))</f>
        <v>-</v>
      </c>
      <c r="AH199" s="1" t="str">
        <f t="shared" ref="AH199" si="14162">IF(MarGlo1LevelCurrent&gt;=$B199,"-",IF(MarGlo1LevelDesired&lt;$B199,"-",$D199))</f>
        <v>-</v>
      </c>
      <c r="AI199" s="21" t="str">
        <f t="shared" ref="AI199" si="14163">IF(MarGlo1LevelCurrent&gt;=$B199,"-",IF(MarGlo1LevelDesired&lt;$B199,"-",$E199))</f>
        <v>-</v>
      </c>
      <c r="AJ199" s="15" t="str">
        <f t="shared" ref="AJ199" si="14164">IF(MarBel1LevelCurrent&gt;=$B199,"-",IF(MarBel1LevelDesired&lt;$B199,"-",$C199))</f>
        <v>-</v>
      </c>
      <c r="AK199" s="1" t="str">
        <f t="shared" ref="AK199" si="14165">IF(MarBel1LevelCurrent&gt;=$B199,"-",IF(MarBel1LevelDesired&lt;$B199,"-",$D199))</f>
        <v>-</v>
      </c>
      <c r="AL199" s="21" t="str">
        <f t="shared" ref="AL199" si="14166">IF(MarBel1LevelCurrent&gt;=$B199,"-",IF(MarBel1LevelDesired&lt;$B199,"-",$E199))</f>
        <v>-</v>
      </c>
      <c r="AM199" s="15" t="str">
        <f t="shared" ref="AM199" si="14167">IF(MarBoo1LevelCurrent&gt;=$B199,"-",IF(MarBoo1LevelDesired&lt;$B199,"-",$C199))</f>
        <v>-</v>
      </c>
      <c r="AN199" s="1" t="str">
        <f t="shared" ref="AN199" si="14168">IF(MarBoo1LevelCurrent&gt;=$B199,"-",IF(MarBoo1LevelDesired&lt;$B199,"-",$D199))</f>
        <v>-</v>
      </c>
      <c r="AO199" s="21" t="str">
        <f t="shared" ref="AO199" si="14169">IF(MarBoo1LevelCurrent&gt;=$B199,"-",IF(MarBoo1LevelDesired&lt;$B199,"-",$E199))</f>
        <v>-</v>
      </c>
      <c r="AP199" s="15" t="str">
        <f t="shared" ref="AP199" si="14170">IF(InfGog2LevelCurrent&gt;=$B199,"-",IF(InfGog2LevelDesired&lt;$B199,"-",$C199))</f>
        <v>-</v>
      </c>
      <c r="AQ199" s="1" t="str">
        <f t="shared" ref="AQ199" si="14171">IF(InfGog2LevelCurrent&gt;=$B199,"-",IF(InfGog2LevelDesired&lt;$B199,"-",$D199))</f>
        <v>-</v>
      </c>
      <c r="AR199" s="21" t="str">
        <f t="shared" ref="AR199" si="14172">IF(InfGog2LevelCurrent&gt;=$B199,"-",IF(InfGog2LevelDesired&lt;$B199,"-",$E199))</f>
        <v>-</v>
      </c>
      <c r="AS199" s="15" t="str">
        <f t="shared" ref="AS199" si="14173">IF(InfGlo2LevelCurrent&gt;=$B199,"-",IF(InfGlo2LevelDesired&lt;$B199,"-",$C199))</f>
        <v>-</v>
      </c>
      <c r="AT199" s="1" t="str">
        <f t="shared" ref="AT199" si="14174">IF(InfGlo2LevelCurrent&gt;=$B199,"-",IF(InfGlo2LevelDesired&lt;$B199,"-",$D199))</f>
        <v>-</v>
      </c>
      <c r="AU199" s="21" t="str">
        <f t="shared" ref="AU199" si="14175">IF(InfGlo2LevelCurrent&gt;=$B199,"-",IF(InfGlo2LevelDesired&lt;$B199,"-",$E199))</f>
        <v>-</v>
      </c>
      <c r="AV199" s="15" t="str">
        <f t="shared" ref="AV199" si="14176">IF(InfBel2LevelCurrent&gt;=$B199,"-",IF(InfBel2LevelDesired&lt;$B199,"-",$C199))</f>
        <v>-</v>
      </c>
      <c r="AW199" s="1" t="str">
        <f t="shared" ref="AW199" si="14177">IF(InfBel2LevelCurrent&gt;=$B199,"-",IF(InfBel2LevelDesired&lt;$B199,"-",$D199))</f>
        <v>-</v>
      </c>
      <c r="AX199" s="21" t="str">
        <f t="shared" ref="AX199" si="14178">IF(InfBel2LevelCurrent&gt;=$B199,"-",IF(InfBel2LevelDesired&lt;$B199,"-",$E199))</f>
        <v>-</v>
      </c>
      <c r="AY199" s="15" t="str">
        <f t="shared" ref="AY199" si="14179">IF(InfBoo2LevelCurrent&gt;=$B199,"-",IF(InfBoo2LevelDesired&lt;$B199,"-",$C199))</f>
        <v>-</v>
      </c>
      <c r="AZ199" s="1" t="str">
        <f t="shared" ref="AZ199" si="14180">IF(InfBoo2LevelCurrent&gt;=$B199,"-",IF(InfBoo2LevelDesired&lt;$B199,"-",$D199))</f>
        <v>-</v>
      </c>
      <c r="BA199" s="21" t="str">
        <f t="shared" ref="BA199" si="14181">IF(InfBoo2LevelCurrent&gt;=$B199,"-",IF(InfBoo2LevelDesired&lt;$B199,"-",$E199))</f>
        <v>-</v>
      </c>
      <c r="BB199" s="15" t="str">
        <f t="shared" ref="BB199" si="14182">IF(LanGog2LevelCurrent&gt;=$B199,"-",IF(LanGog2LevelDesired&lt;$B199,"-",$C199))</f>
        <v>-</v>
      </c>
      <c r="BC199" s="1" t="str">
        <f t="shared" ref="BC199" si="14183">IF(LanGog2LevelCurrent&gt;=$B199,"-",IF(LanGog2LevelDesired&lt;$B199,"-",$D199))</f>
        <v>-</v>
      </c>
      <c r="BD199" s="21" t="str">
        <f t="shared" ref="BD199" si="14184">IF(LanGog2LevelCurrent&gt;=$B199,"-",IF(LanGog2LevelDesired&lt;$B199,"-",$E199))</f>
        <v>-</v>
      </c>
      <c r="BE199" s="15" t="str">
        <f t="shared" ref="BE199" si="14185">IF(LanGlo2LevelCurrent&gt;=$B199,"-",IF(LanGlo2LevelDesired&lt;$B199,"-",$C199))</f>
        <v>-</v>
      </c>
      <c r="BF199" s="1" t="str">
        <f t="shared" ref="BF199" si="14186">IF(LanGlo2LevelCurrent&gt;=$B199,"-",IF(LanGlo2LevelDesired&lt;$B199,"-",$D199))</f>
        <v>-</v>
      </c>
      <c r="BG199" s="21" t="str">
        <f t="shared" ref="BG199" si="14187">IF(LanGlo2LevelCurrent&gt;=$B199,"-",IF(LanGlo2LevelDesired&lt;$B199,"-",$E199))</f>
        <v>-</v>
      </c>
      <c r="BH199" s="15" t="str">
        <f t="shared" ref="BH199" si="14188">IF(LanBel2LevelCurrent&gt;=$B199,"-",IF(LanBel2LevelDesired&lt;$B199,"-",$C199))</f>
        <v>-</v>
      </c>
      <c r="BI199" s="1" t="str">
        <f t="shared" ref="BI199" si="14189">IF(LanBel2LevelCurrent&gt;=$B199,"-",IF(LanBel2LevelDesired&lt;$B199,"-",$D199))</f>
        <v>-</v>
      </c>
      <c r="BJ199" s="21" t="str">
        <f t="shared" ref="BJ199" si="14190">IF(LanBel2LevelCurrent&gt;=$B199,"-",IF(LanBel2LevelDesired&lt;$B199,"-",$E199))</f>
        <v>-</v>
      </c>
      <c r="BK199" s="15" t="str">
        <f t="shared" ref="BK199" si="14191">IF(LanBoo2LevelCurrent&gt;=$B199,"-",IF(LanBoo2LevelDesired&lt;$B199,"-",$C199))</f>
        <v>-</v>
      </c>
      <c r="BL199" s="1" t="str">
        <f t="shared" ref="BL199" si="14192">IF(LanBoo2LevelCurrent&gt;=$B199,"-",IF(LanBoo2LevelDesired&lt;$B199,"-",$D199))</f>
        <v>-</v>
      </c>
      <c r="BM199" s="21" t="str">
        <f t="shared" ref="BM199" si="14193">IF(LanBoo2LevelCurrent&gt;=$B199,"-",IF(LanBoo2LevelDesired&lt;$B199,"-",$E199))</f>
        <v>-</v>
      </c>
      <c r="BN199" s="15" t="str">
        <f t="shared" ref="BN199" si="14194">IF(MarGog2LevelCurrent&gt;=$B199,"-",IF(MarGog2LevelDesired&lt;$B199,"-",$C199))</f>
        <v>-</v>
      </c>
      <c r="BO199" s="1" t="str">
        <f t="shared" ref="BO199" si="14195">IF(MarGog2LevelCurrent&gt;=$B199,"-",IF(MarGog2LevelDesired&lt;$B199,"-",$D199))</f>
        <v>-</v>
      </c>
      <c r="BP199" s="21" t="str">
        <f t="shared" ref="BP199" si="14196">IF(MarGog2LevelCurrent&gt;=$B199,"-",IF(MarGog2LevelDesired&lt;$B199,"-",$E199))</f>
        <v>-</v>
      </c>
      <c r="BQ199" s="15" t="str">
        <f t="shared" ref="BQ199" si="14197">IF(MarGlo2LevelCurrent&gt;=$B199,"-",IF(MarGlo2LevelDesired&lt;$B199,"-",$C199))</f>
        <v>-</v>
      </c>
      <c r="BR199" s="1" t="str">
        <f t="shared" ref="BR199" si="14198">IF(MarGlo2LevelCurrent&gt;=$B199,"-",IF(MarGlo2LevelDesired&lt;$B199,"-",$D199))</f>
        <v>-</v>
      </c>
      <c r="BS199" s="21" t="str">
        <f t="shared" ref="BS199" si="14199">IF(MarGlo2LevelCurrent&gt;=$B199,"-",IF(MarGlo2LevelDesired&lt;$B199,"-",$E199))</f>
        <v>-</v>
      </c>
      <c r="BT199" s="15" t="str">
        <f t="shared" ref="BT199" si="14200">IF(MarBel2LevelCurrent&gt;=$B199,"-",IF(MarBel2LevelDesired&lt;$B199,"-",$C199))</f>
        <v>-</v>
      </c>
      <c r="BU199" s="1" t="str">
        <f t="shared" ref="BU199" si="14201">IF(MarBel2LevelCurrent&gt;=$B199,"-",IF(MarBel2LevelDesired&lt;$B199,"-",$D199))</f>
        <v>-</v>
      </c>
      <c r="BV199" s="21" t="str">
        <f t="shared" ref="BV199" si="14202">IF(MarBel2LevelCurrent&gt;=$B199,"-",IF(MarBel2LevelDesired&lt;$B199,"-",$E199))</f>
        <v>-</v>
      </c>
      <c r="BW199" s="15" t="str">
        <f t="shared" ref="BW199" si="14203">IF(MarBoo2LevelCurrent&gt;=$B199,"-",IF(MarBoo2LevelDesired&lt;$B199,"-",$C199))</f>
        <v>-</v>
      </c>
      <c r="BX199" s="1" t="str">
        <f t="shared" ref="BX199" si="14204">IF(MarBoo2LevelCurrent&gt;=$B199,"-",IF(MarBoo2LevelDesired&lt;$B199,"-",$D199))</f>
        <v>-</v>
      </c>
      <c r="BY199" s="21" t="str">
        <f t="shared" ref="BY199" si="14205">IF(MarBoo2LevelCurrent&gt;=$B199,"-",IF(MarBoo2LevelDesired&lt;$B199,"-",$E199))</f>
        <v>-</v>
      </c>
      <c r="BZ199" s="15" t="str">
        <f t="shared" si="14100"/>
        <v>-</v>
      </c>
      <c r="CA199" s="1" t="str" cm="1">
        <f t="array" ref="CA199">IF(InfGog3LevelCurrent&gt;=$B199,"-",IF(InfGog3LevelDesired&lt;$B199,"-",$D199))</f>
        <v>-</v>
      </c>
      <c r="CB199" s="21" t="str" cm="1">
        <f t="array" ref="CB199">IF(InfGog3LevelCurrent&gt;=$B199,"-",IF(InfGog3LevelDesired&lt;$B199,"-",$E199))</f>
        <v>-</v>
      </c>
      <c r="CC199" s="15" t="str">
        <f t="shared" si="14101"/>
        <v>-</v>
      </c>
      <c r="CD199" s="1" t="str">
        <f t="shared" si="14102"/>
        <v>-</v>
      </c>
      <c r="CE199" s="21" t="str">
        <f t="shared" si="14103"/>
        <v>-</v>
      </c>
      <c r="CF199" s="15" t="str">
        <f t="shared" si="14104"/>
        <v>-</v>
      </c>
      <c r="CG199" s="1" t="str">
        <f t="shared" si="14105"/>
        <v>-</v>
      </c>
      <c r="CH199" s="21" t="str">
        <f t="shared" si="14106"/>
        <v>-</v>
      </c>
      <c r="CI199" s="15" t="str">
        <f t="shared" si="14107"/>
        <v>-</v>
      </c>
      <c r="CJ199" s="1" t="str">
        <f t="shared" si="14108"/>
        <v>-</v>
      </c>
      <c r="CK199" s="21" t="str">
        <f t="shared" si="14109"/>
        <v>-</v>
      </c>
      <c r="CL199" s="15" t="str">
        <f t="shared" si="14110"/>
        <v>-</v>
      </c>
      <c r="CM199" s="1" t="str">
        <f t="shared" si="14111"/>
        <v>-</v>
      </c>
      <c r="CN199" s="21" t="str">
        <f t="shared" si="14112"/>
        <v>-</v>
      </c>
      <c r="CO199" s="15" t="str">
        <f t="shared" si="14113"/>
        <v>-</v>
      </c>
      <c r="CP199" s="1" t="str">
        <f t="shared" si="14114"/>
        <v>-</v>
      </c>
      <c r="CQ199" s="21" t="str">
        <f t="shared" si="14115"/>
        <v>-</v>
      </c>
      <c r="CR199" s="15" t="str">
        <f t="shared" si="14116"/>
        <v>-</v>
      </c>
      <c r="CS199" s="1" t="str">
        <f t="shared" si="14117"/>
        <v>-</v>
      </c>
      <c r="CT199" s="21" t="str">
        <f t="shared" si="14118"/>
        <v>-</v>
      </c>
      <c r="CU199" s="15" t="str">
        <f t="shared" si="14119"/>
        <v>-</v>
      </c>
      <c r="CV199" s="1" t="str">
        <f t="shared" si="14120"/>
        <v>-</v>
      </c>
      <c r="CW199" s="21" t="str">
        <f t="shared" si="14121"/>
        <v>-</v>
      </c>
      <c r="CX199" s="15" t="str">
        <f t="shared" si="14122"/>
        <v>-</v>
      </c>
      <c r="CY199" s="1" t="str">
        <f t="shared" si="14123"/>
        <v>-</v>
      </c>
      <c r="CZ199" s="21" t="str">
        <f t="shared" si="14124"/>
        <v>-</v>
      </c>
      <c r="DA199" s="15" t="str">
        <f t="shared" si="14125"/>
        <v>-</v>
      </c>
      <c r="DB199" s="1" t="str">
        <f t="shared" si="14126"/>
        <v>-</v>
      </c>
      <c r="DC199" s="21" t="str">
        <f t="shared" si="14127"/>
        <v>-</v>
      </c>
      <c r="DD199" s="15" t="str">
        <f t="shared" si="14128"/>
        <v>-</v>
      </c>
      <c r="DE199" s="1" t="str">
        <f t="shared" si="14129"/>
        <v>-</v>
      </c>
      <c r="DF199" s="21" t="str">
        <f t="shared" si="14130"/>
        <v>-</v>
      </c>
      <c r="DG199" s="15" t="str">
        <f t="shared" si="14131"/>
        <v>-</v>
      </c>
      <c r="DH199" s="1" t="str">
        <f t="shared" si="14132"/>
        <v>-</v>
      </c>
      <c r="DI199" s="21" t="str">
        <f t="shared" si="14133"/>
        <v>-</v>
      </c>
    </row>
    <row r="200" spans="2:113" x14ac:dyDescent="0.3">
      <c r="B200" s="1">
        <v>195</v>
      </c>
      <c r="C200" s="67">
        <v>8900</v>
      </c>
      <c r="D200" s="88" t="s">
        <v>27</v>
      </c>
      <c r="E200" s="68" t="s">
        <v>27</v>
      </c>
      <c r="F200" s="15" t="str">
        <f t="shared" ref="F200" si="14206">IF(InfGog1LevelCurrent&gt;=$B200,"-",IF(InfGog1LevelDesired&lt;$B200,"-",$C200))</f>
        <v>-</v>
      </c>
      <c r="G200" s="1" t="str">
        <f t="shared" ref="G200" si="14207">IF(InfGog1LevelCurrent&gt;=$B200,"-",IF(InfGog1LevelDesired&lt;$B200,"-",$D200))</f>
        <v>-</v>
      </c>
      <c r="H200" s="21" t="str">
        <f t="shared" ref="H200" si="14208">IF(InfGog1LevelCurrent&gt;=$B200,"-",IF(InfGog1LevelDesired&lt;$B200,"-",$E200))</f>
        <v>-</v>
      </c>
      <c r="I200" s="15" t="str">
        <f t="shared" ref="I200" si="14209">IF(InfGlo1LevelCurrent&gt;=$B200,"-",IF(InfGlo1LevelDesired&lt;$B200,"-",$C200))</f>
        <v>-</v>
      </c>
      <c r="J200" s="1" t="str">
        <f t="shared" ref="J200" si="14210">IF(InfGlo1LevelCurrent&gt;=$B200,"-",IF(InfGlo1LevelDesired&lt;$B200,"-",$D200))</f>
        <v>-</v>
      </c>
      <c r="K200" s="21" t="str">
        <f t="shared" ref="K200" si="14211">IF(InfGlo1LevelCurrent&gt;=$B200,"-",IF(InfGlo1LevelDesired&lt;$B200,"-",$E200))</f>
        <v>-</v>
      </c>
      <c r="L200" s="15" t="str">
        <f t="shared" ref="L200" si="14212">IF(InfBel1LevelCurrent&gt;=$B200,"-",IF(InfBel1LevelDesired&lt;$B200,"-",$C200))</f>
        <v>-</v>
      </c>
      <c r="M200" s="1" t="str">
        <f t="shared" ref="M200" si="14213">IF(InfBel1LevelCurrent&gt;=$B200,"-",IF(InfBel1LevelDesired&lt;$B200,"-",$D200))</f>
        <v>-</v>
      </c>
      <c r="N200" s="21" t="str">
        <f t="shared" ref="N200" si="14214">IF(InfBel1LevelCurrent&gt;=$B200,"-",IF(InfBel1LevelDesired&lt;$B200,"-",$E200))</f>
        <v>-</v>
      </c>
      <c r="O200" s="15" t="str">
        <f t="shared" ref="O200" si="14215">IF(InfBoo1LevelCurrent&gt;=$B200,"-",IF(InfBoo1LevelDesired&lt;$B200,"-",$C200))</f>
        <v>-</v>
      </c>
      <c r="P200" s="1" t="str">
        <f t="shared" ref="P200" si="14216">IF(InfBoo1LevelCurrent&gt;=$B200,"-",IF(InfBoo1LevelDesired&lt;$B200,"-",$D200))</f>
        <v>-</v>
      </c>
      <c r="Q200" s="21" t="str">
        <f t="shared" ref="Q200" si="14217">IF(InfBoo1LevelCurrent&gt;=$B200,"-",IF(InfBoo1LevelDesired&lt;$B200,"-",$E200))</f>
        <v>-</v>
      </c>
      <c r="R200" s="15" t="str">
        <f t="shared" ref="R200" si="14218">IF(LanGog1LevelCurrent&gt;=$B200,"-",IF(LanGog1LevelDesired&lt;$B200,"-",$C200))</f>
        <v>-</v>
      </c>
      <c r="S200" s="1" t="str">
        <f t="shared" ref="S200" si="14219">IF(LanGog1LevelCurrent&gt;=$B200,"-",IF(LanGog1LevelDesired&lt;$B200,"-",$D200))</f>
        <v>-</v>
      </c>
      <c r="T200" s="21" t="str">
        <f t="shared" ref="T200" si="14220">IF(LanGog1LevelCurrent&gt;=$B200,"-",IF(LanGog1LevelDesired&lt;$B200,"-",$E200))</f>
        <v>-</v>
      </c>
      <c r="U200" s="15" t="str">
        <f t="shared" ref="U200" si="14221">IF(LanGlo1LevelCurrent&gt;=$B200,"-",IF(LanGlo1LevelDesired&lt;$B200,"-",$C200))</f>
        <v>-</v>
      </c>
      <c r="V200" s="1" t="str">
        <f t="shared" ref="V200" si="14222">IF(LanGlo1LevelCurrent&gt;=$B200,"-",IF(LanGlo1LevelDesired&lt;$B200,"-",$D200))</f>
        <v>-</v>
      </c>
      <c r="W200" s="21" t="str">
        <f t="shared" ref="W200" si="14223">IF(LanGlo1LevelCurrent&gt;=$B200,"-",IF(LanGlo1LevelDesired&lt;$B200,"-",$E200))</f>
        <v>-</v>
      </c>
      <c r="X200" s="15" t="str">
        <f t="shared" ref="X200" si="14224">IF(LanBel1LevelCurrent&gt;=$B200,"-",IF(LanBel1LevelDesired&lt;$B200,"-",$C200))</f>
        <v>-</v>
      </c>
      <c r="Y200" s="1" t="str">
        <f t="shared" ref="Y200" si="14225">IF(LanBel1LevelCurrent&gt;=$B200,"-",IF(LanBel1LevelDesired&lt;$B200,"-",$D200))</f>
        <v>-</v>
      </c>
      <c r="Z200" s="21" t="str">
        <f t="shared" ref="Z200" si="14226">IF(LanBel1LevelCurrent&gt;=$B200,"-",IF(LanBel1LevelDesired&lt;$B200,"-",$E200))</f>
        <v>-</v>
      </c>
      <c r="AA200" s="15" t="str">
        <f t="shared" ref="AA200" si="14227">IF(LanBoo1LevelCurrent&gt;=$B200,"-",IF(LanBoo1LevelDesired&lt;$B200,"-",$C200))</f>
        <v>-</v>
      </c>
      <c r="AB200" s="1" t="str">
        <f t="shared" ref="AB200" si="14228">IF(LanBoo1LevelCurrent&gt;=$B200,"-",IF(LanBoo1LevelDesired&lt;$B200,"-",$D200))</f>
        <v>-</v>
      </c>
      <c r="AC200" s="21" t="str">
        <f t="shared" ref="AC200" si="14229">IF(LanBoo1LevelCurrent&gt;=$B200,"-",IF(LanBoo1LevelDesired&lt;$B200,"-",$E200))</f>
        <v>-</v>
      </c>
      <c r="AD200" s="15" t="str">
        <f t="shared" ref="AD200" si="14230">IF(MarGog1LevelCurrent&gt;=$B200,"-",IF(MarGog1LevelDesired&lt;$B200,"-",$C200))</f>
        <v>-</v>
      </c>
      <c r="AE200" s="1" t="str">
        <f t="shared" ref="AE200" si="14231">IF(MarGog1LevelCurrent&gt;=$B200,"-",IF(MarGog1LevelDesired&lt;$B200,"-",$D200))</f>
        <v>-</v>
      </c>
      <c r="AF200" s="21" t="str">
        <f t="shared" ref="AF200" si="14232">IF(MarGog1LevelCurrent&gt;=$B200,"-",IF(MarGog1LevelDesired&lt;$B200,"-",$E200))</f>
        <v>-</v>
      </c>
      <c r="AG200" s="15" t="str">
        <f t="shared" ref="AG200" si="14233">IF(MarGlo1LevelCurrent&gt;=$B200,"-",IF(MarGlo1LevelDesired&lt;$B200,"-",$C200))</f>
        <v>-</v>
      </c>
      <c r="AH200" s="1" t="str">
        <f t="shared" ref="AH200" si="14234">IF(MarGlo1LevelCurrent&gt;=$B200,"-",IF(MarGlo1LevelDesired&lt;$B200,"-",$D200))</f>
        <v>-</v>
      </c>
      <c r="AI200" s="21" t="str">
        <f t="shared" ref="AI200" si="14235">IF(MarGlo1LevelCurrent&gt;=$B200,"-",IF(MarGlo1LevelDesired&lt;$B200,"-",$E200))</f>
        <v>-</v>
      </c>
      <c r="AJ200" s="15" t="str">
        <f t="shared" ref="AJ200" si="14236">IF(MarBel1LevelCurrent&gt;=$B200,"-",IF(MarBel1LevelDesired&lt;$B200,"-",$C200))</f>
        <v>-</v>
      </c>
      <c r="AK200" s="1" t="str">
        <f t="shared" ref="AK200" si="14237">IF(MarBel1LevelCurrent&gt;=$B200,"-",IF(MarBel1LevelDesired&lt;$B200,"-",$D200))</f>
        <v>-</v>
      </c>
      <c r="AL200" s="21" t="str">
        <f t="shared" ref="AL200" si="14238">IF(MarBel1LevelCurrent&gt;=$B200,"-",IF(MarBel1LevelDesired&lt;$B200,"-",$E200))</f>
        <v>-</v>
      </c>
      <c r="AM200" s="15" t="str">
        <f t="shared" ref="AM200" si="14239">IF(MarBoo1LevelCurrent&gt;=$B200,"-",IF(MarBoo1LevelDesired&lt;$B200,"-",$C200))</f>
        <v>-</v>
      </c>
      <c r="AN200" s="1" t="str">
        <f t="shared" ref="AN200" si="14240">IF(MarBoo1LevelCurrent&gt;=$B200,"-",IF(MarBoo1LevelDesired&lt;$B200,"-",$D200))</f>
        <v>-</v>
      </c>
      <c r="AO200" s="21" t="str">
        <f t="shared" ref="AO200" si="14241">IF(MarBoo1LevelCurrent&gt;=$B200,"-",IF(MarBoo1LevelDesired&lt;$B200,"-",$E200))</f>
        <v>-</v>
      </c>
      <c r="AP200" s="15" t="str">
        <f t="shared" ref="AP200" si="14242">IF(InfGog2LevelCurrent&gt;=$B200,"-",IF(InfGog2LevelDesired&lt;$B200,"-",$C200))</f>
        <v>-</v>
      </c>
      <c r="AQ200" s="1" t="str">
        <f t="shared" ref="AQ200" si="14243">IF(InfGog2LevelCurrent&gt;=$B200,"-",IF(InfGog2LevelDesired&lt;$B200,"-",$D200))</f>
        <v>-</v>
      </c>
      <c r="AR200" s="21" t="str">
        <f t="shared" ref="AR200" si="14244">IF(InfGog2LevelCurrent&gt;=$B200,"-",IF(InfGog2LevelDesired&lt;$B200,"-",$E200))</f>
        <v>-</v>
      </c>
      <c r="AS200" s="15" t="str">
        <f t="shared" ref="AS200" si="14245">IF(InfGlo2LevelCurrent&gt;=$B200,"-",IF(InfGlo2LevelDesired&lt;$B200,"-",$C200))</f>
        <v>-</v>
      </c>
      <c r="AT200" s="1" t="str">
        <f t="shared" ref="AT200" si="14246">IF(InfGlo2LevelCurrent&gt;=$B200,"-",IF(InfGlo2LevelDesired&lt;$B200,"-",$D200))</f>
        <v>-</v>
      </c>
      <c r="AU200" s="21" t="str">
        <f t="shared" ref="AU200" si="14247">IF(InfGlo2LevelCurrent&gt;=$B200,"-",IF(InfGlo2LevelDesired&lt;$B200,"-",$E200))</f>
        <v>-</v>
      </c>
      <c r="AV200" s="15" t="str">
        <f t="shared" ref="AV200" si="14248">IF(InfBel2LevelCurrent&gt;=$B200,"-",IF(InfBel2LevelDesired&lt;$B200,"-",$C200))</f>
        <v>-</v>
      </c>
      <c r="AW200" s="1" t="str">
        <f t="shared" ref="AW200" si="14249">IF(InfBel2LevelCurrent&gt;=$B200,"-",IF(InfBel2LevelDesired&lt;$B200,"-",$D200))</f>
        <v>-</v>
      </c>
      <c r="AX200" s="21" t="str">
        <f t="shared" ref="AX200" si="14250">IF(InfBel2LevelCurrent&gt;=$B200,"-",IF(InfBel2LevelDesired&lt;$B200,"-",$E200))</f>
        <v>-</v>
      </c>
      <c r="AY200" s="15" t="str">
        <f t="shared" ref="AY200" si="14251">IF(InfBoo2LevelCurrent&gt;=$B200,"-",IF(InfBoo2LevelDesired&lt;$B200,"-",$C200))</f>
        <v>-</v>
      </c>
      <c r="AZ200" s="1" t="str">
        <f t="shared" ref="AZ200" si="14252">IF(InfBoo2LevelCurrent&gt;=$B200,"-",IF(InfBoo2LevelDesired&lt;$B200,"-",$D200))</f>
        <v>-</v>
      </c>
      <c r="BA200" s="21" t="str">
        <f t="shared" ref="BA200" si="14253">IF(InfBoo2LevelCurrent&gt;=$B200,"-",IF(InfBoo2LevelDesired&lt;$B200,"-",$E200))</f>
        <v>-</v>
      </c>
      <c r="BB200" s="15" t="str">
        <f t="shared" ref="BB200" si="14254">IF(LanGog2LevelCurrent&gt;=$B200,"-",IF(LanGog2LevelDesired&lt;$B200,"-",$C200))</f>
        <v>-</v>
      </c>
      <c r="BC200" s="1" t="str">
        <f t="shared" ref="BC200" si="14255">IF(LanGog2LevelCurrent&gt;=$B200,"-",IF(LanGog2LevelDesired&lt;$B200,"-",$D200))</f>
        <v>-</v>
      </c>
      <c r="BD200" s="21" t="str">
        <f t="shared" ref="BD200" si="14256">IF(LanGog2LevelCurrent&gt;=$B200,"-",IF(LanGog2LevelDesired&lt;$B200,"-",$E200))</f>
        <v>-</v>
      </c>
      <c r="BE200" s="15" t="str">
        <f t="shared" ref="BE200" si="14257">IF(LanGlo2LevelCurrent&gt;=$B200,"-",IF(LanGlo2LevelDesired&lt;$B200,"-",$C200))</f>
        <v>-</v>
      </c>
      <c r="BF200" s="1" t="str">
        <f t="shared" ref="BF200" si="14258">IF(LanGlo2LevelCurrent&gt;=$B200,"-",IF(LanGlo2LevelDesired&lt;$B200,"-",$D200))</f>
        <v>-</v>
      </c>
      <c r="BG200" s="21" t="str">
        <f t="shared" ref="BG200" si="14259">IF(LanGlo2LevelCurrent&gt;=$B200,"-",IF(LanGlo2LevelDesired&lt;$B200,"-",$E200))</f>
        <v>-</v>
      </c>
      <c r="BH200" s="15" t="str">
        <f t="shared" ref="BH200" si="14260">IF(LanBel2LevelCurrent&gt;=$B200,"-",IF(LanBel2LevelDesired&lt;$B200,"-",$C200))</f>
        <v>-</v>
      </c>
      <c r="BI200" s="1" t="str">
        <f t="shared" ref="BI200" si="14261">IF(LanBel2LevelCurrent&gt;=$B200,"-",IF(LanBel2LevelDesired&lt;$B200,"-",$D200))</f>
        <v>-</v>
      </c>
      <c r="BJ200" s="21" t="str">
        <f t="shared" ref="BJ200" si="14262">IF(LanBel2LevelCurrent&gt;=$B200,"-",IF(LanBel2LevelDesired&lt;$B200,"-",$E200))</f>
        <v>-</v>
      </c>
      <c r="BK200" s="15" t="str">
        <f t="shared" ref="BK200" si="14263">IF(LanBoo2LevelCurrent&gt;=$B200,"-",IF(LanBoo2LevelDesired&lt;$B200,"-",$C200))</f>
        <v>-</v>
      </c>
      <c r="BL200" s="1" t="str">
        <f t="shared" ref="BL200" si="14264">IF(LanBoo2LevelCurrent&gt;=$B200,"-",IF(LanBoo2LevelDesired&lt;$B200,"-",$D200))</f>
        <v>-</v>
      </c>
      <c r="BM200" s="21" t="str">
        <f t="shared" ref="BM200" si="14265">IF(LanBoo2LevelCurrent&gt;=$B200,"-",IF(LanBoo2LevelDesired&lt;$B200,"-",$E200))</f>
        <v>-</v>
      </c>
      <c r="BN200" s="15" t="str">
        <f t="shared" ref="BN200" si="14266">IF(MarGog2LevelCurrent&gt;=$B200,"-",IF(MarGog2LevelDesired&lt;$B200,"-",$C200))</f>
        <v>-</v>
      </c>
      <c r="BO200" s="1" t="str">
        <f t="shared" ref="BO200" si="14267">IF(MarGog2LevelCurrent&gt;=$B200,"-",IF(MarGog2LevelDesired&lt;$B200,"-",$D200))</f>
        <v>-</v>
      </c>
      <c r="BP200" s="21" t="str">
        <f t="shared" ref="BP200" si="14268">IF(MarGog2LevelCurrent&gt;=$B200,"-",IF(MarGog2LevelDesired&lt;$B200,"-",$E200))</f>
        <v>-</v>
      </c>
      <c r="BQ200" s="15" t="str">
        <f t="shared" ref="BQ200" si="14269">IF(MarGlo2LevelCurrent&gt;=$B200,"-",IF(MarGlo2LevelDesired&lt;$B200,"-",$C200))</f>
        <v>-</v>
      </c>
      <c r="BR200" s="1" t="str">
        <f t="shared" ref="BR200" si="14270">IF(MarGlo2LevelCurrent&gt;=$B200,"-",IF(MarGlo2LevelDesired&lt;$B200,"-",$D200))</f>
        <v>-</v>
      </c>
      <c r="BS200" s="21" t="str">
        <f t="shared" ref="BS200" si="14271">IF(MarGlo2LevelCurrent&gt;=$B200,"-",IF(MarGlo2LevelDesired&lt;$B200,"-",$E200))</f>
        <v>-</v>
      </c>
      <c r="BT200" s="15" t="str">
        <f t="shared" ref="BT200" si="14272">IF(MarBel2LevelCurrent&gt;=$B200,"-",IF(MarBel2LevelDesired&lt;$B200,"-",$C200))</f>
        <v>-</v>
      </c>
      <c r="BU200" s="1" t="str">
        <f t="shared" ref="BU200" si="14273">IF(MarBel2LevelCurrent&gt;=$B200,"-",IF(MarBel2LevelDesired&lt;$B200,"-",$D200))</f>
        <v>-</v>
      </c>
      <c r="BV200" s="21" t="str">
        <f t="shared" ref="BV200" si="14274">IF(MarBel2LevelCurrent&gt;=$B200,"-",IF(MarBel2LevelDesired&lt;$B200,"-",$E200))</f>
        <v>-</v>
      </c>
      <c r="BW200" s="15" t="str">
        <f t="shared" ref="BW200" si="14275">IF(MarBoo2LevelCurrent&gt;=$B200,"-",IF(MarBoo2LevelDesired&lt;$B200,"-",$C200))</f>
        <v>-</v>
      </c>
      <c r="BX200" s="1" t="str">
        <f t="shared" ref="BX200" si="14276">IF(MarBoo2LevelCurrent&gt;=$B200,"-",IF(MarBoo2LevelDesired&lt;$B200,"-",$D200))</f>
        <v>-</v>
      </c>
      <c r="BY200" s="21" t="str">
        <f t="shared" ref="BY200" si="14277">IF(MarBoo2LevelCurrent&gt;=$B200,"-",IF(MarBoo2LevelDesired&lt;$B200,"-",$E200))</f>
        <v>-</v>
      </c>
      <c r="BZ200" s="15" t="str">
        <f t="shared" si="14100"/>
        <v>-</v>
      </c>
      <c r="CA200" s="1" t="str" cm="1">
        <f t="array" ref="CA200">IF(InfGog3LevelCurrent&gt;=$B200,"-",IF(InfGog3LevelDesired&lt;$B200,"-",$D200))</f>
        <v>-</v>
      </c>
      <c r="CB200" s="21" t="str" cm="1">
        <f t="array" ref="CB200">IF(InfGog3LevelCurrent&gt;=$B200,"-",IF(InfGog3LevelDesired&lt;$B200,"-",$E200))</f>
        <v>-</v>
      </c>
      <c r="CC200" s="15" t="str">
        <f t="shared" si="14101"/>
        <v>-</v>
      </c>
      <c r="CD200" s="1" t="str">
        <f t="shared" si="14102"/>
        <v>-</v>
      </c>
      <c r="CE200" s="21" t="str">
        <f t="shared" si="14103"/>
        <v>-</v>
      </c>
      <c r="CF200" s="15" t="str">
        <f t="shared" si="14104"/>
        <v>-</v>
      </c>
      <c r="CG200" s="1" t="str">
        <f t="shared" si="14105"/>
        <v>-</v>
      </c>
      <c r="CH200" s="21" t="str">
        <f t="shared" si="14106"/>
        <v>-</v>
      </c>
      <c r="CI200" s="15" t="str">
        <f t="shared" si="14107"/>
        <v>-</v>
      </c>
      <c r="CJ200" s="1" t="str">
        <f t="shared" si="14108"/>
        <v>-</v>
      </c>
      <c r="CK200" s="21" t="str">
        <f t="shared" si="14109"/>
        <v>-</v>
      </c>
      <c r="CL200" s="15" t="str">
        <f t="shared" si="14110"/>
        <v>-</v>
      </c>
      <c r="CM200" s="1" t="str">
        <f t="shared" si="14111"/>
        <v>-</v>
      </c>
      <c r="CN200" s="21" t="str">
        <f t="shared" si="14112"/>
        <v>-</v>
      </c>
      <c r="CO200" s="15" t="str">
        <f t="shared" si="14113"/>
        <v>-</v>
      </c>
      <c r="CP200" s="1" t="str">
        <f t="shared" si="14114"/>
        <v>-</v>
      </c>
      <c r="CQ200" s="21" t="str">
        <f t="shared" si="14115"/>
        <v>-</v>
      </c>
      <c r="CR200" s="15" t="str">
        <f t="shared" si="14116"/>
        <v>-</v>
      </c>
      <c r="CS200" s="1" t="str">
        <f t="shared" si="14117"/>
        <v>-</v>
      </c>
      <c r="CT200" s="21" t="str">
        <f t="shared" si="14118"/>
        <v>-</v>
      </c>
      <c r="CU200" s="15" t="str">
        <f t="shared" si="14119"/>
        <v>-</v>
      </c>
      <c r="CV200" s="1" t="str">
        <f t="shared" si="14120"/>
        <v>-</v>
      </c>
      <c r="CW200" s="21" t="str">
        <f t="shared" si="14121"/>
        <v>-</v>
      </c>
      <c r="CX200" s="15" t="str">
        <f t="shared" si="14122"/>
        <v>-</v>
      </c>
      <c r="CY200" s="1" t="str">
        <f t="shared" si="14123"/>
        <v>-</v>
      </c>
      <c r="CZ200" s="21" t="str">
        <f t="shared" si="14124"/>
        <v>-</v>
      </c>
      <c r="DA200" s="15" t="str">
        <f t="shared" si="14125"/>
        <v>-</v>
      </c>
      <c r="DB200" s="1" t="str">
        <f t="shared" si="14126"/>
        <v>-</v>
      </c>
      <c r="DC200" s="21" t="str">
        <f t="shared" si="14127"/>
        <v>-</v>
      </c>
      <c r="DD200" s="15" t="str">
        <f t="shared" si="14128"/>
        <v>-</v>
      </c>
      <c r="DE200" s="1" t="str">
        <f t="shared" si="14129"/>
        <v>-</v>
      </c>
      <c r="DF200" s="21" t="str">
        <f t="shared" si="14130"/>
        <v>-</v>
      </c>
      <c r="DG200" s="15" t="str">
        <f t="shared" si="14131"/>
        <v>-</v>
      </c>
      <c r="DH200" s="1" t="str">
        <f t="shared" si="14132"/>
        <v>-</v>
      </c>
      <c r="DI200" s="21" t="str">
        <f t="shared" si="14133"/>
        <v>-</v>
      </c>
    </row>
    <row r="201" spans="2:113" x14ac:dyDescent="0.3">
      <c r="B201" s="1">
        <v>196</v>
      </c>
      <c r="C201" s="67">
        <v>9000</v>
      </c>
      <c r="D201" s="88" t="s">
        <v>27</v>
      </c>
      <c r="E201" s="68" t="s">
        <v>27</v>
      </c>
      <c r="F201" s="15" t="str">
        <f t="shared" ref="F201" si="14278">IF(InfGog1LevelCurrent&gt;=$B201,"-",IF(InfGog1LevelDesired&lt;$B201,"-",$C201))</f>
        <v>-</v>
      </c>
      <c r="G201" s="1" t="str">
        <f t="shared" ref="G201" si="14279">IF(InfGog1LevelCurrent&gt;=$B201,"-",IF(InfGog1LevelDesired&lt;$B201,"-",$D201))</f>
        <v>-</v>
      </c>
      <c r="H201" s="21" t="str">
        <f t="shared" ref="H201" si="14280">IF(InfGog1LevelCurrent&gt;=$B201,"-",IF(InfGog1LevelDesired&lt;$B201,"-",$E201))</f>
        <v>-</v>
      </c>
      <c r="I201" s="15" t="str">
        <f t="shared" ref="I201" si="14281">IF(InfGlo1LevelCurrent&gt;=$B201,"-",IF(InfGlo1LevelDesired&lt;$B201,"-",$C201))</f>
        <v>-</v>
      </c>
      <c r="J201" s="1" t="str">
        <f t="shared" ref="J201" si="14282">IF(InfGlo1LevelCurrent&gt;=$B201,"-",IF(InfGlo1LevelDesired&lt;$B201,"-",$D201))</f>
        <v>-</v>
      </c>
      <c r="K201" s="21" t="str">
        <f t="shared" ref="K201" si="14283">IF(InfGlo1LevelCurrent&gt;=$B201,"-",IF(InfGlo1LevelDesired&lt;$B201,"-",$E201))</f>
        <v>-</v>
      </c>
      <c r="L201" s="15" t="str">
        <f t="shared" ref="L201" si="14284">IF(InfBel1LevelCurrent&gt;=$B201,"-",IF(InfBel1LevelDesired&lt;$B201,"-",$C201))</f>
        <v>-</v>
      </c>
      <c r="M201" s="1" t="str">
        <f t="shared" ref="M201" si="14285">IF(InfBel1LevelCurrent&gt;=$B201,"-",IF(InfBel1LevelDesired&lt;$B201,"-",$D201))</f>
        <v>-</v>
      </c>
      <c r="N201" s="21" t="str">
        <f t="shared" ref="N201" si="14286">IF(InfBel1LevelCurrent&gt;=$B201,"-",IF(InfBel1LevelDesired&lt;$B201,"-",$E201))</f>
        <v>-</v>
      </c>
      <c r="O201" s="15" t="str">
        <f t="shared" ref="O201" si="14287">IF(InfBoo1LevelCurrent&gt;=$B201,"-",IF(InfBoo1LevelDesired&lt;$B201,"-",$C201))</f>
        <v>-</v>
      </c>
      <c r="P201" s="1" t="str">
        <f t="shared" ref="P201" si="14288">IF(InfBoo1LevelCurrent&gt;=$B201,"-",IF(InfBoo1LevelDesired&lt;$B201,"-",$D201))</f>
        <v>-</v>
      </c>
      <c r="Q201" s="21" t="str">
        <f t="shared" ref="Q201" si="14289">IF(InfBoo1LevelCurrent&gt;=$B201,"-",IF(InfBoo1LevelDesired&lt;$B201,"-",$E201))</f>
        <v>-</v>
      </c>
      <c r="R201" s="15" t="str">
        <f t="shared" ref="R201" si="14290">IF(LanGog1LevelCurrent&gt;=$B201,"-",IF(LanGog1LevelDesired&lt;$B201,"-",$C201))</f>
        <v>-</v>
      </c>
      <c r="S201" s="1" t="str">
        <f t="shared" ref="S201" si="14291">IF(LanGog1LevelCurrent&gt;=$B201,"-",IF(LanGog1LevelDesired&lt;$B201,"-",$D201))</f>
        <v>-</v>
      </c>
      <c r="T201" s="21" t="str">
        <f t="shared" ref="T201" si="14292">IF(LanGog1LevelCurrent&gt;=$B201,"-",IF(LanGog1LevelDesired&lt;$B201,"-",$E201))</f>
        <v>-</v>
      </c>
      <c r="U201" s="15" t="str">
        <f t="shared" ref="U201" si="14293">IF(LanGlo1LevelCurrent&gt;=$B201,"-",IF(LanGlo1LevelDesired&lt;$B201,"-",$C201))</f>
        <v>-</v>
      </c>
      <c r="V201" s="1" t="str">
        <f t="shared" ref="V201" si="14294">IF(LanGlo1LevelCurrent&gt;=$B201,"-",IF(LanGlo1LevelDesired&lt;$B201,"-",$D201))</f>
        <v>-</v>
      </c>
      <c r="W201" s="21" t="str">
        <f t="shared" ref="W201" si="14295">IF(LanGlo1LevelCurrent&gt;=$B201,"-",IF(LanGlo1LevelDesired&lt;$B201,"-",$E201))</f>
        <v>-</v>
      </c>
      <c r="X201" s="15" t="str">
        <f t="shared" ref="X201" si="14296">IF(LanBel1LevelCurrent&gt;=$B201,"-",IF(LanBel1LevelDesired&lt;$B201,"-",$C201))</f>
        <v>-</v>
      </c>
      <c r="Y201" s="1" t="str">
        <f t="shared" ref="Y201" si="14297">IF(LanBel1LevelCurrent&gt;=$B201,"-",IF(LanBel1LevelDesired&lt;$B201,"-",$D201))</f>
        <v>-</v>
      </c>
      <c r="Z201" s="21" t="str">
        <f t="shared" ref="Z201" si="14298">IF(LanBel1LevelCurrent&gt;=$B201,"-",IF(LanBel1LevelDesired&lt;$B201,"-",$E201))</f>
        <v>-</v>
      </c>
      <c r="AA201" s="15" t="str">
        <f t="shared" ref="AA201" si="14299">IF(LanBoo1LevelCurrent&gt;=$B201,"-",IF(LanBoo1LevelDesired&lt;$B201,"-",$C201))</f>
        <v>-</v>
      </c>
      <c r="AB201" s="1" t="str">
        <f t="shared" ref="AB201" si="14300">IF(LanBoo1LevelCurrent&gt;=$B201,"-",IF(LanBoo1LevelDesired&lt;$B201,"-",$D201))</f>
        <v>-</v>
      </c>
      <c r="AC201" s="21" t="str">
        <f t="shared" ref="AC201" si="14301">IF(LanBoo1LevelCurrent&gt;=$B201,"-",IF(LanBoo1LevelDesired&lt;$B201,"-",$E201))</f>
        <v>-</v>
      </c>
      <c r="AD201" s="15" t="str">
        <f t="shared" ref="AD201" si="14302">IF(MarGog1LevelCurrent&gt;=$B201,"-",IF(MarGog1LevelDesired&lt;$B201,"-",$C201))</f>
        <v>-</v>
      </c>
      <c r="AE201" s="1" t="str">
        <f t="shared" ref="AE201" si="14303">IF(MarGog1LevelCurrent&gt;=$B201,"-",IF(MarGog1LevelDesired&lt;$B201,"-",$D201))</f>
        <v>-</v>
      </c>
      <c r="AF201" s="21" t="str">
        <f t="shared" ref="AF201" si="14304">IF(MarGog1LevelCurrent&gt;=$B201,"-",IF(MarGog1LevelDesired&lt;$B201,"-",$E201))</f>
        <v>-</v>
      </c>
      <c r="AG201" s="15" t="str">
        <f t="shared" ref="AG201" si="14305">IF(MarGlo1LevelCurrent&gt;=$B201,"-",IF(MarGlo1LevelDesired&lt;$B201,"-",$C201))</f>
        <v>-</v>
      </c>
      <c r="AH201" s="1" t="str">
        <f t="shared" ref="AH201" si="14306">IF(MarGlo1LevelCurrent&gt;=$B201,"-",IF(MarGlo1LevelDesired&lt;$B201,"-",$D201))</f>
        <v>-</v>
      </c>
      <c r="AI201" s="21" t="str">
        <f t="shared" ref="AI201" si="14307">IF(MarGlo1LevelCurrent&gt;=$B201,"-",IF(MarGlo1LevelDesired&lt;$B201,"-",$E201))</f>
        <v>-</v>
      </c>
      <c r="AJ201" s="15" t="str">
        <f t="shared" ref="AJ201" si="14308">IF(MarBel1LevelCurrent&gt;=$B201,"-",IF(MarBel1LevelDesired&lt;$B201,"-",$C201))</f>
        <v>-</v>
      </c>
      <c r="AK201" s="1" t="str">
        <f t="shared" ref="AK201" si="14309">IF(MarBel1LevelCurrent&gt;=$B201,"-",IF(MarBel1LevelDesired&lt;$B201,"-",$D201))</f>
        <v>-</v>
      </c>
      <c r="AL201" s="21" t="str">
        <f t="shared" ref="AL201" si="14310">IF(MarBel1LevelCurrent&gt;=$B201,"-",IF(MarBel1LevelDesired&lt;$B201,"-",$E201))</f>
        <v>-</v>
      </c>
      <c r="AM201" s="15" t="str">
        <f t="shared" ref="AM201" si="14311">IF(MarBoo1LevelCurrent&gt;=$B201,"-",IF(MarBoo1LevelDesired&lt;$B201,"-",$C201))</f>
        <v>-</v>
      </c>
      <c r="AN201" s="1" t="str">
        <f t="shared" ref="AN201" si="14312">IF(MarBoo1LevelCurrent&gt;=$B201,"-",IF(MarBoo1LevelDesired&lt;$B201,"-",$D201))</f>
        <v>-</v>
      </c>
      <c r="AO201" s="21" t="str">
        <f t="shared" ref="AO201" si="14313">IF(MarBoo1LevelCurrent&gt;=$B201,"-",IF(MarBoo1LevelDesired&lt;$B201,"-",$E201))</f>
        <v>-</v>
      </c>
      <c r="AP201" s="15" t="str">
        <f t="shared" ref="AP201" si="14314">IF(InfGog2LevelCurrent&gt;=$B201,"-",IF(InfGog2LevelDesired&lt;$B201,"-",$C201))</f>
        <v>-</v>
      </c>
      <c r="AQ201" s="1" t="str">
        <f t="shared" ref="AQ201" si="14315">IF(InfGog2LevelCurrent&gt;=$B201,"-",IF(InfGog2LevelDesired&lt;$B201,"-",$D201))</f>
        <v>-</v>
      </c>
      <c r="AR201" s="21" t="str">
        <f t="shared" ref="AR201" si="14316">IF(InfGog2LevelCurrent&gt;=$B201,"-",IF(InfGog2LevelDesired&lt;$B201,"-",$E201))</f>
        <v>-</v>
      </c>
      <c r="AS201" s="15" t="str">
        <f t="shared" ref="AS201" si="14317">IF(InfGlo2LevelCurrent&gt;=$B201,"-",IF(InfGlo2LevelDesired&lt;$B201,"-",$C201))</f>
        <v>-</v>
      </c>
      <c r="AT201" s="1" t="str">
        <f t="shared" ref="AT201" si="14318">IF(InfGlo2LevelCurrent&gt;=$B201,"-",IF(InfGlo2LevelDesired&lt;$B201,"-",$D201))</f>
        <v>-</v>
      </c>
      <c r="AU201" s="21" t="str">
        <f t="shared" ref="AU201" si="14319">IF(InfGlo2LevelCurrent&gt;=$B201,"-",IF(InfGlo2LevelDesired&lt;$B201,"-",$E201))</f>
        <v>-</v>
      </c>
      <c r="AV201" s="15" t="str">
        <f t="shared" ref="AV201" si="14320">IF(InfBel2LevelCurrent&gt;=$B201,"-",IF(InfBel2LevelDesired&lt;$B201,"-",$C201))</f>
        <v>-</v>
      </c>
      <c r="AW201" s="1" t="str">
        <f t="shared" ref="AW201" si="14321">IF(InfBel2LevelCurrent&gt;=$B201,"-",IF(InfBel2LevelDesired&lt;$B201,"-",$D201))</f>
        <v>-</v>
      </c>
      <c r="AX201" s="21" t="str">
        <f t="shared" ref="AX201" si="14322">IF(InfBel2LevelCurrent&gt;=$B201,"-",IF(InfBel2LevelDesired&lt;$B201,"-",$E201))</f>
        <v>-</v>
      </c>
      <c r="AY201" s="15" t="str">
        <f t="shared" ref="AY201" si="14323">IF(InfBoo2LevelCurrent&gt;=$B201,"-",IF(InfBoo2LevelDesired&lt;$B201,"-",$C201))</f>
        <v>-</v>
      </c>
      <c r="AZ201" s="1" t="str">
        <f t="shared" ref="AZ201" si="14324">IF(InfBoo2LevelCurrent&gt;=$B201,"-",IF(InfBoo2LevelDesired&lt;$B201,"-",$D201))</f>
        <v>-</v>
      </c>
      <c r="BA201" s="21" t="str">
        <f t="shared" ref="BA201" si="14325">IF(InfBoo2LevelCurrent&gt;=$B201,"-",IF(InfBoo2LevelDesired&lt;$B201,"-",$E201))</f>
        <v>-</v>
      </c>
      <c r="BB201" s="15" t="str">
        <f t="shared" ref="BB201" si="14326">IF(LanGog2LevelCurrent&gt;=$B201,"-",IF(LanGog2LevelDesired&lt;$B201,"-",$C201))</f>
        <v>-</v>
      </c>
      <c r="BC201" s="1" t="str">
        <f t="shared" ref="BC201" si="14327">IF(LanGog2LevelCurrent&gt;=$B201,"-",IF(LanGog2LevelDesired&lt;$B201,"-",$D201))</f>
        <v>-</v>
      </c>
      <c r="BD201" s="21" t="str">
        <f t="shared" ref="BD201" si="14328">IF(LanGog2LevelCurrent&gt;=$B201,"-",IF(LanGog2LevelDesired&lt;$B201,"-",$E201))</f>
        <v>-</v>
      </c>
      <c r="BE201" s="15" t="str">
        <f t="shared" ref="BE201" si="14329">IF(LanGlo2LevelCurrent&gt;=$B201,"-",IF(LanGlo2LevelDesired&lt;$B201,"-",$C201))</f>
        <v>-</v>
      </c>
      <c r="BF201" s="1" t="str">
        <f t="shared" ref="BF201" si="14330">IF(LanGlo2LevelCurrent&gt;=$B201,"-",IF(LanGlo2LevelDesired&lt;$B201,"-",$D201))</f>
        <v>-</v>
      </c>
      <c r="BG201" s="21" t="str">
        <f t="shared" ref="BG201" si="14331">IF(LanGlo2LevelCurrent&gt;=$B201,"-",IF(LanGlo2LevelDesired&lt;$B201,"-",$E201))</f>
        <v>-</v>
      </c>
      <c r="BH201" s="15" t="str">
        <f t="shared" ref="BH201" si="14332">IF(LanBel2LevelCurrent&gt;=$B201,"-",IF(LanBel2LevelDesired&lt;$B201,"-",$C201))</f>
        <v>-</v>
      </c>
      <c r="BI201" s="1" t="str">
        <f t="shared" ref="BI201" si="14333">IF(LanBel2LevelCurrent&gt;=$B201,"-",IF(LanBel2LevelDesired&lt;$B201,"-",$D201))</f>
        <v>-</v>
      </c>
      <c r="BJ201" s="21" t="str">
        <f t="shared" ref="BJ201" si="14334">IF(LanBel2LevelCurrent&gt;=$B201,"-",IF(LanBel2LevelDesired&lt;$B201,"-",$E201))</f>
        <v>-</v>
      </c>
      <c r="BK201" s="15" t="str">
        <f t="shared" ref="BK201" si="14335">IF(LanBoo2LevelCurrent&gt;=$B201,"-",IF(LanBoo2LevelDesired&lt;$B201,"-",$C201))</f>
        <v>-</v>
      </c>
      <c r="BL201" s="1" t="str">
        <f t="shared" ref="BL201" si="14336">IF(LanBoo2LevelCurrent&gt;=$B201,"-",IF(LanBoo2LevelDesired&lt;$B201,"-",$D201))</f>
        <v>-</v>
      </c>
      <c r="BM201" s="21" t="str">
        <f t="shared" ref="BM201" si="14337">IF(LanBoo2LevelCurrent&gt;=$B201,"-",IF(LanBoo2LevelDesired&lt;$B201,"-",$E201))</f>
        <v>-</v>
      </c>
      <c r="BN201" s="15" t="str">
        <f t="shared" ref="BN201" si="14338">IF(MarGog2LevelCurrent&gt;=$B201,"-",IF(MarGog2LevelDesired&lt;$B201,"-",$C201))</f>
        <v>-</v>
      </c>
      <c r="BO201" s="1" t="str">
        <f t="shared" ref="BO201" si="14339">IF(MarGog2LevelCurrent&gt;=$B201,"-",IF(MarGog2LevelDesired&lt;$B201,"-",$D201))</f>
        <v>-</v>
      </c>
      <c r="BP201" s="21" t="str">
        <f t="shared" ref="BP201" si="14340">IF(MarGog2LevelCurrent&gt;=$B201,"-",IF(MarGog2LevelDesired&lt;$B201,"-",$E201))</f>
        <v>-</v>
      </c>
      <c r="BQ201" s="15" t="str">
        <f t="shared" ref="BQ201" si="14341">IF(MarGlo2LevelCurrent&gt;=$B201,"-",IF(MarGlo2LevelDesired&lt;$B201,"-",$C201))</f>
        <v>-</v>
      </c>
      <c r="BR201" s="1" t="str">
        <f t="shared" ref="BR201" si="14342">IF(MarGlo2LevelCurrent&gt;=$B201,"-",IF(MarGlo2LevelDesired&lt;$B201,"-",$D201))</f>
        <v>-</v>
      </c>
      <c r="BS201" s="21" t="str">
        <f t="shared" ref="BS201" si="14343">IF(MarGlo2LevelCurrent&gt;=$B201,"-",IF(MarGlo2LevelDesired&lt;$B201,"-",$E201))</f>
        <v>-</v>
      </c>
      <c r="BT201" s="15" t="str">
        <f t="shared" ref="BT201" si="14344">IF(MarBel2LevelCurrent&gt;=$B201,"-",IF(MarBel2LevelDesired&lt;$B201,"-",$C201))</f>
        <v>-</v>
      </c>
      <c r="BU201" s="1" t="str">
        <f t="shared" ref="BU201" si="14345">IF(MarBel2LevelCurrent&gt;=$B201,"-",IF(MarBel2LevelDesired&lt;$B201,"-",$D201))</f>
        <v>-</v>
      </c>
      <c r="BV201" s="21" t="str">
        <f t="shared" ref="BV201" si="14346">IF(MarBel2LevelCurrent&gt;=$B201,"-",IF(MarBel2LevelDesired&lt;$B201,"-",$E201))</f>
        <v>-</v>
      </c>
      <c r="BW201" s="15" t="str">
        <f t="shared" ref="BW201" si="14347">IF(MarBoo2LevelCurrent&gt;=$B201,"-",IF(MarBoo2LevelDesired&lt;$B201,"-",$C201))</f>
        <v>-</v>
      </c>
      <c r="BX201" s="1" t="str">
        <f t="shared" ref="BX201" si="14348">IF(MarBoo2LevelCurrent&gt;=$B201,"-",IF(MarBoo2LevelDesired&lt;$B201,"-",$D201))</f>
        <v>-</v>
      </c>
      <c r="BY201" s="21" t="str">
        <f t="shared" ref="BY201" si="14349">IF(MarBoo2LevelCurrent&gt;=$B201,"-",IF(MarBoo2LevelDesired&lt;$B201,"-",$E201))</f>
        <v>-</v>
      </c>
      <c r="BZ201" s="15" t="str">
        <f t="shared" si="14100"/>
        <v>-</v>
      </c>
      <c r="CA201" s="1" t="str" cm="1">
        <f t="array" ref="CA201">IF(InfGog3LevelCurrent&gt;=$B201,"-",IF(InfGog3LevelDesired&lt;$B201,"-",$D201))</f>
        <v>-</v>
      </c>
      <c r="CB201" s="21" t="str" cm="1">
        <f t="array" ref="CB201">IF(InfGog3LevelCurrent&gt;=$B201,"-",IF(InfGog3LevelDesired&lt;$B201,"-",$E201))</f>
        <v>-</v>
      </c>
      <c r="CC201" s="15" t="str">
        <f t="shared" si="14101"/>
        <v>-</v>
      </c>
      <c r="CD201" s="1" t="str">
        <f t="shared" si="14102"/>
        <v>-</v>
      </c>
      <c r="CE201" s="21" t="str">
        <f t="shared" si="14103"/>
        <v>-</v>
      </c>
      <c r="CF201" s="15" t="str">
        <f t="shared" si="14104"/>
        <v>-</v>
      </c>
      <c r="CG201" s="1" t="str">
        <f t="shared" si="14105"/>
        <v>-</v>
      </c>
      <c r="CH201" s="21" t="str">
        <f t="shared" si="14106"/>
        <v>-</v>
      </c>
      <c r="CI201" s="15" t="str">
        <f t="shared" si="14107"/>
        <v>-</v>
      </c>
      <c r="CJ201" s="1" t="str">
        <f t="shared" si="14108"/>
        <v>-</v>
      </c>
      <c r="CK201" s="21" t="str">
        <f t="shared" si="14109"/>
        <v>-</v>
      </c>
      <c r="CL201" s="15" t="str">
        <f t="shared" si="14110"/>
        <v>-</v>
      </c>
      <c r="CM201" s="1" t="str">
        <f t="shared" si="14111"/>
        <v>-</v>
      </c>
      <c r="CN201" s="21" t="str">
        <f t="shared" si="14112"/>
        <v>-</v>
      </c>
      <c r="CO201" s="15" t="str">
        <f t="shared" si="14113"/>
        <v>-</v>
      </c>
      <c r="CP201" s="1" t="str">
        <f t="shared" si="14114"/>
        <v>-</v>
      </c>
      <c r="CQ201" s="21" t="str">
        <f t="shared" si="14115"/>
        <v>-</v>
      </c>
      <c r="CR201" s="15" t="str">
        <f t="shared" si="14116"/>
        <v>-</v>
      </c>
      <c r="CS201" s="1" t="str">
        <f t="shared" si="14117"/>
        <v>-</v>
      </c>
      <c r="CT201" s="21" t="str">
        <f t="shared" si="14118"/>
        <v>-</v>
      </c>
      <c r="CU201" s="15" t="str">
        <f t="shared" si="14119"/>
        <v>-</v>
      </c>
      <c r="CV201" s="1" t="str">
        <f t="shared" si="14120"/>
        <v>-</v>
      </c>
      <c r="CW201" s="21" t="str">
        <f t="shared" si="14121"/>
        <v>-</v>
      </c>
      <c r="CX201" s="15" t="str">
        <f t="shared" si="14122"/>
        <v>-</v>
      </c>
      <c r="CY201" s="1" t="str">
        <f t="shared" si="14123"/>
        <v>-</v>
      </c>
      <c r="CZ201" s="21" t="str">
        <f t="shared" si="14124"/>
        <v>-</v>
      </c>
      <c r="DA201" s="15" t="str">
        <f t="shared" si="14125"/>
        <v>-</v>
      </c>
      <c r="DB201" s="1" t="str">
        <f t="shared" si="14126"/>
        <v>-</v>
      </c>
      <c r="DC201" s="21" t="str">
        <f t="shared" si="14127"/>
        <v>-</v>
      </c>
      <c r="DD201" s="15" t="str">
        <f t="shared" si="14128"/>
        <v>-</v>
      </c>
      <c r="DE201" s="1" t="str">
        <f t="shared" si="14129"/>
        <v>-</v>
      </c>
      <c r="DF201" s="21" t="str">
        <f t="shared" si="14130"/>
        <v>-</v>
      </c>
      <c r="DG201" s="15" t="str">
        <f t="shared" si="14131"/>
        <v>-</v>
      </c>
      <c r="DH201" s="1" t="str">
        <f t="shared" si="14132"/>
        <v>-</v>
      </c>
      <c r="DI201" s="21" t="str">
        <f t="shared" si="14133"/>
        <v>-</v>
      </c>
    </row>
    <row r="202" spans="2:113" x14ac:dyDescent="0.3">
      <c r="B202" s="1">
        <v>197</v>
      </c>
      <c r="C202" s="67">
        <v>9100</v>
      </c>
      <c r="D202" s="88" t="s">
        <v>27</v>
      </c>
      <c r="E202" s="68" t="s">
        <v>27</v>
      </c>
      <c r="F202" s="15" t="str">
        <f t="shared" ref="F202" si="14350">IF(InfGog1LevelCurrent&gt;=$B202,"-",IF(InfGog1LevelDesired&lt;$B202,"-",$C202))</f>
        <v>-</v>
      </c>
      <c r="G202" s="1" t="str">
        <f t="shared" ref="G202" si="14351">IF(InfGog1LevelCurrent&gt;=$B202,"-",IF(InfGog1LevelDesired&lt;$B202,"-",$D202))</f>
        <v>-</v>
      </c>
      <c r="H202" s="21" t="str">
        <f t="shared" ref="H202" si="14352">IF(InfGog1LevelCurrent&gt;=$B202,"-",IF(InfGog1LevelDesired&lt;$B202,"-",$E202))</f>
        <v>-</v>
      </c>
      <c r="I202" s="15" t="str">
        <f t="shared" ref="I202" si="14353">IF(InfGlo1LevelCurrent&gt;=$B202,"-",IF(InfGlo1LevelDesired&lt;$B202,"-",$C202))</f>
        <v>-</v>
      </c>
      <c r="J202" s="1" t="str">
        <f t="shared" ref="J202" si="14354">IF(InfGlo1LevelCurrent&gt;=$B202,"-",IF(InfGlo1LevelDesired&lt;$B202,"-",$D202))</f>
        <v>-</v>
      </c>
      <c r="K202" s="21" t="str">
        <f t="shared" ref="K202" si="14355">IF(InfGlo1LevelCurrent&gt;=$B202,"-",IF(InfGlo1LevelDesired&lt;$B202,"-",$E202))</f>
        <v>-</v>
      </c>
      <c r="L202" s="15" t="str">
        <f t="shared" ref="L202" si="14356">IF(InfBel1LevelCurrent&gt;=$B202,"-",IF(InfBel1LevelDesired&lt;$B202,"-",$C202))</f>
        <v>-</v>
      </c>
      <c r="M202" s="1" t="str">
        <f t="shared" ref="M202" si="14357">IF(InfBel1LevelCurrent&gt;=$B202,"-",IF(InfBel1LevelDesired&lt;$B202,"-",$D202))</f>
        <v>-</v>
      </c>
      <c r="N202" s="21" t="str">
        <f t="shared" ref="N202" si="14358">IF(InfBel1LevelCurrent&gt;=$B202,"-",IF(InfBel1LevelDesired&lt;$B202,"-",$E202))</f>
        <v>-</v>
      </c>
      <c r="O202" s="15" t="str">
        <f t="shared" ref="O202" si="14359">IF(InfBoo1LevelCurrent&gt;=$B202,"-",IF(InfBoo1LevelDesired&lt;$B202,"-",$C202))</f>
        <v>-</v>
      </c>
      <c r="P202" s="1" t="str">
        <f t="shared" ref="P202" si="14360">IF(InfBoo1LevelCurrent&gt;=$B202,"-",IF(InfBoo1LevelDesired&lt;$B202,"-",$D202))</f>
        <v>-</v>
      </c>
      <c r="Q202" s="21" t="str">
        <f t="shared" ref="Q202" si="14361">IF(InfBoo1LevelCurrent&gt;=$B202,"-",IF(InfBoo1LevelDesired&lt;$B202,"-",$E202))</f>
        <v>-</v>
      </c>
      <c r="R202" s="15" t="str">
        <f t="shared" ref="R202" si="14362">IF(LanGog1LevelCurrent&gt;=$B202,"-",IF(LanGog1LevelDesired&lt;$B202,"-",$C202))</f>
        <v>-</v>
      </c>
      <c r="S202" s="1" t="str">
        <f t="shared" ref="S202" si="14363">IF(LanGog1LevelCurrent&gt;=$B202,"-",IF(LanGog1LevelDesired&lt;$B202,"-",$D202))</f>
        <v>-</v>
      </c>
      <c r="T202" s="21" t="str">
        <f t="shared" ref="T202" si="14364">IF(LanGog1LevelCurrent&gt;=$B202,"-",IF(LanGog1LevelDesired&lt;$B202,"-",$E202))</f>
        <v>-</v>
      </c>
      <c r="U202" s="15" t="str">
        <f t="shared" ref="U202" si="14365">IF(LanGlo1LevelCurrent&gt;=$B202,"-",IF(LanGlo1LevelDesired&lt;$B202,"-",$C202))</f>
        <v>-</v>
      </c>
      <c r="V202" s="1" t="str">
        <f t="shared" ref="V202" si="14366">IF(LanGlo1LevelCurrent&gt;=$B202,"-",IF(LanGlo1LevelDesired&lt;$B202,"-",$D202))</f>
        <v>-</v>
      </c>
      <c r="W202" s="21" t="str">
        <f t="shared" ref="W202" si="14367">IF(LanGlo1LevelCurrent&gt;=$B202,"-",IF(LanGlo1LevelDesired&lt;$B202,"-",$E202))</f>
        <v>-</v>
      </c>
      <c r="X202" s="15" t="str">
        <f t="shared" ref="X202" si="14368">IF(LanBel1LevelCurrent&gt;=$B202,"-",IF(LanBel1LevelDesired&lt;$B202,"-",$C202))</f>
        <v>-</v>
      </c>
      <c r="Y202" s="1" t="str">
        <f t="shared" ref="Y202" si="14369">IF(LanBel1LevelCurrent&gt;=$B202,"-",IF(LanBel1LevelDesired&lt;$B202,"-",$D202))</f>
        <v>-</v>
      </c>
      <c r="Z202" s="21" t="str">
        <f t="shared" ref="Z202" si="14370">IF(LanBel1LevelCurrent&gt;=$B202,"-",IF(LanBel1LevelDesired&lt;$B202,"-",$E202))</f>
        <v>-</v>
      </c>
      <c r="AA202" s="15" t="str">
        <f t="shared" ref="AA202" si="14371">IF(LanBoo1LevelCurrent&gt;=$B202,"-",IF(LanBoo1LevelDesired&lt;$B202,"-",$C202))</f>
        <v>-</v>
      </c>
      <c r="AB202" s="1" t="str">
        <f t="shared" ref="AB202" si="14372">IF(LanBoo1LevelCurrent&gt;=$B202,"-",IF(LanBoo1LevelDesired&lt;$B202,"-",$D202))</f>
        <v>-</v>
      </c>
      <c r="AC202" s="21" t="str">
        <f t="shared" ref="AC202" si="14373">IF(LanBoo1LevelCurrent&gt;=$B202,"-",IF(LanBoo1LevelDesired&lt;$B202,"-",$E202))</f>
        <v>-</v>
      </c>
      <c r="AD202" s="15" t="str">
        <f t="shared" ref="AD202" si="14374">IF(MarGog1LevelCurrent&gt;=$B202,"-",IF(MarGog1LevelDesired&lt;$B202,"-",$C202))</f>
        <v>-</v>
      </c>
      <c r="AE202" s="1" t="str">
        <f t="shared" ref="AE202" si="14375">IF(MarGog1LevelCurrent&gt;=$B202,"-",IF(MarGog1LevelDesired&lt;$B202,"-",$D202))</f>
        <v>-</v>
      </c>
      <c r="AF202" s="21" t="str">
        <f t="shared" ref="AF202" si="14376">IF(MarGog1LevelCurrent&gt;=$B202,"-",IF(MarGog1LevelDesired&lt;$B202,"-",$E202))</f>
        <v>-</v>
      </c>
      <c r="AG202" s="15" t="str">
        <f t="shared" ref="AG202" si="14377">IF(MarGlo1LevelCurrent&gt;=$B202,"-",IF(MarGlo1LevelDesired&lt;$B202,"-",$C202))</f>
        <v>-</v>
      </c>
      <c r="AH202" s="1" t="str">
        <f t="shared" ref="AH202" si="14378">IF(MarGlo1LevelCurrent&gt;=$B202,"-",IF(MarGlo1LevelDesired&lt;$B202,"-",$D202))</f>
        <v>-</v>
      </c>
      <c r="AI202" s="21" t="str">
        <f t="shared" ref="AI202" si="14379">IF(MarGlo1LevelCurrent&gt;=$B202,"-",IF(MarGlo1LevelDesired&lt;$B202,"-",$E202))</f>
        <v>-</v>
      </c>
      <c r="AJ202" s="15" t="str">
        <f t="shared" ref="AJ202" si="14380">IF(MarBel1LevelCurrent&gt;=$B202,"-",IF(MarBel1LevelDesired&lt;$B202,"-",$C202))</f>
        <v>-</v>
      </c>
      <c r="AK202" s="1" t="str">
        <f t="shared" ref="AK202" si="14381">IF(MarBel1LevelCurrent&gt;=$B202,"-",IF(MarBel1LevelDesired&lt;$B202,"-",$D202))</f>
        <v>-</v>
      </c>
      <c r="AL202" s="21" t="str">
        <f t="shared" ref="AL202" si="14382">IF(MarBel1LevelCurrent&gt;=$B202,"-",IF(MarBel1LevelDesired&lt;$B202,"-",$E202))</f>
        <v>-</v>
      </c>
      <c r="AM202" s="15" t="str">
        <f t="shared" ref="AM202" si="14383">IF(MarBoo1LevelCurrent&gt;=$B202,"-",IF(MarBoo1LevelDesired&lt;$B202,"-",$C202))</f>
        <v>-</v>
      </c>
      <c r="AN202" s="1" t="str">
        <f t="shared" ref="AN202" si="14384">IF(MarBoo1LevelCurrent&gt;=$B202,"-",IF(MarBoo1LevelDesired&lt;$B202,"-",$D202))</f>
        <v>-</v>
      </c>
      <c r="AO202" s="21" t="str">
        <f t="shared" ref="AO202" si="14385">IF(MarBoo1LevelCurrent&gt;=$B202,"-",IF(MarBoo1LevelDesired&lt;$B202,"-",$E202))</f>
        <v>-</v>
      </c>
      <c r="AP202" s="15" t="str">
        <f t="shared" ref="AP202" si="14386">IF(InfGog2LevelCurrent&gt;=$B202,"-",IF(InfGog2LevelDesired&lt;$B202,"-",$C202))</f>
        <v>-</v>
      </c>
      <c r="AQ202" s="1" t="str">
        <f t="shared" ref="AQ202" si="14387">IF(InfGog2LevelCurrent&gt;=$B202,"-",IF(InfGog2LevelDesired&lt;$B202,"-",$D202))</f>
        <v>-</v>
      </c>
      <c r="AR202" s="21" t="str">
        <f t="shared" ref="AR202" si="14388">IF(InfGog2LevelCurrent&gt;=$B202,"-",IF(InfGog2LevelDesired&lt;$B202,"-",$E202))</f>
        <v>-</v>
      </c>
      <c r="AS202" s="15" t="str">
        <f t="shared" ref="AS202" si="14389">IF(InfGlo2LevelCurrent&gt;=$B202,"-",IF(InfGlo2LevelDesired&lt;$B202,"-",$C202))</f>
        <v>-</v>
      </c>
      <c r="AT202" s="1" t="str">
        <f t="shared" ref="AT202" si="14390">IF(InfGlo2LevelCurrent&gt;=$B202,"-",IF(InfGlo2LevelDesired&lt;$B202,"-",$D202))</f>
        <v>-</v>
      </c>
      <c r="AU202" s="21" t="str">
        <f t="shared" ref="AU202" si="14391">IF(InfGlo2LevelCurrent&gt;=$B202,"-",IF(InfGlo2LevelDesired&lt;$B202,"-",$E202))</f>
        <v>-</v>
      </c>
      <c r="AV202" s="15" t="str">
        <f t="shared" ref="AV202" si="14392">IF(InfBel2LevelCurrent&gt;=$B202,"-",IF(InfBel2LevelDesired&lt;$B202,"-",$C202))</f>
        <v>-</v>
      </c>
      <c r="AW202" s="1" t="str">
        <f t="shared" ref="AW202" si="14393">IF(InfBel2LevelCurrent&gt;=$B202,"-",IF(InfBel2LevelDesired&lt;$B202,"-",$D202))</f>
        <v>-</v>
      </c>
      <c r="AX202" s="21" t="str">
        <f t="shared" ref="AX202" si="14394">IF(InfBel2LevelCurrent&gt;=$B202,"-",IF(InfBel2LevelDesired&lt;$B202,"-",$E202))</f>
        <v>-</v>
      </c>
      <c r="AY202" s="15" t="str">
        <f t="shared" ref="AY202" si="14395">IF(InfBoo2LevelCurrent&gt;=$B202,"-",IF(InfBoo2LevelDesired&lt;$B202,"-",$C202))</f>
        <v>-</v>
      </c>
      <c r="AZ202" s="1" t="str">
        <f t="shared" ref="AZ202" si="14396">IF(InfBoo2LevelCurrent&gt;=$B202,"-",IF(InfBoo2LevelDesired&lt;$B202,"-",$D202))</f>
        <v>-</v>
      </c>
      <c r="BA202" s="21" t="str">
        <f t="shared" ref="BA202" si="14397">IF(InfBoo2LevelCurrent&gt;=$B202,"-",IF(InfBoo2LevelDesired&lt;$B202,"-",$E202))</f>
        <v>-</v>
      </c>
      <c r="BB202" s="15" t="str">
        <f t="shared" ref="BB202" si="14398">IF(LanGog2LevelCurrent&gt;=$B202,"-",IF(LanGog2LevelDesired&lt;$B202,"-",$C202))</f>
        <v>-</v>
      </c>
      <c r="BC202" s="1" t="str">
        <f t="shared" ref="BC202" si="14399">IF(LanGog2LevelCurrent&gt;=$B202,"-",IF(LanGog2LevelDesired&lt;$B202,"-",$D202))</f>
        <v>-</v>
      </c>
      <c r="BD202" s="21" t="str">
        <f t="shared" ref="BD202" si="14400">IF(LanGog2LevelCurrent&gt;=$B202,"-",IF(LanGog2LevelDesired&lt;$B202,"-",$E202))</f>
        <v>-</v>
      </c>
      <c r="BE202" s="15" t="str">
        <f t="shared" ref="BE202" si="14401">IF(LanGlo2LevelCurrent&gt;=$B202,"-",IF(LanGlo2LevelDesired&lt;$B202,"-",$C202))</f>
        <v>-</v>
      </c>
      <c r="BF202" s="1" t="str">
        <f t="shared" ref="BF202" si="14402">IF(LanGlo2LevelCurrent&gt;=$B202,"-",IF(LanGlo2LevelDesired&lt;$B202,"-",$D202))</f>
        <v>-</v>
      </c>
      <c r="BG202" s="21" t="str">
        <f t="shared" ref="BG202" si="14403">IF(LanGlo2LevelCurrent&gt;=$B202,"-",IF(LanGlo2LevelDesired&lt;$B202,"-",$E202))</f>
        <v>-</v>
      </c>
      <c r="BH202" s="15" t="str">
        <f t="shared" ref="BH202" si="14404">IF(LanBel2LevelCurrent&gt;=$B202,"-",IF(LanBel2LevelDesired&lt;$B202,"-",$C202))</f>
        <v>-</v>
      </c>
      <c r="BI202" s="1" t="str">
        <f t="shared" ref="BI202" si="14405">IF(LanBel2LevelCurrent&gt;=$B202,"-",IF(LanBel2LevelDesired&lt;$B202,"-",$D202))</f>
        <v>-</v>
      </c>
      <c r="BJ202" s="21" t="str">
        <f t="shared" ref="BJ202" si="14406">IF(LanBel2LevelCurrent&gt;=$B202,"-",IF(LanBel2LevelDesired&lt;$B202,"-",$E202))</f>
        <v>-</v>
      </c>
      <c r="BK202" s="15" t="str">
        <f t="shared" ref="BK202" si="14407">IF(LanBoo2LevelCurrent&gt;=$B202,"-",IF(LanBoo2LevelDesired&lt;$B202,"-",$C202))</f>
        <v>-</v>
      </c>
      <c r="BL202" s="1" t="str">
        <f t="shared" ref="BL202" si="14408">IF(LanBoo2LevelCurrent&gt;=$B202,"-",IF(LanBoo2LevelDesired&lt;$B202,"-",$D202))</f>
        <v>-</v>
      </c>
      <c r="BM202" s="21" t="str">
        <f t="shared" ref="BM202" si="14409">IF(LanBoo2LevelCurrent&gt;=$B202,"-",IF(LanBoo2LevelDesired&lt;$B202,"-",$E202))</f>
        <v>-</v>
      </c>
      <c r="BN202" s="15" t="str">
        <f t="shared" ref="BN202" si="14410">IF(MarGog2LevelCurrent&gt;=$B202,"-",IF(MarGog2LevelDesired&lt;$B202,"-",$C202))</f>
        <v>-</v>
      </c>
      <c r="BO202" s="1" t="str">
        <f t="shared" ref="BO202" si="14411">IF(MarGog2LevelCurrent&gt;=$B202,"-",IF(MarGog2LevelDesired&lt;$B202,"-",$D202))</f>
        <v>-</v>
      </c>
      <c r="BP202" s="21" t="str">
        <f t="shared" ref="BP202" si="14412">IF(MarGog2LevelCurrent&gt;=$B202,"-",IF(MarGog2LevelDesired&lt;$B202,"-",$E202))</f>
        <v>-</v>
      </c>
      <c r="BQ202" s="15" t="str">
        <f t="shared" ref="BQ202" si="14413">IF(MarGlo2LevelCurrent&gt;=$B202,"-",IF(MarGlo2LevelDesired&lt;$B202,"-",$C202))</f>
        <v>-</v>
      </c>
      <c r="BR202" s="1" t="str">
        <f t="shared" ref="BR202" si="14414">IF(MarGlo2LevelCurrent&gt;=$B202,"-",IF(MarGlo2LevelDesired&lt;$B202,"-",$D202))</f>
        <v>-</v>
      </c>
      <c r="BS202" s="21" t="str">
        <f t="shared" ref="BS202" si="14415">IF(MarGlo2LevelCurrent&gt;=$B202,"-",IF(MarGlo2LevelDesired&lt;$B202,"-",$E202))</f>
        <v>-</v>
      </c>
      <c r="BT202" s="15" t="str">
        <f t="shared" ref="BT202" si="14416">IF(MarBel2LevelCurrent&gt;=$B202,"-",IF(MarBel2LevelDesired&lt;$B202,"-",$C202))</f>
        <v>-</v>
      </c>
      <c r="BU202" s="1" t="str">
        <f t="shared" ref="BU202" si="14417">IF(MarBel2LevelCurrent&gt;=$B202,"-",IF(MarBel2LevelDesired&lt;$B202,"-",$D202))</f>
        <v>-</v>
      </c>
      <c r="BV202" s="21" t="str">
        <f t="shared" ref="BV202" si="14418">IF(MarBel2LevelCurrent&gt;=$B202,"-",IF(MarBel2LevelDesired&lt;$B202,"-",$E202))</f>
        <v>-</v>
      </c>
      <c r="BW202" s="15" t="str">
        <f t="shared" ref="BW202" si="14419">IF(MarBoo2LevelCurrent&gt;=$B202,"-",IF(MarBoo2LevelDesired&lt;$B202,"-",$C202))</f>
        <v>-</v>
      </c>
      <c r="BX202" s="1" t="str">
        <f t="shared" ref="BX202" si="14420">IF(MarBoo2LevelCurrent&gt;=$B202,"-",IF(MarBoo2LevelDesired&lt;$B202,"-",$D202))</f>
        <v>-</v>
      </c>
      <c r="BY202" s="21" t="str">
        <f t="shared" ref="BY202" si="14421">IF(MarBoo2LevelCurrent&gt;=$B202,"-",IF(MarBoo2LevelDesired&lt;$B202,"-",$E202))</f>
        <v>-</v>
      </c>
      <c r="BZ202" s="15" t="str">
        <f t="shared" si="14100"/>
        <v>-</v>
      </c>
      <c r="CA202" s="1" t="str" cm="1">
        <f t="array" ref="CA202">IF(InfGog3LevelCurrent&gt;=$B202,"-",IF(InfGog3LevelDesired&lt;$B202,"-",$D202))</f>
        <v>-</v>
      </c>
      <c r="CB202" s="21" t="str" cm="1">
        <f t="array" ref="CB202">IF(InfGog3LevelCurrent&gt;=$B202,"-",IF(InfGog3LevelDesired&lt;$B202,"-",$E202))</f>
        <v>-</v>
      </c>
      <c r="CC202" s="15" t="str">
        <f t="shared" si="14101"/>
        <v>-</v>
      </c>
      <c r="CD202" s="1" t="str">
        <f t="shared" si="14102"/>
        <v>-</v>
      </c>
      <c r="CE202" s="21" t="str">
        <f t="shared" si="14103"/>
        <v>-</v>
      </c>
      <c r="CF202" s="15" t="str">
        <f t="shared" si="14104"/>
        <v>-</v>
      </c>
      <c r="CG202" s="1" t="str">
        <f t="shared" si="14105"/>
        <v>-</v>
      </c>
      <c r="CH202" s="21" t="str">
        <f t="shared" si="14106"/>
        <v>-</v>
      </c>
      <c r="CI202" s="15" t="str">
        <f t="shared" si="14107"/>
        <v>-</v>
      </c>
      <c r="CJ202" s="1" t="str">
        <f t="shared" si="14108"/>
        <v>-</v>
      </c>
      <c r="CK202" s="21" t="str">
        <f t="shared" si="14109"/>
        <v>-</v>
      </c>
      <c r="CL202" s="15" t="str">
        <f t="shared" si="14110"/>
        <v>-</v>
      </c>
      <c r="CM202" s="1" t="str">
        <f t="shared" si="14111"/>
        <v>-</v>
      </c>
      <c r="CN202" s="21" t="str">
        <f t="shared" si="14112"/>
        <v>-</v>
      </c>
      <c r="CO202" s="15" t="str">
        <f t="shared" si="14113"/>
        <v>-</v>
      </c>
      <c r="CP202" s="1" t="str">
        <f t="shared" si="14114"/>
        <v>-</v>
      </c>
      <c r="CQ202" s="21" t="str">
        <f t="shared" si="14115"/>
        <v>-</v>
      </c>
      <c r="CR202" s="15" t="str">
        <f t="shared" si="14116"/>
        <v>-</v>
      </c>
      <c r="CS202" s="1" t="str">
        <f t="shared" si="14117"/>
        <v>-</v>
      </c>
      <c r="CT202" s="21" t="str">
        <f t="shared" si="14118"/>
        <v>-</v>
      </c>
      <c r="CU202" s="15" t="str">
        <f t="shared" si="14119"/>
        <v>-</v>
      </c>
      <c r="CV202" s="1" t="str">
        <f t="shared" si="14120"/>
        <v>-</v>
      </c>
      <c r="CW202" s="21" t="str">
        <f t="shared" si="14121"/>
        <v>-</v>
      </c>
      <c r="CX202" s="15" t="str">
        <f t="shared" si="14122"/>
        <v>-</v>
      </c>
      <c r="CY202" s="1" t="str">
        <f t="shared" si="14123"/>
        <v>-</v>
      </c>
      <c r="CZ202" s="21" t="str">
        <f t="shared" si="14124"/>
        <v>-</v>
      </c>
      <c r="DA202" s="15" t="str">
        <f t="shared" si="14125"/>
        <v>-</v>
      </c>
      <c r="DB202" s="1" t="str">
        <f t="shared" si="14126"/>
        <v>-</v>
      </c>
      <c r="DC202" s="21" t="str">
        <f t="shared" si="14127"/>
        <v>-</v>
      </c>
      <c r="DD202" s="15" t="str">
        <f t="shared" si="14128"/>
        <v>-</v>
      </c>
      <c r="DE202" s="1" t="str">
        <f t="shared" si="14129"/>
        <v>-</v>
      </c>
      <c r="DF202" s="21" t="str">
        <f t="shared" si="14130"/>
        <v>-</v>
      </c>
      <c r="DG202" s="15" t="str">
        <f t="shared" si="14131"/>
        <v>-</v>
      </c>
      <c r="DH202" s="1" t="str">
        <f t="shared" si="14132"/>
        <v>-</v>
      </c>
      <c r="DI202" s="21" t="str">
        <f t="shared" si="14133"/>
        <v>-</v>
      </c>
    </row>
    <row r="203" spans="2:113" x14ac:dyDescent="0.3">
      <c r="B203" s="1">
        <v>198</v>
      </c>
      <c r="C203" s="67">
        <v>9200</v>
      </c>
      <c r="D203" s="88" t="s">
        <v>27</v>
      </c>
      <c r="E203" s="68" t="s">
        <v>27</v>
      </c>
      <c r="F203" s="15" t="str">
        <f t="shared" ref="F203" si="14422">IF(InfGog1LevelCurrent&gt;=$B203,"-",IF(InfGog1LevelDesired&lt;$B203,"-",$C203))</f>
        <v>-</v>
      </c>
      <c r="G203" s="1" t="str">
        <f t="shared" ref="G203" si="14423">IF(InfGog1LevelCurrent&gt;=$B203,"-",IF(InfGog1LevelDesired&lt;$B203,"-",$D203))</f>
        <v>-</v>
      </c>
      <c r="H203" s="21" t="str">
        <f t="shared" ref="H203" si="14424">IF(InfGog1LevelCurrent&gt;=$B203,"-",IF(InfGog1LevelDesired&lt;$B203,"-",$E203))</f>
        <v>-</v>
      </c>
      <c r="I203" s="15" t="str">
        <f t="shared" ref="I203" si="14425">IF(InfGlo1LevelCurrent&gt;=$B203,"-",IF(InfGlo1LevelDesired&lt;$B203,"-",$C203))</f>
        <v>-</v>
      </c>
      <c r="J203" s="1" t="str">
        <f t="shared" ref="J203" si="14426">IF(InfGlo1LevelCurrent&gt;=$B203,"-",IF(InfGlo1LevelDesired&lt;$B203,"-",$D203))</f>
        <v>-</v>
      </c>
      <c r="K203" s="21" t="str">
        <f t="shared" ref="K203" si="14427">IF(InfGlo1LevelCurrent&gt;=$B203,"-",IF(InfGlo1LevelDesired&lt;$B203,"-",$E203))</f>
        <v>-</v>
      </c>
      <c r="L203" s="15" t="str">
        <f t="shared" ref="L203" si="14428">IF(InfBel1LevelCurrent&gt;=$B203,"-",IF(InfBel1LevelDesired&lt;$B203,"-",$C203))</f>
        <v>-</v>
      </c>
      <c r="M203" s="1" t="str">
        <f t="shared" ref="M203" si="14429">IF(InfBel1LevelCurrent&gt;=$B203,"-",IF(InfBel1LevelDesired&lt;$B203,"-",$D203))</f>
        <v>-</v>
      </c>
      <c r="N203" s="21" t="str">
        <f t="shared" ref="N203" si="14430">IF(InfBel1LevelCurrent&gt;=$B203,"-",IF(InfBel1LevelDesired&lt;$B203,"-",$E203))</f>
        <v>-</v>
      </c>
      <c r="O203" s="15" t="str">
        <f t="shared" ref="O203" si="14431">IF(InfBoo1LevelCurrent&gt;=$B203,"-",IF(InfBoo1LevelDesired&lt;$B203,"-",$C203))</f>
        <v>-</v>
      </c>
      <c r="P203" s="1" t="str">
        <f t="shared" ref="P203" si="14432">IF(InfBoo1LevelCurrent&gt;=$B203,"-",IF(InfBoo1LevelDesired&lt;$B203,"-",$D203))</f>
        <v>-</v>
      </c>
      <c r="Q203" s="21" t="str">
        <f t="shared" ref="Q203" si="14433">IF(InfBoo1LevelCurrent&gt;=$B203,"-",IF(InfBoo1LevelDesired&lt;$B203,"-",$E203))</f>
        <v>-</v>
      </c>
      <c r="R203" s="15" t="str">
        <f t="shared" ref="R203" si="14434">IF(LanGog1LevelCurrent&gt;=$B203,"-",IF(LanGog1LevelDesired&lt;$B203,"-",$C203))</f>
        <v>-</v>
      </c>
      <c r="S203" s="1" t="str">
        <f t="shared" ref="S203" si="14435">IF(LanGog1LevelCurrent&gt;=$B203,"-",IF(LanGog1LevelDesired&lt;$B203,"-",$D203))</f>
        <v>-</v>
      </c>
      <c r="T203" s="21" t="str">
        <f t="shared" ref="T203" si="14436">IF(LanGog1LevelCurrent&gt;=$B203,"-",IF(LanGog1LevelDesired&lt;$B203,"-",$E203))</f>
        <v>-</v>
      </c>
      <c r="U203" s="15" t="str">
        <f t="shared" ref="U203" si="14437">IF(LanGlo1LevelCurrent&gt;=$B203,"-",IF(LanGlo1LevelDesired&lt;$B203,"-",$C203))</f>
        <v>-</v>
      </c>
      <c r="V203" s="1" t="str">
        <f t="shared" ref="V203" si="14438">IF(LanGlo1LevelCurrent&gt;=$B203,"-",IF(LanGlo1LevelDesired&lt;$B203,"-",$D203))</f>
        <v>-</v>
      </c>
      <c r="W203" s="21" t="str">
        <f t="shared" ref="W203" si="14439">IF(LanGlo1LevelCurrent&gt;=$B203,"-",IF(LanGlo1LevelDesired&lt;$B203,"-",$E203))</f>
        <v>-</v>
      </c>
      <c r="X203" s="15" t="str">
        <f t="shared" ref="X203" si="14440">IF(LanBel1LevelCurrent&gt;=$B203,"-",IF(LanBel1LevelDesired&lt;$B203,"-",$C203))</f>
        <v>-</v>
      </c>
      <c r="Y203" s="1" t="str">
        <f t="shared" ref="Y203" si="14441">IF(LanBel1LevelCurrent&gt;=$B203,"-",IF(LanBel1LevelDesired&lt;$B203,"-",$D203))</f>
        <v>-</v>
      </c>
      <c r="Z203" s="21" t="str">
        <f t="shared" ref="Z203" si="14442">IF(LanBel1LevelCurrent&gt;=$B203,"-",IF(LanBel1LevelDesired&lt;$B203,"-",$E203))</f>
        <v>-</v>
      </c>
      <c r="AA203" s="15" t="str">
        <f t="shared" ref="AA203" si="14443">IF(LanBoo1LevelCurrent&gt;=$B203,"-",IF(LanBoo1LevelDesired&lt;$B203,"-",$C203))</f>
        <v>-</v>
      </c>
      <c r="AB203" s="1" t="str">
        <f t="shared" ref="AB203" si="14444">IF(LanBoo1LevelCurrent&gt;=$B203,"-",IF(LanBoo1LevelDesired&lt;$B203,"-",$D203))</f>
        <v>-</v>
      </c>
      <c r="AC203" s="21" t="str">
        <f t="shared" ref="AC203" si="14445">IF(LanBoo1LevelCurrent&gt;=$B203,"-",IF(LanBoo1LevelDesired&lt;$B203,"-",$E203))</f>
        <v>-</v>
      </c>
      <c r="AD203" s="15" t="str">
        <f t="shared" ref="AD203" si="14446">IF(MarGog1LevelCurrent&gt;=$B203,"-",IF(MarGog1LevelDesired&lt;$B203,"-",$C203))</f>
        <v>-</v>
      </c>
      <c r="AE203" s="1" t="str">
        <f t="shared" ref="AE203" si="14447">IF(MarGog1LevelCurrent&gt;=$B203,"-",IF(MarGog1LevelDesired&lt;$B203,"-",$D203))</f>
        <v>-</v>
      </c>
      <c r="AF203" s="21" t="str">
        <f t="shared" ref="AF203" si="14448">IF(MarGog1LevelCurrent&gt;=$B203,"-",IF(MarGog1LevelDesired&lt;$B203,"-",$E203))</f>
        <v>-</v>
      </c>
      <c r="AG203" s="15" t="str">
        <f t="shared" ref="AG203" si="14449">IF(MarGlo1LevelCurrent&gt;=$B203,"-",IF(MarGlo1LevelDesired&lt;$B203,"-",$C203))</f>
        <v>-</v>
      </c>
      <c r="AH203" s="1" t="str">
        <f t="shared" ref="AH203" si="14450">IF(MarGlo1LevelCurrent&gt;=$B203,"-",IF(MarGlo1LevelDesired&lt;$B203,"-",$D203))</f>
        <v>-</v>
      </c>
      <c r="AI203" s="21" t="str">
        <f t="shared" ref="AI203" si="14451">IF(MarGlo1LevelCurrent&gt;=$B203,"-",IF(MarGlo1LevelDesired&lt;$B203,"-",$E203))</f>
        <v>-</v>
      </c>
      <c r="AJ203" s="15" t="str">
        <f t="shared" ref="AJ203" si="14452">IF(MarBel1LevelCurrent&gt;=$B203,"-",IF(MarBel1LevelDesired&lt;$B203,"-",$C203))</f>
        <v>-</v>
      </c>
      <c r="AK203" s="1" t="str">
        <f t="shared" ref="AK203" si="14453">IF(MarBel1LevelCurrent&gt;=$B203,"-",IF(MarBel1LevelDesired&lt;$B203,"-",$D203))</f>
        <v>-</v>
      </c>
      <c r="AL203" s="21" t="str">
        <f t="shared" ref="AL203" si="14454">IF(MarBel1LevelCurrent&gt;=$B203,"-",IF(MarBel1LevelDesired&lt;$B203,"-",$E203))</f>
        <v>-</v>
      </c>
      <c r="AM203" s="15" t="str">
        <f t="shared" ref="AM203" si="14455">IF(MarBoo1LevelCurrent&gt;=$B203,"-",IF(MarBoo1LevelDesired&lt;$B203,"-",$C203))</f>
        <v>-</v>
      </c>
      <c r="AN203" s="1" t="str">
        <f t="shared" ref="AN203" si="14456">IF(MarBoo1LevelCurrent&gt;=$B203,"-",IF(MarBoo1LevelDesired&lt;$B203,"-",$D203))</f>
        <v>-</v>
      </c>
      <c r="AO203" s="21" t="str">
        <f t="shared" ref="AO203" si="14457">IF(MarBoo1LevelCurrent&gt;=$B203,"-",IF(MarBoo1LevelDesired&lt;$B203,"-",$E203))</f>
        <v>-</v>
      </c>
      <c r="AP203" s="15" t="str">
        <f t="shared" ref="AP203" si="14458">IF(InfGog2LevelCurrent&gt;=$B203,"-",IF(InfGog2LevelDesired&lt;$B203,"-",$C203))</f>
        <v>-</v>
      </c>
      <c r="AQ203" s="1" t="str">
        <f t="shared" ref="AQ203" si="14459">IF(InfGog2LevelCurrent&gt;=$B203,"-",IF(InfGog2LevelDesired&lt;$B203,"-",$D203))</f>
        <v>-</v>
      </c>
      <c r="AR203" s="21" t="str">
        <f t="shared" ref="AR203" si="14460">IF(InfGog2LevelCurrent&gt;=$B203,"-",IF(InfGog2LevelDesired&lt;$B203,"-",$E203))</f>
        <v>-</v>
      </c>
      <c r="AS203" s="15" t="str">
        <f t="shared" ref="AS203" si="14461">IF(InfGlo2LevelCurrent&gt;=$B203,"-",IF(InfGlo2LevelDesired&lt;$B203,"-",$C203))</f>
        <v>-</v>
      </c>
      <c r="AT203" s="1" t="str">
        <f t="shared" ref="AT203" si="14462">IF(InfGlo2LevelCurrent&gt;=$B203,"-",IF(InfGlo2LevelDesired&lt;$B203,"-",$D203))</f>
        <v>-</v>
      </c>
      <c r="AU203" s="21" t="str">
        <f t="shared" ref="AU203" si="14463">IF(InfGlo2LevelCurrent&gt;=$B203,"-",IF(InfGlo2LevelDesired&lt;$B203,"-",$E203))</f>
        <v>-</v>
      </c>
      <c r="AV203" s="15" t="str">
        <f t="shared" ref="AV203" si="14464">IF(InfBel2LevelCurrent&gt;=$B203,"-",IF(InfBel2LevelDesired&lt;$B203,"-",$C203))</f>
        <v>-</v>
      </c>
      <c r="AW203" s="1" t="str">
        <f t="shared" ref="AW203" si="14465">IF(InfBel2LevelCurrent&gt;=$B203,"-",IF(InfBel2LevelDesired&lt;$B203,"-",$D203))</f>
        <v>-</v>
      </c>
      <c r="AX203" s="21" t="str">
        <f t="shared" ref="AX203" si="14466">IF(InfBel2LevelCurrent&gt;=$B203,"-",IF(InfBel2LevelDesired&lt;$B203,"-",$E203))</f>
        <v>-</v>
      </c>
      <c r="AY203" s="15" t="str">
        <f t="shared" ref="AY203" si="14467">IF(InfBoo2LevelCurrent&gt;=$B203,"-",IF(InfBoo2LevelDesired&lt;$B203,"-",$C203))</f>
        <v>-</v>
      </c>
      <c r="AZ203" s="1" t="str">
        <f t="shared" ref="AZ203" si="14468">IF(InfBoo2LevelCurrent&gt;=$B203,"-",IF(InfBoo2LevelDesired&lt;$B203,"-",$D203))</f>
        <v>-</v>
      </c>
      <c r="BA203" s="21" t="str">
        <f t="shared" ref="BA203" si="14469">IF(InfBoo2LevelCurrent&gt;=$B203,"-",IF(InfBoo2LevelDesired&lt;$B203,"-",$E203))</f>
        <v>-</v>
      </c>
      <c r="BB203" s="15" t="str">
        <f t="shared" ref="BB203" si="14470">IF(LanGog2LevelCurrent&gt;=$B203,"-",IF(LanGog2LevelDesired&lt;$B203,"-",$C203))</f>
        <v>-</v>
      </c>
      <c r="BC203" s="1" t="str">
        <f t="shared" ref="BC203" si="14471">IF(LanGog2LevelCurrent&gt;=$B203,"-",IF(LanGog2LevelDesired&lt;$B203,"-",$D203))</f>
        <v>-</v>
      </c>
      <c r="BD203" s="21" t="str">
        <f t="shared" ref="BD203" si="14472">IF(LanGog2LevelCurrent&gt;=$B203,"-",IF(LanGog2LevelDesired&lt;$B203,"-",$E203))</f>
        <v>-</v>
      </c>
      <c r="BE203" s="15" t="str">
        <f t="shared" ref="BE203" si="14473">IF(LanGlo2LevelCurrent&gt;=$B203,"-",IF(LanGlo2LevelDesired&lt;$B203,"-",$C203))</f>
        <v>-</v>
      </c>
      <c r="BF203" s="1" t="str">
        <f t="shared" ref="BF203" si="14474">IF(LanGlo2LevelCurrent&gt;=$B203,"-",IF(LanGlo2LevelDesired&lt;$B203,"-",$D203))</f>
        <v>-</v>
      </c>
      <c r="BG203" s="21" t="str">
        <f t="shared" ref="BG203" si="14475">IF(LanGlo2LevelCurrent&gt;=$B203,"-",IF(LanGlo2LevelDesired&lt;$B203,"-",$E203))</f>
        <v>-</v>
      </c>
      <c r="BH203" s="15" t="str">
        <f t="shared" ref="BH203" si="14476">IF(LanBel2LevelCurrent&gt;=$B203,"-",IF(LanBel2LevelDesired&lt;$B203,"-",$C203))</f>
        <v>-</v>
      </c>
      <c r="BI203" s="1" t="str">
        <f t="shared" ref="BI203" si="14477">IF(LanBel2LevelCurrent&gt;=$B203,"-",IF(LanBel2LevelDesired&lt;$B203,"-",$D203))</f>
        <v>-</v>
      </c>
      <c r="BJ203" s="21" t="str">
        <f t="shared" ref="BJ203" si="14478">IF(LanBel2LevelCurrent&gt;=$B203,"-",IF(LanBel2LevelDesired&lt;$B203,"-",$E203))</f>
        <v>-</v>
      </c>
      <c r="BK203" s="15" t="str">
        <f t="shared" ref="BK203" si="14479">IF(LanBoo2LevelCurrent&gt;=$B203,"-",IF(LanBoo2LevelDesired&lt;$B203,"-",$C203))</f>
        <v>-</v>
      </c>
      <c r="BL203" s="1" t="str">
        <f t="shared" ref="BL203" si="14480">IF(LanBoo2LevelCurrent&gt;=$B203,"-",IF(LanBoo2LevelDesired&lt;$B203,"-",$D203))</f>
        <v>-</v>
      </c>
      <c r="BM203" s="21" t="str">
        <f t="shared" ref="BM203" si="14481">IF(LanBoo2LevelCurrent&gt;=$B203,"-",IF(LanBoo2LevelDesired&lt;$B203,"-",$E203))</f>
        <v>-</v>
      </c>
      <c r="BN203" s="15" t="str">
        <f t="shared" ref="BN203" si="14482">IF(MarGog2LevelCurrent&gt;=$B203,"-",IF(MarGog2LevelDesired&lt;$B203,"-",$C203))</f>
        <v>-</v>
      </c>
      <c r="BO203" s="1" t="str">
        <f t="shared" ref="BO203" si="14483">IF(MarGog2LevelCurrent&gt;=$B203,"-",IF(MarGog2LevelDesired&lt;$B203,"-",$D203))</f>
        <v>-</v>
      </c>
      <c r="BP203" s="21" t="str">
        <f t="shared" ref="BP203" si="14484">IF(MarGog2LevelCurrent&gt;=$B203,"-",IF(MarGog2LevelDesired&lt;$B203,"-",$E203))</f>
        <v>-</v>
      </c>
      <c r="BQ203" s="15" t="str">
        <f t="shared" ref="BQ203" si="14485">IF(MarGlo2LevelCurrent&gt;=$B203,"-",IF(MarGlo2LevelDesired&lt;$B203,"-",$C203))</f>
        <v>-</v>
      </c>
      <c r="BR203" s="1" t="str">
        <f t="shared" ref="BR203" si="14486">IF(MarGlo2LevelCurrent&gt;=$B203,"-",IF(MarGlo2LevelDesired&lt;$B203,"-",$D203))</f>
        <v>-</v>
      </c>
      <c r="BS203" s="21" t="str">
        <f t="shared" ref="BS203" si="14487">IF(MarGlo2LevelCurrent&gt;=$B203,"-",IF(MarGlo2LevelDesired&lt;$B203,"-",$E203))</f>
        <v>-</v>
      </c>
      <c r="BT203" s="15" t="str">
        <f t="shared" ref="BT203" si="14488">IF(MarBel2LevelCurrent&gt;=$B203,"-",IF(MarBel2LevelDesired&lt;$B203,"-",$C203))</f>
        <v>-</v>
      </c>
      <c r="BU203" s="1" t="str">
        <f t="shared" ref="BU203" si="14489">IF(MarBel2LevelCurrent&gt;=$B203,"-",IF(MarBel2LevelDesired&lt;$B203,"-",$D203))</f>
        <v>-</v>
      </c>
      <c r="BV203" s="21" t="str">
        <f t="shared" ref="BV203" si="14490">IF(MarBel2LevelCurrent&gt;=$B203,"-",IF(MarBel2LevelDesired&lt;$B203,"-",$E203))</f>
        <v>-</v>
      </c>
      <c r="BW203" s="15" t="str">
        <f t="shared" ref="BW203" si="14491">IF(MarBoo2LevelCurrent&gt;=$B203,"-",IF(MarBoo2LevelDesired&lt;$B203,"-",$C203))</f>
        <v>-</v>
      </c>
      <c r="BX203" s="1" t="str">
        <f t="shared" ref="BX203" si="14492">IF(MarBoo2LevelCurrent&gt;=$B203,"-",IF(MarBoo2LevelDesired&lt;$B203,"-",$D203))</f>
        <v>-</v>
      </c>
      <c r="BY203" s="21" t="str">
        <f t="shared" ref="BY203" si="14493">IF(MarBoo2LevelCurrent&gt;=$B203,"-",IF(MarBoo2LevelDesired&lt;$B203,"-",$E203))</f>
        <v>-</v>
      </c>
      <c r="BZ203" s="15" t="str">
        <f t="shared" si="14100"/>
        <v>-</v>
      </c>
      <c r="CA203" s="1" t="str" cm="1">
        <f t="array" ref="CA203">IF(InfGog3LevelCurrent&gt;=$B203,"-",IF(InfGog3LevelDesired&lt;$B203,"-",$D203))</f>
        <v>-</v>
      </c>
      <c r="CB203" s="21" t="str" cm="1">
        <f t="array" ref="CB203">IF(InfGog3LevelCurrent&gt;=$B203,"-",IF(InfGog3LevelDesired&lt;$B203,"-",$E203))</f>
        <v>-</v>
      </c>
      <c r="CC203" s="15" t="str">
        <f t="shared" si="14101"/>
        <v>-</v>
      </c>
      <c r="CD203" s="1" t="str">
        <f t="shared" si="14102"/>
        <v>-</v>
      </c>
      <c r="CE203" s="21" t="str">
        <f t="shared" si="14103"/>
        <v>-</v>
      </c>
      <c r="CF203" s="15" t="str">
        <f t="shared" si="14104"/>
        <v>-</v>
      </c>
      <c r="CG203" s="1" t="str">
        <f t="shared" si="14105"/>
        <v>-</v>
      </c>
      <c r="CH203" s="21" t="str">
        <f t="shared" si="14106"/>
        <v>-</v>
      </c>
      <c r="CI203" s="15" t="str">
        <f t="shared" si="14107"/>
        <v>-</v>
      </c>
      <c r="CJ203" s="1" t="str">
        <f t="shared" si="14108"/>
        <v>-</v>
      </c>
      <c r="CK203" s="21" t="str">
        <f t="shared" si="14109"/>
        <v>-</v>
      </c>
      <c r="CL203" s="15" t="str">
        <f t="shared" si="14110"/>
        <v>-</v>
      </c>
      <c r="CM203" s="1" t="str">
        <f t="shared" si="14111"/>
        <v>-</v>
      </c>
      <c r="CN203" s="21" t="str">
        <f t="shared" si="14112"/>
        <v>-</v>
      </c>
      <c r="CO203" s="15" t="str">
        <f t="shared" si="14113"/>
        <v>-</v>
      </c>
      <c r="CP203" s="1" t="str">
        <f t="shared" si="14114"/>
        <v>-</v>
      </c>
      <c r="CQ203" s="21" t="str">
        <f t="shared" si="14115"/>
        <v>-</v>
      </c>
      <c r="CR203" s="15" t="str">
        <f t="shared" si="14116"/>
        <v>-</v>
      </c>
      <c r="CS203" s="1" t="str">
        <f t="shared" si="14117"/>
        <v>-</v>
      </c>
      <c r="CT203" s="21" t="str">
        <f t="shared" si="14118"/>
        <v>-</v>
      </c>
      <c r="CU203" s="15" t="str">
        <f t="shared" si="14119"/>
        <v>-</v>
      </c>
      <c r="CV203" s="1" t="str">
        <f t="shared" si="14120"/>
        <v>-</v>
      </c>
      <c r="CW203" s="21" t="str">
        <f t="shared" si="14121"/>
        <v>-</v>
      </c>
      <c r="CX203" s="15" t="str">
        <f t="shared" si="14122"/>
        <v>-</v>
      </c>
      <c r="CY203" s="1" t="str">
        <f t="shared" si="14123"/>
        <v>-</v>
      </c>
      <c r="CZ203" s="21" t="str">
        <f t="shared" si="14124"/>
        <v>-</v>
      </c>
      <c r="DA203" s="15" t="str">
        <f t="shared" si="14125"/>
        <v>-</v>
      </c>
      <c r="DB203" s="1" t="str">
        <f t="shared" si="14126"/>
        <v>-</v>
      </c>
      <c r="DC203" s="21" t="str">
        <f t="shared" si="14127"/>
        <v>-</v>
      </c>
      <c r="DD203" s="15" t="str">
        <f t="shared" si="14128"/>
        <v>-</v>
      </c>
      <c r="DE203" s="1" t="str">
        <f t="shared" si="14129"/>
        <v>-</v>
      </c>
      <c r="DF203" s="21" t="str">
        <f t="shared" si="14130"/>
        <v>-</v>
      </c>
      <c r="DG203" s="15" t="str">
        <f t="shared" si="14131"/>
        <v>-</v>
      </c>
      <c r="DH203" s="1" t="str">
        <f t="shared" si="14132"/>
        <v>-</v>
      </c>
      <c r="DI203" s="21" t="str">
        <f t="shared" si="14133"/>
        <v>-</v>
      </c>
    </row>
    <row r="204" spans="2:113" x14ac:dyDescent="0.3">
      <c r="B204" s="1">
        <v>199</v>
      </c>
      <c r="C204" s="67">
        <v>9300</v>
      </c>
      <c r="D204" s="88" t="s">
        <v>27</v>
      </c>
      <c r="E204" s="68" t="s">
        <v>27</v>
      </c>
      <c r="F204" s="15" t="str">
        <f t="shared" ref="F204" si="14494">IF(InfGog1LevelCurrent&gt;=$B204,"-",IF(InfGog1LevelDesired&lt;$B204,"-",$C204))</f>
        <v>-</v>
      </c>
      <c r="G204" s="1" t="str">
        <f t="shared" ref="G204" si="14495">IF(InfGog1LevelCurrent&gt;=$B204,"-",IF(InfGog1LevelDesired&lt;$B204,"-",$D204))</f>
        <v>-</v>
      </c>
      <c r="H204" s="21" t="str">
        <f t="shared" ref="H204" si="14496">IF(InfGog1LevelCurrent&gt;=$B204,"-",IF(InfGog1LevelDesired&lt;$B204,"-",$E204))</f>
        <v>-</v>
      </c>
      <c r="I204" s="15" t="str">
        <f t="shared" ref="I204" si="14497">IF(InfGlo1LevelCurrent&gt;=$B204,"-",IF(InfGlo1LevelDesired&lt;$B204,"-",$C204))</f>
        <v>-</v>
      </c>
      <c r="J204" s="1" t="str">
        <f t="shared" ref="J204" si="14498">IF(InfGlo1LevelCurrent&gt;=$B204,"-",IF(InfGlo1LevelDesired&lt;$B204,"-",$D204))</f>
        <v>-</v>
      </c>
      <c r="K204" s="21" t="str">
        <f t="shared" ref="K204" si="14499">IF(InfGlo1LevelCurrent&gt;=$B204,"-",IF(InfGlo1LevelDesired&lt;$B204,"-",$E204))</f>
        <v>-</v>
      </c>
      <c r="L204" s="15" t="str">
        <f t="shared" ref="L204" si="14500">IF(InfBel1LevelCurrent&gt;=$B204,"-",IF(InfBel1LevelDesired&lt;$B204,"-",$C204))</f>
        <v>-</v>
      </c>
      <c r="M204" s="1" t="str">
        <f t="shared" ref="M204" si="14501">IF(InfBel1LevelCurrent&gt;=$B204,"-",IF(InfBel1LevelDesired&lt;$B204,"-",$D204))</f>
        <v>-</v>
      </c>
      <c r="N204" s="21" t="str">
        <f t="shared" ref="N204" si="14502">IF(InfBel1LevelCurrent&gt;=$B204,"-",IF(InfBel1LevelDesired&lt;$B204,"-",$E204))</f>
        <v>-</v>
      </c>
      <c r="O204" s="15" t="str">
        <f t="shared" ref="O204" si="14503">IF(InfBoo1LevelCurrent&gt;=$B204,"-",IF(InfBoo1LevelDesired&lt;$B204,"-",$C204))</f>
        <v>-</v>
      </c>
      <c r="P204" s="1" t="str">
        <f t="shared" ref="P204" si="14504">IF(InfBoo1LevelCurrent&gt;=$B204,"-",IF(InfBoo1LevelDesired&lt;$B204,"-",$D204))</f>
        <v>-</v>
      </c>
      <c r="Q204" s="21" t="str">
        <f t="shared" ref="Q204" si="14505">IF(InfBoo1LevelCurrent&gt;=$B204,"-",IF(InfBoo1LevelDesired&lt;$B204,"-",$E204))</f>
        <v>-</v>
      </c>
      <c r="R204" s="15" t="str">
        <f t="shared" ref="R204" si="14506">IF(LanGog1LevelCurrent&gt;=$B204,"-",IF(LanGog1LevelDesired&lt;$B204,"-",$C204))</f>
        <v>-</v>
      </c>
      <c r="S204" s="1" t="str">
        <f t="shared" ref="S204" si="14507">IF(LanGog1LevelCurrent&gt;=$B204,"-",IF(LanGog1LevelDesired&lt;$B204,"-",$D204))</f>
        <v>-</v>
      </c>
      <c r="T204" s="21" t="str">
        <f t="shared" ref="T204" si="14508">IF(LanGog1LevelCurrent&gt;=$B204,"-",IF(LanGog1LevelDesired&lt;$B204,"-",$E204))</f>
        <v>-</v>
      </c>
      <c r="U204" s="15" t="str">
        <f t="shared" ref="U204" si="14509">IF(LanGlo1LevelCurrent&gt;=$B204,"-",IF(LanGlo1LevelDesired&lt;$B204,"-",$C204))</f>
        <v>-</v>
      </c>
      <c r="V204" s="1" t="str">
        <f t="shared" ref="V204" si="14510">IF(LanGlo1LevelCurrent&gt;=$B204,"-",IF(LanGlo1LevelDesired&lt;$B204,"-",$D204))</f>
        <v>-</v>
      </c>
      <c r="W204" s="21" t="str">
        <f t="shared" ref="W204" si="14511">IF(LanGlo1LevelCurrent&gt;=$B204,"-",IF(LanGlo1LevelDesired&lt;$B204,"-",$E204))</f>
        <v>-</v>
      </c>
      <c r="X204" s="15" t="str">
        <f t="shared" ref="X204" si="14512">IF(LanBel1LevelCurrent&gt;=$B204,"-",IF(LanBel1LevelDesired&lt;$B204,"-",$C204))</f>
        <v>-</v>
      </c>
      <c r="Y204" s="1" t="str">
        <f t="shared" ref="Y204" si="14513">IF(LanBel1LevelCurrent&gt;=$B204,"-",IF(LanBel1LevelDesired&lt;$B204,"-",$D204))</f>
        <v>-</v>
      </c>
      <c r="Z204" s="21" t="str">
        <f t="shared" ref="Z204" si="14514">IF(LanBel1LevelCurrent&gt;=$B204,"-",IF(LanBel1LevelDesired&lt;$B204,"-",$E204))</f>
        <v>-</v>
      </c>
      <c r="AA204" s="15" t="str">
        <f t="shared" ref="AA204" si="14515">IF(LanBoo1LevelCurrent&gt;=$B204,"-",IF(LanBoo1LevelDesired&lt;$B204,"-",$C204))</f>
        <v>-</v>
      </c>
      <c r="AB204" s="1" t="str">
        <f t="shared" ref="AB204" si="14516">IF(LanBoo1LevelCurrent&gt;=$B204,"-",IF(LanBoo1LevelDesired&lt;$B204,"-",$D204))</f>
        <v>-</v>
      </c>
      <c r="AC204" s="21" t="str">
        <f t="shared" ref="AC204" si="14517">IF(LanBoo1LevelCurrent&gt;=$B204,"-",IF(LanBoo1LevelDesired&lt;$B204,"-",$E204))</f>
        <v>-</v>
      </c>
      <c r="AD204" s="15" t="str">
        <f t="shared" ref="AD204" si="14518">IF(MarGog1LevelCurrent&gt;=$B204,"-",IF(MarGog1LevelDesired&lt;$B204,"-",$C204))</f>
        <v>-</v>
      </c>
      <c r="AE204" s="1" t="str">
        <f t="shared" ref="AE204" si="14519">IF(MarGog1LevelCurrent&gt;=$B204,"-",IF(MarGog1LevelDesired&lt;$B204,"-",$D204))</f>
        <v>-</v>
      </c>
      <c r="AF204" s="21" t="str">
        <f t="shared" ref="AF204" si="14520">IF(MarGog1LevelCurrent&gt;=$B204,"-",IF(MarGog1LevelDesired&lt;$B204,"-",$E204))</f>
        <v>-</v>
      </c>
      <c r="AG204" s="15" t="str">
        <f t="shared" ref="AG204" si="14521">IF(MarGlo1LevelCurrent&gt;=$B204,"-",IF(MarGlo1LevelDesired&lt;$B204,"-",$C204))</f>
        <v>-</v>
      </c>
      <c r="AH204" s="1" t="str">
        <f t="shared" ref="AH204" si="14522">IF(MarGlo1LevelCurrent&gt;=$B204,"-",IF(MarGlo1LevelDesired&lt;$B204,"-",$D204))</f>
        <v>-</v>
      </c>
      <c r="AI204" s="21" t="str">
        <f t="shared" ref="AI204" si="14523">IF(MarGlo1LevelCurrent&gt;=$B204,"-",IF(MarGlo1LevelDesired&lt;$B204,"-",$E204))</f>
        <v>-</v>
      </c>
      <c r="AJ204" s="15" t="str">
        <f t="shared" ref="AJ204" si="14524">IF(MarBel1LevelCurrent&gt;=$B204,"-",IF(MarBel1LevelDesired&lt;$B204,"-",$C204))</f>
        <v>-</v>
      </c>
      <c r="AK204" s="1" t="str">
        <f t="shared" ref="AK204" si="14525">IF(MarBel1LevelCurrent&gt;=$B204,"-",IF(MarBel1LevelDesired&lt;$B204,"-",$D204))</f>
        <v>-</v>
      </c>
      <c r="AL204" s="21" t="str">
        <f t="shared" ref="AL204" si="14526">IF(MarBel1LevelCurrent&gt;=$B204,"-",IF(MarBel1LevelDesired&lt;$B204,"-",$E204))</f>
        <v>-</v>
      </c>
      <c r="AM204" s="15" t="str">
        <f t="shared" ref="AM204" si="14527">IF(MarBoo1LevelCurrent&gt;=$B204,"-",IF(MarBoo1LevelDesired&lt;$B204,"-",$C204))</f>
        <v>-</v>
      </c>
      <c r="AN204" s="1" t="str">
        <f t="shared" ref="AN204" si="14528">IF(MarBoo1LevelCurrent&gt;=$B204,"-",IF(MarBoo1LevelDesired&lt;$B204,"-",$D204))</f>
        <v>-</v>
      </c>
      <c r="AO204" s="21" t="str">
        <f t="shared" ref="AO204" si="14529">IF(MarBoo1LevelCurrent&gt;=$B204,"-",IF(MarBoo1LevelDesired&lt;$B204,"-",$E204))</f>
        <v>-</v>
      </c>
      <c r="AP204" s="15" t="str">
        <f t="shared" ref="AP204" si="14530">IF(InfGog2LevelCurrent&gt;=$B204,"-",IF(InfGog2LevelDesired&lt;$B204,"-",$C204))</f>
        <v>-</v>
      </c>
      <c r="AQ204" s="1" t="str">
        <f t="shared" ref="AQ204" si="14531">IF(InfGog2LevelCurrent&gt;=$B204,"-",IF(InfGog2LevelDesired&lt;$B204,"-",$D204))</f>
        <v>-</v>
      </c>
      <c r="AR204" s="21" t="str">
        <f t="shared" ref="AR204" si="14532">IF(InfGog2LevelCurrent&gt;=$B204,"-",IF(InfGog2LevelDesired&lt;$B204,"-",$E204))</f>
        <v>-</v>
      </c>
      <c r="AS204" s="15" t="str">
        <f t="shared" ref="AS204" si="14533">IF(InfGlo2LevelCurrent&gt;=$B204,"-",IF(InfGlo2LevelDesired&lt;$B204,"-",$C204))</f>
        <v>-</v>
      </c>
      <c r="AT204" s="1" t="str">
        <f t="shared" ref="AT204" si="14534">IF(InfGlo2LevelCurrent&gt;=$B204,"-",IF(InfGlo2LevelDesired&lt;$B204,"-",$D204))</f>
        <v>-</v>
      </c>
      <c r="AU204" s="21" t="str">
        <f t="shared" ref="AU204" si="14535">IF(InfGlo2LevelCurrent&gt;=$B204,"-",IF(InfGlo2LevelDesired&lt;$B204,"-",$E204))</f>
        <v>-</v>
      </c>
      <c r="AV204" s="15" t="str">
        <f t="shared" ref="AV204" si="14536">IF(InfBel2LevelCurrent&gt;=$B204,"-",IF(InfBel2LevelDesired&lt;$B204,"-",$C204))</f>
        <v>-</v>
      </c>
      <c r="AW204" s="1" t="str">
        <f t="shared" ref="AW204" si="14537">IF(InfBel2LevelCurrent&gt;=$B204,"-",IF(InfBel2LevelDesired&lt;$B204,"-",$D204))</f>
        <v>-</v>
      </c>
      <c r="AX204" s="21" t="str">
        <f t="shared" ref="AX204" si="14538">IF(InfBel2LevelCurrent&gt;=$B204,"-",IF(InfBel2LevelDesired&lt;$B204,"-",$E204))</f>
        <v>-</v>
      </c>
      <c r="AY204" s="15" t="str">
        <f t="shared" ref="AY204" si="14539">IF(InfBoo2LevelCurrent&gt;=$B204,"-",IF(InfBoo2LevelDesired&lt;$B204,"-",$C204))</f>
        <v>-</v>
      </c>
      <c r="AZ204" s="1" t="str">
        <f t="shared" ref="AZ204" si="14540">IF(InfBoo2LevelCurrent&gt;=$B204,"-",IF(InfBoo2LevelDesired&lt;$B204,"-",$D204))</f>
        <v>-</v>
      </c>
      <c r="BA204" s="21" t="str">
        <f t="shared" ref="BA204" si="14541">IF(InfBoo2LevelCurrent&gt;=$B204,"-",IF(InfBoo2LevelDesired&lt;$B204,"-",$E204))</f>
        <v>-</v>
      </c>
      <c r="BB204" s="15" t="str">
        <f t="shared" ref="BB204" si="14542">IF(LanGog2LevelCurrent&gt;=$B204,"-",IF(LanGog2LevelDesired&lt;$B204,"-",$C204))</f>
        <v>-</v>
      </c>
      <c r="BC204" s="1" t="str">
        <f t="shared" ref="BC204" si="14543">IF(LanGog2LevelCurrent&gt;=$B204,"-",IF(LanGog2LevelDesired&lt;$B204,"-",$D204))</f>
        <v>-</v>
      </c>
      <c r="BD204" s="21" t="str">
        <f t="shared" ref="BD204" si="14544">IF(LanGog2LevelCurrent&gt;=$B204,"-",IF(LanGog2LevelDesired&lt;$B204,"-",$E204))</f>
        <v>-</v>
      </c>
      <c r="BE204" s="15" t="str">
        <f t="shared" ref="BE204" si="14545">IF(LanGlo2LevelCurrent&gt;=$B204,"-",IF(LanGlo2LevelDesired&lt;$B204,"-",$C204))</f>
        <v>-</v>
      </c>
      <c r="BF204" s="1" t="str">
        <f t="shared" ref="BF204" si="14546">IF(LanGlo2LevelCurrent&gt;=$B204,"-",IF(LanGlo2LevelDesired&lt;$B204,"-",$D204))</f>
        <v>-</v>
      </c>
      <c r="BG204" s="21" t="str">
        <f t="shared" ref="BG204" si="14547">IF(LanGlo2LevelCurrent&gt;=$B204,"-",IF(LanGlo2LevelDesired&lt;$B204,"-",$E204))</f>
        <v>-</v>
      </c>
      <c r="BH204" s="15" t="str">
        <f t="shared" ref="BH204" si="14548">IF(LanBel2LevelCurrent&gt;=$B204,"-",IF(LanBel2LevelDesired&lt;$B204,"-",$C204))</f>
        <v>-</v>
      </c>
      <c r="BI204" s="1" t="str">
        <f t="shared" ref="BI204" si="14549">IF(LanBel2LevelCurrent&gt;=$B204,"-",IF(LanBel2LevelDesired&lt;$B204,"-",$D204))</f>
        <v>-</v>
      </c>
      <c r="BJ204" s="21" t="str">
        <f t="shared" ref="BJ204" si="14550">IF(LanBel2LevelCurrent&gt;=$B204,"-",IF(LanBel2LevelDesired&lt;$B204,"-",$E204))</f>
        <v>-</v>
      </c>
      <c r="BK204" s="15" t="str">
        <f t="shared" ref="BK204" si="14551">IF(LanBoo2LevelCurrent&gt;=$B204,"-",IF(LanBoo2LevelDesired&lt;$B204,"-",$C204))</f>
        <v>-</v>
      </c>
      <c r="BL204" s="1" t="str">
        <f t="shared" ref="BL204" si="14552">IF(LanBoo2LevelCurrent&gt;=$B204,"-",IF(LanBoo2LevelDesired&lt;$B204,"-",$D204))</f>
        <v>-</v>
      </c>
      <c r="BM204" s="21" t="str">
        <f t="shared" ref="BM204" si="14553">IF(LanBoo2LevelCurrent&gt;=$B204,"-",IF(LanBoo2LevelDesired&lt;$B204,"-",$E204))</f>
        <v>-</v>
      </c>
      <c r="BN204" s="15" t="str">
        <f t="shared" ref="BN204" si="14554">IF(MarGog2LevelCurrent&gt;=$B204,"-",IF(MarGog2LevelDesired&lt;$B204,"-",$C204))</f>
        <v>-</v>
      </c>
      <c r="BO204" s="1" t="str">
        <f t="shared" ref="BO204" si="14555">IF(MarGog2LevelCurrent&gt;=$B204,"-",IF(MarGog2LevelDesired&lt;$B204,"-",$D204))</f>
        <v>-</v>
      </c>
      <c r="BP204" s="21" t="str">
        <f t="shared" ref="BP204" si="14556">IF(MarGog2LevelCurrent&gt;=$B204,"-",IF(MarGog2LevelDesired&lt;$B204,"-",$E204))</f>
        <v>-</v>
      </c>
      <c r="BQ204" s="15" t="str">
        <f t="shared" ref="BQ204" si="14557">IF(MarGlo2LevelCurrent&gt;=$B204,"-",IF(MarGlo2LevelDesired&lt;$B204,"-",$C204))</f>
        <v>-</v>
      </c>
      <c r="BR204" s="1" t="str">
        <f t="shared" ref="BR204" si="14558">IF(MarGlo2LevelCurrent&gt;=$B204,"-",IF(MarGlo2LevelDesired&lt;$B204,"-",$D204))</f>
        <v>-</v>
      </c>
      <c r="BS204" s="21" t="str">
        <f t="shared" ref="BS204" si="14559">IF(MarGlo2LevelCurrent&gt;=$B204,"-",IF(MarGlo2LevelDesired&lt;$B204,"-",$E204))</f>
        <v>-</v>
      </c>
      <c r="BT204" s="15" t="str">
        <f t="shared" ref="BT204" si="14560">IF(MarBel2LevelCurrent&gt;=$B204,"-",IF(MarBel2LevelDesired&lt;$B204,"-",$C204))</f>
        <v>-</v>
      </c>
      <c r="BU204" s="1" t="str">
        <f t="shared" ref="BU204" si="14561">IF(MarBel2LevelCurrent&gt;=$B204,"-",IF(MarBel2LevelDesired&lt;$B204,"-",$D204))</f>
        <v>-</v>
      </c>
      <c r="BV204" s="21" t="str">
        <f t="shared" ref="BV204" si="14562">IF(MarBel2LevelCurrent&gt;=$B204,"-",IF(MarBel2LevelDesired&lt;$B204,"-",$E204))</f>
        <v>-</v>
      </c>
      <c r="BW204" s="15" t="str">
        <f t="shared" ref="BW204" si="14563">IF(MarBoo2LevelCurrent&gt;=$B204,"-",IF(MarBoo2LevelDesired&lt;$B204,"-",$C204))</f>
        <v>-</v>
      </c>
      <c r="BX204" s="1" t="str">
        <f t="shared" ref="BX204" si="14564">IF(MarBoo2LevelCurrent&gt;=$B204,"-",IF(MarBoo2LevelDesired&lt;$B204,"-",$D204))</f>
        <v>-</v>
      </c>
      <c r="BY204" s="21" t="str">
        <f t="shared" ref="BY204" si="14565">IF(MarBoo2LevelCurrent&gt;=$B204,"-",IF(MarBoo2LevelDesired&lt;$B204,"-",$E204))</f>
        <v>-</v>
      </c>
      <c r="BZ204" s="15" t="str">
        <f t="shared" si="14100"/>
        <v>-</v>
      </c>
      <c r="CA204" s="1" t="str" cm="1">
        <f t="array" ref="CA204">IF(InfGog3LevelCurrent&gt;=$B204,"-",IF(InfGog3LevelDesired&lt;$B204,"-",$D204))</f>
        <v>-</v>
      </c>
      <c r="CB204" s="21" t="str" cm="1">
        <f t="array" ref="CB204">IF(InfGog3LevelCurrent&gt;=$B204,"-",IF(InfGog3LevelDesired&lt;$B204,"-",$E204))</f>
        <v>-</v>
      </c>
      <c r="CC204" s="15" t="str">
        <f t="shared" si="14101"/>
        <v>-</v>
      </c>
      <c r="CD204" s="1" t="str">
        <f t="shared" si="14102"/>
        <v>-</v>
      </c>
      <c r="CE204" s="21" t="str">
        <f t="shared" si="14103"/>
        <v>-</v>
      </c>
      <c r="CF204" s="15" t="str">
        <f t="shared" si="14104"/>
        <v>-</v>
      </c>
      <c r="CG204" s="1" t="str">
        <f t="shared" si="14105"/>
        <v>-</v>
      </c>
      <c r="CH204" s="21" t="str">
        <f t="shared" si="14106"/>
        <v>-</v>
      </c>
      <c r="CI204" s="15" t="str">
        <f t="shared" si="14107"/>
        <v>-</v>
      </c>
      <c r="CJ204" s="1" t="str">
        <f t="shared" si="14108"/>
        <v>-</v>
      </c>
      <c r="CK204" s="21" t="str">
        <f t="shared" si="14109"/>
        <v>-</v>
      </c>
      <c r="CL204" s="15" t="str">
        <f t="shared" si="14110"/>
        <v>-</v>
      </c>
      <c r="CM204" s="1" t="str">
        <f t="shared" si="14111"/>
        <v>-</v>
      </c>
      <c r="CN204" s="21" t="str">
        <f t="shared" si="14112"/>
        <v>-</v>
      </c>
      <c r="CO204" s="15" t="str">
        <f t="shared" si="14113"/>
        <v>-</v>
      </c>
      <c r="CP204" s="1" t="str">
        <f t="shared" si="14114"/>
        <v>-</v>
      </c>
      <c r="CQ204" s="21" t="str">
        <f t="shared" si="14115"/>
        <v>-</v>
      </c>
      <c r="CR204" s="15" t="str">
        <f t="shared" si="14116"/>
        <v>-</v>
      </c>
      <c r="CS204" s="1" t="str">
        <f t="shared" si="14117"/>
        <v>-</v>
      </c>
      <c r="CT204" s="21" t="str">
        <f t="shared" si="14118"/>
        <v>-</v>
      </c>
      <c r="CU204" s="15" t="str">
        <f t="shared" si="14119"/>
        <v>-</v>
      </c>
      <c r="CV204" s="1" t="str">
        <f t="shared" si="14120"/>
        <v>-</v>
      </c>
      <c r="CW204" s="21" t="str">
        <f t="shared" si="14121"/>
        <v>-</v>
      </c>
      <c r="CX204" s="15" t="str">
        <f t="shared" si="14122"/>
        <v>-</v>
      </c>
      <c r="CY204" s="1" t="str">
        <f t="shared" si="14123"/>
        <v>-</v>
      </c>
      <c r="CZ204" s="21" t="str">
        <f t="shared" si="14124"/>
        <v>-</v>
      </c>
      <c r="DA204" s="15" t="str">
        <f t="shared" si="14125"/>
        <v>-</v>
      </c>
      <c r="DB204" s="1" t="str">
        <f t="shared" si="14126"/>
        <v>-</v>
      </c>
      <c r="DC204" s="21" t="str">
        <f t="shared" si="14127"/>
        <v>-</v>
      </c>
      <c r="DD204" s="15" t="str">
        <f t="shared" si="14128"/>
        <v>-</v>
      </c>
      <c r="DE204" s="1" t="str">
        <f t="shared" si="14129"/>
        <v>-</v>
      </c>
      <c r="DF204" s="21" t="str">
        <f t="shared" si="14130"/>
        <v>-</v>
      </c>
      <c r="DG204" s="15" t="str">
        <f t="shared" si="14131"/>
        <v>-</v>
      </c>
      <c r="DH204" s="1" t="str">
        <f t="shared" si="14132"/>
        <v>-</v>
      </c>
      <c r="DI204" s="21" t="str">
        <f t="shared" si="14133"/>
        <v>-</v>
      </c>
    </row>
    <row r="205" spans="2:113" x14ac:dyDescent="0.3">
      <c r="B205" s="1">
        <v>200</v>
      </c>
      <c r="C205" s="69">
        <v>0</v>
      </c>
      <c r="D205" s="83">
        <v>10</v>
      </c>
      <c r="E205" s="70">
        <v>50</v>
      </c>
      <c r="F205" s="17" t="str">
        <f t="shared" ref="F205" si="14566">IF(InfGog1LevelCurrent&gt;=$B205,"-",IF(InfGog1LevelDesired&lt;$B205,"-",$C205))</f>
        <v>-</v>
      </c>
      <c r="G205" s="145" t="str">
        <f t="shared" ref="G205" si="14567">IF(InfGog1LevelCurrent&gt;=$B205,"-",IF(InfGog1LevelDesired&lt;$B205,"-",$D205))</f>
        <v>-</v>
      </c>
      <c r="H205" s="22" t="str">
        <f t="shared" ref="H205" si="14568">IF(InfGog1LevelCurrent&gt;=$B205,"-",IF(InfGog1LevelDesired&lt;$B205,"-",$E205))</f>
        <v>-</v>
      </c>
      <c r="I205" s="17" t="str">
        <f t="shared" ref="I205" si="14569">IF(InfGlo1LevelCurrent&gt;=$B205,"-",IF(InfGlo1LevelDesired&lt;$B205,"-",$C205))</f>
        <v>-</v>
      </c>
      <c r="J205" s="145" t="str">
        <f t="shared" ref="J205" si="14570">IF(InfGlo1LevelCurrent&gt;=$B205,"-",IF(InfGlo1LevelDesired&lt;$B205,"-",$D205))</f>
        <v>-</v>
      </c>
      <c r="K205" s="22" t="str">
        <f t="shared" ref="K205" si="14571">IF(InfGlo1LevelCurrent&gt;=$B205,"-",IF(InfGlo1LevelDesired&lt;$B205,"-",$E205))</f>
        <v>-</v>
      </c>
      <c r="L205" s="17" t="str">
        <f t="shared" ref="L205" si="14572">IF(InfBel1LevelCurrent&gt;=$B205,"-",IF(InfBel1LevelDesired&lt;$B205,"-",$C205))</f>
        <v>-</v>
      </c>
      <c r="M205" s="145" t="str">
        <f t="shared" ref="M205" si="14573">IF(InfBel1LevelCurrent&gt;=$B205,"-",IF(InfBel1LevelDesired&lt;$B205,"-",$D205))</f>
        <v>-</v>
      </c>
      <c r="N205" s="22" t="str">
        <f t="shared" ref="N205" si="14574">IF(InfBel1LevelCurrent&gt;=$B205,"-",IF(InfBel1LevelDesired&lt;$B205,"-",$E205))</f>
        <v>-</v>
      </c>
      <c r="O205" s="17" t="str">
        <f t="shared" ref="O205" si="14575">IF(InfBoo1LevelCurrent&gt;=$B205,"-",IF(InfBoo1LevelDesired&lt;$B205,"-",$C205))</f>
        <v>-</v>
      </c>
      <c r="P205" s="145" t="str">
        <f t="shared" ref="P205" si="14576">IF(InfBoo1LevelCurrent&gt;=$B205,"-",IF(InfBoo1LevelDesired&lt;$B205,"-",$D205))</f>
        <v>-</v>
      </c>
      <c r="Q205" s="22" t="str">
        <f t="shared" ref="Q205" si="14577">IF(InfBoo1LevelCurrent&gt;=$B205,"-",IF(InfBoo1LevelDesired&lt;$B205,"-",$E205))</f>
        <v>-</v>
      </c>
      <c r="R205" s="17" t="str">
        <f t="shared" ref="R205" si="14578">IF(LanGog1LevelCurrent&gt;=$B205,"-",IF(LanGog1LevelDesired&lt;$B205,"-",$C205))</f>
        <v>-</v>
      </c>
      <c r="S205" s="145" t="str">
        <f t="shared" ref="S205" si="14579">IF(LanGog1LevelCurrent&gt;=$B205,"-",IF(LanGog1LevelDesired&lt;$B205,"-",$D205))</f>
        <v>-</v>
      </c>
      <c r="T205" s="22" t="str">
        <f t="shared" ref="T205" si="14580">IF(LanGog1LevelCurrent&gt;=$B205,"-",IF(LanGog1LevelDesired&lt;$B205,"-",$E205))</f>
        <v>-</v>
      </c>
      <c r="U205" s="17" t="str">
        <f t="shared" ref="U205" si="14581">IF(LanGlo1LevelCurrent&gt;=$B205,"-",IF(LanGlo1LevelDesired&lt;$B205,"-",$C205))</f>
        <v>-</v>
      </c>
      <c r="V205" s="145" t="str">
        <f t="shared" ref="V205" si="14582">IF(LanGlo1LevelCurrent&gt;=$B205,"-",IF(LanGlo1LevelDesired&lt;$B205,"-",$D205))</f>
        <v>-</v>
      </c>
      <c r="W205" s="22" t="str">
        <f t="shared" ref="W205" si="14583">IF(LanGlo1LevelCurrent&gt;=$B205,"-",IF(LanGlo1LevelDesired&lt;$B205,"-",$E205))</f>
        <v>-</v>
      </c>
      <c r="X205" s="17" t="str">
        <f t="shared" ref="X205" si="14584">IF(LanBel1LevelCurrent&gt;=$B205,"-",IF(LanBel1LevelDesired&lt;$B205,"-",$C205))</f>
        <v>-</v>
      </c>
      <c r="Y205" s="145" t="str">
        <f t="shared" ref="Y205" si="14585">IF(LanBel1LevelCurrent&gt;=$B205,"-",IF(LanBel1LevelDesired&lt;$B205,"-",$D205))</f>
        <v>-</v>
      </c>
      <c r="Z205" s="22" t="str">
        <f t="shared" ref="Z205" si="14586">IF(LanBel1LevelCurrent&gt;=$B205,"-",IF(LanBel1LevelDesired&lt;$B205,"-",$E205))</f>
        <v>-</v>
      </c>
      <c r="AA205" s="17" t="str">
        <f t="shared" ref="AA205" si="14587">IF(LanBoo1LevelCurrent&gt;=$B205,"-",IF(LanBoo1LevelDesired&lt;$B205,"-",$C205))</f>
        <v>-</v>
      </c>
      <c r="AB205" s="145" t="str">
        <f t="shared" ref="AB205" si="14588">IF(LanBoo1LevelCurrent&gt;=$B205,"-",IF(LanBoo1LevelDesired&lt;$B205,"-",$D205))</f>
        <v>-</v>
      </c>
      <c r="AC205" s="22" t="str">
        <f t="shared" ref="AC205" si="14589">IF(LanBoo1LevelCurrent&gt;=$B205,"-",IF(LanBoo1LevelDesired&lt;$B205,"-",$E205))</f>
        <v>-</v>
      </c>
      <c r="AD205" s="17" t="str">
        <f t="shared" ref="AD205" si="14590">IF(MarGog1LevelCurrent&gt;=$B205,"-",IF(MarGog1LevelDesired&lt;$B205,"-",$C205))</f>
        <v>-</v>
      </c>
      <c r="AE205" s="145" t="str">
        <f t="shared" ref="AE205" si="14591">IF(MarGog1LevelCurrent&gt;=$B205,"-",IF(MarGog1LevelDesired&lt;$B205,"-",$D205))</f>
        <v>-</v>
      </c>
      <c r="AF205" s="22" t="str">
        <f t="shared" ref="AF205" si="14592">IF(MarGog1LevelCurrent&gt;=$B205,"-",IF(MarGog1LevelDesired&lt;$B205,"-",$E205))</f>
        <v>-</v>
      </c>
      <c r="AG205" s="17" t="str">
        <f t="shared" ref="AG205" si="14593">IF(MarGlo1LevelCurrent&gt;=$B205,"-",IF(MarGlo1LevelDesired&lt;$B205,"-",$C205))</f>
        <v>-</v>
      </c>
      <c r="AH205" s="145" t="str">
        <f t="shared" ref="AH205" si="14594">IF(MarGlo1LevelCurrent&gt;=$B205,"-",IF(MarGlo1LevelDesired&lt;$B205,"-",$D205))</f>
        <v>-</v>
      </c>
      <c r="AI205" s="22" t="str">
        <f t="shared" ref="AI205" si="14595">IF(MarGlo1LevelCurrent&gt;=$B205,"-",IF(MarGlo1LevelDesired&lt;$B205,"-",$E205))</f>
        <v>-</v>
      </c>
      <c r="AJ205" s="17" t="str">
        <f t="shared" ref="AJ205" si="14596">IF(MarBel1LevelCurrent&gt;=$B205,"-",IF(MarBel1LevelDesired&lt;$B205,"-",$C205))</f>
        <v>-</v>
      </c>
      <c r="AK205" s="145" t="str">
        <f t="shared" ref="AK205" si="14597">IF(MarBel1LevelCurrent&gt;=$B205,"-",IF(MarBel1LevelDesired&lt;$B205,"-",$D205))</f>
        <v>-</v>
      </c>
      <c r="AL205" s="22" t="str">
        <f t="shared" ref="AL205" si="14598">IF(MarBel1LevelCurrent&gt;=$B205,"-",IF(MarBel1LevelDesired&lt;$B205,"-",$E205))</f>
        <v>-</v>
      </c>
      <c r="AM205" s="17" t="str">
        <f t="shared" ref="AM205" si="14599">IF(MarBoo1LevelCurrent&gt;=$B205,"-",IF(MarBoo1LevelDesired&lt;$B205,"-",$C205))</f>
        <v>-</v>
      </c>
      <c r="AN205" s="145" t="str">
        <f t="shared" ref="AN205" si="14600">IF(MarBoo1LevelCurrent&gt;=$B205,"-",IF(MarBoo1LevelDesired&lt;$B205,"-",$D205))</f>
        <v>-</v>
      </c>
      <c r="AO205" s="22" t="str">
        <f t="shared" ref="AO205" si="14601">IF(MarBoo1LevelCurrent&gt;=$B205,"-",IF(MarBoo1LevelDesired&lt;$B205,"-",$E205))</f>
        <v>-</v>
      </c>
      <c r="AP205" s="17" t="str">
        <f t="shared" ref="AP205" si="14602">IF(InfGog2LevelCurrent&gt;=$B205,"-",IF(InfGog2LevelDesired&lt;$B205,"-",$C205))</f>
        <v>-</v>
      </c>
      <c r="AQ205" s="145" t="str">
        <f t="shared" ref="AQ205" si="14603">IF(InfGog2LevelCurrent&gt;=$B205,"-",IF(InfGog2LevelDesired&lt;$B205,"-",$D205))</f>
        <v>-</v>
      </c>
      <c r="AR205" s="22" t="str">
        <f t="shared" ref="AR205" si="14604">IF(InfGog2LevelCurrent&gt;=$B205,"-",IF(InfGog2LevelDesired&lt;$B205,"-",$E205))</f>
        <v>-</v>
      </c>
      <c r="AS205" s="17" t="str">
        <f t="shared" ref="AS205" si="14605">IF(InfGlo2LevelCurrent&gt;=$B205,"-",IF(InfGlo2LevelDesired&lt;$B205,"-",$C205))</f>
        <v>-</v>
      </c>
      <c r="AT205" s="145" t="str">
        <f t="shared" ref="AT205" si="14606">IF(InfGlo2LevelCurrent&gt;=$B205,"-",IF(InfGlo2LevelDesired&lt;$B205,"-",$D205))</f>
        <v>-</v>
      </c>
      <c r="AU205" s="22" t="str">
        <f t="shared" ref="AU205" si="14607">IF(InfGlo2LevelCurrent&gt;=$B205,"-",IF(InfGlo2LevelDesired&lt;$B205,"-",$E205))</f>
        <v>-</v>
      </c>
      <c r="AV205" s="17" t="str">
        <f t="shared" ref="AV205" si="14608">IF(InfBel2LevelCurrent&gt;=$B205,"-",IF(InfBel2LevelDesired&lt;$B205,"-",$C205))</f>
        <v>-</v>
      </c>
      <c r="AW205" s="145" t="str">
        <f t="shared" ref="AW205" si="14609">IF(InfBel2LevelCurrent&gt;=$B205,"-",IF(InfBel2LevelDesired&lt;$B205,"-",$D205))</f>
        <v>-</v>
      </c>
      <c r="AX205" s="22" t="str">
        <f t="shared" ref="AX205" si="14610">IF(InfBel2LevelCurrent&gt;=$B205,"-",IF(InfBel2LevelDesired&lt;$B205,"-",$E205))</f>
        <v>-</v>
      </c>
      <c r="AY205" s="17" t="str">
        <f t="shared" ref="AY205" si="14611">IF(InfBoo2LevelCurrent&gt;=$B205,"-",IF(InfBoo2LevelDesired&lt;$B205,"-",$C205))</f>
        <v>-</v>
      </c>
      <c r="AZ205" s="145" t="str">
        <f t="shared" ref="AZ205" si="14612">IF(InfBoo2LevelCurrent&gt;=$B205,"-",IF(InfBoo2LevelDesired&lt;$B205,"-",$D205))</f>
        <v>-</v>
      </c>
      <c r="BA205" s="22" t="str">
        <f t="shared" ref="BA205" si="14613">IF(InfBoo2LevelCurrent&gt;=$B205,"-",IF(InfBoo2LevelDesired&lt;$B205,"-",$E205))</f>
        <v>-</v>
      </c>
      <c r="BB205" s="17" t="str">
        <f t="shared" ref="BB205" si="14614">IF(LanGog2LevelCurrent&gt;=$B205,"-",IF(LanGog2LevelDesired&lt;$B205,"-",$C205))</f>
        <v>-</v>
      </c>
      <c r="BC205" s="145" t="str">
        <f t="shared" ref="BC205" si="14615">IF(LanGog2LevelCurrent&gt;=$B205,"-",IF(LanGog2LevelDesired&lt;$B205,"-",$D205))</f>
        <v>-</v>
      </c>
      <c r="BD205" s="22" t="str">
        <f t="shared" ref="BD205" si="14616">IF(LanGog2LevelCurrent&gt;=$B205,"-",IF(LanGog2LevelDesired&lt;$B205,"-",$E205))</f>
        <v>-</v>
      </c>
      <c r="BE205" s="17" t="str">
        <f t="shared" ref="BE205" si="14617">IF(LanGlo2LevelCurrent&gt;=$B205,"-",IF(LanGlo2LevelDesired&lt;$B205,"-",$C205))</f>
        <v>-</v>
      </c>
      <c r="BF205" s="145" t="str">
        <f t="shared" ref="BF205" si="14618">IF(LanGlo2LevelCurrent&gt;=$B205,"-",IF(LanGlo2LevelDesired&lt;$B205,"-",$D205))</f>
        <v>-</v>
      </c>
      <c r="BG205" s="22" t="str">
        <f t="shared" ref="BG205" si="14619">IF(LanGlo2LevelCurrent&gt;=$B205,"-",IF(LanGlo2LevelDesired&lt;$B205,"-",$E205))</f>
        <v>-</v>
      </c>
      <c r="BH205" s="17" t="str">
        <f t="shared" ref="BH205" si="14620">IF(LanBel2LevelCurrent&gt;=$B205,"-",IF(LanBel2LevelDesired&lt;$B205,"-",$C205))</f>
        <v>-</v>
      </c>
      <c r="BI205" s="145" t="str">
        <f t="shared" ref="BI205" si="14621">IF(LanBel2LevelCurrent&gt;=$B205,"-",IF(LanBel2LevelDesired&lt;$B205,"-",$D205))</f>
        <v>-</v>
      </c>
      <c r="BJ205" s="22" t="str">
        <f t="shared" ref="BJ205" si="14622">IF(LanBel2LevelCurrent&gt;=$B205,"-",IF(LanBel2LevelDesired&lt;$B205,"-",$E205))</f>
        <v>-</v>
      </c>
      <c r="BK205" s="17" t="str">
        <f t="shared" ref="BK205" si="14623">IF(LanBoo2LevelCurrent&gt;=$B205,"-",IF(LanBoo2LevelDesired&lt;$B205,"-",$C205))</f>
        <v>-</v>
      </c>
      <c r="BL205" s="145" t="str">
        <f t="shared" ref="BL205" si="14624">IF(LanBoo2LevelCurrent&gt;=$B205,"-",IF(LanBoo2LevelDesired&lt;$B205,"-",$D205))</f>
        <v>-</v>
      </c>
      <c r="BM205" s="22" t="str">
        <f t="shared" ref="BM205" si="14625">IF(LanBoo2LevelCurrent&gt;=$B205,"-",IF(LanBoo2LevelDesired&lt;$B205,"-",$E205))</f>
        <v>-</v>
      </c>
      <c r="BN205" s="17" t="str">
        <f t="shared" ref="BN205" si="14626">IF(MarGog2LevelCurrent&gt;=$B205,"-",IF(MarGog2LevelDesired&lt;$B205,"-",$C205))</f>
        <v>-</v>
      </c>
      <c r="BO205" s="145" t="str">
        <f t="shared" ref="BO205" si="14627">IF(MarGog2LevelCurrent&gt;=$B205,"-",IF(MarGog2LevelDesired&lt;$B205,"-",$D205))</f>
        <v>-</v>
      </c>
      <c r="BP205" s="22" t="str">
        <f t="shared" ref="BP205" si="14628">IF(MarGog2LevelCurrent&gt;=$B205,"-",IF(MarGog2LevelDesired&lt;$B205,"-",$E205))</f>
        <v>-</v>
      </c>
      <c r="BQ205" s="17" t="str">
        <f t="shared" ref="BQ205" si="14629">IF(MarGlo2LevelCurrent&gt;=$B205,"-",IF(MarGlo2LevelDesired&lt;$B205,"-",$C205))</f>
        <v>-</v>
      </c>
      <c r="BR205" s="145" t="str">
        <f t="shared" ref="BR205" si="14630">IF(MarGlo2LevelCurrent&gt;=$B205,"-",IF(MarGlo2LevelDesired&lt;$B205,"-",$D205))</f>
        <v>-</v>
      </c>
      <c r="BS205" s="22" t="str">
        <f t="shared" ref="BS205" si="14631">IF(MarGlo2LevelCurrent&gt;=$B205,"-",IF(MarGlo2LevelDesired&lt;$B205,"-",$E205))</f>
        <v>-</v>
      </c>
      <c r="BT205" s="17" t="str">
        <f t="shared" ref="BT205" si="14632">IF(MarBel2LevelCurrent&gt;=$B205,"-",IF(MarBel2LevelDesired&lt;$B205,"-",$C205))</f>
        <v>-</v>
      </c>
      <c r="BU205" s="145" t="str">
        <f t="shared" ref="BU205" si="14633">IF(MarBel2LevelCurrent&gt;=$B205,"-",IF(MarBel2LevelDesired&lt;$B205,"-",$D205))</f>
        <v>-</v>
      </c>
      <c r="BV205" s="22" t="str">
        <f t="shared" ref="BV205" si="14634">IF(MarBel2LevelCurrent&gt;=$B205,"-",IF(MarBel2LevelDesired&lt;$B205,"-",$E205))</f>
        <v>-</v>
      </c>
      <c r="BW205" s="17" t="str">
        <f t="shared" ref="BW205" si="14635">IF(MarBoo2LevelCurrent&gt;=$B205,"-",IF(MarBoo2LevelDesired&lt;$B205,"-",$C205))</f>
        <v>-</v>
      </c>
      <c r="BX205" s="145" t="str">
        <f t="shared" ref="BX205" si="14636">IF(MarBoo2LevelCurrent&gt;=$B205,"-",IF(MarBoo2LevelDesired&lt;$B205,"-",$D205))</f>
        <v>-</v>
      </c>
      <c r="BY205" s="22" t="str">
        <f t="shared" ref="BY205" si="14637">IF(MarBoo2LevelCurrent&gt;=$B205,"-",IF(MarBoo2LevelDesired&lt;$B205,"-",$E205))</f>
        <v>-</v>
      </c>
      <c r="BZ205" s="17" t="str">
        <f t="shared" si="14100"/>
        <v>-</v>
      </c>
      <c r="CA205" s="145" t="str" cm="1">
        <f t="array" ref="CA205">IF(InfGog3LevelCurrent&gt;=$B205,"-",IF(InfGog3LevelDesired&lt;$B205,"-",$D205))</f>
        <v>-</v>
      </c>
      <c r="CB205" s="22" t="str" cm="1">
        <f t="array" ref="CB205">IF(InfGog3LevelCurrent&gt;=$B205,"-",IF(InfGog3LevelDesired&lt;$B205,"-",$E205))</f>
        <v>-</v>
      </c>
      <c r="CC205" s="17" t="str">
        <f t="shared" si="14101"/>
        <v>-</v>
      </c>
      <c r="CD205" s="145" t="str">
        <f t="shared" si="14102"/>
        <v>-</v>
      </c>
      <c r="CE205" s="22" t="str">
        <f t="shared" si="14103"/>
        <v>-</v>
      </c>
      <c r="CF205" s="17" t="str">
        <f t="shared" si="14104"/>
        <v>-</v>
      </c>
      <c r="CG205" s="145" t="str">
        <f t="shared" si="14105"/>
        <v>-</v>
      </c>
      <c r="CH205" s="22" t="str">
        <f t="shared" si="14106"/>
        <v>-</v>
      </c>
      <c r="CI205" s="17" t="str">
        <f t="shared" si="14107"/>
        <v>-</v>
      </c>
      <c r="CJ205" s="145" t="str">
        <f t="shared" si="14108"/>
        <v>-</v>
      </c>
      <c r="CK205" s="22" t="str">
        <f t="shared" si="14109"/>
        <v>-</v>
      </c>
      <c r="CL205" s="17" t="str">
        <f t="shared" si="14110"/>
        <v>-</v>
      </c>
      <c r="CM205" s="145" t="str">
        <f t="shared" si="14111"/>
        <v>-</v>
      </c>
      <c r="CN205" s="22" t="str">
        <f t="shared" si="14112"/>
        <v>-</v>
      </c>
      <c r="CO205" s="17" t="str">
        <f t="shared" si="14113"/>
        <v>-</v>
      </c>
      <c r="CP205" s="145" t="str">
        <f t="shared" si="14114"/>
        <v>-</v>
      </c>
      <c r="CQ205" s="22" t="str">
        <f t="shared" si="14115"/>
        <v>-</v>
      </c>
      <c r="CR205" s="17" t="str">
        <f t="shared" si="14116"/>
        <v>-</v>
      </c>
      <c r="CS205" s="145" t="str">
        <f t="shared" si="14117"/>
        <v>-</v>
      </c>
      <c r="CT205" s="22" t="str">
        <f t="shared" si="14118"/>
        <v>-</v>
      </c>
      <c r="CU205" s="17" t="str">
        <f t="shared" si="14119"/>
        <v>-</v>
      </c>
      <c r="CV205" s="145" t="str">
        <f t="shared" si="14120"/>
        <v>-</v>
      </c>
      <c r="CW205" s="22" t="str">
        <f t="shared" si="14121"/>
        <v>-</v>
      </c>
      <c r="CX205" s="17" t="str">
        <f t="shared" si="14122"/>
        <v>-</v>
      </c>
      <c r="CY205" s="145" t="str">
        <f t="shared" si="14123"/>
        <v>-</v>
      </c>
      <c r="CZ205" s="22" t="str">
        <f t="shared" si="14124"/>
        <v>-</v>
      </c>
      <c r="DA205" s="17" t="str">
        <f t="shared" si="14125"/>
        <v>-</v>
      </c>
      <c r="DB205" s="145" t="str">
        <f t="shared" si="14126"/>
        <v>-</v>
      </c>
      <c r="DC205" s="22" t="str">
        <f t="shared" si="14127"/>
        <v>-</v>
      </c>
      <c r="DD205" s="17" t="str">
        <f t="shared" si="14128"/>
        <v>-</v>
      </c>
      <c r="DE205" s="145" t="str">
        <f t="shared" si="14129"/>
        <v>-</v>
      </c>
      <c r="DF205" s="22" t="str">
        <f t="shared" si="14130"/>
        <v>-</v>
      </c>
      <c r="DG205" s="17" t="str">
        <f t="shared" si="14131"/>
        <v>-</v>
      </c>
      <c r="DH205" s="145" t="str">
        <f t="shared" si="14132"/>
        <v>-</v>
      </c>
      <c r="DI205" s="22" t="str">
        <f t="shared" si="14133"/>
        <v>-</v>
      </c>
    </row>
    <row r="206" spans="2:113" x14ac:dyDescent="0.3">
      <c r="C206" s="88">
        <f>SUM(C6:C205)</f>
        <v>575320</v>
      </c>
      <c r="D206" s="88">
        <f>SUM(D6:D205)</f>
        <v>35</v>
      </c>
      <c r="E206" s="88">
        <f>SUM(E6:E205)</f>
        <v>150</v>
      </c>
      <c r="F206" s="88">
        <f t="shared" ref="F206:BQ206" si="14638">SUM(F6:F205)</f>
        <v>0</v>
      </c>
      <c r="G206" s="88">
        <f t="shared" si="14638"/>
        <v>0</v>
      </c>
      <c r="H206" s="88">
        <f t="shared" si="14638"/>
        <v>0</v>
      </c>
      <c r="I206" s="88">
        <f t="shared" si="14638"/>
        <v>0</v>
      </c>
      <c r="J206" s="88">
        <f t="shared" si="14638"/>
        <v>0</v>
      </c>
      <c r="K206" s="88">
        <f t="shared" si="14638"/>
        <v>0</v>
      </c>
      <c r="L206" s="88">
        <f t="shared" si="14638"/>
        <v>0</v>
      </c>
      <c r="M206" s="88">
        <f t="shared" si="14638"/>
        <v>0</v>
      </c>
      <c r="N206" s="88">
        <f t="shared" si="14638"/>
        <v>0</v>
      </c>
      <c r="O206" s="88">
        <f t="shared" si="14638"/>
        <v>0</v>
      </c>
      <c r="P206" s="88">
        <f t="shared" si="14638"/>
        <v>0</v>
      </c>
      <c r="Q206" s="88">
        <f t="shared" si="14638"/>
        <v>0</v>
      </c>
      <c r="R206" s="88">
        <f t="shared" si="14638"/>
        <v>0</v>
      </c>
      <c r="S206" s="88">
        <f t="shared" si="14638"/>
        <v>0</v>
      </c>
      <c r="T206" s="88">
        <f t="shared" si="14638"/>
        <v>0</v>
      </c>
      <c r="U206" s="88">
        <f t="shared" si="14638"/>
        <v>0</v>
      </c>
      <c r="V206" s="88">
        <f t="shared" si="14638"/>
        <v>0</v>
      </c>
      <c r="W206" s="88">
        <f t="shared" si="14638"/>
        <v>0</v>
      </c>
      <c r="X206" s="88">
        <f t="shared" si="14638"/>
        <v>0</v>
      </c>
      <c r="Y206" s="88">
        <f t="shared" si="14638"/>
        <v>0</v>
      </c>
      <c r="Z206" s="88">
        <f t="shared" si="14638"/>
        <v>0</v>
      </c>
      <c r="AA206" s="88">
        <f t="shared" si="14638"/>
        <v>0</v>
      </c>
      <c r="AB206" s="88">
        <f t="shared" si="14638"/>
        <v>0</v>
      </c>
      <c r="AC206" s="88">
        <f t="shared" si="14638"/>
        <v>0</v>
      </c>
      <c r="AD206" s="88">
        <f t="shared" si="14638"/>
        <v>0</v>
      </c>
      <c r="AE206" s="88">
        <f t="shared" si="14638"/>
        <v>0</v>
      </c>
      <c r="AF206" s="88">
        <f t="shared" si="14638"/>
        <v>0</v>
      </c>
      <c r="AG206" s="88">
        <f t="shared" si="14638"/>
        <v>0</v>
      </c>
      <c r="AH206" s="88">
        <f t="shared" si="14638"/>
        <v>0</v>
      </c>
      <c r="AI206" s="88">
        <f t="shared" si="14638"/>
        <v>0</v>
      </c>
      <c r="AJ206" s="88">
        <f t="shared" si="14638"/>
        <v>0</v>
      </c>
      <c r="AK206" s="88">
        <f t="shared" si="14638"/>
        <v>0</v>
      </c>
      <c r="AL206" s="88">
        <f t="shared" si="14638"/>
        <v>0</v>
      </c>
      <c r="AM206" s="88">
        <f t="shared" si="14638"/>
        <v>0</v>
      </c>
      <c r="AN206" s="88">
        <f t="shared" si="14638"/>
        <v>0</v>
      </c>
      <c r="AO206" s="88">
        <f t="shared" si="14638"/>
        <v>0</v>
      </c>
      <c r="AP206" s="88">
        <f t="shared" si="14638"/>
        <v>0</v>
      </c>
      <c r="AQ206" s="88">
        <f t="shared" si="14638"/>
        <v>0</v>
      </c>
      <c r="AR206" s="88">
        <f t="shared" si="14638"/>
        <v>0</v>
      </c>
      <c r="AS206" s="88">
        <f t="shared" si="14638"/>
        <v>93100</v>
      </c>
      <c r="AT206" s="88">
        <f t="shared" si="14638"/>
        <v>5</v>
      </c>
      <c r="AU206" s="88">
        <f t="shared" si="14638"/>
        <v>20</v>
      </c>
      <c r="AV206" s="88">
        <f t="shared" si="14638"/>
        <v>93100</v>
      </c>
      <c r="AW206" s="88">
        <f t="shared" si="14638"/>
        <v>5</v>
      </c>
      <c r="AX206" s="88">
        <f t="shared" si="14638"/>
        <v>20</v>
      </c>
      <c r="AY206" s="88">
        <f t="shared" si="14638"/>
        <v>0</v>
      </c>
      <c r="AZ206" s="88">
        <f t="shared" si="14638"/>
        <v>0</v>
      </c>
      <c r="BA206" s="88">
        <f t="shared" si="14638"/>
        <v>0</v>
      </c>
      <c r="BB206" s="88">
        <f t="shared" si="14638"/>
        <v>93100</v>
      </c>
      <c r="BC206" s="88">
        <f t="shared" si="14638"/>
        <v>5</v>
      </c>
      <c r="BD206" s="88">
        <f t="shared" si="14638"/>
        <v>20</v>
      </c>
      <c r="BE206" s="88">
        <f t="shared" si="14638"/>
        <v>0</v>
      </c>
      <c r="BF206" s="88">
        <f t="shared" si="14638"/>
        <v>0</v>
      </c>
      <c r="BG206" s="88">
        <f t="shared" si="14638"/>
        <v>0</v>
      </c>
      <c r="BH206" s="88">
        <f t="shared" si="14638"/>
        <v>0</v>
      </c>
      <c r="BI206" s="88">
        <f t="shared" si="14638"/>
        <v>0</v>
      </c>
      <c r="BJ206" s="88">
        <f t="shared" si="14638"/>
        <v>0</v>
      </c>
      <c r="BK206" s="88">
        <f t="shared" si="14638"/>
        <v>93100</v>
      </c>
      <c r="BL206" s="88">
        <f t="shared" si="14638"/>
        <v>5</v>
      </c>
      <c r="BM206" s="88">
        <f t="shared" si="14638"/>
        <v>20</v>
      </c>
      <c r="BN206" s="88">
        <f t="shared" si="14638"/>
        <v>93100</v>
      </c>
      <c r="BO206" s="88">
        <f t="shared" si="14638"/>
        <v>5</v>
      </c>
      <c r="BP206" s="88">
        <f t="shared" si="14638"/>
        <v>20</v>
      </c>
      <c r="BQ206" s="88">
        <f t="shared" si="14638"/>
        <v>0</v>
      </c>
      <c r="BR206" s="88">
        <f t="shared" ref="BR206:DI206" si="14639">SUM(BR6:BR205)</f>
        <v>0</v>
      </c>
      <c r="BS206" s="88">
        <f t="shared" si="14639"/>
        <v>0</v>
      </c>
      <c r="BT206" s="88">
        <f t="shared" si="14639"/>
        <v>0</v>
      </c>
      <c r="BU206" s="88">
        <f t="shared" si="14639"/>
        <v>0</v>
      </c>
      <c r="BV206" s="88">
        <f t="shared" si="14639"/>
        <v>0</v>
      </c>
      <c r="BW206" s="88">
        <f t="shared" si="14639"/>
        <v>93100</v>
      </c>
      <c r="BX206" s="88">
        <f t="shared" si="14639"/>
        <v>5</v>
      </c>
      <c r="BY206" s="88">
        <f t="shared" si="14639"/>
        <v>20</v>
      </c>
      <c r="BZ206" s="88">
        <f t="shared" si="14639"/>
        <v>0</v>
      </c>
      <c r="CA206" s="88">
        <f t="shared" si="14639"/>
        <v>0</v>
      </c>
      <c r="CB206" s="88">
        <f t="shared" si="14639"/>
        <v>0</v>
      </c>
      <c r="CC206" s="88">
        <f t="shared" si="14639"/>
        <v>28350</v>
      </c>
      <c r="CD206" s="88">
        <f t="shared" si="14639"/>
        <v>0</v>
      </c>
      <c r="CE206" s="88">
        <f t="shared" si="14639"/>
        <v>0</v>
      </c>
      <c r="CF206" s="88">
        <f t="shared" si="14639"/>
        <v>28350</v>
      </c>
      <c r="CG206" s="88">
        <f t="shared" si="14639"/>
        <v>0</v>
      </c>
      <c r="CH206" s="88">
        <f t="shared" si="14639"/>
        <v>0</v>
      </c>
      <c r="CI206" s="88">
        <f t="shared" si="14639"/>
        <v>0</v>
      </c>
      <c r="CJ206" s="88">
        <f t="shared" si="14639"/>
        <v>0</v>
      </c>
      <c r="CK206" s="88">
        <f t="shared" si="14639"/>
        <v>0</v>
      </c>
      <c r="CL206" s="88">
        <f t="shared" si="14639"/>
        <v>9000</v>
      </c>
      <c r="CM206" s="88">
        <f t="shared" si="14639"/>
        <v>0</v>
      </c>
      <c r="CN206" s="88">
        <f t="shared" si="14639"/>
        <v>0</v>
      </c>
      <c r="CO206" s="88">
        <f t="shared" si="14639"/>
        <v>0</v>
      </c>
      <c r="CP206" s="88">
        <f t="shared" si="14639"/>
        <v>0</v>
      </c>
      <c r="CQ206" s="88">
        <f t="shared" si="14639"/>
        <v>0</v>
      </c>
      <c r="CR206" s="88">
        <f t="shared" si="14639"/>
        <v>0</v>
      </c>
      <c r="CS206" s="88">
        <f t="shared" si="14639"/>
        <v>0</v>
      </c>
      <c r="CT206" s="88">
        <f t="shared" si="14639"/>
        <v>0</v>
      </c>
      <c r="CU206" s="88">
        <f t="shared" si="14639"/>
        <v>9000</v>
      </c>
      <c r="CV206" s="88">
        <f t="shared" si="14639"/>
        <v>0</v>
      </c>
      <c r="CW206" s="88">
        <f t="shared" si="14639"/>
        <v>0</v>
      </c>
      <c r="CX206" s="88">
        <f t="shared" si="14639"/>
        <v>28350</v>
      </c>
      <c r="CY206" s="88">
        <f t="shared" si="14639"/>
        <v>0</v>
      </c>
      <c r="CZ206" s="88">
        <f t="shared" si="14639"/>
        <v>0</v>
      </c>
      <c r="DA206" s="88">
        <f t="shared" si="14639"/>
        <v>0</v>
      </c>
      <c r="DB206" s="88">
        <f t="shared" si="14639"/>
        <v>0</v>
      </c>
      <c r="DC206" s="88">
        <f t="shared" si="14639"/>
        <v>0</v>
      </c>
      <c r="DD206" s="88">
        <f t="shared" si="14639"/>
        <v>0</v>
      </c>
      <c r="DE206" s="88">
        <f t="shared" si="14639"/>
        <v>0</v>
      </c>
      <c r="DF206" s="88">
        <f t="shared" si="14639"/>
        <v>0</v>
      </c>
      <c r="DG206" s="88">
        <f t="shared" si="14639"/>
        <v>28350</v>
      </c>
      <c r="DH206" s="88">
        <f t="shared" si="14639"/>
        <v>0</v>
      </c>
      <c r="DI206" s="88">
        <f t="shared" si="14639"/>
        <v>0</v>
      </c>
    </row>
    <row r="208" spans="2:113" x14ac:dyDescent="0.3">
      <c r="F208" s="447" t="s">
        <v>555</v>
      </c>
      <c r="G208" s="406"/>
      <c r="H208" s="406"/>
      <c r="I208" s="406"/>
      <c r="J208" s="406"/>
      <c r="K208" s="406"/>
      <c r="L208" s="406"/>
      <c r="M208" s="406"/>
      <c r="N208" s="406"/>
      <c r="O208" s="406"/>
      <c r="P208" s="406"/>
      <c r="R208" s="447" t="s">
        <v>556</v>
      </c>
      <c r="S208" s="406"/>
      <c r="T208" s="406"/>
      <c r="U208" s="406"/>
      <c r="V208" s="406"/>
      <c r="W208" s="406"/>
      <c r="X208" s="406"/>
      <c r="Y208" s="406"/>
      <c r="Z208" s="406"/>
      <c r="AA208" s="406"/>
      <c r="AB208" s="406"/>
      <c r="AD208" s="447" t="s">
        <v>557</v>
      </c>
      <c r="AE208" s="406"/>
      <c r="AF208" s="406"/>
      <c r="AG208" s="406"/>
      <c r="AH208" s="406"/>
      <c r="AI208" s="406"/>
      <c r="AJ208" s="406"/>
      <c r="AK208" s="406"/>
      <c r="AL208" s="406"/>
      <c r="AM208" s="406"/>
      <c r="AN208" s="406"/>
      <c r="AP208" s="447" t="s">
        <v>558</v>
      </c>
      <c r="AQ208" s="406"/>
      <c r="AR208" s="406"/>
      <c r="AS208" s="406"/>
      <c r="AT208" s="406"/>
      <c r="AU208" s="406"/>
      <c r="AV208" s="406"/>
      <c r="AW208" s="406"/>
      <c r="AX208" s="406"/>
      <c r="AY208" s="406"/>
      <c r="AZ208" s="406"/>
      <c r="BB208" s="447" t="s">
        <v>559</v>
      </c>
      <c r="BC208" s="406"/>
      <c r="BD208" s="406"/>
      <c r="BE208" s="406"/>
      <c r="BF208" s="406"/>
      <c r="BG208" s="406"/>
      <c r="BH208" s="406"/>
      <c r="BI208" s="406"/>
      <c r="BJ208" s="406"/>
      <c r="BK208" s="406"/>
      <c r="BL208" s="406"/>
      <c r="BN208" s="447" t="s">
        <v>560</v>
      </c>
      <c r="BO208" s="406"/>
      <c r="BP208" s="406"/>
      <c r="BQ208" s="406"/>
      <c r="BR208" s="406"/>
      <c r="BS208" s="406"/>
      <c r="BT208" s="406"/>
      <c r="BU208" s="406"/>
      <c r="BV208" s="406"/>
      <c r="BW208" s="406"/>
      <c r="BX208" s="406"/>
      <c r="BZ208" s="447" t="s">
        <v>561</v>
      </c>
      <c r="CA208" s="406"/>
      <c r="CB208" s="406"/>
      <c r="CC208" s="406"/>
      <c r="CD208" s="406"/>
      <c r="CE208" s="406"/>
      <c r="CF208" s="406"/>
      <c r="CG208" s="406"/>
      <c r="CH208" s="406"/>
      <c r="CI208" s="406"/>
      <c r="CJ208" s="406"/>
      <c r="CL208" s="447" t="s">
        <v>562</v>
      </c>
      <c r="CM208" s="406"/>
      <c r="CN208" s="406"/>
      <c r="CO208" s="406"/>
      <c r="CP208" s="406"/>
      <c r="CQ208" s="406"/>
      <c r="CR208" s="406"/>
      <c r="CS208" s="406"/>
      <c r="CT208" s="406"/>
      <c r="CU208" s="406"/>
      <c r="CV208" s="406"/>
      <c r="CX208" s="447" t="s">
        <v>563</v>
      </c>
      <c r="CY208" s="406"/>
      <c r="CZ208" s="406"/>
      <c r="DA208" s="406"/>
      <c r="DB208" s="406"/>
      <c r="DC208" s="406"/>
      <c r="DD208" s="406"/>
      <c r="DE208" s="406"/>
      <c r="DF208" s="406"/>
      <c r="DG208" s="406"/>
      <c r="DH208" s="406"/>
    </row>
    <row r="209" spans="2:112" x14ac:dyDescent="0.3">
      <c r="B209" s="2" t="s">
        <v>572</v>
      </c>
      <c r="C209" s="402" t="s">
        <v>565</v>
      </c>
      <c r="D209" s="403"/>
      <c r="F209" s="389" t="s">
        <v>566</v>
      </c>
      <c r="G209" s="450"/>
      <c r="I209" s="389" t="s">
        <v>567</v>
      </c>
      <c r="J209" s="450"/>
      <c r="L209" s="389" t="s">
        <v>568</v>
      </c>
      <c r="M209" s="450"/>
      <c r="O209" s="389" t="s">
        <v>569</v>
      </c>
      <c r="P209" s="450"/>
      <c r="R209" s="389" t="s">
        <v>566</v>
      </c>
      <c r="S209" s="450"/>
      <c r="U209" s="389" t="s">
        <v>567</v>
      </c>
      <c r="V209" s="450"/>
      <c r="X209" s="389" t="s">
        <v>568</v>
      </c>
      <c r="Y209" s="450"/>
      <c r="AA209" s="389" t="s">
        <v>569</v>
      </c>
      <c r="AB209" s="450"/>
      <c r="AD209" s="389" t="s">
        <v>566</v>
      </c>
      <c r="AE209" s="450"/>
      <c r="AG209" s="389" t="s">
        <v>567</v>
      </c>
      <c r="AH209" s="450"/>
      <c r="AJ209" s="389" t="s">
        <v>568</v>
      </c>
      <c r="AK209" s="450"/>
      <c r="AM209" s="389" t="s">
        <v>569</v>
      </c>
      <c r="AN209" s="450"/>
      <c r="AP209" s="389" t="s">
        <v>566</v>
      </c>
      <c r="AQ209" s="450"/>
      <c r="AS209" s="389" t="s">
        <v>567</v>
      </c>
      <c r="AT209" s="450"/>
      <c r="AV209" s="389" t="s">
        <v>568</v>
      </c>
      <c r="AW209" s="450"/>
      <c r="AY209" s="389" t="s">
        <v>569</v>
      </c>
      <c r="AZ209" s="450"/>
      <c r="BB209" s="389" t="s">
        <v>566</v>
      </c>
      <c r="BC209" s="450"/>
      <c r="BE209" s="389" t="s">
        <v>567</v>
      </c>
      <c r="BF209" s="450"/>
      <c r="BH209" s="389" t="s">
        <v>568</v>
      </c>
      <c r="BI209" s="450"/>
      <c r="BK209" s="389" t="s">
        <v>569</v>
      </c>
      <c r="BL209" s="450"/>
      <c r="BN209" s="389" t="s">
        <v>566</v>
      </c>
      <c r="BO209" s="450"/>
      <c r="BQ209" s="389" t="s">
        <v>567</v>
      </c>
      <c r="BR209" s="450"/>
      <c r="BT209" s="389" t="s">
        <v>568</v>
      </c>
      <c r="BU209" s="450"/>
      <c r="BW209" s="389" t="s">
        <v>569</v>
      </c>
      <c r="BX209" s="450"/>
      <c r="BZ209" s="389" t="s">
        <v>566</v>
      </c>
      <c r="CA209" s="450"/>
      <c r="CC209" s="389" t="s">
        <v>567</v>
      </c>
      <c r="CD209" s="450"/>
      <c r="CF209" s="389" t="s">
        <v>568</v>
      </c>
      <c r="CG209" s="450"/>
      <c r="CI209" s="389" t="s">
        <v>569</v>
      </c>
      <c r="CJ209" s="450"/>
      <c r="CL209" s="389" t="s">
        <v>566</v>
      </c>
      <c r="CM209" s="450"/>
      <c r="CO209" s="389" t="s">
        <v>567</v>
      </c>
      <c r="CP209" s="450"/>
      <c r="CR209" s="389" t="s">
        <v>568</v>
      </c>
      <c r="CS209" s="450"/>
      <c r="CU209" s="389" t="s">
        <v>569</v>
      </c>
      <c r="CV209" s="450"/>
      <c r="CX209" s="389" t="s">
        <v>566</v>
      </c>
      <c r="CY209" s="450"/>
      <c r="DA209" s="389" t="s">
        <v>567</v>
      </c>
      <c r="DB209" s="450"/>
      <c r="DD209" s="389" t="s">
        <v>568</v>
      </c>
      <c r="DE209" s="450"/>
      <c r="DG209" s="389" t="s">
        <v>569</v>
      </c>
      <c r="DH209" s="450"/>
    </row>
    <row r="210" spans="2:112" x14ac:dyDescent="0.3">
      <c r="B210" s="2" t="s">
        <v>174</v>
      </c>
      <c r="C210" s="185" t="s">
        <v>573</v>
      </c>
      <c r="D210" s="185" t="s">
        <v>285</v>
      </c>
      <c r="F210" s="185" t="s">
        <v>573</v>
      </c>
      <c r="G210" s="185" t="s">
        <v>285</v>
      </c>
      <c r="I210" s="185" t="s">
        <v>573</v>
      </c>
      <c r="J210" s="185" t="s">
        <v>285</v>
      </c>
      <c r="L210" s="185" t="s">
        <v>573</v>
      </c>
      <c r="M210" s="185" t="s">
        <v>285</v>
      </c>
      <c r="O210" s="185" t="s">
        <v>573</v>
      </c>
      <c r="P210" s="185" t="s">
        <v>285</v>
      </c>
      <c r="R210" s="185" t="s">
        <v>573</v>
      </c>
      <c r="S210" s="185" t="s">
        <v>285</v>
      </c>
      <c r="U210" s="185" t="s">
        <v>573</v>
      </c>
      <c r="V210" s="185" t="s">
        <v>285</v>
      </c>
      <c r="X210" s="185" t="s">
        <v>573</v>
      </c>
      <c r="Y210" s="185" t="s">
        <v>285</v>
      </c>
      <c r="AA210" s="185" t="s">
        <v>573</v>
      </c>
      <c r="AB210" s="185" t="s">
        <v>285</v>
      </c>
      <c r="AD210" s="185" t="s">
        <v>573</v>
      </c>
      <c r="AE210" s="185" t="s">
        <v>285</v>
      </c>
      <c r="AG210" s="185" t="s">
        <v>573</v>
      </c>
      <c r="AH210" s="185" t="s">
        <v>285</v>
      </c>
      <c r="AJ210" s="185" t="s">
        <v>573</v>
      </c>
      <c r="AK210" s="185" t="s">
        <v>285</v>
      </c>
      <c r="AM210" s="185" t="s">
        <v>573</v>
      </c>
      <c r="AN210" s="185" t="s">
        <v>285</v>
      </c>
      <c r="AP210" s="185" t="s">
        <v>573</v>
      </c>
      <c r="AQ210" s="185" t="s">
        <v>285</v>
      </c>
      <c r="AS210" s="185" t="s">
        <v>573</v>
      </c>
      <c r="AT210" s="185" t="s">
        <v>285</v>
      </c>
      <c r="AV210" s="185" t="s">
        <v>573</v>
      </c>
      <c r="AW210" s="185" t="s">
        <v>285</v>
      </c>
      <c r="AY210" s="185" t="s">
        <v>573</v>
      </c>
      <c r="AZ210" s="185" t="s">
        <v>285</v>
      </c>
      <c r="BB210" s="185" t="s">
        <v>573</v>
      </c>
      <c r="BC210" s="185" t="s">
        <v>285</v>
      </c>
      <c r="BE210" s="185" t="s">
        <v>573</v>
      </c>
      <c r="BF210" s="185" t="s">
        <v>285</v>
      </c>
      <c r="BH210" s="185" t="s">
        <v>573</v>
      </c>
      <c r="BI210" s="185" t="s">
        <v>285</v>
      </c>
      <c r="BK210" s="185" t="s">
        <v>573</v>
      </c>
      <c r="BL210" s="185" t="s">
        <v>285</v>
      </c>
      <c r="BN210" s="185" t="s">
        <v>573</v>
      </c>
      <c r="BO210" s="185" t="s">
        <v>285</v>
      </c>
      <c r="BQ210" s="185" t="s">
        <v>573</v>
      </c>
      <c r="BR210" s="185" t="s">
        <v>285</v>
      </c>
      <c r="BT210" s="185" t="s">
        <v>573</v>
      </c>
      <c r="BU210" s="185" t="s">
        <v>285</v>
      </c>
      <c r="BW210" s="185" t="s">
        <v>573</v>
      </c>
      <c r="BX210" s="185" t="s">
        <v>285</v>
      </c>
      <c r="BZ210" s="185" t="s">
        <v>573</v>
      </c>
      <c r="CA210" s="185" t="s">
        <v>285</v>
      </c>
      <c r="CC210" s="185" t="s">
        <v>573</v>
      </c>
      <c r="CD210" s="185" t="s">
        <v>285</v>
      </c>
      <c r="CF210" s="185" t="s">
        <v>573</v>
      </c>
      <c r="CG210" s="185" t="s">
        <v>285</v>
      </c>
      <c r="CI210" s="185" t="s">
        <v>573</v>
      </c>
      <c r="CJ210" s="185" t="s">
        <v>285</v>
      </c>
      <c r="CL210" s="185" t="s">
        <v>573</v>
      </c>
      <c r="CM210" s="185" t="s">
        <v>285</v>
      </c>
      <c r="CO210" s="185" t="s">
        <v>573</v>
      </c>
      <c r="CP210" s="185" t="s">
        <v>285</v>
      </c>
      <c r="CR210" s="185" t="s">
        <v>573</v>
      </c>
      <c r="CS210" s="185" t="s">
        <v>285</v>
      </c>
      <c r="CU210" s="185" t="s">
        <v>573</v>
      </c>
      <c r="CV210" s="185" t="s">
        <v>285</v>
      </c>
      <c r="CX210" s="185" t="s">
        <v>573</v>
      </c>
      <c r="CY210" s="185" t="s">
        <v>285</v>
      </c>
      <c r="DA210" s="185" t="s">
        <v>573</v>
      </c>
      <c r="DB210" s="185" t="s">
        <v>285</v>
      </c>
      <c r="DD210" s="185" t="s">
        <v>573</v>
      </c>
      <c r="DE210" s="185" t="s">
        <v>285</v>
      </c>
      <c r="DG210" s="185" t="s">
        <v>573</v>
      </c>
      <c r="DH210" s="185" t="s">
        <v>285</v>
      </c>
    </row>
    <row r="211" spans="2:112" x14ac:dyDescent="0.3">
      <c r="B211" s="1">
        <v>0</v>
      </c>
      <c r="C211" s="20">
        <v>0</v>
      </c>
      <c r="D211" s="144"/>
      <c r="F211" s="106" t="str">
        <f t="shared" ref="F211:F231" si="14640">IF(InfGog1MasteryCurrent&gt;=$B211,"-",IF(InfGog1MasteryDesired&lt;$B211,"-",$C211))</f>
        <v>-</v>
      </c>
      <c r="G211" s="106" t="str">
        <f t="shared" ref="G211:G231" si="14641">IF(InfGog1MasteryCurrent&gt;=$B211,"-",IF(InfGog1MasteryDesired&lt;$B211,"-",$D211))</f>
        <v>-</v>
      </c>
      <c r="I211" s="106" t="str">
        <f t="shared" ref="I211:I231" si="14642">IF(InfGlo1MasteryCurrent&gt;=$B211,"-",IF(InfGlo1MasteryDesired&lt;$B211,"-",$C211))</f>
        <v>-</v>
      </c>
      <c r="J211" s="106" t="str">
        <f t="shared" ref="J211:J231" si="14643">IF(InfGlo1MasteryCurrent&gt;=$B211,"-",IF(InfGlo1MasteryDesired&lt;$B211,"-",$D211))</f>
        <v>-</v>
      </c>
      <c r="L211" s="106" t="str">
        <f t="shared" ref="L211:L231" si="14644">IF(InfBel1MasteryCurrent&gt;=$B211,"-",IF(InfBel1MasteryDesired&lt;$B211,"-",$C211))</f>
        <v>-</v>
      </c>
      <c r="M211" s="106" t="str">
        <f t="shared" ref="M211:M231" si="14645">IF(InfBel1MasteryCurrent&gt;=$B211,"-",IF(InfBel1MasteryDesired&lt;$B211,"-",$D211))</f>
        <v>-</v>
      </c>
      <c r="O211" s="106" t="str">
        <f t="shared" ref="O211:O231" si="14646">IF(InfBoo1MasteryCurrent&gt;=$B211,"-",IF(InfBoo1MasteryDesired&lt;$B211,"-",$C211))</f>
        <v>-</v>
      </c>
      <c r="P211" s="144" t="str">
        <f t="shared" ref="P211:P231" si="14647">IF(InfBoo1MasteryCurrent&gt;=$B211,"-",IF(InfBoo1MasteryDesired&lt;$B211,"-",$D211))</f>
        <v>-</v>
      </c>
      <c r="R211" s="106" t="str">
        <f t="shared" ref="R211:R231" si="14648">IF(LanGog1MasteryCurrent&gt;=$B211,"-",IF(LanGog1MasteryDesired&lt;$B211,"-",$C211))</f>
        <v>-</v>
      </c>
      <c r="S211" s="106" t="str">
        <f t="shared" ref="S211:S231" si="14649">IF(LanGog1MasteryCurrent&gt;=$B211,"-",IF(LanGog1MasteryDesired&lt;$B211,"-",$D211))</f>
        <v>-</v>
      </c>
      <c r="U211" s="106" t="str">
        <f t="shared" ref="U211:U231" si="14650">IF(LanGlo1MasteryCurrent&gt;=$B211,"-",IF(LanGlo1MasteryDesired&lt;$B211,"-",$C211))</f>
        <v>-</v>
      </c>
      <c r="V211" s="106" t="str">
        <f t="shared" ref="V211:V231" si="14651">IF(LanGlo1MasteryCurrent&gt;=$B211,"-",IF(LanGlo1MasteryDesired&lt;$B211,"-",$D211))</f>
        <v>-</v>
      </c>
      <c r="X211" s="106" t="str">
        <f t="shared" ref="X211:X231" si="14652">IF(LanBel1MasteryCurrent&gt;=$B211,"-",IF(LanBel1MasteryDesired&lt;$B211,"-",$C211))</f>
        <v>-</v>
      </c>
      <c r="Y211" s="106" t="str">
        <f t="shared" ref="Y211:Y231" si="14653">IF(LanBel1MasteryCurrent&gt;=$B211,"-",IF(LanBel1MasteryDesired&lt;$B211,"-",$D211))</f>
        <v>-</v>
      </c>
      <c r="AA211" s="106" t="str">
        <f t="shared" ref="AA211:AA231" si="14654">IF(LanBoo1MasteryCurrent&gt;=$B211,"-",IF(LanBoo1MasteryDesired&lt;$B211,"-",$C211))</f>
        <v>-</v>
      </c>
      <c r="AB211" s="144" t="str">
        <f t="shared" ref="AB211:AB231" si="14655">IF(LanBoo1MasteryCurrent&gt;=$B211,"-",IF(LanBoo1MasteryDesired&lt;$B211,"-",$D211))</f>
        <v>-</v>
      </c>
      <c r="AD211" s="106" t="str">
        <f t="shared" ref="AD211:AD231" si="14656">IF(MarGog1MasteryCurrent&gt;=$B211,"-",IF(MarGog1MasteryDesired&lt;$B211,"-",$C211))</f>
        <v>-</v>
      </c>
      <c r="AE211" s="106" t="str">
        <f t="shared" ref="AE211:AE231" si="14657">IF(MarGog1MasteryCurrent&gt;=$B211,"-",IF(MarGog1MasteryDesired&lt;$B211,"-",$D211))</f>
        <v>-</v>
      </c>
      <c r="AG211" s="106" t="str">
        <f t="shared" ref="AG211:AG231" si="14658">IF(MarGlo1MasteryCurrent&gt;=$B211,"-",IF(MarGlo1MasteryDesired&lt;$B211,"-",$C211))</f>
        <v>-</v>
      </c>
      <c r="AH211" s="106" t="str">
        <f t="shared" ref="AH211:AH231" si="14659">IF(MarGlo1MasteryCurrent&gt;=$B211,"-",IF(MarGlo1MasteryDesired&lt;$B211,"-",$D211))</f>
        <v>-</v>
      </c>
      <c r="AJ211" s="106" t="str">
        <f t="shared" ref="AJ211:AJ231" si="14660">IF(MarBel1MasteryCurrent&gt;=$B211,"-",IF(MarBel1MasteryDesired&lt;$B211,"-",$C211))</f>
        <v>-</v>
      </c>
      <c r="AK211" s="106" t="str">
        <f t="shared" ref="AK211:AK231" si="14661">IF(MarBel1MasteryCurrent&gt;=$B211,"-",IF(MarBel1MasteryDesired&lt;$B211,"-",$D211))</f>
        <v>-</v>
      </c>
      <c r="AM211" s="106" t="str">
        <f t="shared" ref="AM211:AM231" si="14662">IF(MarBoo1MasteryCurrent&gt;=$B211,"-",IF(MarBoo1MasteryDesired&lt;$B211,"-",$C211))</f>
        <v>-</v>
      </c>
      <c r="AN211" s="144" t="str">
        <f t="shared" ref="AN211:AN231" si="14663">IF(MarBoo1MasteryCurrent&gt;=$B211,"-",IF(MarBoo1MasteryDesired&lt;$B211,"-",$D211))</f>
        <v>-</v>
      </c>
      <c r="AP211" s="106" t="str">
        <f t="shared" ref="AP211:AP231" si="14664">IF(InfGog2MasteryCurrent&gt;=$B211,"-",IF(InfGog2MasteryDesired&lt;$B211,"-",$C211))</f>
        <v>-</v>
      </c>
      <c r="AQ211" s="106" t="str">
        <f t="shared" ref="AQ211:AQ231" si="14665">IF(InfGog2MasteryCurrent&gt;=$B211,"-",IF(InfGog2MasteryDesired&lt;$B211,"-",$D211))</f>
        <v>-</v>
      </c>
      <c r="AR211" s="1"/>
      <c r="AS211" s="106" t="str">
        <f t="shared" ref="AS211:AS231" si="14666">IF(InfGlo2MasteryCurrent&gt;=$B211,"-",IF(InfGlo2MasteryDesired&lt;$B211,"-",$C211))</f>
        <v>-</v>
      </c>
      <c r="AT211" s="106" t="str">
        <f t="shared" ref="AT211:AT231" si="14667">IF(InfGlo2MasteryCurrent&gt;=$B211,"-",IF(InfGlo2MasteryDesired&lt;$B211,"-",$D211))</f>
        <v>-</v>
      </c>
      <c r="AU211" s="1"/>
      <c r="AV211" s="106" t="str">
        <f t="shared" ref="AV211:AV231" si="14668">IF(InfBel2MasteryCurrent&gt;=$B211,"-",IF(InfBel2MasteryDesired&lt;$B211,"-",$C211))</f>
        <v>-</v>
      </c>
      <c r="AW211" s="106" t="str">
        <f t="shared" ref="AW211:AW231" si="14669">IF(InfBel2MasteryCurrent&gt;=$B211,"-",IF(InfBel2MasteryDesired&lt;$B211,"-",$D211))</f>
        <v>-</v>
      </c>
      <c r="AX211" s="1"/>
      <c r="AY211" s="106" t="str">
        <f t="shared" ref="AY211:AY231" si="14670">IF(InfBoo2MasteryCurrent&gt;=$B211,"-",IF(InfBoo2MasteryDesired&lt;$B211,"-",$C211))</f>
        <v>-</v>
      </c>
      <c r="AZ211" s="144" t="str">
        <f t="shared" ref="AZ211:AZ231" si="14671">IF(InfBoo2MasteryCurrent&gt;=$B211,"-",IF(InfBoo2MasteryDesired&lt;$B211,"-",$D211))</f>
        <v>-</v>
      </c>
      <c r="BA211" s="1"/>
      <c r="BB211" s="106" t="str">
        <f t="shared" ref="BB211:BB231" si="14672">IF(LanGog2MasteryCurrent&gt;=$B211,"-",IF(LanGog2MasteryDesired&lt;$B211,"-",$C211))</f>
        <v>-</v>
      </c>
      <c r="BC211" s="106" t="str">
        <f t="shared" ref="BC211:BC231" si="14673">IF(LanGog2MasteryCurrent&gt;=$B211,"-",IF(LanGog2MasteryDesired&lt;$B211,"-",$D211))</f>
        <v>-</v>
      </c>
      <c r="BD211" s="1"/>
      <c r="BE211" s="106" t="str">
        <f t="shared" ref="BE211:BE231" si="14674">IF(LanGlo2MasteryCurrent&gt;=$B211,"-",IF(LanGlo2MasteryDesired&lt;$B211,"-",$C211))</f>
        <v>-</v>
      </c>
      <c r="BF211" s="106" t="str">
        <f t="shared" ref="BF211:BF231" si="14675">IF(LanGlo2MasteryCurrent&gt;=$B211,"-",IF(LanGlo2MasteryDesired&lt;$B211,"-",$D211))</f>
        <v>-</v>
      </c>
      <c r="BG211" s="1"/>
      <c r="BH211" s="106" t="str">
        <f t="shared" ref="BH211:BH231" si="14676">IF(LanBel2MasteryCurrent&gt;=$B211,"-",IF(LanBel2MasteryDesired&lt;$B211,"-",$C211))</f>
        <v>-</v>
      </c>
      <c r="BI211" s="106" t="str">
        <f t="shared" ref="BI211:BI231" si="14677">IF(LanBel2MasteryCurrent&gt;=$B211,"-",IF(LanBel2MasteryDesired&lt;$B211,"-",$D211))</f>
        <v>-</v>
      </c>
      <c r="BJ211" s="1"/>
      <c r="BK211" s="106" t="str">
        <f t="shared" ref="BK211:BK231" si="14678">IF(LanBoo2MasteryCurrent&gt;=$B211,"-",IF(LanBoo2MasteryDesired&lt;$B211,"-",$C211))</f>
        <v>-</v>
      </c>
      <c r="BL211" s="144" t="str">
        <f t="shared" ref="BL211:BL231" si="14679">IF(LanBoo2MasteryCurrent&gt;=$B211,"-",IF(LanBoo2MasteryDesired&lt;$B211,"-",$D211))</f>
        <v>-</v>
      </c>
      <c r="BM211" s="1"/>
      <c r="BN211" s="106" t="str">
        <f t="shared" ref="BN211:BN231" si="14680">IF(MarGog2MasteryCurrent&gt;=$B211,"-",IF(MarGog2MasteryDesired&lt;$B211,"-",$C211))</f>
        <v>-</v>
      </c>
      <c r="BO211" s="106" t="str">
        <f t="shared" ref="BO211:BO231" si="14681">IF(MarGog2MasteryCurrent&gt;=$B211,"-",IF(MarGog2MasteryDesired&lt;$B211,"-",$D211))</f>
        <v>-</v>
      </c>
      <c r="BP211" s="1"/>
      <c r="BQ211" s="106" t="str">
        <f t="shared" ref="BQ211:BQ231" si="14682">IF(MarGlo2MasteryCurrent&gt;=$B211,"-",IF(MarGlo2MasteryDesired&lt;$B211,"-",$C211))</f>
        <v>-</v>
      </c>
      <c r="BR211" s="106" t="str">
        <f t="shared" ref="BR211:BR231" si="14683">IF(MarGlo2MasteryCurrent&gt;=$B211,"-",IF(MarGlo2MasteryDesired&lt;$B211,"-",$D211))</f>
        <v>-</v>
      </c>
      <c r="BS211" s="1"/>
      <c r="BT211" s="106" t="str">
        <f t="shared" ref="BT211:BT231" si="14684">IF(MarBel2MasteryCurrent&gt;=$B211,"-",IF(MarBel2MasteryDesired&lt;$B211,"-",$C211))</f>
        <v>-</v>
      </c>
      <c r="BU211" s="106" t="str">
        <f t="shared" ref="BU211:BU231" si="14685">IF(MarBel2MasteryCurrent&gt;=$B211,"-",IF(MarBel2MasteryDesired&lt;$B211,"-",$D211))</f>
        <v>-</v>
      </c>
      <c r="BV211" s="1"/>
      <c r="BW211" s="106" t="str">
        <f t="shared" ref="BW211:BW231" si="14686">IF(MarBoo2MasteryCurrent&gt;=$B211,"-",IF(MarBoo2MasteryDesired&lt;$B211,"-",$C211))</f>
        <v>-</v>
      </c>
      <c r="BX211" s="144" t="str">
        <f t="shared" ref="BX211:BX231" si="14687">IF(MarBoo2MasteryCurrent&gt;=$B211,"-",IF(MarBoo2MasteryDesired&lt;$B211,"-",$D211))</f>
        <v>-</v>
      </c>
      <c r="BZ211" s="106" t="str">
        <f t="shared" ref="BZ211:BZ231" si="14688">IF(InfGog3MasteryCurrent&gt;=$B211,"-",IF(InfGog3MasteryDesired&lt;$B211,"-",$C211))</f>
        <v>-</v>
      </c>
      <c r="CA211" s="106" t="str">
        <f t="shared" ref="CA211:CA231" si="14689">IF(InfGog3MasteryCurrent&gt;=$B211,"-",IF(InfGog3MasteryDesired&lt;$B211,"-",$D211))</f>
        <v>-</v>
      </c>
      <c r="CB211" s="1"/>
      <c r="CC211" s="106" t="str">
        <f t="shared" ref="CC211:CC231" si="14690">IF(InfGlo3MasteryCurrent&gt;=$B211,"-",IF(InfGlo3MasteryDesired&lt;$B211,"-",$C211))</f>
        <v>-</v>
      </c>
      <c r="CD211" s="106" t="str">
        <f t="shared" ref="CD211:CD231" si="14691">IF(InfGlo3MasteryCurrent&gt;=$B211,"-",IF(InfGlo3MasteryDesired&lt;$B211,"-",$D211))</f>
        <v>-</v>
      </c>
      <c r="CE211" s="1"/>
      <c r="CF211" s="106" t="str">
        <f t="shared" ref="CF211:CF231" si="14692">IF(InfBel3MasteryCurrent&gt;=$B211,"-",IF(InfBel3MasteryDesired&lt;$B211,"-",$C211))</f>
        <v>-</v>
      </c>
      <c r="CG211" s="106" t="str">
        <f t="shared" ref="CG211:CG231" si="14693">IF(InfBel3MasteryCurrent&gt;=$B211,"-",IF(InfBel3MasteryDesired&lt;$B211,"-",$D211))</f>
        <v>-</v>
      </c>
      <c r="CH211" s="1"/>
      <c r="CI211" s="106" t="str">
        <f t="shared" ref="CI211:CI231" si="14694">IF(InfBoo3MasteryCurrent&gt;=$B211,"-",IF(InfBoo3MasteryDesired&lt;$B211,"-",$C211))</f>
        <v>-</v>
      </c>
      <c r="CJ211" s="144" t="str">
        <f t="shared" ref="CJ211:CJ231" si="14695">IF(InfBoo3MasteryCurrent&gt;=$B211,"-",IF(InfBoo3MasteryDesired&lt;$B211,"-",$D211))</f>
        <v>-</v>
      </c>
      <c r="CK211" s="1"/>
      <c r="CL211" s="106" t="str">
        <f t="shared" ref="CL211:CL231" si="14696">IF(LanGog3MasteryCurrent&gt;=$B211,"-",IF(LanGog3MasteryDesired&lt;$B211,"-",$C211))</f>
        <v>-</v>
      </c>
      <c r="CM211" s="106" t="str">
        <f t="shared" ref="CM211:CM231" si="14697">IF(LanGog3MasteryCurrent&gt;=$B211,"-",IF(LanGog3MasteryDesired&lt;$B211,"-",$D211))</f>
        <v>-</v>
      </c>
      <c r="CN211" s="1"/>
      <c r="CO211" s="106" t="str">
        <f t="shared" ref="CO211:CO231" si="14698">IF(LanGlo3MasteryCurrent&gt;=$B211,"-",IF(LanGlo3MasteryDesired&lt;$B211,"-",$C211))</f>
        <v>-</v>
      </c>
      <c r="CP211" s="106" t="str">
        <f t="shared" ref="CP211:CP231" si="14699">IF(LanGlo3MasteryCurrent&gt;=$B211,"-",IF(LanGlo3MasteryDesired&lt;$B211,"-",$D211))</f>
        <v>-</v>
      </c>
      <c r="CQ211" s="1"/>
      <c r="CR211" s="106" t="str">
        <f t="shared" ref="CR211:CR231" si="14700">IF(LanBel3MasteryCurrent&gt;=$B211,"-",IF(LanBel3MasteryDesired&lt;$B211,"-",$C211))</f>
        <v>-</v>
      </c>
      <c r="CS211" s="106" t="str">
        <f t="shared" ref="CS211:CS231" si="14701">IF(LanBel3MasteryCurrent&gt;=$B211,"-",IF(LanBel3MasteryDesired&lt;$B211,"-",$D211))</f>
        <v>-</v>
      </c>
      <c r="CT211" s="1"/>
      <c r="CU211" s="106" t="str">
        <f t="shared" ref="CU211:CU231" si="14702">IF(LanBoo3MasteryCurrent&gt;=$B211,"-",IF(LanBoo3MasteryDesired&lt;$B211,"-",$C211))</f>
        <v>-</v>
      </c>
      <c r="CV211" s="144" t="str">
        <f t="shared" ref="CV211:CV231" si="14703">IF(LanBoo3MasteryCurrent&gt;=$B211,"-",IF(LanBoo3MasteryDesired&lt;$B211,"-",$D211))</f>
        <v>-</v>
      </c>
      <c r="CW211" s="1"/>
      <c r="CX211" s="106" t="str">
        <f t="shared" ref="CX211:CX231" si="14704">IF(MarGog3MasteryCurrent&gt;=$B211,"-",IF(MarGog3MasteryDesired&lt;$B211,"-",$C211))</f>
        <v>-</v>
      </c>
      <c r="CY211" s="106" t="str">
        <f t="shared" ref="CY211:CY231" si="14705">IF(MarGog3MasteryCurrent&gt;=$B211,"-",IF(MarGog3MasteryDesired&lt;$B211,"-",$D211))</f>
        <v>-</v>
      </c>
      <c r="CZ211" s="1"/>
      <c r="DA211" s="106" t="str">
        <f t="shared" ref="DA211:DA231" si="14706">IF(MarGlo3MasteryCurrent&gt;=$B211,"-",IF(MarGlo3MasteryDesired&lt;$B211,"-",$C211))</f>
        <v>-</v>
      </c>
      <c r="DB211" s="106" t="str">
        <f t="shared" ref="DB211:DB231" si="14707">IF(MarGlo3MasteryCurrent&gt;=$B211,"-",IF(MarGlo3MasteryDesired&lt;$B211,"-",$D211))</f>
        <v>-</v>
      </c>
      <c r="DC211" s="1"/>
      <c r="DD211" s="106" t="str">
        <f t="shared" ref="DD211:DD231" si="14708">IF(MarBel3MasteryCurrent&gt;=$B211,"-",IF(MarBel3MasteryDesired&lt;$B211,"-",$C211))</f>
        <v>-</v>
      </c>
      <c r="DE211" s="106" t="str">
        <f t="shared" ref="DE211:DE231" si="14709">IF(MarBel3MasteryCurrent&gt;=$B211,"-",IF(MarBel3MasteryDesired&lt;$B211,"-",$D211))</f>
        <v>-</v>
      </c>
      <c r="DF211" s="1"/>
      <c r="DG211" s="106" t="str">
        <f t="shared" ref="DG211:DG231" si="14710">IF(MarBoo3MasteryCurrent&gt;=$B211,"-",IF(MarBoo3MasteryDesired&lt;$B211,"-",$C211))</f>
        <v>-</v>
      </c>
      <c r="DH211" s="144" t="str">
        <f t="shared" ref="DH211:DH231" si="14711">IF(MarBoo3MasteryCurrent&gt;=$B211,"-",IF(MarBoo3MasteryDesired&lt;$B211,"-",$D211))</f>
        <v>-</v>
      </c>
    </row>
    <row r="212" spans="2:112" x14ac:dyDescent="0.3">
      <c r="B212" s="1">
        <v>1</v>
      </c>
      <c r="C212" s="15">
        <v>10</v>
      </c>
      <c r="D212" s="21"/>
      <c r="F212" s="105" t="str">
        <f t="shared" si="14640"/>
        <v>-</v>
      </c>
      <c r="G212" s="21" t="str">
        <f t="shared" si="14641"/>
        <v>-</v>
      </c>
      <c r="I212" s="105" t="str">
        <f t="shared" si="14642"/>
        <v>-</v>
      </c>
      <c r="J212" s="21" t="str">
        <f t="shared" si="14643"/>
        <v>-</v>
      </c>
      <c r="L212" s="105" t="str">
        <f t="shared" si="14644"/>
        <v>-</v>
      </c>
      <c r="M212" s="21" t="str">
        <f t="shared" si="14645"/>
        <v>-</v>
      </c>
      <c r="O212" s="105" t="str">
        <f t="shared" si="14646"/>
        <v>-</v>
      </c>
      <c r="P212" s="21" t="str">
        <f t="shared" si="14647"/>
        <v>-</v>
      </c>
      <c r="R212" s="105" t="str">
        <f t="shared" si="14648"/>
        <v>-</v>
      </c>
      <c r="S212" s="21" t="str">
        <f t="shared" si="14649"/>
        <v>-</v>
      </c>
      <c r="U212" s="105" t="str">
        <f t="shared" si="14650"/>
        <v>-</v>
      </c>
      <c r="V212" s="21" t="str">
        <f t="shared" si="14651"/>
        <v>-</v>
      </c>
      <c r="X212" s="105" t="str">
        <f t="shared" si="14652"/>
        <v>-</v>
      </c>
      <c r="Y212" s="21" t="str">
        <f t="shared" si="14653"/>
        <v>-</v>
      </c>
      <c r="AA212" s="105" t="str">
        <f t="shared" si="14654"/>
        <v>-</v>
      </c>
      <c r="AB212" s="21" t="str">
        <f t="shared" si="14655"/>
        <v>-</v>
      </c>
      <c r="AD212" s="105" t="str">
        <f t="shared" si="14656"/>
        <v>-</v>
      </c>
      <c r="AE212" s="21" t="str">
        <f t="shared" si="14657"/>
        <v>-</v>
      </c>
      <c r="AG212" s="105" t="str">
        <f t="shared" si="14658"/>
        <v>-</v>
      </c>
      <c r="AH212" s="21" t="str">
        <f t="shared" si="14659"/>
        <v>-</v>
      </c>
      <c r="AJ212" s="105" t="str">
        <f t="shared" si="14660"/>
        <v>-</v>
      </c>
      <c r="AK212" s="21" t="str">
        <f t="shared" si="14661"/>
        <v>-</v>
      </c>
      <c r="AM212" s="105" t="str">
        <f t="shared" si="14662"/>
        <v>-</v>
      </c>
      <c r="AN212" s="21" t="str">
        <f t="shared" si="14663"/>
        <v>-</v>
      </c>
      <c r="AP212" s="105" t="str">
        <f t="shared" si="14664"/>
        <v>-</v>
      </c>
      <c r="AQ212" s="21" t="str">
        <f t="shared" si="14665"/>
        <v>-</v>
      </c>
      <c r="AR212" s="1"/>
      <c r="AS212" s="105" t="str">
        <f t="shared" si="14666"/>
        <v>-</v>
      </c>
      <c r="AT212" s="21" t="str">
        <f t="shared" si="14667"/>
        <v>-</v>
      </c>
      <c r="AU212" s="1"/>
      <c r="AV212" s="105" t="str">
        <f t="shared" si="14668"/>
        <v>-</v>
      </c>
      <c r="AW212" s="21" t="str">
        <f t="shared" si="14669"/>
        <v>-</v>
      </c>
      <c r="AX212" s="1"/>
      <c r="AY212" s="105" t="str">
        <f t="shared" si="14670"/>
        <v>-</v>
      </c>
      <c r="AZ212" s="21" t="str">
        <f t="shared" si="14671"/>
        <v>-</v>
      </c>
      <c r="BA212" s="1"/>
      <c r="BB212" s="105" t="str">
        <f t="shared" si="14672"/>
        <v>-</v>
      </c>
      <c r="BC212" s="21" t="str">
        <f t="shared" si="14673"/>
        <v>-</v>
      </c>
      <c r="BD212" s="1"/>
      <c r="BE212" s="105" t="str">
        <f t="shared" si="14674"/>
        <v>-</v>
      </c>
      <c r="BF212" s="21" t="str">
        <f t="shared" si="14675"/>
        <v>-</v>
      </c>
      <c r="BG212" s="1"/>
      <c r="BH212" s="105" t="str">
        <f t="shared" si="14676"/>
        <v>-</v>
      </c>
      <c r="BI212" s="21" t="str">
        <f t="shared" si="14677"/>
        <v>-</v>
      </c>
      <c r="BJ212" s="1"/>
      <c r="BK212" s="105" t="str">
        <f t="shared" si="14678"/>
        <v>-</v>
      </c>
      <c r="BL212" s="21" t="str">
        <f t="shared" si="14679"/>
        <v>-</v>
      </c>
      <c r="BM212" s="1"/>
      <c r="BN212" s="105" t="str">
        <f t="shared" si="14680"/>
        <v>-</v>
      </c>
      <c r="BO212" s="21" t="str">
        <f t="shared" si="14681"/>
        <v>-</v>
      </c>
      <c r="BP212" s="1"/>
      <c r="BQ212" s="105" t="str">
        <f t="shared" si="14682"/>
        <v>-</v>
      </c>
      <c r="BR212" s="21" t="str">
        <f t="shared" si="14683"/>
        <v>-</v>
      </c>
      <c r="BS212" s="1"/>
      <c r="BT212" s="105" t="str">
        <f t="shared" si="14684"/>
        <v>-</v>
      </c>
      <c r="BU212" s="21" t="str">
        <f t="shared" si="14685"/>
        <v>-</v>
      </c>
      <c r="BV212" s="1"/>
      <c r="BW212" s="105" t="str">
        <f t="shared" si="14686"/>
        <v>-</v>
      </c>
      <c r="BX212" s="21" t="str">
        <f t="shared" si="14687"/>
        <v>-</v>
      </c>
      <c r="BZ212" s="105" t="str">
        <f t="shared" si="14688"/>
        <v>-</v>
      </c>
      <c r="CA212" s="21" t="str">
        <f t="shared" si="14689"/>
        <v>-</v>
      </c>
      <c r="CB212" s="1"/>
      <c r="CC212" s="105" t="str">
        <f t="shared" si="14690"/>
        <v>-</v>
      </c>
      <c r="CD212" s="21" t="str">
        <f t="shared" si="14691"/>
        <v>-</v>
      </c>
      <c r="CE212" s="1"/>
      <c r="CF212" s="105" t="str">
        <f t="shared" si="14692"/>
        <v>-</v>
      </c>
      <c r="CG212" s="21" t="str">
        <f t="shared" si="14693"/>
        <v>-</v>
      </c>
      <c r="CH212" s="1"/>
      <c r="CI212" s="105" t="str">
        <f t="shared" si="14694"/>
        <v>-</v>
      </c>
      <c r="CJ212" s="21" t="str">
        <f t="shared" si="14695"/>
        <v>-</v>
      </c>
      <c r="CK212" s="1"/>
      <c r="CL212" s="105" t="str">
        <f t="shared" si="14696"/>
        <v>-</v>
      </c>
      <c r="CM212" s="21" t="str">
        <f t="shared" si="14697"/>
        <v>-</v>
      </c>
      <c r="CN212" s="1"/>
      <c r="CO212" s="105" t="str">
        <f t="shared" si="14698"/>
        <v>-</v>
      </c>
      <c r="CP212" s="21" t="str">
        <f t="shared" si="14699"/>
        <v>-</v>
      </c>
      <c r="CQ212" s="1"/>
      <c r="CR212" s="105" t="str">
        <f t="shared" si="14700"/>
        <v>-</v>
      </c>
      <c r="CS212" s="21" t="str">
        <f t="shared" si="14701"/>
        <v>-</v>
      </c>
      <c r="CT212" s="1"/>
      <c r="CU212" s="105" t="str">
        <f t="shared" si="14702"/>
        <v>-</v>
      </c>
      <c r="CV212" s="21" t="str">
        <f t="shared" si="14703"/>
        <v>-</v>
      </c>
      <c r="CW212" s="1"/>
      <c r="CX212" s="105" t="str">
        <f t="shared" si="14704"/>
        <v>-</v>
      </c>
      <c r="CY212" s="21" t="str">
        <f t="shared" si="14705"/>
        <v>-</v>
      </c>
      <c r="CZ212" s="1"/>
      <c r="DA212" s="105" t="str">
        <f t="shared" si="14706"/>
        <v>-</v>
      </c>
      <c r="DB212" s="21" t="str">
        <f t="shared" si="14707"/>
        <v>-</v>
      </c>
      <c r="DC212" s="1"/>
      <c r="DD212" s="105" t="str">
        <f t="shared" si="14708"/>
        <v>-</v>
      </c>
      <c r="DE212" s="21" t="str">
        <f t="shared" si="14709"/>
        <v>-</v>
      </c>
      <c r="DF212" s="1"/>
      <c r="DG212" s="105" t="str">
        <f t="shared" si="14710"/>
        <v>-</v>
      </c>
      <c r="DH212" s="21" t="str">
        <f t="shared" si="14711"/>
        <v>-</v>
      </c>
    </row>
    <row r="213" spans="2:112" x14ac:dyDescent="0.3">
      <c r="B213" s="1">
        <v>2</v>
      </c>
      <c r="C213" s="15">
        <v>20</v>
      </c>
      <c r="D213" s="21"/>
      <c r="F213" s="105" t="str">
        <f t="shared" si="14640"/>
        <v>-</v>
      </c>
      <c r="G213" s="21" t="str">
        <f t="shared" si="14641"/>
        <v>-</v>
      </c>
      <c r="I213" s="105" t="str">
        <f t="shared" si="14642"/>
        <v>-</v>
      </c>
      <c r="J213" s="21" t="str">
        <f t="shared" si="14643"/>
        <v>-</v>
      </c>
      <c r="L213" s="105" t="str">
        <f t="shared" si="14644"/>
        <v>-</v>
      </c>
      <c r="M213" s="21" t="str">
        <f t="shared" si="14645"/>
        <v>-</v>
      </c>
      <c r="O213" s="105" t="str">
        <f t="shared" si="14646"/>
        <v>-</v>
      </c>
      <c r="P213" s="21" t="str">
        <f t="shared" si="14647"/>
        <v>-</v>
      </c>
      <c r="R213" s="105" t="str">
        <f t="shared" si="14648"/>
        <v>-</v>
      </c>
      <c r="S213" s="21" t="str">
        <f t="shared" si="14649"/>
        <v>-</v>
      </c>
      <c r="U213" s="105" t="str">
        <f t="shared" si="14650"/>
        <v>-</v>
      </c>
      <c r="V213" s="21" t="str">
        <f t="shared" si="14651"/>
        <v>-</v>
      </c>
      <c r="X213" s="105" t="str">
        <f t="shared" si="14652"/>
        <v>-</v>
      </c>
      <c r="Y213" s="21" t="str">
        <f t="shared" si="14653"/>
        <v>-</v>
      </c>
      <c r="AA213" s="105" t="str">
        <f t="shared" si="14654"/>
        <v>-</v>
      </c>
      <c r="AB213" s="21" t="str">
        <f t="shared" si="14655"/>
        <v>-</v>
      </c>
      <c r="AD213" s="105" t="str">
        <f t="shared" si="14656"/>
        <v>-</v>
      </c>
      <c r="AE213" s="21" t="str">
        <f t="shared" si="14657"/>
        <v>-</v>
      </c>
      <c r="AG213" s="105" t="str">
        <f t="shared" si="14658"/>
        <v>-</v>
      </c>
      <c r="AH213" s="21" t="str">
        <f t="shared" si="14659"/>
        <v>-</v>
      </c>
      <c r="AJ213" s="105" t="str">
        <f t="shared" si="14660"/>
        <v>-</v>
      </c>
      <c r="AK213" s="21" t="str">
        <f t="shared" si="14661"/>
        <v>-</v>
      </c>
      <c r="AM213" s="105" t="str">
        <f t="shared" si="14662"/>
        <v>-</v>
      </c>
      <c r="AN213" s="21" t="str">
        <f t="shared" si="14663"/>
        <v>-</v>
      </c>
      <c r="AP213" s="105" t="str">
        <f t="shared" si="14664"/>
        <v>-</v>
      </c>
      <c r="AQ213" s="21" t="str">
        <f t="shared" si="14665"/>
        <v>-</v>
      </c>
      <c r="AR213" s="1"/>
      <c r="AS213" s="105" t="str">
        <f t="shared" si="14666"/>
        <v>-</v>
      </c>
      <c r="AT213" s="21" t="str">
        <f t="shared" si="14667"/>
        <v>-</v>
      </c>
      <c r="AU213" s="1"/>
      <c r="AV213" s="105" t="str">
        <f t="shared" si="14668"/>
        <v>-</v>
      </c>
      <c r="AW213" s="21" t="str">
        <f t="shared" si="14669"/>
        <v>-</v>
      </c>
      <c r="AX213" s="1"/>
      <c r="AY213" s="105" t="str">
        <f t="shared" si="14670"/>
        <v>-</v>
      </c>
      <c r="AZ213" s="21" t="str">
        <f t="shared" si="14671"/>
        <v>-</v>
      </c>
      <c r="BA213" s="1"/>
      <c r="BB213" s="105" t="str">
        <f t="shared" si="14672"/>
        <v>-</v>
      </c>
      <c r="BC213" s="21" t="str">
        <f t="shared" si="14673"/>
        <v>-</v>
      </c>
      <c r="BD213" s="1"/>
      <c r="BE213" s="105" t="str">
        <f t="shared" si="14674"/>
        <v>-</v>
      </c>
      <c r="BF213" s="21" t="str">
        <f t="shared" si="14675"/>
        <v>-</v>
      </c>
      <c r="BG213" s="1"/>
      <c r="BH213" s="105" t="str">
        <f t="shared" si="14676"/>
        <v>-</v>
      </c>
      <c r="BI213" s="21" t="str">
        <f t="shared" si="14677"/>
        <v>-</v>
      </c>
      <c r="BJ213" s="1"/>
      <c r="BK213" s="105" t="str">
        <f t="shared" si="14678"/>
        <v>-</v>
      </c>
      <c r="BL213" s="21" t="str">
        <f t="shared" si="14679"/>
        <v>-</v>
      </c>
      <c r="BM213" s="1"/>
      <c r="BN213" s="105" t="str">
        <f t="shared" si="14680"/>
        <v>-</v>
      </c>
      <c r="BO213" s="21" t="str">
        <f t="shared" si="14681"/>
        <v>-</v>
      </c>
      <c r="BP213" s="1"/>
      <c r="BQ213" s="105" t="str">
        <f t="shared" si="14682"/>
        <v>-</v>
      </c>
      <c r="BR213" s="21" t="str">
        <f t="shared" si="14683"/>
        <v>-</v>
      </c>
      <c r="BS213" s="1"/>
      <c r="BT213" s="105" t="str">
        <f t="shared" si="14684"/>
        <v>-</v>
      </c>
      <c r="BU213" s="21" t="str">
        <f t="shared" si="14685"/>
        <v>-</v>
      </c>
      <c r="BV213" s="1"/>
      <c r="BW213" s="105" t="str">
        <f t="shared" si="14686"/>
        <v>-</v>
      </c>
      <c r="BX213" s="21" t="str">
        <f t="shared" si="14687"/>
        <v>-</v>
      </c>
      <c r="BZ213" s="105" t="str">
        <f t="shared" si="14688"/>
        <v>-</v>
      </c>
      <c r="CA213" s="21" t="str">
        <f t="shared" si="14689"/>
        <v>-</v>
      </c>
      <c r="CB213" s="1"/>
      <c r="CC213" s="105" t="str">
        <f t="shared" si="14690"/>
        <v>-</v>
      </c>
      <c r="CD213" s="21" t="str">
        <f t="shared" si="14691"/>
        <v>-</v>
      </c>
      <c r="CE213" s="1"/>
      <c r="CF213" s="105" t="str">
        <f t="shared" si="14692"/>
        <v>-</v>
      </c>
      <c r="CG213" s="21" t="str">
        <f t="shared" si="14693"/>
        <v>-</v>
      </c>
      <c r="CH213" s="1"/>
      <c r="CI213" s="105" t="str">
        <f t="shared" si="14694"/>
        <v>-</v>
      </c>
      <c r="CJ213" s="21" t="str">
        <f t="shared" si="14695"/>
        <v>-</v>
      </c>
      <c r="CK213" s="1"/>
      <c r="CL213" s="105" t="str">
        <f t="shared" si="14696"/>
        <v>-</v>
      </c>
      <c r="CM213" s="21" t="str">
        <f t="shared" si="14697"/>
        <v>-</v>
      </c>
      <c r="CN213" s="1"/>
      <c r="CO213" s="105" t="str">
        <f t="shared" si="14698"/>
        <v>-</v>
      </c>
      <c r="CP213" s="21" t="str">
        <f t="shared" si="14699"/>
        <v>-</v>
      </c>
      <c r="CQ213" s="1"/>
      <c r="CR213" s="105" t="str">
        <f t="shared" si="14700"/>
        <v>-</v>
      </c>
      <c r="CS213" s="21" t="str">
        <f t="shared" si="14701"/>
        <v>-</v>
      </c>
      <c r="CT213" s="1"/>
      <c r="CU213" s="105" t="str">
        <f t="shared" si="14702"/>
        <v>-</v>
      </c>
      <c r="CV213" s="21" t="str">
        <f t="shared" si="14703"/>
        <v>-</v>
      </c>
      <c r="CW213" s="1"/>
      <c r="CX213" s="105" t="str">
        <f t="shared" si="14704"/>
        <v>-</v>
      </c>
      <c r="CY213" s="21" t="str">
        <f t="shared" si="14705"/>
        <v>-</v>
      </c>
      <c r="CZ213" s="1"/>
      <c r="DA213" s="105" t="str">
        <f t="shared" si="14706"/>
        <v>-</v>
      </c>
      <c r="DB213" s="21" t="str">
        <f t="shared" si="14707"/>
        <v>-</v>
      </c>
      <c r="DC213" s="1"/>
      <c r="DD213" s="105" t="str">
        <f t="shared" si="14708"/>
        <v>-</v>
      </c>
      <c r="DE213" s="21" t="str">
        <f t="shared" si="14709"/>
        <v>-</v>
      </c>
      <c r="DF213" s="1"/>
      <c r="DG213" s="105" t="str">
        <f t="shared" si="14710"/>
        <v>-</v>
      </c>
      <c r="DH213" s="21" t="str">
        <f t="shared" si="14711"/>
        <v>-</v>
      </c>
    </row>
    <row r="214" spans="2:112" x14ac:dyDescent="0.3">
      <c r="B214" s="1">
        <v>3</v>
      </c>
      <c r="C214" s="15">
        <v>30</v>
      </c>
      <c r="D214" s="21"/>
      <c r="F214" s="105" t="str">
        <f t="shared" si="14640"/>
        <v>-</v>
      </c>
      <c r="G214" s="21" t="str">
        <f t="shared" si="14641"/>
        <v>-</v>
      </c>
      <c r="I214" s="105" t="str">
        <f t="shared" si="14642"/>
        <v>-</v>
      </c>
      <c r="J214" s="21" t="str">
        <f t="shared" si="14643"/>
        <v>-</v>
      </c>
      <c r="L214" s="105" t="str">
        <f t="shared" si="14644"/>
        <v>-</v>
      </c>
      <c r="M214" s="21" t="str">
        <f t="shared" si="14645"/>
        <v>-</v>
      </c>
      <c r="O214" s="105" t="str">
        <f t="shared" si="14646"/>
        <v>-</v>
      </c>
      <c r="P214" s="21" t="str">
        <f t="shared" si="14647"/>
        <v>-</v>
      </c>
      <c r="R214" s="105" t="str">
        <f t="shared" si="14648"/>
        <v>-</v>
      </c>
      <c r="S214" s="21" t="str">
        <f t="shared" si="14649"/>
        <v>-</v>
      </c>
      <c r="U214" s="105" t="str">
        <f t="shared" si="14650"/>
        <v>-</v>
      </c>
      <c r="V214" s="21" t="str">
        <f t="shared" si="14651"/>
        <v>-</v>
      </c>
      <c r="X214" s="105" t="str">
        <f t="shared" si="14652"/>
        <v>-</v>
      </c>
      <c r="Y214" s="21" t="str">
        <f t="shared" si="14653"/>
        <v>-</v>
      </c>
      <c r="AA214" s="105" t="str">
        <f t="shared" si="14654"/>
        <v>-</v>
      </c>
      <c r="AB214" s="21" t="str">
        <f t="shared" si="14655"/>
        <v>-</v>
      </c>
      <c r="AD214" s="105" t="str">
        <f t="shared" si="14656"/>
        <v>-</v>
      </c>
      <c r="AE214" s="21" t="str">
        <f t="shared" si="14657"/>
        <v>-</v>
      </c>
      <c r="AG214" s="105" t="str">
        <f t="shared" si="14658"/>
        <v>-</v>
      </c>
      <c r="AH214" s="21" t="str">
        <f t="shared" si="14659"/>
        <v>-</v>
      </c>
      <c r="AJ214" s="105" t="str">
        <f t="shared" si="14660"/>
        <v>-</v>
      </c>
      <c r="AK214" s="21" t="str">
        <f t="shared" si="14661"/>
        <v>-</v>
      </c>
      <c r="AM214" s="105" t="str">
        <f t="shared" si="14662"/>
        <v>-</v>
      </c>
      <c r="AN214" s="21" t="str">
        <f t="shared" si="14663"/>
        <v>-</v>
      </c>
      <c r="AP214" s="105" t="str">
        <f t="shared" si="14664"/>
        <v>-</v>
      </c>
      <c r="AQ214" s="21" t="str">
        <f t="shared" si="14665"/>
        <v>-</v>
      </c>
      <c r="AR214" s="1"/>
      <c r="AS214" s="105" t="str">
        <f t="shared" si="14666"/>
        <v>-</v>
      </c>
      <c r="AT214" s="21" t="str">
        <f t="shared" si="14667"/>
        <v>-</v>
      </c>
      <c r="AU214" s="1"/>
      <c r="AV214" s="105" t="str">
        <f t="shared" si="14668"/>
        <v>-</v>
      </c>
      <c r="AW214" s="21" t="str">
        <f t="shared" si="14669"/>
        <v>-</v>
      </c>
      <c r="AX214" s="1"/>
      <c r="AY214" s="105" t="str">
        <f t="shared" si="14670"/>
        <v>-</v>
      </c>
      <c r="AZ214" s="21" t="str">
        <f t="shared" si="14671"/>
        <v>-</v>
      </c>
      <c r="BA214" s="1"/>
      <c r="BB214" s="105" t="str">
        <f t="shared" si="14672"/>
        <v>-</v>
      </c>
      <c r="BC214" s="21" t="str">
        <f t="shared" si="14673"/>
        <v>-</v>
      </c>
      <c r="BD214" s="1"/>
      <c r="BE214" s="105" t="str">
        <f t="shared" si="14674"/>
        <v>-</v>
      </c>
      <c r="BF214" s="21" t="str">
        <f t="shared" si="14675"/>
        <v>-</v>
      </c>
      <c r="BG214" s="1"/>
      <c r="BH214" s="105" t="str">
        <f t="shared" si="14676"/>
        <v>-</v>
      </c>
      <c r="BI214" s="21" t="str">
        <f t="shared" si="14677"/>
        <v>-</v>
      </c>
      <c r="BJ214" s="1"/>
      <c r="BK214" s="105" t="str">
        <f t="shared" si="14678"/>
        <v>-</v>
      </c>
      <c r="BL214" s="21" t="str">
        <f t="shared" si="14679"/>
        <v>-</v>
      </c>
      <c r="BM214" s="1"/>
      <c r="BN214" s="105" t="str">
        <f t="shared" si="14680"/>
        <v>-</v>
      </c>
      <c r="BO214" s="21" t="str">
        <f t="shared" si="14681"/>
        <v>-</v>
      </c>
      <c r="BP214" s="1"/>
      <c r="BQ214" s="105" t="str">
        <f t="shared" si="14682"/>
        <v>-</v>
      </c>
      <c r="BR214" s="21" t="str">
        <f t="shared" si="14683"/>
        <v>-</v>
      </c>
      <c r="BS214" s="1"/>
      <c r="BT214" s="105" t="str">
        <f t="shared" si="14684"/>
        <v>-</v>
      </c>
      <c r="BU214" s="21" t="str">
        <f t="shared" si="14685"/>
        <v>-</v>
      </c>
      <c r="BV214" s="1"/>
      <c r="BW214" s="105" t="str">
        <f t="shared" si="14686"/>
        <v>-</v>
      </c>
      <c r="BX214" s="21" t="str">
        <f t="shared" si="14687"/>
        <v>-</v>
      </c>
      <c r="BZ214" s="105" t="str">
        <f t="shared" si="14688"/>
        <v>-</v>
      </c>
      <c r="CA214" s="21" t="str">
        <f t="shared" si="14689"/>
        <v>-</v>
      </c>
      <c r="CB214" s="1"/>
      <c r="CC214" s="105" t="str">
        <f t="shared" si="14690"/>
        <v>-</v>
      </c>
      <c r="CD214" s="21" t="str">
        <f t="shared" si="14691"/>
        <v>-</v>
      </c>
      <c r="CE214" s="1"/>
      <c r="CF214" s="105" t="str">
        <f t="shared" si="14692"/>
        <v>-</v>
      </c>
      <c r="CG214" s="21" t="str">
        <f t="shared" si="14693"/>
        <v>-</v>
      </c>
      <c r="CH214" s="1"/>
      <c r="CI214" s="105" t="str">
        <f t="shared" si="14694"/>
        <v>-</v>
      </c>
      <c r="CJ214" s="21" t="str">
        <f t="shared" si="14695"/>
        <v>-</v>
      </c>
      <c r="CK214" s="1"/>
      <c r="CL214" s="105" t="str">
        <f t="shared" si="14696"/>
        <v>-</v>
      </c>
      <c r="CM214" s="21" t="str">
        <f t="shared" si="14697"/>
        <v>-</v>
      </c>
      <c r="CN214" s="1"/>
      <c r="CO214" s="105" t="str">
        <f t="shared" si="14698"/>
        <v>-</v>
      </c>
      <c r="CP214" s="21" t="str">
        <f t="shared" si="14699"/>
        <v>-</v>
      </c>
      <c r="CQ214" s="1"/>
      <c r="CR214" s="105" t="str">
        <f t="shared" si="14700"/>
        <v>-</v>
      </c>
      <c r="CS214" s="21" t="str">
        <f t="shared" si="14701"/>
        <v>-</v>
      </c>
      <c r="CT214" s="1"/>
      <c r="CU214" s="105" t="str">
        <f t="shared" si="14702"/>
        <v>-</v>
      </c>
      <c r="CV214" s="21" t="str">
        <f t="shared" si="14703"/>
        <v>-</v>
      </c>
      <c r="CW214" s="1"/>
      <c r="CX214" s="105" t="str">
        <f t="shared" si="14704"/>
        <v>-</v>
      </c>
      <c r="CY214" s="21" t="str">
        <f t="shared" si="14705"/>
        <v>-</v>
      </c>
      <c r="CZ214" s="1"/>
      <c r="DA214" s="105" t="str">
        <f t="shared" si="14706"/>
        <v>-</v>
      </c>
      <c r="DB214" s="21" t="str">
        <f t="shared" si="14707"/>
        <v>-</v>
      </c>
      <c r="DC214" s="1"/>
      <c r="DD214" s="105" t="str">
        <f t="shared" si="14708"/>
        <v>-</v>
      </c>
      <c r="DE214" s="21" t="str">
        <f t="shared" si="14709"/>
        <v>-</v>
      </c>
      <c r="DF214" s="1"/>
      <c r="DG214" s="105" t="str">
        <f t="shared" si="14710"/>
        <v>-</v>
      </c>
      <c r="DH214" s="21" t="str">
        <f t="shared" si="14711"/>
        <v>-</v>
      </c>
    </row>
    <row r="215" spans="2:112" x14ac:dyDescent="0.3">
      <c r="B215" s="1">
        <v>4</v>
      </c>
      <c r="C215" s="15">
        <v>40</v>
      </c>
      <c r="D215" s="21"/>
      <c r="F215" s="105" t="str">
        <f t="shared" si="14640"/>
        <v>-</v>
      </c>
      <c r="G215" s="21" t="str">
        <f t="shared" si="14641"/>
        <v>-</v>
      </c>
      <c r="I215" s="105" t="str">
        <f t="shared" si="14642"/>
        <v>-</v>
      </c>
      <c r="J215" s="21" t="str">
        <f t="shared" si="14643"/>
        <v>-</v>
      </c>
      <c r="L215" s="105" t="str">
        <f t="shared" si="14644"/>
        <v>-</v>
      </c>
      <c r="M215" s="21" t="str">
        <f t="shared" si="14645"/>
        <v>-</v>
      </c>
      <c r="O215" s="105" t="str">
        <f t="shared" si="14646"/>
        <v>-</v>
      </c>
      <c r="P215" s="21" t="str">
        <f t="shared" si="14647"/>
        <v>-</v>
      </c>
      <c r="R215" s="105" t="str">
        <f t="shared" si="14648"/>
        <v>-</v>
      </c>
      <c r="S215" s="21" t="str">
        <f t="shared" si="14649"/>
        <v>-</v>
      </c>
      <c r="U215" s="105" t="str">
        <f t="shared" si="14650"/>
        <v>-</v>
      </c>
      <c r="V215" s="21" t="str">
        <f t="shared" si="14651"/>
        <v>-</v>
      </c>
      <c r="X215" s="105" t="str">
        <f t="shared" si="14652"/>
        <v>-</v>
      </c>
      <c r="Y215" s="21" t="str">
        <f t="shared" si="14653"/>
        <v>-</v>
      </c>
      <c r="AA215" s="105" t="str">
        <f t="shared" si="14654"/>
        <v>-</v>
      </c>
      <c r="AB215" s="21" t="str">
        <f t="shared" si="14655"/>
        <v>-</v>
      </c>
      <c r="AD215" s="105" t="str">
        <f t="shared" si="14656"/>
        <v>-</v>
      </c>
      <c r="AE215" s="21" t="str">
        <f t="shared" si="14657"/>
        <v>-</v>
      </c>
      <c r="AG215" s="105" t="str">
        <f t="shared" si="14658"/>
        <v>-</v>
      </c>
      <c r="AH215" s="21" t="str">
        <f t="shared" si="14659"/>
        <v>-</v>
      </c>
      <c r="AJ215" s="105" t="str">
        <f t="shared" si="14660"/>
        <v>-</v>
      </c>
      <c r="AK215" s="21" t="str">
        <f t="shared" si="14661"/>
        <v>-</v>
      </c>
      <c r="AM215" s="105" t="str">
        <f t="shared" si="14662"/>
        <v>-</v>
      </c>
      <c r="AN215" s="21" t="str">
        <f t="shared" si="14663"/>
        <v>-</v>
      </c>
      <c r="AP215" s="105" t="str">
        <f t="shared" si="14664"/>
        <v>-</v>
      </c>
      <c r="AQ215" s="21" t="str">
        <f t="shared" si="14665"/>
        <v>-</v>
      </c>
      <c r="AR215" s="1"/>
      <c r="AS215" s="105" t="str">
        <f t="shared" si="14666"/>
        <v>-</v>
      </c>
      <c r="AT215" s="21" t="str">
        <f t="shared" si="14667"/>
        <v>-</v>
      </c>
      <c r="AU215" s="1"/>
      <c r="AV215" s="105" t="str">
        <f t="shared" si="14668"/>
        <v>-</v>
      </c>
      <c r="AW215" s="21" t="str">
        <f t="shared" si="14669"/>
        <v>-</v>
      </c>
      <c r="AX215" s="1"/>
      <c r="AY215" s="105" t="str">
        <f t="shared" si="14670"/>
        <v>-</v>
      </c>
      <c r="AZ215" s="21" t="str">
        <f t="shared" si="14671"/>
        <v>-</v>
      </c>
      <c r="BA215" s="1"/>
      <c r="BB215" s="105" t="str">
        <f t="shared" si="14672"/>
        <v>-</v>
      </c>
      <c r="BC215" s="21" t="str">
        <f t="shared" si="14673"/>
        <v>-</v>
      </c>
      <c r="BD215" s="1"/>
      <c r="BE215" s="105" t="str">
        <f t="shared" si="14674"/>
        <v>-</v>
      </c>
      <c r="BF215" s="21" t="str">
        <f t="shared" si="14675"/>
        <v>-</v>
      </c>
      <c r="BG215" s="1"/>
      <c r="BH215" s="105" t="str">
        <f t="shared" si="14676"/>
        <v>-</v>
      </c>
      <c r="BI215" s="21" t="str">
        <f t="shared" si="14677"/>
        <v>-</v>
      </c>
      <c r="BJ215" s="1"/>
      <c r="BK215" s="105" t="str">
        <f t="shared" si="14678"/>
        <v>-</v>
      </c>
      <c r="BL215" s="21" t="str">
        <f t="shared" si="14679"/>
        <v>-</v>
      </c>
      <c r="BM215" s="1"/>
      <c r="BN215" s="105" t="str">
        <f t="shared" si="14680"/>
        <v>-</v>
      </c>
      <c r="BO215" s="21" t="str">
        <f t="shared" si="14681"/>
        <v>-</v>
      </c>
      <c r="BP215" s="1"/>
      <c r="BQ215" s="105" t="str">
        <f t="shared" si="14682"/>
        <v>-</v>
      </c>
      <c r="BR215" s="21" t="str">
        <f t="shared" si="14683"/>
        <v>-</v>
      </c>
      <c r="BS215" s="1"/>
      <c r="BT215" s="105" t="str">
        <f t="shared" si="14684"/>
        <v>-</v>
      </c>
      <c r="BU215" s="21" t="str">
        <f t="shared" si="14685"/>
        <v>-</v>
      </c>
      <c r="BV215" s="1"/>
      <c r="BW215" s="105" t="str">
        <f t="shared" si="14686"/>
        <v>-</v>
      </c>
      <c r="BX215" s="21" t="str">
        <f t="shared" si="14687"/>
        <v>-</v>
      </c>
      <c r="BZ215" s="105" t="str">
        <f t="shared" si="14688"/>
        <v>-</v>
      </c>
      <c r="CA215" s="21" t="str">
        <f t="shared" si="14689"/>
        <v>-</v>
      </c>
      <c r="CB215" s="1"/>
      <c r="CC215" s="105" t="str">
        <f t="shared" si="14690"/>
        <v>-</v>
      </c>
      <c r="CD215" s="21" t="str">
        <f t="shared" si="14691"/>
        <v>-</v>
      </c>
      <c r="CE215" s="1"/>
      <c r="CF215" s="105" t="str">
        <f t="shared" si="14692"/>
        <v>-</v>
      </c>
      <c r="CG215" s="21" t="str">
        <f t="shared" si="14693"/>
        <v>-</v>
      </c>
      <c r="CH215" s="1"/>
      <c r="CI215" s="105" t="str">
        <f t="shared" si="14694"/>
        <v>-</v>
      </c>
      <c r="CJ215" s="21" t="str">
        <f t="shared" si="14695"/>
        <v>-</v>
      </c>
      <c r="CK215" s="1"/>
      <c r="CL215" s="105" t="str">
        <f t="shared" si="14696"/>
        <v>-</v>
      </c>
      <c r="CM215" s="21" t="str">
        <f t="shared" si="14697"/>
        <v>-</v>
      </c>
      <c r="CN215" s="1"/>
      <c r="CO215" s="105" t="str">
        <f t="shared" si="14698"/>
        <v>-</v>
      </c>
      <c r="CP215" s="21" t="str">
        <f t="shared" si="14699"/>
        <v>-</v>
      </c>
      <c r="CQ215" s="1"/>
      <c r="CR215" s="105" t="str">
        <f t="shared" si="14700"/>
        <v>-</v>
      </c>
      <c r="CS215" s="21" t="str">
        <f t="shared" si="14701"/>
        <v>-</v>
      </c>
      <c r="CT215" s="1"/>
      <c r="CU215" s="105" t="str">
        <f t="shared" si="14702"/>
        <v>-</v>
      </c>
      <c r="CV215" s="21" t="str">
        <f t="shared" si="14703"/>
        <v>-</v>
      </c>
      <c r="CW215" s="1"/>
      <c r="CX215" s="105" t="str">
        <f t="shared" si="14704"/>
        <v>-</v>
      </c>
      <c r="CY215" s="21" t="str">
        <f t="shared" si="14705"/>
        <v>-</v>
      </c>
      <c r="CZ215" s="1"/>
      <c r="DA215" s="105" t="str">
        <f t="shared" si="14706"/>
        <v>-</v>
      </c>
      <c r="DB215" s="21" t="str">
        <f t="shared" si="14707"/>
        <v>-</v>
      </c>
      <c r="DC215" s="1"/>
      <c r="DD215" s="105" t="str">
        <f t="shared" si="14708"/>
        <v>-</v>
      </c>
      <c r="DE215" s="21" t="str">
        <f t="shared" si="14709"/>
        <v>-</v>
      </c>
      <c r="DF215" s="1"/>
      <c r="DG215" s="105" t="str">
        <f t="shared" si="14710"/>
        <v>-</v>
      </c>
      <c r="DH215" s="21" t="str">
        <f t="shared" si="14711"/>
        <v>-</v>
      </c>
    </row>
    <row r="216" spans="2:112" x14ac:dyDescent="0.3">
      <c r="B216" s="1">
        <v>5</v>
      </c>
      <c r="C216" s="15">
        <v>50</v>
      </c>
      <c r="D216" s="21"/>
      <c r="F216" s="105" t="str">
        <f t="shared" si="14640"/>
        <v>-</v>
      </c>
      <c r="G216" s="21" t="str">
        <f t="shared" si="14641"/>
        <v>-</v>
      </c>
      <c r="I216" s="105" t="str">
        <f t="shared" si="14642"/>
        <v>-</v>
      </c>
      <c r="J216" s="21" t="str">
        <f t="shared" si="14643"/>
        <v>-</v>
      </c>
      <c r="L216" s="105" t="str">
        <f t="shared" si="14644"/>
        <v>-</v>
      </c>
      <c r="M216" s="21" t="str">
        <f t="shared" si="14645"/>
        <v>-</v>
      </c>
      <c r="O216" s="105" t="str">
        <f t="shared" si="14646"/>
        <v>-</v>
      </c>
      <c r="P216" s="21" t="str">
        <f t="shared" si="14647"/>
        <v>-</v>
      </c>
      <c r="R216" s="105" t="str">
        <f t="shared" si="14648"/>
        <v>-</v>
      </c>
      <c r="S216" s="21" t="str">
        <f t="shared" si="14649"/>
        <v>-</v>
      </c>
      <c r="U216" s="105" t="str">
        <f t="shared" si="14650"/>
        <v>-</v>
      </c>
      <c r="V216" s="21" t="str">
        <f t="shared" si="14651"/>
        <v>-</v>
      </c>
      <c r="X216" s="105" t="str">
        <f t="shared" si="14652"/>
        <v>-</v>
      </c>
      <c r="Y216" s="21" t="str">
        <f t="shared" si="14653"/>
        <v>-</v>
      </c>
      <c r="AA216" s="105" t="str">
        <f t="shared" si="14654"/>
        <v>-</v>
      </c>
      <c r="AB216" s="21" t="str">
        <f t="shared" si="14655"/>
        <v>-</v>
      </c>
      <c r="AD216" s="105" t="str">
        <f t="shared" si="14656"/>
        <v>-</v>
      </c>
      <c r="AE216" s="21" t="str">
        <f t="shared" si="14657"/>
        <v>-</v>
      </c>
      <c r="AG216" s="105" t="str">
        <f t="shared" si="14658"/>
        <v>-</v>
      </c>
      <c r="AH216" s="21" t="str">
        <f t="shared" si="14659"/>
        <v>-</v>
      </c>
      <c r="AJ216" s="105" t="str">
        <f t="shared" si="14660"/>
        <v>-</v>
      </c>
      <c r="AK216" s="21" t="str">
        <f t="shared" si="14661"/>
        <v>-</v>
      </c>
      <c r="AM216" s="105" t="str">
        <f t="shared" si="14662"/>
        <v>-</v>
      </c>
      <c r="AN216" s="21" t="str">
        <f t="shared" si="14663"/>
        <v>-</v>
      </c>
      <c r="AP216" s="105" t="str">
        <f t="shared" si="14664"/>
        <v>-</v>
      </c>
      <c r="AQ216" s="21" t="str">
        <f t="shared" si="14665"/>
        <v>-</v>
      </c>
      <c r="AR216" s="1"/>
      <c r="AS216" s="105" t="str">
        <f t="shared" si="14666"/>
        <v>-</v>
      </c>
      <c r="AT216" s="21" t="str">
        <f t="shared" si="14667"/>
        <v>-</v>
      </c>
      <c r="AU216" s="1"/>
      <c r="AV216" s="105" t="str">
        <f t="shared" si="14668"/>
        <v>-</v>
      </c>
      <c r="AW216" s="21" t="str">
        <f t="shared" si="14669"/>
        <v>-</v>
      </c>
      <c r="AX216" s="1"/>
      <c r="AY216" s="105" t="str">
        <f t="shared" si="14670"/>
        <v>-</v>
      </c>
      <c r="AZ216" s="21" t="str">
        <f t="shared" si="14671"/>
        <v>-</v>
      </c>
      <c r="BA216" s="1"/>
      <c r="BB216" s="105" t="str">
        <f t="shared" si="14672"/>
        <v>-</v>
      </c>
      <c r="BC216" s="21" t="str">
        <f t="shared" si="14673"/>
        <v>-</v>
      </c>
      <c r="BD216" s="1"/>
      <c r="BE216" s="105" t="str">
        <f t="shared" si="14674"/>
        <v>-</v>
      </c>
      <c r="BF216" s="21" t="str">
        <f t="shared" si="14675"/>
        <v>-</v>
      </c>
      <c r="BG216" s="1"/>
      <c r="BH216" s="105" t="str">
        <f t="shared" si="14676"/>
        <v>-</v>
      </c>
      <c r="BI216" s="21" t="str">
        <f t="shared" si="14677"/>
        <v>-</v>
      </c>
      <c r="BJ216" s="1"/>
      <c r="BK216" s="105" t="str">
        <f t="shared" si="14678"/>
        <v>-</v>
      </c>
      <c r="BL216" s="21" t="str">
        <f t="shared" si="14679"/>
        <v>-</v>
      </c>
      <c r="BM216" s="1"/>
      <c r="BN216" s="105" t="str">
        <f t="shared" si="14680"/>
        <v>-</v>
      </c>
      <c r="BO216" s="21" t="str">
        <f t="shared" si="14681"/>
        <v>-</v>
      </c>
      <c r="BP216" s="1"/>
      <c r="BQ216" s="105" t="str">
        <f t="shared" si="14682"/>
        <v>-</v>
      </c>
      <c r="BR216" s="21" t="str">
        <f t="shared" si="14683"/>
        <v>-</v>
      </c>
      <c r="BS216" s="1"/>
      <c r="BT216" s="105" t="str">
        <f t="shared" si="14684"/>
        <v>-</v>
      </c>
      <c r="BU216" s="21" t="str">
        <f t="shared" si="14685"/>
        <v>-</v>
      </c>
      <c r="BV216" s="1"/>
      <c r="BW216" s="105" t="str">
        <f t="shared" si="14686"/>
        <v>-</v>
      </c>
      <c r="BX216" s="21" t="str">
        <f t="shared" si="14687"/>
        <v>-</v>
      </c>
      <c r="BZ216" s="105" t="str">
        <f t="shared" si="14688"/>
        <v>-</v>
      </c>
      <c r="CA216" s="21" t="str">
        <f t="shared" si="14689"/>
        <v>-</v>
      </c>
      <c r="CB216" s="1"/>
      <c r="CC216" s="105" t="str">
        <f t="shared" si="14690"/>
        <v>-</v>
      </c>
      <c r="CD216" s="21" t="str">
        <f t="shared" si="14691"/>
        <v>-</v>
      </c>
      <c r="CE216" s="1"/>
      <c r="CF216" s="105" t="str">
        <f t="shared" si="14692"/>
        <v>-</v>
      </c>
      <c r="CG216" s="21" t="str">
        <f t="shared" si="14693"/>
        <v>-</v>
      </c>
      <c r="CH216" s="1"/>
      <c r="CI216" s="105" t="str">
        <f t="shared" si="14694"/>
        <v>-</v>
      </c>
      <c r="CJ216" s="21" t="str">
        <f t="shared" si="14695"/>
        <v>-</v>
      </c>
      <c r="CK216" s="1"/>
      <c r="CL216" s="105" t="str">
        <f t="shared" si="14696"/>
        <v>-</v>
      </c>
      <c r="CM216" s="21" t="str">
        <f t="shared" si="14697"/>
        <v>-</v>
      </c>
      <c r="CN216" s="1"/>
      <c r="CO216" s="105" t="str">
        <f t="shared" si="14698"/>
        <v>-</v>
      </c>
      <c r="CP216" s="21" t="str">
        <f t="shared" si="14699"/>
        <v>-</v>
      </c>
      <c r="CQ216" s="1"/>
      <c r="CR216" s="105" t="str">
        <f t="shared" si="14700"/>
        <v>-</v>
      </c>
      <c r="CS216" s="21" t="str">
        <f t="shared" si="14701"/>
        <v>-</v>
      </c>
      <c r="CT216" s="1"/>
      <c r="CU216" s="105" t="str">
        <f t="shared" si="14702"/>
        <v>-</v>
      </c>
      <c r="CV216" s="21" t="str">
        <f t="shared" si="14703"/>
        <v>-</v>
      </c>
      <c r="CW216" s="1"/>
      <c r="CX216" s="105" t="str">
        <f t="shared" si="14704"/>
        <v>-</v>
      </c>
      <c r="CY216" s="21" t="str">
        <f t="shared" si="14705"/>
        <v>-</v>
      </c>
      <c r="CZ216" s="1"/>
      <c r="DA216" s="105" t="str">
        <f t="shared" si="14706"/>
        <v>-</v>
      </c>
      <c r="DB216" s="21" t="str">
        <f t="shared" si="14707"/>
        <v>-</v>
      </c>
      <c r="DC216" s="1"/>
      <c r="DD216" s="105" t="str">
        <f t="shared" si="14708"/>
        <v>-</v>
      </c>
      <c r="DE216" s="21" t="str">
        <f t="shared" si="14709"/>
        <v>-</v>
      </c>
      <c r="DF216" s="1"/>
      <c r="DG216" s="105" t="str">
        <f t="shared" si="14710"/>
        <v>-</v>
      </c>
      <c r="DH216" s="21" t="str">
        <f t="shared" si="14711"/>
        <v>-</v>
      </c>
    </row>
    <row r="217" spans="2:112" x14ac:dyDescent="0.3">
      <c r="B217" s="1">
        <v>6</v>
      </c>
      <c r="C217" s="15">
        <v>60</v>
      </c>
      <c r="D217" s="21"/>
      <c r="F217" s="105" t="str">
        <f t="shared" si="14640"/>
        <v>-</v>
      </c>
      <c r="G217" s="21" t="str">
        <f t="shared" si="14641"/>
        <v>-</v>
      </c>
      <c r="I217" s="105" t="str">
        <f t="shared" si="14642"/>
        <v>-</v>
      </c>
      <c r="J217" s="21" t="str">
        <f t="shared" si="14643"/>
        <v>-</v>
      </c>
      <c r="L217" s="105" t="str">
        <f t="shared" si="14644"/>
        <v>-</v>
      </c>
      <c r="M217" s="21" t="str">
        <f t="shared" si="14645"/>
        <v>-</v>
      </c>
      <c r="O217" s="105" t="str">
        <f t="shared" si="14646"/>
        <v>-</v>
      </c>
      <c r="P217" s="21" t="str">
        <f t="shared" si="14647"/>
        <v>-</v>
      </c>
      <c r="R217" s="105" t="str">
        <f t="shared" si="14648"/>
        <v>-</v>
      </c>
      <c r="S217" s="21" t="str">
        <f t="shared" si="14649"/>
        <v>-</v>
      </c>
      <c r="U217" s="105" t="str">
        <f t="shared" si="14650"/>
        <v>-</v>
      </c>
      <c r="V217" s="21" t="str">
        <f t="shared" si="14651"/>
        <v>-</v>
      </c>
      <c r="X217" s="105" t="str">
        <f t="shared" si="14652"/>
        <v>-</v>
      </c>
      <c r="Y217" s="21" t="str">
        <f t="shared" si="14653"/>
        <v>-</v>
      </c>
      <c r="AA217" s="105" t="str">
        <f t="shared" si="14654"/>
        <v>-</v>
      </c>
      <c r="AB217" s="21" t="str">
        <f t="shared" si="14655"/>
        <v>-</v>
      </c>
      <c r="AD217" s="105" t="str">
        <f t="shared" si="14656"/>
        <v>-</v>
      </c>
      <c r="AE217" s="21" t="str">
        <f t="shared" si="14657"/>
        <v>-</v>
      </c>
      <c r="AG217" s="105" t="str">
        <f t="shared" si="14658"/>
        <v>-</v>
      </c>
      <c r="AH217" s="21" t="str">
        <f t="shared" si="14659"/>
        <v>-</v>
      </c>
      <c r="AJ217" s="105" t="str">
        <f t="shared" si="14660"/>
        <v>-</v>
      </c>
      <c r="AK217" s="21" t="str">
        <f t="shared" si="14661"/>
        <v>-</v>
      </c>
      <c r="AM217" s="105" t="str">
        <f t="shared" si="14662"/>
        <v>-</v>
      </c>
      <c r="AN217" s="21" t="str">
        <f t="shared" si="14663"/>
        <v>-</v>
      </c>
      <c r="AP217" s="105" t="str">
        <f t="shared" si="14664"/>
        <v>-</v>
      </c>
      <c r="AQ217" s="21" t="str">
        <f t="shared" si="14665"/>
        <v>-</v>
      </c>
      <c r="AR217" s="1"/>
      <c r="AS217" s="105" t="str">
        <f t="shared" si="14666"/>
        <v>-</v>
      </c>
      <c r="AT217" s="21" t="str">
        <f t="shared" si="14667"/>
        <v>-</v>
      </c>
      <c r="AU217" s="1"/>
      <c r="AV217" s="105" t="str">
        <f t="shared" si="14668"/>
        <v>-</v>
      </c>
      <c r="AW217" s="21" t="str">
        <f t="shared" si="14669"/>
        <v>-</v>
      </c>
      <c r="AX217" s="1"/>
      <c r="AY217" s="105" t="str">
        <f t="shared" si="14670"/>
        <v>-</v>
      </c>
      <c r="AZ217" s="21" t="str">
        <f t="shared" si="14671"/>
        <v>-</v>
      </c>
      <c r="BA217" s="1"/>
      <c r="BB217" s="105" t="str">
        <f t="shared" si="14672"/>
        <v>-</v>
      </c>
      <c r="BC217" s="21" t="str">
        <f t="shared" si="14673"/>
        <v>-</v>
      </c>
      <c r="BD217" s="1"/>
      <c r="BE217" s="105" t="str">
        <f t="shared" si="14674"/>
        <v>-</v>
      </c>
      <c r="BF217" s="21" t="str">
        <f t="shared" si="14675"/>
        <v>-</v>
      </c>
      <c r="BG217" s="1"/>
      <c r="BH217" s="105" t="str">
        <f t="shared" si="14676"/>
        <v>-</v>
      </c>
      <c r="BI217" s="21" t="str">
        <f t="shared" si="14677"/>
        <v>-</v>
      </c>
      <c r="BJ217" s="1"/>
      <c r="BK217" s="105" t="str">
        <f t="shared" si="14678"/>
        <v>-</v>
      </c>
      <c r="BL217" s="21" t="str">
        <f t="shared" si="14679"/>
        <v>-</v>
      </c>
      <c r="BM217" s="1"/>
      <c r="BN217" s="105" t="str">
        <f t="shared" si="14680"/>
        <v>-</v>
      </c>
      <c r="BO217" s="21" t="str">
        <f t="shared" si="14681"/>
        <v>-</v>
      </c>
      <c r="BP217" s="1"/>
      <c r="BQ217" s="105" t="str">
        <f t="shared" si="14682"/>
        <v>-</v>
      </c>
      <c r="BR217" s="21" t="str">
        <f t="shared" si="14683"/>
        <v>-</v>
      </c>
      <c r="BS217" s="1"/>
      <c r="BT217" s="105" t="str">
        <f t="shared" si="14684"/>
        <v>-</v>
      </c>
      <c r="BU217" s="21" t="str">
        <f t="shared" si="14685"/>
        <v>-</v>
      </c>
      <c r="BV217" s="1"/>
      <c r="BW217" s="105" t="str">
        <f t="shared" si="14686"/>
        <v>-</v>
      </c>
      <c r="BX217" s="21" t="str">
        <f t="shared" si="14687"/>
        <v>-</v>
      </c>
      <c r="BZ217" s="105" t="str">
        <f t="shared" si="14688"/>
        <v>-</v>
      </c>
      <c r="CA217" s="21" t="str">
        <f t="shared" si="14689"/>
        <v>-</v>
      </c>
      <c r="CB217" s="1"/>
      <c r="CC217" s="105" t="str">
        <f t="shared" si="14690"/>
        <v>-</v>
      </c>
      <c r="CD217" s="21" t="str">
        <f t="shared" si="14691"/>
        <v>-</v>
      </c>
      <c r="CE217" s="1"/>
      <c r="CF217" s="105" t="str">
        <f t="shared" si="14692"/>
        <v>-</v>
      </c>
      <c r="CG217" s="21" t="str">
        <f t="shared" si="14693"/>
        <v>-</v>
      </c>
      <c r="CH217" s="1"/>
      <c r="CI217" s="105" t="str">
        <f t="shared" si="14694"/>
        <v>-</v>
      </c>
      <c r="CJ217" s="21" t="str">
        <f t="shared" si="14695"/>
        <v>-</v>
      </c>
      <c r="CK217" s="1"/>
      <c r="CL217" s="105" t="str">
        <f t="shared" si="14696"/>
        <v>-</v>
      </c>
      <c r="CM217" s="21" t="str">
        <f t="shared" si="14697"/>
        <v>-</v>
      </c>
      <c r="CN217" s="1"/>
      <c r="CO217" s="105" t="str">
        <f t="shared" si="14698"/>
        <v>-</v>
      </c>
      <c r="CP217" s="21" t="str">
        <f t="shared" si="14699"/>
        <v>-</v>
      </c>
      <c r="CQ217" s="1"/>
      <c r="CR217" s="105" t="str">
        <f t="shared" si="14700"/>
        <v>-</v>
      </c>
      <c r="CS217" s="21" t="str">
        <f t="shared" si="14701"/>
        <v>-</v>
      </c>
      <c r="CT217" s="1"/>
      <c r="CU217" s="105" t="str">
        <f t="shared" si="14702"/>
        <v>-</v>
      </c>
      <c r="CV217" s="21" t="str">
        <f t="shared" si="14703"/>
        <v>-</v>
      </c>
      <c r="CW217" s="1"/>
      <c r="CX217" s="105" t="str">
        <f t="shared" si="14704"/>
        <v>-</v>
      </c>
      <c r="CY217" s="21" t="str">
        <f t="shared" si="14705"/>
        <v>-</v>
      </c>
      <c r="CZ217" s="1"/>
      <c r="DA217" s="105" t="str">
        <f t="shared" si="14706"/>
        <v>-</v>
      </c>
      <c r="DB217" s="21" t="str">
        <f t="shared" si="14707"/>
        <v>-</v>
      </c>
      <c r="DC217" s="1"/>
      <c r="DD217" s="105" t="str">
        <f t="shared" si="14708"/>
        <v>-</v>
      </c>
      <c r="DE217" s="21" t="str">
        <f t="shared" si="14709"/>
        <v>-</v>
      </c>
      <c r="DF217" s="1"/>
      <c r="DG217" s="105" t="str">
        <f t="shared" si="14710"/>
        <v>-</v>
      </c>
      <c r="DH217" s="21" t="str">
        <f t="shared" si="14711"/>
        <v>-</v>
      </c>
    </row>
    <row r="218" spans="2:112" x14ac:dyDescent="0.3">
      <c r="B218" s="1">
        <v>7</v>
      </c>
      <c r="C218" s="15">
        <v>70</v>
      </c>
      <c r="D218" s="21"/>
      <c r="F218" s="105" t="str">
        <f t="shared" si="14640"/>
        <v>-</v>
      </c>
      <c r="G218" s="21" t="str">
        <f t="shared" si="14641"/>
        <v>-</v>
      </c>
      <c r="I218" s="105" t="str">
        <f t="shared" si="14642"/>
        <v>-</v>
      </c>
      <c r="J218" s="21" t="str">
        <f t="shared" si="14643"/>
        <v>-</v>
      </c>
      <c r="L218" s="105" t="str">
        <f t="shared" si="14644"/>
        <v>-</v>
      </c>
      <c r="M218" s="21" t="str">
        <f t="shared" si="14645"/>
        <v>-</v>
      </c>
      <c r="O218" s="105" t="str">
        <f t="shared" si="14646"/>
        <v>-</v>
      </c>
      <c r="P218" s="21" t="str">
        <f t="shared" si="14647"/>
        <v>-</v>
      </c>
      <c r="R218" s="105" t="str">
        <f t="shared" si="14648"/>
        <v>-</v>
      </c>
      <c r="S218" s="21" t="str">
        <f t="shared" si="14649"/>
        <v>-</v>
      </c>
      <c r="U218" s="105" t="str">
        <f t="shared" si="14650"/>
        <v>-</v>
      </c>
      <c r="V218" s="21" t="str">
        <f t="shared" si="14651"/>
        <v>-</v>
      </c>
      <c r="X218" s="105" t="str">
        <f t="shared" si="14652"/>
        <v>-</v>
      </c>
      <c r="Y218" s="21" t="str">
        <f t="shared" si="14653"/>
        <v>-</v>
      </c>
      <c r="AA218" s="105" t="str">
        <f t="shared" si="14654"/>
        <v>-</v>
      </c>
      <c r="AB218" s="21" t="str">
        <f t="shared" si="14655"/>
        <v>-</v>
      </c>
      <c r="AD218" s="105" t="str">
        <f t="shared" si="14656"/>
        <v>-</v>
      </c>
      <c r="AE218" s="21" t="str">
        <f t="shared" si="14657"/>
        <v>-</v>
      </c>
      <c r="AG218" s="105" t="str">
        <f t="shared" si="14658"/>
        <v>-</v>
      </c>
      <c r="AH218" s="21" t="str">
        <f t="shared" si="14659"/>
        <v>-</v>
      </c>
      <c r="AJ218" s="105" t="str">
        <f t="shared" si="14660"/>
        <v>-</v>
      </c>
      <c r="AK218" s="21" t="str">
        <f t="shared" si="14661"/>
        <v>-</v>
      </c>
      <c r="AM218" s="105" t="str">
        <f t="shared" si="14662"/>
        <v>-</v>
      </c>
      <c r="AN218" s="21" t="str">
        <f t="shared" si="14663"/>
        <v>-</v>
      </c>
      <c r="AP218" s="105" t="str">
        <f t="shared" si="14664"/>
        <v>-</v>
      </c>
      <c r="AQ218" s="21" t="str">
        <f t="shared" si="14665"/>
        <v>-</v>
      </c>
      <c r="AR218" s="1"/>
      <c r="AS218" s="105" t="str">
        <f t="shared" si="14666"/>
        <v>-</v>
      </c>
      <c r="AT218" s="21" t="str">
        <f t="shared" si="14667"/>
        <v>-</v>
      </c>
      <c r="AU218" s="1"/>
      <c r="AV218" s="105" t="str">
        <f t="shared" si="14668"/>
        <v>-</v>
      </c>
      <c r="AW218" s="21" t="str">
        <f t="shared" si="14669"/>
        <v>-</v>
      </c>
      <c r="AX218" s="1"/>
      <c r="AY218" s="105" t="str">
        <f t="shared" si="14670"/>
        <v>-</v>
      </c>
      <c r="AZ218" s="21" t="str">
        <f t="shared" si="14671"/>
        <v>-</v>
      </c>
      <c r="BA218" s="1"/>
      <c r="BB218" s="105" t="str">
        <f t="shared" si="14672"/>
        <v>-</v>
      </c>
      <c r="BC218" s="21" t="str">
        <f t="shared" si="14673"/>
        <v>-</v>
      </c>
      <c r="BD218" s="1"/>
      <c r="BE218" s="105" t="str">
        <f t="shared" si="14674"/>
        <v>-</v>
      </c>
      <c r="BF218" s="21" t="str">
        <f t="shared" si="14675"/>
        <v>-</v>
      </c>
      <c r="BG218" s="1"/>
      <c r="BH218" s="105" t="str">
        <f t="shared" si="14676"/>
        <v>-</v>
      </c>
      <c r="BI218" s="21" t="str">
        <f t="shared" si="14677"/>
        <v>-</v>
      </c>
      <c r="BJ218" s="1"/>
      <c r="BK218" s="105" t="str">
        <f t="shared" si="14678"/>
        <v>-</v>
      </c>
      <c r="BL218" s="21" t="str">
        <f t="shared" si="14679"/>
        <v>-</v>
      </c>
      <c r="BM218" s="1"/>
      <c r="BN218" s="105" t="str">
        <f t="shared" si="14680"/>
        <v>-</v>
      </c>
      <c r="BO218" s="21" t="str">
        <f t="shared" si="14681"/>
        <v>-</v>
      </c>
      <c r="BP218" s="1"/>
      <c r="BQ218" s="105" t="str">
        <f t="shared" si="14682"/>
        <v>-</v>
      </c>
      <c r="BR218" s="21" t="str">
        <f t="shared" si="14683"/>
        <v>-</v>
      </c>
      <c r="BS218" s="1"/>
      <c r="BT218" s="105" t="str">
        <f t="shared" si="14684"/>
        <v>-</v>
      </c>
      <c r="BU218" s="21" t="str">
        <f t="shared" si="14685"/>
        <v>-</v>
      </c>
      <c r="BV218" s="1"/>
      <c r="BW218" s="105" t="str">
        <f t="shared" si="14686"/>
        <v>-</v>
      </c>
      <c r="BX218" s="21" t="str">
        <f t="shared" si="14687"/>
        <v>-</v>
      </c>
      <c r="BZ218" s="105" t="str">
        <f t="shared" si="14688"/>
        <v>-</v>
      </c>
      <c r="CA218" s="21" t="str">
        <f t="shared" si="14689"/>
        <v>-</v>
      </c>
      <c r="CB218" s="1"/>
      <c r="CC218" s="105" t="str">
        <f t="shared" si="14690"/>
        <v>-</v>
      </c>
      <c r="CD218" s="21" t="str">
        <f t="shared" si="14691"/>
        <v>-</v>
      </c>
      <c r="CE218" s="1"/>
      <c r="CF218" s="105" t="str">
        <f t="shared" si="14692"/>
        <v>-</v>
      </c>
      <c r="CG218" s="21" t="str">
        <f t="shared" si="14693"/>
        <v>-</v>
      </c>
      <c r="CH218" s="1"/>
      <c r="CI218" s="105" t="str">
        <f t="shared" si="14694"/>
        <v>-</v>
      </c>
      <c r="CJ218" s="21" t="str">
        <f t="shared" si="14695"/>
        <v>-</v>
      </c>
      <c r="CK218" s="1"/>
      <c r="CL218" s="105" t="str">
        <f t="shared" si="14696"/>
        <v>-</v>
      </c>
      <c r="CM218" s="21" t="str">
        <f t="shared" si="14697"/>
        <v>-</v>
      </c>
      <c r="CN218" s="1"/>
      <c r="CO218" s="105" t="str">
        <f t="shared" si="14698"/>
        <v>-</v>
      </c>
      <c r="CP218" s="21" t="str">
        <f t="shared" si="14699"/>
        <v>-</v>
      </c>
      <c r="CQ218" s="1"/>
      <c r="CR218" s="105" t="str">
        <f t="shared" si="14700"/>
        <v>-</v>
      </c>
      <c r="CS218" s="21" t="str">
        <f t="shared" si="14701"/>
        <v>-</v>
      </c>
      <c r="CT218" s="1"/>
      <c r="CU218" s="105" t="str">
        <f t="shared" si="14702"/>
        <v>-</v>
      </c>
      <c r="CV218" s="21" t="str">
        <f t="shared" si="14703"/>
        <v>-</v>
      </c>
      <c r="CW218" s="1"/>
      <c r="CX218" s="105" t="str">
        <f t="shared" si="14704"/>
        <v>-</v>
      </c>
      <c r="CY218" s="21" t="str">
        <f t="shared" si="14705"/>
        <v>-</v>
      </c>
      <c r="CZ218" s="1"/>
      <c r="DA218" s="105" t="str">
        <f t="shared" si="14706"/>
        <v>-</v>
      </c>
      <c r="DB218" s="21" t="str">
        <f t="shared" si="14707"/>
        <v>-</v>
      </c>
      <c r="DC218" s="1"/>
      <c r="DD218" s="105" t="str">
        <f t="shared" si="14708"/>
        <v>-</v>
      </c>
      <c r="DE218" s="21" t="str">
        <f t="shared" si="14709"/>
        <v>-</v>
      </c>
      <c r="DF218" s="1"/>
      <c r="DG218" s="105" t="str">
        <f t="shared" si="14710"/>
        <v>-</v>
      </c>
      <c r="DH218" s="21" t="str">
        <f t="shared" si="14711"/>
        <v>-</v>
      </c>
    </row>
    <row r="219" spans="2:112" x14ac:dyDescent="0.3">
      <c r="B219" s="1">
        <v>8</v>
      </c>
      <c r="C219" s="15">
        <v>80</v>
      </c>
      <c r="D219" s="21"/>
      <c r="F219" s="105" t="str">
        <f t="shared" si="14640"/>
        <v>-</v>
      </c>
      <c r="G219" s="21" t="str">
        <f t="shared" si="14641"/>
        <v>-</v>
      </c>
      <c r="I219" s="105" t="str">
        <f t="shared" si="14642"/>
        <v>-</v>
      </c>
      <c r="J219" s="21" t="str">
        <f t="shared" si="14643"/>
        <v>-</v>
      </c>
      <c r="L219" s="105" t="str">
        <f t="shared" si="14644"/>
        <v>-</v>
      </c>
      <c r="M219" s="21" t="str">
        <f t="shared" si="14645"/>
        <v>-</v>
      </c>
      <c r="O219" s="105" t="str">
        <f t="shared" si="14646"/>
        <v>-</v>
      </c>
      <c r="P219" s="21" t="str">
        <f t="shared" si="14647"/>
        <v>-</v>
      </c>
      <c r="R219" s="105" t="str">
        <f t="shared" si="14648"/>
        <v>-</v>
      </c>
      <c r="S219" s="21" t="str">
        <f t="shared" si="14649"/>
        <v>-</v>
      </c>
      <c r="U219" s="105" t="str">
        <f t="shared" si="14650"/>
        <v>-</v>
      </c>
      <c r="V219" s="21" t="str">
        <f t="shared" si="14651"/>
        <v>-</v>
      </c>
      <c r="X219" s="105" t="str">
        <f t="shared" si="14652"/>
        <v>-</v>
      </c>
      <c r="Y219" s="21" t="str">
        <f t="shared" si="14653"/>
        <v>-</v>
      </c>
      <c r="AA219" s="105" t="str">
        <f t="shared" si="14654"/>
        <v>-</v>
      </c>
      <c r="AB219" s="21" t="str">
        <f t="shared" si="14655"/>
        <v>-</v>
      </c>
      <c r="AD219" s="105" t="str">
        <f t="shared" si="14656"/>
        <v>-</v>
      </c>
      <c r="AE219" s="21" t="str">
        <f t="shared" si="14657"/>
        <v>-</v>
      </c>
      <c r="AG219" s="105" t="str">
        <f t="shared" si="14658"/>
        <v>-</v>
      </c>
      <c r="AH219" s="21" t="str">
        <f t="shared" si="14659"/>
        <v>-</v>
      </c>
      <c r="AJ219" s="105" t="str">
        <f t="shared" si="14660"/>
        <v>-</v>
      </c>
      <c r="AK219" s="21" t="str">
        <f t="shared" si="14661"/>
        <v>-</v>
      </c>
      <c r="AM219" s="105" t="str">
        <f t="shared" si="14662"/>
        <v>-</v>
      </c>
      <c r="AN219" s="21" t="str">
        <f t="shared" si="14663"/>
        <v>-</v>
      </c>
      <c r="AP219" s="105" t="str">
        <f t="shared" si="14664"/>
        <v>-</v>
      </c>
      <c r="AQ219" s="21" t="str">
        <f t="shared" si="14665"/>
        <v>-</v>
      </c>
      <c r="AR219" s="1"/>
      <c r="AS219" s="105" t="str">
        <f t="shared" si="14666"/>
        <v>-</v>
      </c>
      <c r="AT219" s="21" t="str">
        <f t="shared" si="14667"/>
        <v>-</v>
      </c>
      <c r="AU219" s="1"/>
      <c r="AV219" s="105" t="str">
        <f t="shared" si="14668"/>
        <v>-</v>
      </c>
      <c r="AW219" s="21" t="str">
        <f t="shared" si="14669"/>
        <v>-</v>
      </c>
      <c r="AX219" s="1"/>
      <c r="AY219" s="105" t="str">
        <f t="shared" si="14670"/>
        <v>-</v>
      </c>
      <c r="AZ219" s="21" t="str">
        <f t="shared" si="14671"/>
        <v>-</v>
      </c>
      <c r="BA219" s="1"/>
      <c r="BB219" s="105" t="str">
        <f t="shared" si="14672"/>
        <v>-</v>
      </c>
      <c r="BC219" s="21" t="str">
        <f t="shared" si="14673"/>
        <v>-</v>
      </c>
      <c r="BD219" s="1"/>
      <c r="BE219" s="105" t="str">
        <f t="shared" si="14674"/>
        <v>-</v>
      </c>
      <c r="BF219" s="21" t="str">
        <f t="shared" si="14675"/>
        <v>-</v>
      </c>
      <c r="BG219" s="1"/>
      <c r="BH219" s="105" t="str">
        <f t="shared" si="14676"/>
        <v>-</v>
      </c>
      <c r="BI219" s="21" t="str">
        <f t="shared" si="14677"/>
        <v>-</v>
      </c>
      <c r="BJ219" s="1"/>
      <c r="BK219" s="105" t="str">
        <f t="shared" si="14678"/>
        <v>-</v>
      </c>
      <c r="BL219" s="21" t="str">
        <f t="shared" si="14679"/>
        <v>-</v>
      </c>
      <c r="BM219" s="1"/>
      <c r="BN219" s="105" t="str">
        <f t="shared" si="14680"/>
        <v>-</v>
      </c>
      <c r="BO219" s="21" t="str">
        <f t="shared" si="14681"/>
        <v>-</v>
      </c>
      <c r="BP219" s="1"/>
      <c r="BQ219" s="105" t="str">
        <f t="shared" si="14682"/>
        <v>-</v>
      </c>
      <c r="BR219" s="21" t="str">
        <f t="shared" si="14683"/>
        <v>-</v>
      </c>
      <c r="BS219" s="1"/>
      <c r="BT219" s="105" t="str">
        <f t="shared" si="14684"/>
        <v>-</v>
      </c>
      <c r="BU219" s="21" t="str">
        <f t="shared" si="14685"/>
        <v>-</v>
      </c>
      <c r="BV219" s="1"/>
      <c r="BW219" s="105" t="str">
        <f t="shared" si="14686"/>
        <v>-</v>
      </c>
      <c r="BX219" s="21" t="str">
        <f t="shared" si="14687"/>
        <v>-</v>
      </c>
      <c r="BZ219" s="105" t="str">
        <f t="shared" si="14688"/>
        <v>-</v>
      </c>
      <c r="CA219" s="21" t="str">
        <f t="shared" si="14689"/>
        <v>-</v>
      </c>
      <c r="CB219" s="1"/>
      <c r="CC219" s="105" t="str">
        <f t="shared" si="14690"/>
        <v>-</v>
      </c>
      <c r="CD219" s="21" t="str">
        <f t="shared" si="14691"/>
        <v>-</v>
      </c>
      <c r="CE219" s="1"/>
      <c r="CF219" s="105" t="str">
        <f t="shared" si="14692"/>
        <v>-</v>
      </c>
      <c r="CG219" s="21" t="str">
        <f t="shared" si="14693"/>
        <v>-</v>
      </c>
      <c r="CH219" s="1"/>
      <c r="CI219" s="105" t="str">
        <f t="shared" si="14694"/>
        <v>-</v>
      </c>
      <c r="CJ219" s="21" t="str">
        <f t="shared" si="14695"/>
        <v>-</v>
      </c>
      <c r="CK219" s="1"/>
      <c r="CL219" s="105" t="str">
        <f t="shared" si="14696"/>
        <v>-</v>
      </c>
      <c r="CM219" s="21" t="str">
        <f t="shared" si="14697"/>
        <v>-</v>
      </c>
      <c r="CN219" s="1"/>
      <c r="CO219" s="105" t="str">
        <f t="shared" si="14698"/>
        <v>-</v>
      </c>
      <c r="CP219" s="21" t="str">
        <f t="shared" si="14699"/>
        <v>-</v>
      </c>
      <c r="CQ219" s="1"/>
      <c r="CR219" s="105" t="str">
        <f t="shared" si="14700"/>
        <v>-</v>
      </c>
      <c r="CS219" s="21" t="str">
        <f t="shared" si="14701"/>
        <v>-</v>
      </c>
      <c r="CT219" s="1"/>
      <c r="CU219" s="105" t="str">
        <f t="shared" si="14702"/>
        <v>-</v>
      </c>
      <c r="CV219" s="21" t="str">
        <f t="shared" si="14703"/>
        <v>-</v>
      </c>
      <c r="CW219" s="1"/>
      <c r="CX219" s="105" t="str">
        <f t="shared" si="14704"/>
        <v>-</v>
      </c>
      <c r="CY219" s="21" t="str">
        <f t="shared" si="14705"/>
        <v>-</v>
      </c>
      <c r="CZ219" s="1"/>
      <c r="DA219" s="105" t="str">
        <f t="shared" si="14706"/>
        <v>-</v>
      </c>
      <c r="DB219" s="21" t="str">
        <f t="shared" si="14707"/>
        <v>-</v>
      </c>
      <c r="DC219" s="1"/>
      <c r="DD219" s="105" t="str">
        <f t="shared" si="14708"/>
        <v>-</v>
      </c>
      <c r="DE219" s="21" t="str">
        <f t="shared" si="14709"/>
        <v>-</v>
      </c>
      <c r="DF219" s="1"/>
      <c r="DG219" s="105" t="str">
        <f t="shared" si="14710"/>
        <v>-</v>
      </c>
      <c r="DH219" s="21" t="str">
        <f t="shared" si="14711"/>
        <v>-</v>
      </c>
    </row>
    <row r="220" spans="2:112" x14ac:dyDescent="0.3">
      <c r="B220" s="1">
        <v>9</v>
      </c>
      <c r="C220" s="15">
        <v>90</v>
      </c>
      <c r="D220" s="21"/>
      <c r="F220" s="105" t="str">
        <f t="shared" si="14640"/>
        <v>-</v>
      </c>
      <c r="G220" s="21" t="str">
        <f t="shared" si="14641"/>
        <v>-</v>
      </c>
      <c r="I220" s="105" t="str">
        <f t="shared" si="14642"/>
        <v>-</v>
      </c>
      <c r="J220" s="21" t="str">
        <f t="shared" si="14643"/>
        <v>-</v>
      </c>
      <c r="L220" s="105" t="str">
        <f t="shared" si="14644"/>
        <v>-</v>
      </c>
      <c r="M220" s="21" t="str">
        <f t="shared" si="14645"/>
        <v>-</v>
      </c>
      <c r="O220" s="105" t="str">
        <f t="shared" si="14646"/>
        <v>-</v>
      </c>
      <c r="P220" s="21" t="str">
        <f t="shared" si="14647"/>
        <v>-</v>
      </c>
      <c r="R220" s="105" t="str">
        <f t="shared" si="14648"/>
        <v>-</v>
      </c>
      <c r="S220" s="21" t="str">
        <f t="shared" si="14649"/>
        <v>-</v>
      </c>
      <c r="U220" s="105" t="str">
        <f t="shared" si="14650"/>
        <v>-</v>
      </c>
      <c r="V220" s="21" t="str">
        <f t="shared" si="14651"/>
        <v>-</v>
      </c>
      <c r="X220" s="105" t="str">
        <f t="shared" si="14652"/>
        <v>-</v>
      </c>
      <c r="Y220" s="21" t="str">
        <f t="shared" si="14653"/>
        <v>-</v>
      </c>
      <c r="AA220" s="105" t="str">
        <f t="shared" si="14654"/>
        <v>-</v>
      </c>
      <c r="AB220" s="21" t="str">
        <f t="shared" si="14655"/>
        <v>-</v>
      </c>
      <c r="AD220" s="105" t="str">
        <f t="shared" si="14656"/>
        <v>-</v>
      </c>
      <c r="AE220" s="21" t="str">
        <f t="shared" si="14657"/>
        <v>-</v>
      </c>
      <c r="AG220" s="105" t="str">
        <f t="shared" si="14658"/>
        <v>-</v>
      </c>
      <c r="AH220" s="21" t="str">
        <f t="shared" si="14659"/>
        <v>-</v>
      </c>
      <c r="AJ220" s="105" t="str">
        <f t="shared" si="14660"/>
        <v>-</v>
      </c>
      <c r="AK220" s="21" t="str">
        <f t="shared" si="14661"/>
        <v>-</v>
      </c>
      <c r="AM220" s="105" t="str">
        <f t="shared" si="14662"/>
        <v>-</v>
      </c>
      <c r="AN220" s="21" t="str">
        <f t="shared" si="14663"/>
        <v>-</v>
      </c>
      <c r="AP220" s="105" t="str">
        <f t="shared" si="14664"/>
        <v>-</v>
      </c>
      <c r="AQ220" s="21" t="str">
        <f t="shared" si="14665"/>
        <v>-</v>
      </c>
      <c r="AR220" s="1"/>
      <c r="AS220" s="105" t="str">
        <f t="shared" si="14666"/>
        <v>-</v>
      </c>
      <c r="AT220" s="21" t="str">
        <f t="shared" si="14667"/>
        <v>-</v>
      </c>
      <c r="AU220" s="1"/>
      <c r="AV220" s="105" t="str">
        <f t="shared" si="14668"/>
        <v>-</v>
      </c>
      <c r="AW220" s="21" t="str">
        <f t="shared" si="14669"/>
        <v>-</v>
      </c>
      <c r="AX220" s="1"/>
      <c r="AY220" s="105" t="str">
        <f t="shared" si="14670"/>
        <v>-</v>
      </c>
      <c r="AZ220" s="21" t="str">
        <f t="shared" si="14671"/>
        <v>-</v>
      </c>
      <c r="BA220" s="1"/>
      <c r="BB220" s="105" t="str">
        <f t="shared" si="14672"/>
        <v>-</v>
      </c>
      <c r="BC220" s="21" t="str">
        <f t="shared" si="14673"/>
        <v>-</v>
      </c>
      <c r="BD220" s="1"/>
      <c r="BE220" s="105" t="str">
        <f t="shared" si="14674"/>
        <v>-</v>
      </c>
      <c r="BF220" s="21" t="str">
        <f t="shared" si="14675"/>
        <v>-</v>
      </c>
      <c r="BG220" s="1"/>
      <c r="BH220" s="105" t="str">
        <f t="shared" si="14676"/>
        <v>-</v>
      </c>
      <c r="BI220" s="21" t="str">
        <f t="shared" si="14677"/>
        <v>-</v>
      </c>
      <c r="BJ220" s="1"/>
      <c r="BK220" s="105" t="str">
        <f t="shared" si="14678"/>
        <v>-</v>
      </c>
      <c r="BL220" s="21" t="str">
        <f t="shared" si="14679"/>
        <v>-</v>
      </c>
      <c r="BM220" s="1"/>
      <c r="BN220" s="105" t="str">
        <f t="shared" si="14680"/>
        <v>-</v>
      </c>
      <c r="BO220" s="21" t="str">
        <f t="shared" si="14681"/>
        <v>-</v>
      </c>
      <c r="BP220" s="1"/>
      <c r="BQ220" s="105" t="str">
        <f t="shared" si="14682"/>
        <v>-</v>
      </c>
      <c r="BR220" s="21" t="str">
        <f t="shared" si="14683"/>
        <v>-</v>
      </c>
      <c r="BS220" s="1"/>
      <c r="BT220" s="105" t="str">
        <f t="shared" si="14684"/>
        <v>-</v>
      </c>
      <c r="BU220" s="21" t="str">
        <f t="shared" si="14685"/>
        <v>-</v>
      </c>
      <c r="BV220" s="1"/>
      <c r="BW220" s="105" t="str">
        <f t="shared" si="14686"/>
        <v>-</v>
      </c>
      <c r="BX220" s="21" t="str">
        <f t="shared" si="14687"/>
        <v>-</v>
      </c>
      <c r="BZ220" s="105" t="str">
        <f t="shared" si="14688"/>
        <v>-</v>
      </c>
      <c r="CA220" s="21" t="str">
        <f t="shared" si="14689"/>
        <v>-</v>
      </c>
      <c r="CB220" s="1"/>
      <c r="CC220" s="105" t="str">
        <f t="shared" si="14690"/>
        <v>-</v>
      </c>
      <c r="CD220" s="21" t="str">
        <f t="shared" si="14691"/>
        <v>-</v>
      </c>
      <c r="CE220" s="1"/>
      <c r="CF220" s="105" t="str">
        <f t="shared" si="14692"/>
        <v>-</v>
      </c>
      <c r="CG220" s="21" t="str">
        <f t="shared" si="14693"/>
        <v>-</v>
      </c>
      <c r="CH220" s="1"/>
      <c r="CI220" s="105" t="str">
        <f t="shared" si="14694"/>
        <v>-</v>
      </c>
      <c r="CJ220" s="21" t="str">
        <f t="shared" si="14695"/>
        <v>-</v>
      </c>
      <c r="CK220" s="1"/>
      <c r="CL220" s="105" t="str">
        <f t="shared" si="14696"/>
        <v>-</v>
      </c>
      <c r="CM220" s="21" t="str">
        <f t="shared" si="14697"/>
        <v>-</v>
      </c>
      <c r="CN220" s="1"/>
      <c r="CO220" s="105" t="str">
        <f t="shared" si="14698"/>
        <v>-</v>
      </c>
      <c r="CP220" s="21" t="str">
        <f t="shared" si="14699"/>
        <v>-</v>
      </c>
      <c r="CQ220" s="1"/>
      <c r="CR220" s="105" t="str">
        <f t="shared" si="14700"/>
        <v>-</v>
      </c>
      <c r="CS220" s="21" t="str">
        <f t="shared" si="14701"/>
        <v>-</v>
      </c>
      <c r="CT220" s="1"/>
      <c r="CU220" s="105" t="str">
        <f t="shared" si="14702"/>
        <v>-</v>
      </c>
      <c r="CV220" s="21" t="str">
        <f t="shared" si="14703"/>
        <v>-</v>
      </c>
      <c r="CW220" s="1"/>
      <c r="CX220" s="105" t="str">
        <f t="shared" si="14704"/>
        <v>-</v>
      </c>
      <c r="CY220" s="21" t="str">
        <f t="shared" si="14705"/>
        <v>-</v>
      </c>
      <c r="CZ220" s="1"/>
      <c r="DA220" s="105" t="str">
        <f t="shared" si="14706"/>
        <v>-</v>
      </c>
      <c r="DB220" s="21" t="str">
        <f t="shared" si="14707"/>
        <v>-</v>
      </c>
      <c r="DC220" s="1"/>
      <c r="DD220" s="105" t="str">
        <f t="shared" si="14708"/>
        <v>-</v>
      </c>
      <c r="DE220" s="21" t="str">
        <f t="shared" si="14709"/>
        <v>-</v>
      </c>
      <c r="DF220" s="1"/>
      <c r="DG220" s="105" t="str">
        <f t="shared" si="14710"/>
        <v>-</v>
      </c>
      <c r="DH220" s="21" t="str">
        <f t="shared" si="14711"/>
        <v>-</v>
      </c>
    </row>
    <row r="221" spans="2:112" x14ac:dyDescent="0.3">
      <c r="B221" s="1">
        <v>10</v>
      </c>
      <c r="C221" s="15">
        <v>100</v>
      </c>
      <c r="D221" s="21"/>
      <c r="F221" s="105" t="str">
        <f t="shared" si="14640"/>
        <v>-</v>
      </c>
      <c r="G221" s="21" t="str">
        <f t="shared" si="14641"/>
        <v>-</v>
      </c>
      <c r="I221" s="105" t="str">
        <f t="shared" si="14642"/>
        <v>-</v>
      </c>
      <c r="J221" s="21" t="str">
        <f t="shared" si="14643"/>
        <v>-</v>
      </c>
      <c r="L221" s="105" t="str">
        <f t="shared" si="14644"/>
        <v>-</v>
      </c>
      <c r="M221" s="21" t="str">
        <f t="shared" si="14645"/>
        <v>-</v>
      </c>
      <c r="O221" s="105" t="str">
        <f t="shared" si="14646"/>
        <v>-</v>
      </c>
      <c r="P221" s="21" t="str">
        <f t="shared" si="14647"/>
        <v>-</v>
      </c>
      <c r="R221" s="105" t="str">
        <f t="shared" si="14648"/>
        <v>-</v>
      </c>
      <c r="S221" s="21" t="str">
        <f t="shared" si="14649"/>
        <v>-</v>
      </c>
      <c r="U221" s="105" t="str">
        <f t="shared" si="14650"/>
        <v>-</v>
      </c>
      <c r="V221" s="21" t="str">
        <f t="shared" si="14651"/>
        <v>-</v>
      </c>
      <c r="X221" s="105" t="str">
        <f t="shared" si="14652"/>
        <v>-</v>
      </c>
      <c r="Y221" s="21" t="str">
        <f t="shared" si="14653"/>
        <v>-</v>
      </c>
      <c r="AA221" s="105" t="str">
        <f t="shared" si="14654"/>
        <v>-</v>
      </c>
      <c r="AB221" s="21" t="str">
        <f t="shared" si="14655"/>
        <v>-</v>
      </c>
      <c r="AD221" s="105" t="str">
        <f t="shared" si="14656"/>
        <v>-</v>
      </c>
      <c r="AE221" s="21" t="str">
        <f t="shared" si="14657"/>
        <v>-</v>
      </c>
      <c r="AG221" s="105" t="str">
        <f t="shared" si="14658"/>
        <v>-</v>
      </c>
      <c r="AH221" s="21" t="str">
        <f t="shared" si="14659"/>
        <v>-</v>
      </c>
      <c r="AJ221" s="105" t="str">
        <f t="shared" si="14660"/>
        <v>-</v>
      </c>
      <c r="AK221" s="21" t="str">
        <f t="shared" si="14661"/>
        <v>-</v>
      </c>
      <c r="AM221" s="105" t="str">
        <f t="shared" si="14662"/>
        <v>-</v>
      </c>
      <c r="AN221" s="21" t="str">
        <f t="shared" si="14663"/>
        <v>-</v>
      </c>
      <c r="AP221" s="105" t="str">
        <f t="shared" si="14664"/>
        <v>-</v>
      </c>
      <c r="AQ221" s="21" t="str">
        <f t="shared" si="14665"/>
        <v>-</v>
      </c>
      <c r="AR221" s="1"/>
      <c r="AS221" s="105" t="str">
        <f t="shared" si="14666"/>
        <v>-</v>
      </c>
      <c r="AT221" s="21" t="str">
        <f t="shared" si="14667"/>
        <v>-</v>
      </c>
      <c r="AU221" s="1"/>
      <c r="AV221" s="105" t="str">
        <f t="shared" si="14668"/>
        <v>-</v>
      </c>
      <c r="AW221" s="21" t="str">
        <f t="shared" si="14669"/>
        <v>-</v>
      </c>
      <c r="AX221" s="1"/>
      <c r="AY221" s="105" t="str">
        <f t="shared" si="14670"/>
        <v>-</v>
      </c>
      <c r="AZ221" s="21" t="str">
        <f t="shared" si="14671"/>
        <v>-</v>
      </c>
      <c r="BA221" s="1"/>
      <c r="BB221" s="105" t="str">
        <f t="shared" si="14672"/>
        <v>-</v>
      </c>
      <c r="BC221" s="21" t="str">
        <f t="shared" si="14673"/>
        <v>-</v>
      </c>
      <c r="BD221" s="1"/>
      <c r="BE221" s="105" t="str">
        <f t="shared" si="14674"/>
        <v>-</v>
      </c>
      <c r="BF221" s="21" t="str">
        <f t="shared" si="14675"/>
        <v>-</v>
      </c>
      <c r="BG221" s="1"/>
      <c r="BH221" s="105" t="str">
        <f t="shared" si="14676"/>
        <v>-</v>
      </c>
      <c r="BI221" s="21" t="str">
        <f t="shared" si="14677"/>
        <v>-</v>
      </c>
      <c r="BJ221" s="1"/>
      <c r="BK221" s="105" t="str">
        <f t="shared" si="14678"/>
        <v>-</v>
      </c>
      <c r="BL221" s="21" t="str">
        <f t="shared" si="14679"/>
        <v>-</v>
      </c>
      <c r="BM221" s="1"/>
      <c r="BN221" s="105" t="str">
        <f t="shared" si="14680"/>
        <v>-</v>
      </c>
      <c r="BO221" s="21" t="str">
        <f t="shared" si="14681"/>
        <v>-</v>
      </c>
      <c r="BP221" s="1"/>
      <c r="BQ221" s="105" t="str">
        <f t="shared" si="14682"/>
        <v>-</v>
      </c>
      <c r="BR221" s="21" t="str">
        <f t="shared" si="14683"/>
        <v>-</v>
      </c>
      <c r="BS221" s="1"/>
      <c r="BT221" s="105" t="str">
        <f t="shared" si="14684"/>
        <v>-</v>
      </c>
      <c r="BU221" s="21" t="str">
        <f t="shared" si="14685"/>
        <v>-</v>
      </c>
      <c r="BV221" s="1"/>
      <c r="BW221" s="105" t="str">
        <f t="shared" si="14686"/>
        <v>-</v>
      </c>
      <c r="BX221" s="21" t="str">
        <f t="shared" si="14687"/>
        <v>-</v>
      </c>
      <c r="BZ221" s="105" t="str">
        <f t="shared" si="14688"/>
        <v>-</v>
      </c>
      <c r="CA221" s="21" t="str">
        <f t="shared" si="14689"/>
        <v>-</v>
      </c>
      <c r="CB221" s="1"/>
      <c r="CC221" s="105" t="str">
        <f t="shared" si="14690"/>
        <v>-</v>
      </c>
      <c r="CD221" s="21" t="str">
        <f t="shared" si="14691"/>
        <v>-</v>
      </c>
      <c r="CE221" s="1"/>
      <c r="CF221" s="105" t="str">
        <f t="shared" si="14692"/>
        <v>-</v>
      </c>
      <c r="CG221" s="21" t="str">
        <f t="shared" si="14693"/>
        <v>-</v>
      </c>
      <c r="CH221" s="1"/>
      <c r="CI221" s="105" t="str">
        <f t="shared" si="14694"/>
        <v>-</v>
      </c>
      <c r="CJ221" s="21" t="str">
        <f t="shared" si="14695"/>
        <v>-</v>
      </c>
      <c r="CK221" s="1"/>
      <c r="CL221" s="105" t="str">
        <f t="shared" si="14696"/>
        <v>-</v>
      </c>
      <c r="CM221" s="21" t="str">
        <f t="shared" si="14697"/>
        <v>-</v>
      </c>
      <c r="CN221" s="1"/>
      <c r="CO221" s="105" t="str">
        <f t="shared" si="14698"/>
        <v>-</v>
      </c>
      <c r="CP221" s="21" t="str">
        <f t="shared" si="14699"/>
        <v>-</v>
      </c>
      <c r="CQ221" s="1"/>
      <c r="CR221" s="105" t="str">
        <f t="shared" si="14700"/>
        <v>-</v>
      </c>
      <c r="CS221" s="21" t="str">
        <f t="shared" si="14701"/>
        <v>-</v>
      </c>
      <c r="CT221" s="1"/>
      <c r="CU221" s="105" t="str">
        <f t="shared" si="14702"/>
        <v>-</v>
      </c>
      <c r="CV221" s="21" t="str">
        <f t="shared" si="14703"/>
        <v>-</v>
      </c>
      <c r="CW221" s="1"/>
      <c r="CX221" s="105" t="str">
        <f t="shared" si="14704"/>
        <v>-</v>
      </c>
      <c r="CY221" s="21" t="str">
        <f t="shared" si="14705"/>
        <v>-</v>
      </c>
      <c r="CZ221" s="1"/>
      <c r="DA221" s="105" t="str">
        <f t="shared" si="14706"/>
        <v>-</v>
      </c>
      <c r="DB221" s="21" t="str">
        <f t="shared" si="14707"/>
        <v>-</v>
      </c>
      <c r="DC221" s="1"/>
      <c r="DD221" s="105" t="str">
        <f t="shared" si="14708"/>
        <v>-</v>
      </c>
      <c r="DE221" s="21" t="str">
        <f t="shared" si="14709"/>
        <v>-</v>
      </c>
      <c r="DF221" s="1"/>
      <c r="DG221" s="105" t="str">
        <f t="shared" si="14710"/>
        <v>-</v>
      </c>
      <c r="DH221" s="21" t="str">
        <f t="shared" si="14711"/>
        <v>-</v>
      </c>
    </row>
    <row r="222" spans="2:112" x14ac:dyDescent="0.3">
      <c r="B222" s="1">
        <v>11</v>
      </c>
      <c r="C222" s="15">
        <v>110</v>
      </c>
      <c r="D222" s="21">
        <v>1</v>
      </c>
      <c r="F222" s="105" t="str">
        <f t="shared" si="14640"/>
        <v>-</v>
      </c>
      <c r="G222" s="21" t="str">
        <f t="shared" si="14641"/>
        <v>-</v>
      </c>
      <c r="I222" s="105" t="str">
        <f t="shared" si="14642"/>
        <v>-</v>
      </c>
      <c r="J222" s="21" t="str">
        <f t="shared" si="14643"/>
        <v>-</v>
      </c>
      <c r="L222" s="105" t="str">
        <f t="shared" si="14644"/>
        <v>-</v>
      </c>
      <c r="M222" s="21" t="str">
        <f t="shared" si="14645"/>
        <v>-</v>
      </c>
      <c r="O222" s="105" t="str">
        <f t="shared" si="14646"/>
        <v>-</v>
      </c>
      <c r="P222" s="21" t="str">
        <f t="shared" si="14647"/>
        <v>-</v>
      </c>
      <c r="R222" s="105" t="str">
        <f t="shared" si="14648"/>
        <v>-</v>
      </c>
      <c r="S222" s="21" t="str">
        <f t="shared" si="14649"/>
        <v>-</v>
      </c>
      <c r="U222" s="105" t="str">
        <f t="shared" si="14650"/>
        <v>-</v>
      </c>
      <c r="V222" s="21" t="str">
        <f t="shared" si="14651"/>
        <v>-</v>
      </c>
      <c r="X222" s="105" t="str">
        <f t="shared" si="14652"/>
        <v>-</v>
      </c>
      <c r="Y222" s="21" t="str">
        <f t="shared" si="14653"/>
        <v>-</v>
      </c>
      <c r="AA222" s="105" t="str">
        <f t="shared" si="14654"/>
        <v>-</v>
      </c>
      <c r="AB222" s="21" t="str">
        <f t="shared" si="14655"/>
        <v>-</v>
      </c>
      <c r="AD222" s="105" t="str">
        <f t="shared" si="14656"/>
        <v>-</v>
      </c>
      <c r="AE222" s="21" t="str">
        <f t="shared" si="14657"/>
        <v>-</v>
      </c>
      <c r="AG222" s="105" t="str">
        <f t="shared" si="14658"/>
        <v>-</v>
      </c>
      <c r="AH222" s="21" t="str">
        <f t="shared" si="14659"/>
        <v>-</v>
      </c>
      <c r="AJ222" s="105" t="str">
        <f t="shared" si="14660"/>
        <v>-</v>
      </c>
      <c r="AK222" s="21" t="str">
        <f t="shared" si="14661"/>
        <v>-</v>
      </c>
      <c r="AM222" s="105" t="str">
        <f t="shared" si="14662"/>
        <v>-</v>
      </c>
      <c r="AN222" s="21" t="str">
        <f t="shared" si="14663"/>
        <v>-</v>
      </c>
      <c r="AP222" s="105" t="str">
        <f t="shared" si="14664"/>
        <v>-</v>
      </c>
      <c r="AQ222" s="21" t="str">
        <f t="shared" si="14665"/>
        <v>-</v>
      </c>
      <c r="AR222" s="1"/>
      <c r="AS222" s="105" t="str">
        <f t="shared" si="14666"/>
        <v>-</v>
      </c>
      <c r="AT222" s="21" t="str">
        <f t="shared" si="14667"/>
        <v>-</v>
      </c>
      <c r="AU222" s="1"/>
      <c r="AV222" s="105" t="str">
        <f t="shared" si="14668"/>
        <v>-</v>
      </c>
      <c r="AW222" s="21" t="str">
        <f t="shared" si="14669"/>
        <v>-</v>
      </c>
      <c r="AX222" s="1"/>
      <c r="AY222" s="105" t="str">
        <f t="shared" si="14670"/>
        <v>-</v>
      </c>
      <c r="AZ222" s="21" t="str">
        <f t="shared" si="14671"/>
        <v>-</v>
      </c>
      <c r="BA222" s="1"/>
      <c r="BB222" s="105" t="str">
        <f t="shared" si="14672"/>
        <v>-</v>
      </c>
      <c r="BC222" s="21" t="str">
        <f t="shared" si="14673"/>
        <v>-</v>
      </c>
      <c r="BD222" s="1"/>
      <c r="BE222" s="105" t="str">
        <f t="shared" si="14674"/>
        <v>-</v>
      </c>
      <c r="BF222" s="21" t="str">
        <f t="shared" si="14675"/>
        <v>-</v>
      </c>
      <c r="BG222" s="1"/>
      <c r="BH222" s="105" t="str">
        <f t="shared" si="14676"/>
        <v>-</v>
      </c>
      <c r="BI222" s="21" t="str">
        <f t="shared" si="14677"/>
        <v>-</v>
      </c>
      <c r="BJ222" s="1"/>
      <c r="BK222" s="105" t="str">
        <f t="shared" si="14678"/>
        <v>-</v>
      </c>
      <c r="BL222" s="21" t="str">
        <f t="shared" si="14679"/>
        <v>-</v>
      </c>
      <c r="BM222" s="1"/>
      <c r="BN222" s="105" t="str">
        <f t="shared" si="14680"/>
        <v>-</v>
      </c>
      <c r="BO222" s="21" t="str">
        <f t="shared" si="14681"/>
        <v>-</v>
      </c>
      <c r="BP222" s="1"/>
      <c r="BQ222" s="105" t="str">
        <f t="shared" si="14682"/>
        <v>-</v>
      </c>
      <c r="BR222" s="21" t="str">
        <f t="shared" si="14683"/>
        <v>-</v>
      </c>
      <c r="BS222" s="1"/>
      <c r="BT222" s="105" t="str">
        <f t="shared" si="14684"/>
        <v>-</v>
      </c>
      <c r="BU222" s="21" t="str">
        <f t="shared" si="14685"/>
        <v>-</v>
      </c>
      <c r="BV222" s="1"/>
      <c r="BW222" s="105" t="str">
        <f t="shared" si="14686"/>
        <v>-</v>
      </c>
      <c r="BX222" s="21" t="str">
        <f t="shared" si="14687"/>
        <v>-</v>
      </c>
      <c r="BZ222" s="105" t="str">
        <f t="shared" si="14688"/>
        <v>-</v>
      </c>
      <c r="CA222" s="21" t="str">
        <f t="shared" si="14689"/>
        <v>-</v>
      </c>
      <c r="CB222" s="1"/>
      <c r="CC222" s="105" t="str">
        <f t="shared" si="14690"/>
        <v>-</v>
      </c>
      <c r="CD222" s="21" t="str">
        <f t="shared" si="14691"/>
        <v>-</v>
      </c>
      <c r="CE222" s="1"/>
      <c r="CF222" s="105" t="str">
        <f t="shared" si="14692"/>
        <v>-</v>
      </c>
      <c r="CG222" s="21" t="str">
        <f t="shared" si="14693"/>
        <v>-</v>
      </c>
      <c r="CH222" s="1"/>
      <c r="CI222" s="105" t="str">
        <f t="shared" si="14694"/>
        <v>-</v>
      </c>
      <c r="CJ222" s="21" t="str">
        <f t="shared" si="14695"/>
        <v>-</v>
      </c>
      <c r="CK222" s="1"/>
      <c r="CL222" s="105" t="str">
        <f t="shared" si="14696"/>
        <v>-</v>
      </c>
      <c r="CM222" s="21" t="str">
        <f t="shared" si="14697"/>
        <v>-</v>
      </c>
      <c r="CN222" s="1"/>
      <c r="CO222" s="105" t="str">
        <f t="shared" si="14698"/>
        <v>-</v>
      </c>
      <c r="CP222" s="21" t="str">
        <f t="shared" si="14699"/>
        <v>-</v>
      </c>
      <c r="CQ222" s="1"/>
      <c r="CR222" s="105" t="str">
        <f t="shared" si="14700"/>
        <v>-</v>
      </c>
      <c r="CS222" s="21" t="str">
        <f t="shared" si="14701"/>
        <v>-</v>
      </c>
      <c r="CT222" s="1"/>
      <c r="CU222" s="105" t="str">
        <f t="shared" si="14702"/>
        <v>-</v>
      </c>
      <c r="CV222" s="21" t="str">
        <f t="shared" si="14703"/>
        <v>-</v>
      </c>
      <c r="CW222" s="1"/>
      <c r="CX222" s="105" t="str">
        <f t="shared" si="14704"/>
        <v>-</v>
      </c>
      <c r="CY222" s="21" t="str">
        <f t="shared" si="14705"/>
        <v>-</v>
      </c>
      <c r="CZ222" s="1"/>
      <c r="DA222" s="105" t="str">
        <f t="shared" si="14706"/>
        <v>-</v>
      </c>
      <c r="DB222" s="21" t="str">
        <f t="shared" si="14707"/>
        <v>-</v>
      </c>
      <c r="DC222" s="1"/>
      <c r="DD222" s="105" t="str">
        <f t="shared" si="14708"/>
        <v>-</v>
      </c>
      <c r="DE222" s="21" t="str">
        <f t="shared" si="14709"/>
        <v>-</v>
      </c>
      <c r="DF222" s="1"/>
      <c r="DG222" s="105" t="str">
        <f t="shared" si="14710"/>
        <v>-</v>
      </c>
      <c r="DH222" s="21" t="str">
        <f t="shared" si="14711"/>
        <v>-</v>
      </c>
    </row>
    <row r="223" spans="2:112" x14ac:dyDescent="0.3">
      <c r="B223" s="1">
        <v>12</v>
      </c>
      <c r="C223" s="15">
        <v>120</v>
      </c>
      <c r="D223" s="21">
        <v>2</v>
      </c>
      <c r="F223" s="105" t="str">
        <f t="shared" si="14640"/>
        <v>-</v>
      </c>
      <c r="G223" s="21" t="str">
        <f t="shared" si="14641"/>
        <v>-</v>
      </c>
      <c r="I223" s="105" t="str">
        <f t="shared" si="14642"/>
        <v>-</v>
      </c>
      <c r="J223" s="21" t="str">
        <f t="shared" si="14643"/>
        <v>-</v>
      </c>
      <c r="L223" s="105" t="str">
        <f t="shared" si="14644"/>
        <v>-</v>
      </c>
      <c r="M223" s="21" t="str">
        <f t="shared" si="14645"/>
        <v>-</v>
      </c>
      <c r="O223" s="105" t="str">
        <f t="shared" si="14646"/>
        <v>-</v>
      </c>
      <c r="P223" s="21" t="str">
        <f t="shared" si="14647"/>
        <v>-</v>
      </c>
      <c r="R223" s="105" t="str">
        <f t="shared" si="14648"/>
        <v>-</v>
      </c>
      <c r="S223" s="21" t="str">
        <f t="shared" si="14649"/>
        <v>-</v>
      </c>
      <c r="U223" s="105" t="str">
        <f t="shared" si="14650"/>
        <v>-</v>
      </c>
      <c r="V223" s="21" t="str">
        <f t="shared" si="14651"/>
        <v>-</v>
      </c>
      <c r="X223" s="105" t="str">
        <f t="shared" si="14652"/>
        <v>-</v>
      </c>
      <c r="Y223" s="21" t="str">
        <f t="shared" si="14653"/>
        <v>-</v>
      </c>
      <c r="AA223" s="105" t="str">
        <f t="shared" si="14654"/>
        <v>-</v>
      </c>
      <c r="AB223" s="21" t="str">
        <f t="shared" si="14655"/>
        <v>-</v>
      </c>
      <c r="AD223" s="105" t="str">
        <f t="shared" si="14656"/>
        <v>-</v>
      </c>
      <c r="AE223" s="21" t="str">
        <f t="shared" si="14657"/>
        <v>-</v>
      </c>
      <c r="AG223" s="105" t="str">
        <f t="shared" si="14658"/>
        <v>-</v>
      </c>
      <c r="AH223" s="21" t="str">
        <f t="shared" si="14659"/>
        <v>-</v>
      </c>
      <c r="AJ223" s="105" t="str">
        <f t="shared" si="14660"/>
        <v>-</v>
      </c>
      <c r="AK223" s="21" t="str">
        <f t="shared" si="14661"/>
        <v>-</v>
      </c>
      <c r="AM223" s="105" t="str">
        <f t="shared" si="14662"/>
        <v>-</v>
      </c>
      <c r="AN223" s="21" t="str">
        <f t="shared" si="14663"/>
        <v>-</v>
      </c>
      <c r="AP223" s="105" t="str">
        <f t="shared" si="14664"/>
        <v>-</v>
      </c>
      <c r="AQ223" s="21" t="str">
        <f t="shared" si="14665"/>
        <v>-</v>
      </c>
      <c r="AR223" s="1"/>
      <c r="AS223" s="105" t="str">
        <f t="shared" si="14666"/>
        <v>-</v>
      </c>
      <c r="AT223" s="21" t="str">
        <f t="shared" si="14667"/>
        <v>-</v>
      </c>
      <c r="AU223" s="1"/>
      <c r="AV223" s="105" t="str">
        <f t="shared" si="14668"/>
        <v>-</v>
      </c>
      <c r="AW223" s="21" t="str">
        <f t="shared" si="14669"/>
        <v>-</v>
      </c>
      <c r="AX223" s="1"/>
      <c r="AY223" s="105" t="str">
        <f t="shared" si="14670"/>
        <v>-</v>
      </c>
      <c r="AZ223" s="21" t="str">
        <f t="shared" si="14671"/>
        <v>-</v>
      </c>
      <c r="BA223" s="1"/>
      <c r="BB223" s="105" t="str">
        <f t="shared" si="14672"/>
        <v>-</v>
      </c>
      <c r="BC223" s="21" t="str">
        <f t="shared" si="14673"/>
        <v>-</v>
      </c>
      <c r="BD223" s="1"/>
      <c r="BE223" s="105" t="str">
        <f t="shared" si="14674"/>
        <v>-</v>
      </c>
      <c r="BF223" s="21" t="str">
        <f t="shared" si="14675"/>
        <v>-</v>
      </c>
      <c r="BG223" s="1"/>
      <c r="BH223" s="105" t="str">
        <f t="shared" si="14676"/>
        <v>-</v>
      </c>
      <c r="BI223" s="21" t="str">
        <f t="shared" si="14677"/>
        <v>-</v>
      </c>
      <c r="BJ223" s="1"/>
      <c r="BK223" s="105" t="str">
        <f t="shared" si="14678"/>
        <v>-</v>
      </c>
      <c r="BL223" s="21" t="str">
        <f t="shared" si="14679"/>
        <v>-</v>
      </c>
      <c r="BM223" s="1"/>
      <c r="BN223" s="105" t="str">
        <f t="shared" si="14680"/>
        <v>-</v>
      </c>
      <c r="BO223" s="21" t="str">
        <f t="shared" si="14681"/>
        <v>-</v>
      </c>
      <c r="BP223" s="1"/>
      <c r="BQ223" s="105" t="str">
        <f t="shared" si="14682"/>
        <v>-</v>
      </c>
      <c r="BR223" s="21" t="str">
        <f t="shared" si="14683"/>
        <v>-</v>
      </c>
      <c r="BS223" s="1"/>
      <c r="BT223" s="105" t="str">
        <f t="shared" si="14684"/>
        <v>-</v>
      </c>
      <c r="BU223" s="21" t="str">
        <f t="shared" si="14685"/>
        <v>-</v>
      </c>
      <c r="BV223" s="1"/>
      <c r="BW223" s="105" t="str">
        <f t="shared" si="14686"/>
        <v>-</v>
      </c>
      <c r="BX223" s="21" t="str">
        <f t="shared" si="14687"/>
        <v>-</v>
      </c>
      <c r="BZ223" s="105" t="str">
        <f t="shared" si="14688"/>
        <v>-</v>
      </c>
      <c r="CA223" s="21" t="str">
        <f t="shared" si="14689"/>
        <v>-</v>
      </c>
      <c r="CB223" s="1"/>
      <c r="CC223" s="105" t="str">
        <f t="shared" si="14690"/>
        <v>-</v>
      </c>
      <c r="CD223" s="21" t="str">
        <f t="shared" si="14691"/>
        <v>-</v>
      </c>
      <c r="CE223" s="1"/>
      <c r="CF223" s="105" t="str">
        <f t="shared" si="14692"/>
        <v>-</v>
      </c>
      <c r="CG223" s="21" t="str">
        <f t="shared" si="14693"/>
        <v>-</v>
      </c>
      <c r="CH223" s="1"/>
      <c r="CI223" s="105" t="str">
        <f t="shared" si="14694"/>
        <v>-</v>
      </c>
      <c r="CJ223" s="21" t="str">
        <f t="shared" si="14695"/>
        <v>-</v>
      </c>
      <c r="CK223" s="1"/>
      <c r="CL223" s="105" t="str">
        <f t="shared" si="14696"/>
        <v>-</v>
      </c>
      <c r="CM223" s="21" t="str">
        <f t="shared" si="14697"/>
        <v>-</v>
      </c>
      <c r="CN223" s="1"/>
      <c r="CO223" s="105" t="str">
        <f t="shared" si="14698"/>
        <v>-</v>
      </c>
      <c r="CP223" s="21" t="str">
        <f t="shared" si="14699"/>
        <v>-</v>
      </c>
      <c r="CQ223" s="1"/>
      <c r="CR223" s="105" t="str">
        <f t="shared" si="14700"/>
        <v>-</v>
      </c>
      <c r="CS223" s="21" t="str">
        <f t="shared" si="14701"/>
        <v>-</v>
      </c>
      <c r="CT223" s="1"/>
      <c r="CU223" s="105" t="str">
        <f t="shared" si="14702"/>
        <v>-</v>
      </c>
      <c r="CV223" s="21" t="str">
        <f t="shared" si="14703"/>
        <v>-</v>
      </c>
      <c r="CW223" s="1"/>
      <c r="CX223" s="105" t="str">
        <f t="shared" si="14704"/>
        <v>-</v>
      </c>
      <c r="CY223" s="21" t="str">
        <f t="shared" si="14705"/>
        <v>-</v>
      </c>
      <c r="CZ223" s="1"/>
      <c r="DA223" s="105" t="str">
        <f t="shared" si="14706"/>
        <v>-</v>
      </c>
      <c r="DB223" s="21" t="str">
        <f t="shared" si="14707"/>
        <v>-</v>
      </c>
      <c r="DC223" s="1"/>
      <c r="DD223" s="105" t="str">
        <f t="shared" si="14708"/>
        <v>-</v>
      </c>
      <c r="DE223" s="21" t="str">
        <f t="shared" si="14709"/>
        <v>-</v>
      </c>
      <c r="DF223" s="1"/>
      <c r="DG223" s="105" t="str">
        <f t="shared" si="14710"/>
        <v>-</v>
      </c>
      <c r="DH223" s="21" t="str">
        <f t="shared" si="14711"/>
        <v>-</v>
      </c>
    </row>
    <row r="224" spans="2:112" x14ac:dyDescent="0.3">
      <c r="B224" s="1">
        <v>13</v>
      </c>
      <c r="C224" s="15">
        <v>130</v>
      </c>
      <c r="D224" s="21">
        <v>3</v>
      </c>
      <c r="F224" s="105" t="str">
        <f t="shared" si="14640"/>
        <v>-</v>
      </c>
      <c r="G224" s="21" t="str">
        <f t="shared" si="14641"/>
        <v>-</v>
      </c>
      <c r="I224" s="105" t="str">
        <f t="shared" si="14642"/>
        <v>-</v>
      </c>
      <c r="J224" s="21" t="str">
        <f t="shared" si="14643"/>
        <v>-</v>
      </c>
      <c r="L224" s="105" t="str">
        <f t="shared" si="14644"/>
        <v>-</v>
      </c>
      <c r="M224" s="21" t="str">
        <f t="shared" si="14645"/>
        <v>-</v>
      </c>
      <c r="O224" s="105" t="str">
        <f t="shared" si="14646"/>
        <v>-</v>
      </c>
      <c r="P224" s="21" t="str">
        <f t="shared" si="14647"/>
        <v>-</v>
      </c>
      <c r="R224" s="105" t="str">
        <f t="shared" si="14648"/>
        <v>-</v>
      </c>
      <c r="S224" s="21" t="str">
        <f t="shared" si="14649"/>
        <v>-</v>
      </c>
      <c r="U224" s="105" t="str">
        <f t="shared" si="14650"/>
        <v>-</v>
      </c>
      <c r="V224" s="21" t="str">
        <f t="shared" si="14651"/>
        <v>-</v>
      </c>
      <c r="X224" s="105" t="str">
        <f t="shared" si="14652"/>
        <v>-</v>
      </c>
      <c r="Y224" s="21" t="str">
        <f t="shared" si="14653"/>
        <v>-</v>
      </c>
      <c r="AA224" s="105" t="str">
        <f t="shared" si="14654"/>
        <v>-</v>
      </c>
      <c r="AB224" s="21" t="str">
        <f t="shared" si="14655"/>
        <v>-</v>
      </c>
      <c r="AD224" s="105" t="str">
        <f t="shared" si="14656"/>
        <v>-</v>
      </c>
      <c r="AE224" s="21" t="str">
        <f t="shared" si="14657"/>
        <v>-</v>
      </c>
      <c r="AG224" s="105" t="str">
        <f t="shared" si="14658"/>
        <v>-</v>
      </c>
      <c r="AH224" s="21" t="str">
        <f t="shared" si="14659"/>
        <v>-</v>
      </c>
      <c r="AJ224" s="105" t="str">
        <f t="shared" si="14660"/>
        <v>-</v>
      </c>
      <c r="AK224" s="21" t="str">
        <f t="shared" si="14661"/>
        <v>-</v>
      </c>
      <c r="AM224" s="105" t="str">
        <f t="shared" si="14662"/>
        <v>-</v>
      </c>
      <c r="AN224" s="21" t="str">
        <f t="shared" si="14663"/>
        <v>-</v>
      </c>
      <c r="AP224" s="105" t="str">
        <f t="shared" si="14664"/>
        <v>-</v>
      </c>
      <c r="AQ224" s="21" t="str">
        <f t="shared" si="14665"/>
        <v>-</v>
      </c>
      <c r="AR224" s="1"/>
      <c r="AS224" s="105" t="str">
        <f t="shared" si="14666"/>
        <v>-</v>
      </c>
      <c r="AT224" s="21" t="str">
        <f t="shared" si="14667"/>
        <v>-</v>
      </c>
      <c r="AU224" s="1"/>
      <c r="AV224" s="105" t="str">
        <f t="shared" si="14668"/>
        <v>-</v>
      </c>
      <c r="AW224" s="21" t="str">
        <f t="shared" si="14669"/>
        <v>-</v>
      </c>
      <c r="AX224" s="1"/>
      <c r="AY224" s="105" t="str">
        <f t="shared" si="14670"/>
        <v>-</v>
      </c>
      <c r="AZ224" s="21" t="str">
        <f t="shared" si="14671"/>
        <v>-</v>
      </c>
      <c r="BA224" s="1"/>
      <c r="BB224" s="105" t="str">
        <f t="shared" si="14672"/>
        <v>-</v>
      </c>
      <c r="BC224" s="21" t="str">
        <f t="shared" si="14673"/>
        <v>-</v>
      </c>
      <c r="BD224" s="1"/>
      <c r="BE224" s="105" t="str">
        <f t="shared" si="14674"/>
        <v>-</v>
      </c>
      <c r="BF224" s="21" t="str">
        <f t="shared" si="14675"/>
        <v>-</v>
      </c>
      <c r="BG224" s="1"/>
      <c r="BH224" s="105" t="str">
        <f t="shared" si="14676"/>
        <v>-</v>
      </c>
      <c r="BI224" s="21" t="str">
        <f t="shared" si="14677"/>
        <v>-</v>
      </c>
      <c r="BJ224" s="1"/>
      <c r="BK224" s="105" t="str">
        <f t="shared" si="14678"/>
        <v>-</v>
      </c>
      <c r="BL224" s="21" t="str">
        <f t="shared" si="14679"/>
        <v>-</v>
      </c>
      <c r="BM224" s="1"/>
      <c r="BN224" s="105" t="str">
        <f t="shared" si="14680"/>
        <v>-</v>
      </c>
      <c r="BO224" s="21" t="str">
        <f t="shared" si="14681"/>
        <v>-</v>
      </c>
      <c r="BP224" s="1"/>
      <c r="BQ224" s="105" t="str">
        <f t="shared" si="14682"/>
        <v>-</v>
      </c>
      <c r="BR224" s="21" t="str">
        <f t="shared" si="14683"/>
        <v>-</v>
      </c>
      <c r="BS224" s="1"/>
      <c r="BT224" s="105" t="str">
        <f t="shared" si="14684"/>
        <v>-</v>
      </c>
      <c r="BU224" s="21" t="str">
        <f t="shared" si="14685"/>
        <v>-</v>
      </c>
      <c r="BV224" s="1"/>
      <c r="BW224" s="105" t="str">
        <f t="shared" si="14686"/>
        <v>-</v>
      </c>
      <c r="BX224" s="21" t="str">
        <f t="shared" si="14687"/>
        <v>-</v>
      </c>
      <c r="BZ224" s="105" t="str">
        <f t="shared" si="14688"/>
        <v>-</v>
      </c>
      <c r="CA224" s="21" t="str">
        <f t="shared" si="14689"/>
        <v>-</v>
      </c>
      <c r="CB224" s="1"/>
      <c r="CC224" s="105" t="str">
        <f t="shared" si="14690"/>
        <v>-</v>
      </c>
      <c r="CD224" s="21" t="str">
        <f t="shared" si="14691"/>
        <v>-</v>
      </c>
      <c r="CE224" s="1"/>
      <c r="CF224" s="105" t="str">
        <f t="shared" si="14692"/>
        <v>-</v>
      </c>
      <c r="CG224" s="21" t="str">
        <f t="shared" si="14693"/>
        <v>-</v>
      </c>
      <c r="CH224" s="1"/>
      <c r="CI224" s="105" t="str">
        <f t="shared" si="14694"/>
        <v>-</v>
      </c>
      <c r="CJ224" s="21" t="str">
        <f t="shared" si="14695"/>
        <v>-</v>
      </c>
      <c r="CK224" s="1"/>
      <c r="CL224" s="105" t="str">
        <f t="shared" si="14696"/>
        <v>-</v>
      </c>
      <c r="CM224" s="21" t="str">
        <f t="shared" si="14697"/>
        <v>-</v>
      </c>
      <c r="CN224" s="1"/>
      <c r="CO224" s="105" t="str">
        <f t="shared" si="14698"/>
        <v>-</v>
      </c>
      <c r="CP224" s="21" t="str">
        <f t="shared" si="14699"/>
        <v>-</v>
      </c>
      <c r="CQ224" s="1"/>
      <c r="CR224" s="105" t="str">
        <f t="shared" si="14700"/>
        <v>-</v>
      </c>
      <c r="CS224" s="21" t="str">
        <f t="shared" si="14701"/>
        <v>-</v>
      </c>
      <c r="CT224" s="1"/>
      <c r="CU224" s="105" t="str">
        <f t="shared" si="14702"/>
        <v>-</v>
      </c>
      <c r="CV224" s="21" t="str">
        <f t="shared" si="14703"/>
        <v>-</v>
      </c>
      <c r="CW224" s="1"/>
      <c r="CX224" s="105" t="str">
        <f t="shared" si="14704"/>
        <v>-</v>
      </c>
      <c r="CY224" s="21" t="str">
        <f t="shared" si="14705"/>
        <v>-</v>
      </c>
      <c r="CZ224" s="1"/>
      <c r="DA224" s="105" t="str">
        <f t="shared" si="14706"/>
        <v>-</v>
      </c>
      <c r="DB224" s="21" t="str">
        <f t="shared" si="14707"/>
        <v>-</v>
      </c>
      <c r="DC224" s="1"/>
      <c r="DD224" s="105" t="str">
        <f t="shared" si="14708"/>
        <v>-</v>
      </c>
      <c r="DE224" s="21" t="str">
        <f t="shared" si="14709"/>
        <v>-</v>
      </c>
      <c r="DF224" s="1"/>
      <c r="DG224" s="105" t="str">
        <f t="shared" si="14710"/>
        <v>-</v>
      </c>
      <c r="DH224" s="21" t="str">
        <f t="shared" si="14711"/>
        <v>-</v>
      </c>
    </row>
    <row r="225" spans="2:112" x14ac:dyDescent="0.3">
      <c r="B225" s="1">
        <v>14</v>
      </c>
      <c r="C225" s="15">
        <v>140</v>
      </c>
      <c r="D225" s="21">
        <v>4</v>
      </c>
      <c r="F225" s="105" t="str">
        <f t="shared" si="14640"/>
        <v>-</v>
      </c>
      <c r="G225" s="21" t="str">
        <f t="shared" si="14641"/>
        <v>-</v>
      </c>
      <c r="I225" s="105" t="str">
        <f t="shared" si="14642"/>
        <v>-</v>
      </c>
      <c r="J225" s="21" t="str">
        <f t="shared" si="14643"/>
        <v>-</v>
      </c>
      <c r="L225" s="105" t="str">
        <f t="shared" si="14644"/>
        <v>-</v>
      </c>
      <c r="M225" s="21" t="str">
        <f t="shared" si="14645"/>
        <v>-</v>
      </c>
      <c r="O225" s="105" t="str">
        <f t="shared" si="14646"/>
        <v>-</v>
      </c>
      <c r="P225" s="21" t="str">
        <f t="shared" si="14647"/>
        <v>-</v>
      </c>
      <c r="R225" s="105" t="str">
        <f t="shared" si="14648"/>
        <v>-</v>
      </c>
      <c r="S225" s="21" t="str">
        <f t="shared" si="14649"/>
        <v>-</v>
      </c>
      <c r="U225" s="105" t="str">
        <f t="shared" si="14650"/>
        <v>-</v>
      </c>
      <c r="V225" s="21" t="str">
        <f t="shared" si="14651"/>
        <v>-</v>
      </c>
      <c r="X225" s="105" t="str">
        <f t="shared" si="14652"/>
        <v>-</v>
      </c>
      <c r="Y225" s="21" t="str">
        <f t="shared" si="14653"/>
        <v>-</v>
      </c>
      <c r="AA225" s="105" t="str">
        <f t="shared" si="14654"/>
        <v>-</v>
      </c>
      <c r="AB225" s="21" t="str">
        <f t="shared" si="14655"/>
        <v>-</v>
      </c>
      <c r="AD225" s="105" t="str">
        <f t="shared" si="14656"/>
        <v>-</v>
      </c>
      <c r="AE225" s="21" t="str">
        <f t="shared" si="14657"/>
        <v>-</v>
      </c>
      <c r="AG225" s="105" t="str">
        <f t="shared" si="14658"/>
        <v>-</v>
      </c>
      <c r="AH225" s="21" t="str">
        <f t="shared" si="14659"/>
        <v>-</v>
      </c>
      <c r="AJ225" s="105" t="str">
        <f t="shared" si="14660"/>
        <v>-</v>
      </c>
      <c r="AK225" s="21" t="str">
        <f t="shared" si="14661"/>
        <v>-</v>
      </c>
      <c r="AM225" s="105" t="str">
        <f t="shared" si="14662"/>
        <v>-</v>
      </c>
      <c r="AN225" s="21" t="str">
        <f t="shared" si="14663"/>
        <v>-</v>
      </c>
      <c r="AP225" s="105" t="str">
        <f t="shared" si="14664"/>
        <v>-</v>
      </c>
      <c r="AQ225" s="21" t="str">
        <f t="shared" si="14665"/>
        <v>-</v>
      </c>
      <c r="AR225" s="1"/>
      <c r="AS225" s="105" t="str">
        <f t="shared" si="14666"/>
        <v>-</v>
      </c>
      <c r="AT225" s="21" t="str">
        <f t="shared" si="14667"/>
        <v>-</v>
      </c>
      <c r="AU225" s="1"/>
      <c r="AV225" s="105" t="str">
        <f t="shared" si="14668"/>
        <v>-</v>
      </c>
      <c r="AW225" s="21" t="str">
        <f t="shared" si="14669"/>
        <v>-</v>
      </c>
      <c r="AX225" s="1"/>
      <c r="AY225" s="105" t="str">
        <f t="shared" si="14670"/>
        <v>-</v>
      </c>
      <c r="AZ225" s="21" t="str">
        <f t="shared" si="14671"/>
        <v>-</v>
      </c>
      <c r="BA225" s="1"/>
      <c r="BB225" s="105" t="str">
        <f t="shared" si="14672"/>
        <v>-</v>
      </c>
      <c r="BC225" s="21" t="str">
        <f t="shared" si="14673"/>
        <v>-</v>
      </c>
      <c r="BD225" s="1"/>
      <c r="BE225" s="105" t="str">
        <f t="shared" si="14674"/>
        <v>-</v>
      </c>
      <c r="BF225" s="21" t="str">
        <f t="shared" si="14675"/>
        <v>-</v>
      </c>
      <c r="BG225" s="1"/>
      <c r="BH225" s="105" t="str">
        <f t="shared" si="14676"/>
        <v>-</v>
      </c>
      <c r="BI225" s="21" t="str">
        <f t="shared" si="14677"/>
        <v>-</v>
      </c>
      <c r="BJ225" s="1"/>
      <c r="BK225" s="105" t="str">
        <f t="shared" si="14678"/>
        <v>-</v>
      </c>
      <c r="BL225" s="21" t="str">
        <f t="shared" si="14679"/>
        <v>-</v>
      </c>
      <c r="BM225" s="1"/>
      <c r="BN225" s="105" t="str">
        <f t="shared" si="14680"/>
        <v>-</v>
      </c>
      <c r="BO225" s="21" t="str">
        <f t="shared" si="14681"/>
        <v>-</v>
      </c>
      <c r="BP225" s="1"/>
      <c r="BQ225" s="105" t="str">
        <f t="shared" si="14682"/>
        <v>-</v>
      </c>
      <c r="BR225" s="21" t="str">
        <f t="shared" si="14683"/>
        <v>-</v>
      </c>
      <c r="BS225" s="1"/>
      <c r="BT225" s="105" t="str">
        <f t="shared" si="14684"/>
        <v>-</v>
      </c>
      <c r="BU225" s="21" t="str">
        <f t="shared" si="14685"/>
        <v>-</v>
      </c>
      <c r="BV225" s="1"/>
      <c r="BW225" s="105" t="str">
        <f t="shared" si="14686"/>
        <v>-</v>
      </c>
      <c r="BX225" s="21" t="str">
        <f t="shared" si="14687"/>
        <v>-</v>
      </c>
      <c r="BZ225" s="105" t="str">
        <f t="shared" si="14688"/>
        <v>-</v>
      </c>
      <c r="CA225" s="21" t="str">
        <f t="shared" si="14689"/>
        <v>-</v>
      </c>
      <c r="CB225" s="1"/>
      <c r="CC225" s="105" t="str">
        <f t="shared" si="14690"/>
        <v>-</v>
      </c>
      <c r="CD225" s="21" t="str">
        <f t="shared" si="14691"/>
        <v>-</v>
      </c>
      <c r="CE225" s="1"/>
      <c r="CF225" s="105" t="str">
        <f t="shared" si="14692"/>
        <v>-</v>
      </c>
      <c r="CG225" s="21" t="str">
        <f t="shared" si="14693"/>
        <v>-</v>
      </c>
      <c r="CH225" s="1"/>
      <c r="CI225" s="105" t="str">
        <f t="shared" si="14694"/>
        <v>-</v>
      </c>
      <c r="CJ225" s="21" t="str">
        <f t="shared" si="14695"/>
        <v>-</v>
      </c>
      <c r="CK225" s="1"/>
      <c r="CL225" s="105" t="str">
        <f t="shared" si="14696"/>
        <v>-</v>
      </c>
      <c r="CM225" s="21" t="str">
        <f t="shared" si="14697"/>
        <v>-</v>
      </c>
      <c r="CN225" s="1"/>
      <c r="CO225" s="105" t="str">
        <f t="shared" si="14698"/>
        <v>-</v>
      </c>
      <c r="CP225" s="21" t="str">
        <f t="shared" si="14699"/>
        <v>-</v>
      </c>
      <c r="CQ225" s="1"/>
      <c r="CR225" s="105" t="str">
        <f t="shared" si="14700"/>
        <v>-</v>
      </c>
      <c r="CS225" s="21" t="str">
        <f t="shared" si="14701"/>
        <v>-</v>
      </c>
      <c r="CT225" s="1"/>
      <c r="CU225" s="105" t="str">
        <f t="shared" si="14702"/>
        <v>-</v>
      </c>
      <c r="CV225" s="21" t="str">
        <f t="shared" si="14703"/>
        <v>-</v>
      </c>
      <c r="CW225" s="1"/>
      <c r="CX225" s="105" t="str">
        <f t="shared" si="14704"/>
        <v>-</v>
      </c>
      <c r="CY225" s="21" t="str">
        <f t="shared" si="14705"/>
        <v>-</v>
      </c>
      <c r="CZ225" s="1"/>
      <c r="DA225" s="105" t="str">
        <f t="shared" si="14706"/>
        <v>-</v>
      </c>
      <c r="DB225" s="21" t="str">
        <f t="shared" si="14707"/>
        <v>-</v>
      </c>
      <c r="DC225" s="1"/>
      <c r="DD225" s="105" t="str">
        <f t="shared" si="14708"/>
        <v>-</v>
      </c>
      <c r="DE225" s="21" t="str">
        <f t="shared" si="14709"/>
        <v>-</v>
      </c>
      <c r="DF225" s="1"/>
      <c r="DG225" s="105" t="str">
        <f t="shared" si="14710"/>
        <v>-</v>
      </c>
      <c r="DH225" s="21" t="str">
        <f t="shared" si="14711"/>
        <v>-</v>
      </c>
    </row>
    <row r="226" spans="2:112" x14ac:dyDescent="0.3">
      <c r="B226" s="1">
        <v>15</v>
      </c>
      <c r="C226" s="15">
        <v>150</v>
      </c>
      <c r="D226" s="21">
        <v>5</v>
      </c>
      <c r="F226" s="105" t="str">
        <f t="shared" si="14640"/>
        <v>-</v>
      </c>
      <c r="G226" s="21" t="str">
        <f t="shared" si="14641"/>
        <v>-</v>
      </c>
      <c r="I226" s="105" t="str">
        <f t="shared" si="14642"/>
        <v>-</v>
      </c>
      <c r="J226" s="21" t="str">
        <f t="shared" si="14643"/>
        <v>-</v>
      </c>
      <c r="L226" s="105" t="str">
        <f t="shared" si="14644"/>
        <v>-</v>
      </c>
      <c r="M226" s="21" t="str">
        <f t="shared" si="14645"/>
        <v>-</v>
      </c>
      <c r="O226" s="105" t="str">
        <f t="shared" si="14646"/>
        <v>-</v>
      </c>
      <c r="P226" s="21" t="str">
        <f t="shared" si="14647"/>
        <v>-</v>
      </c>
      <c r="R226" s="105" t="str">
        <f t="shared" si="14648"/>
        <v>-</v>
      </c>
      <c r="S226" s="21" t="str">
        <f t="shared" si="14649"/>
        <v>-</v>
      </c>
      <c r="U226" s="105" t="str">
        <f t="shared" si="14650"/>
        <v>-</v>
      </c>
      <c r="V226" s="21" t="str">
        <f t="shared" si="14651"/>
        <v>-</v>
      </c>
      <c r="X226" s="105" t="str">
        <f t="shared" si="14652"/>
        <v>-</v>
      </c>
      <c r="Y226" s="21" t="str">
        <f t="shared" si="14653"/>
        <v>-</v>
      </c>
      <c r="AA226" s="105" t="str">
        <f t="shared" si="14654"/>
        <v>-</v>
      </c>
      <c r="AB226" s="21" t="str">
        <f t="shared" si="14655"/>
        <v>-</v>
      </c>
      <c r="AD226" s="105" t="str">
        <f t="shared" si="14656"/>
        <v>-</v>
      </c>
      <c r="AE226" s="21" t="str">
        <f t="shared" si="14657"/>
        <v>-</v>
      </c>
      <c r="AG226" s="105" t="str">
        <f t="shared" si="14658"/>
        <v>-</v>
      </c>
      <c r="AH226" s="21" t="str">
        <f t="shared" si="14659"/>
        <v>-</v>
      </c>
      <c r="AJ226" s="105" t="str">
        <f t="shared" si="14660"/>
        <v>-</v>
      </c>
      <c r="AK226" s="21" t="str">
        <f t="shared" si="14661"/>
        <v>-</v>
      </c>
      <c r="AM226" s="105" t="str">
        <f t="shared" si="14662"/>
        <v>-</v>
      </c>
      <c r="AN226" s="21" t="str">
        <f t="shared" si="14663"/>
        <v>-</v>
      </c>
      <c r="AP226" s="105" t="str">
        <f t="shared" si="14664"/>
        <v>-</v>
      </c>
      <c r="AQ226" s="21" t="str">
        <f t="shared" si="14665"/>
        <v>-</v>
      </c>
      <c r="AR226" s="1"/>
      <c r="AS226" s="105" t="str">
        <f t="shared" si="14666"/>
        <v>-</v>
      </c>
      <c r="AT226" s="21" t="str">
        <f t="shared" si="14667"/>
        <v>-</v>
      </c>
      <c r="AU226" s="1"/>
      <c r="AV226" s="105" t="str">
        <f t="shared" si="14668"/>
        <v>-</v>
      </c>
      <c r="AW226" s="21" t="str">
        <f t="shared" si="14669"/>
        <v>-</v>
      </c>
      <c r="AX226" s="1"/>
      <c r="AY226" s="105" t="str">
        <f t="shared" si="14670"/>
        <v>-</v>
      </c>
      <c r="AZ226" s="21" t="str">
        <f t="shared" si="14671"/>
        <v>-</v>
      </c>
      <c r="BA226" s="1"/>
      <c r="BB226" s="105" t="str">
        <f t="shared" si="14672"/>
        <v>-</v>
      </c>
      <c r="BC226" s="21" t="str">
        <f t="shared" si="14673"/>
        <v>-</v>
      </c>
      <c r="BD226" s="1"/>
      <c r="BE226" s="105" t="str">
        <f t="shared" si="14674"/>
        <v>-</v>
      </c>
      <c r="BF226" s="21" t="str">
        <f t="shared" si="14675"/>
        <v>-</v>
      </c>
      <c r="BG226" s="1"/>
      <c r="BH226" s="105" t="str">
        <f t="shared" si="14676"/>
        <v>-</v>
      </c>
      <c r="BI226" s="21" t="str">
        <f t="shared" si="14677"/>
        <v>-</v>
      </c>
      <c r="BJ226" s="1"/>
      <c r="BK226" s="105" t="str">
        <f t="shared" si="14678"/>
        <v>-</v>
      </c>
      <c r="BL226" s="21" t="str">
        <f t="shared" si="14679"/>
        <v>-</v>
      </c>
      <c r="BM226" s="1"/>
      <c r="BN226" s="105" t="str">
        <f t="shared" si="14680"/>
        <v>-</v>
      </c>
      <c r="BO226" s="21" t="str">
        <f t="shared" si="14681"/>
        <v>-</v>
      </c>
      <c r="BP226" s="1"/>
      <c r="BQ226" s="105" t="str">
        <f t="shared" si="14682"/>
        <v>-</v>
      </c>
      <c r="BR226" s="21" t="str">
        <f t="shared" si="14683"/>
        <v>-</v>
      </c>
      <c r="BS226" s="1"/>
      <c r="BT226" s="105" t="str">
        <f t="shared" si="14684"/>
        <v>-</v>
      </c>
      <c r="BU226" s="21" t="str">
        <f t="shared" si="14685"/>
        <v>-</v>
      </c>
      <c r="BV226" s="1"/>
      <c r="BW226" s="105" t="str">
        <f t="shared" si="14686"/>
        <v>-</v>
      </c>
      <c r="BX226" s="21" t="str">
        <f t="shared" si="14687"/>
        <v>-</v>
      </c>
      <c r="BZ226" s="105" t="str">
        <f t="shared" si="14688"/>
        <v>-</v>
      </c>
      <c r="CA226" s="21" t="str">
        <f t="shared" si="14689"/>
        <v>-</v>
      </c>
      <c r="CB226" s="1"/>
      <c r="CC226" s="105" t="str">
        <f t="shared" si="14690"/>
        <v>-</v>
      </c>
      <c r="CD226" s="21" t="str">
        <f t="shared" si="14691"/>
        <v>-</v>
      </c>
      <c r="CE226" s="1"/>
      <c r="CF226" s="105" t="str">
        <f t="shared" si="14692"/>
        <v>-</v>
      </c>
      <c r="CG226" s="21" t="str">
        <f t="shared" si="14693"/>
        <v>-</v>
      </c>
      <c r="CH226" s="1"/>
      <c r="CI226" s="105" t="str">
        <f t="shared" si="14694"/>
        <v>-</v>
      </c>
      <c r="CJ226" s="21" t="str">
        <f t="shared" si="14695"/>
        <v>-</v>
      </c>
      <c r="CK226" s="1"/>
      <c r="CL226" s="105" t="str">
        <f t="shared" si="14696"/>
        <v>-</v>
      </c>
      <c r="CM226" s="21" t="str">
        <f t="shared" si="14697"/>
        <v>-</v>
      </c>
      <c r="CN226" s="1"/>
      <c r="CO226" s="105" t="str">
        <f t="shared" si="14698"/>
        <v>-</v>
      </c>
      <c r="CP226" s="21" t="str">
        <f t="shared" si="14699"/>
        <v>-</v>
      </c>
      <c r="CQ226" s="1"/>
      <c r="CR226" s="105" t="str">
        <f t="shared" si="14700"/>
        <v>-</v>
      </c>
      <c r="CS226" s="21" t="str">
        <f t="shared" si="14701"/>
        <v>-</v>
      </c>
      <c r="CT226" s="1"/>
      <c r="CU226" s="105" t="str">
        <f t="shared" si="14702"/>
        <v>-</v>
      </c>
      <c r="CV226" s="21" t="str">
        <f t="shared" si="14703"/>
        <v>-</v>
      </c>
      <c r="CW226" s="1"/>
      <c r="CX226" s="105" t="str">
        <f t="shared" si="14704"/>
        <v>-</v>
      </c>
      <c r="CY226" s="21" t="str">
        <f t="shared" si="14705"/>
        <v>-</v>
      </c>
      <c r="CZ226" s="1"/>
      <c r="DA226" s="105" t="str">
        <f t="shared" si="14706"/>
        <v>-</v>
      </c>
      <c r="DB226" s="21" t="str">
        <f t="shared" si="14707"/>
        <v>-</v>
      </c>
      <c r="DC226" s="1"/>
      <c r="DD226" s="105" t="str">
        <f t="shared" si="14708"/>
        <v>-</v>
      </c>
      <c r="DE226" s="21" t="str">
        <f t="shared" si="14709"/>
        <v>-</v>
      </c>
      <c r="DF226" s="1"/>
      <c r="DG226" s="105" t="str">
        <f t="shared" si="14710"/>
        <v>-</v>
      </c>
      <c r="DH226" s="21" t="str">
        <f t="shared" si="14711"/>
        <v>-</v>
      </c>
    </row>
    <row r="227" spans="2:112" x14ac:dyDescent="0.3">
      <c r="B227" s="1">
        <v>16</v>
      </c>
      <c r="C227" s="15">
        <v>160</v>
      </c>
      <c r="D227" s="21">
        <v>6</v>
      </c>
      <c r="F227" s="105" t="str">
        <f t="shared" si="14640"/>
        <v>-</v>
      </c>
      <c r="G227" s="21" t="str">
        <f t="shared" si="14641"/>
        <v>-</v>
      </c>
      <c r="I227" s="105" t="str">
        <f t="shared" si="14642"/>
        <v>-</v>
      </c>
      <c r="J227" s="21" t="str">
        <f t="shared" si="14643"/>
        <v>-</v>
      </c>
      <c r="L227" s="105" t="str">
        <f t="shared" si="14644"/>
        <v>-</v>
      </c>
      <c r="M227" s="21" t="str">
        <f t="shared" si="14645"/>
        <v>-</v>
      </c>
      <c r="O227" s="105" t="str">
        <f t="shared" si="14646"/>
        <v>-</v>
      </c>
      <c r="P227" s="21" t="str">
        <f t="shared" si="14647"/>
        <v>-</v>
      </c>
      <c r="R227" s="105" t="str">
        <f t="shared" si="14648"/>
        <v>-</v>
      </c>
      <c r="S227" s="21" t="str">
        <f t="shared" si="14649"/>
        <v>-</v>
      </c>
      <c r="U227" s="105" t="str">
        <f t="shared" si="14650"/>
        <v>-</v>
      </c>
      <c r="V227" s="21" t="str">
        <f t="shared" si="14651"/>
        <v>-</v>
      </c>
      <c r="X227" s="105" t="str">
        <f t="shared" si="14652"/>
        <v>-</v>
      </c>
      <c r="Y227" s="21" t="str">
        <f t="shared" si="14653"/>
        <v>-</v>
      </c>
      <c r="AA227" s="105" t="str">
        <f t="shared" si="14654"/>
        <v>-</v>
      </c>
      <c r="AB227" s="21" t="str">
        <f t="shared" si="14655"/>
        <v>-</v>
      </c>
      <c r="AD227" s="105" t="str">
        <f t="shared" si="14656"/>
        <v>-</v>
      </c>
      <c r="AE227" s="21" t="str">
        <f t="shared" si="14657"/>
        <v>-</v>
      </c>
      <c r="AG227" s="105" t="str">
        <f t="shared" si="14658"/>
        <v>-</v>
      </c>
      <c r="AH227" s="21" t="str">
        <f t="shared" si="14659"/>
        <v>-</v>
      </c>
      <c r="AJ227" s="105" t="str">
        <f t="shared" si="14660"/>
        <v>-</v>
      </c>
      <c r="AK227" s="21" t="str">
        <f t="shared" si="14661"/>
        <v>-</v>
      </c>
      <c r="AM227" s="105" t="str">
        <f t="shared" si="14662"/>
        <v>-</v>
      </c>
      <c r="AN227" s="21" t="str">
        <f t="shared" si="14663"/>
        <v>-</v>
      </c>
      <c r="AP227" s="105" t="str">
        <f t="shared" si="14664"/>
        <v>-</v>
      </c>
      <c r="AQ227" s="21" t="str">
        <f t="shared" si="14665"/>
        <v>-</v>
      </c>
      <c r="AR227" s="1"/>
      <c r="AS227" s="105">
        <f t="shared" si="14666"/>
        <v>160</v>
      </c>
      <c r="AT227" s="21">
        <f t="shared" si="14667"/>
        <v>6</v>
      </c>
      <c r="AU227" s="1"/>
      <c r="AV227" s="105">
        <f t="shared" si="14668"/>
        <v>160</v>
      </c>
      <c r="AW227" s="21">
        <f t="shared" si="14669"/>
        <v>6</v>
      </c>
      <c r="AX227" s="1"/>
      <c r="AY227" s="105" t="str">
        <f t="shared" si="14670"/>
        <v>-</v>
      </c>
      <c r="AZ227" s="21" t="str">
        <f t="shared" si="14671"/>
        <v>-</v>
      </c>
      <c r="BA227" s="1"/>
      <c r="BB227" s="105">
        <f t="shared" si="14672"/>
        <v>160</v>
      </c>
      <c r="BC227" s="21">
        <f t="shared" si="14673"/>
        <v>6</v>
      </c>
      <c r="BD227" s="1"/>
      <c r="BE227" s="105" t="str">
        <f t="shared" si="14674"/>
        <v>-</v>
      </c>
      <c r="BF227" s="21" t="str">
        <f t="shared" si="14675"/>
        <v>-</v>
      </c>
      <c r="BG227" s="1"/>
      <c r="BH227" s="105" t="str">
        <f t="shared" si="14676"/>
        <v>-</v>
      </c>
      <c r="BI227" s="21" t="str">
        <f t="shared" si="14677"/>
        <v>-</v>
      </c>
      <c r="BJ227" s="1"/>
      <c r="BK227" s="105">
        <f t="shared" si="14678"/>
        <v>160</v>
      </c>
      <c r="BL227" s="21">
        <f t="shared" si="14679"/>
        <v>6</v>
      </c>
      <c r="BM227" s="1"/>
      <c r="BN227" s="105">
        <f t="shared" si="14680"/>
        <v>160</v>
      </c>
      <c r="BO227" s="21">
        <f t="shared" si="14681"/>
        <v>6</v>
      </c>
      <c r="BP227" s="1"/>
      <c r="BQ227" s="105" t="str">
        <f t="shared" si="14682"/>
        <v>-</v>
      </c>
      <c r="BR227" s="21" t="str">
        <f t="shared" si="14683"/>
        <v>-</v>
      </c>
      <c r="BS227" s="1"/>
      <c r="BT227" s="105" t="str">
        <f t="shared" si="14684"/>
        <v>-</v>
      </c>
      <c r="BU227" s="21" t="str">
        <f t="shared" si="14685"/>
        <v>-</v>
      </c>
      <c r="BV227" s="1"/>
      <c r="BW227" s="105">
        <f t="shared" si="14686"/>
        <v>160</v>
      </c>
      <c r="BX227" s="21">
        <f t="shared" si="14687"/>
        <v>6</v>
      </c>
      <c r="BZ227" s="105" t="str">
        <f t="shared" si="14688"/>
        <v>-</v>
      </c>
      <c r="CA227" s="21" t="str">
        <f t="shared" si="14689"/>
        <v>-</v>
      </c>
      <c r="CB227" s="1"/>
      <c r="CC227" s="105" t="str">
        <f t="shared" si="14690"/>
        <v>-</v>
      </c>
      <c r="CD227" s="21" t="str">
        <f t="shared" si="14691"/>
        <v>-</v>
      </c>
      <c r="CE227" s="1"/>
      <c r="CF227" s="105" t="str">
        <f t="shared" si="14692"/>
        <v>-</v>
      </c>
      <c r="CG227" s="21" t="str">
        <f t="shared" si="14693"/>
        <v>-</v>
      </c>
      <c r="CH227" s="1"/>
      <c r="CI227" s="105" t="str">
        <f t="shared" si="14694"/>
        <v>-</v>
      </c>
      <c r="CJ227" s="21" t="str">
        <f t="shared" si="14695"/>
        <v>-</v>
      </c>
      <c r="CK227" s="1"/>
      <c r="CL227" s="105" t="str">
        <f t="shared" si="14696"/>
        <v>-</v>
      </c>
      <c r="CM227" s="21" t="str">
        <f t="shared" si="14697"/>
        <v>-</v>
      </c>
      <c r="CN227" s="1"/>
      <c r="CO227" s="105" t="str">
        <f t="shared" si="14698"/>
        <v>-</v>
      </c>
      <c r="CP227" s="21" t="str">
        <f t="shared" si="14699"/>
        <v>-</v>
      </c>
      <c r="CQ227" s="1"/>
      <c r="CR227" s="105" t="str">
        <f t="shared" si="14700"/>
        <v>-</v>
      </c>
      <c r="CS227" s="21" t="str">
        <f t="shared" si="14701"/>
        <v>-</v>
      </c>
      <c r="CT227" s="1"/>
      <c r="CU227" s="105" t="str">
        <f t="shared" si="14702"/>
        <v>-</v>
      </c>
      <c r="CV227" s="21" t="str">
        <f t="shared" si="14703"/>
        <v>-</v>
      </c>
      <c r="CW227" s="1"/>
      <c r="CX227" s="105" t="str">
        <f t="shared" si="14704"/>
        <v>-</v>
      </c>
      <c r="CY227" s="21" t="str">
        <f t="shared" si="14705"/>
        <v>-</v>
      </c>
      <c r="CZ227" s="1"/>
      <c r="DA227" s="105" t="str">
        <f t="shared" si="14706"/>
        <v>-</v>
      </c>
      <c r="DB227" s="21" t="str">
        <f t="shared" si="14707"/>
        <v>-</v>
      </c>
      <c r="DC227" s="1"/>
      <c r="DD227" s="105" t="str">
        <f t="shared" si="14708"/>
        <v>-</v>
      </c>
      <c r="DE227" s="21" t="str">
        <f t="shared" si="14709"/>
        <v>-</v>
      </c>
      <c r="DF227" s="1"/>
      <c r="DG227" s="105" t="str">
        <f t="shared" si="14710"/>
        <v>-</v>
      </c>
      <c r="DH227" s="21" t="str">
        <f t="shared" si="14711"/>
        <v>-</v>
      </c>
    </row>
    <row r="228" spans="2:112" x14ac:dyDescent="0.3">
      <c r="B228" s="1">
        <v>17</v>
      </c>
      <c r="C228" s="15">
        <v>170</v>
      </c>
      <c r="D228" s="21">
        <v>7</v>
      </c>
      <c r="F228" s="105" t="str">
        <f t="shared" si="14640"/>
        <v>-</v>
      </c>
      <c r="G228" s="21" t="str">
        <f t="shared" si="14641"/>
        <v>-</v>
      </c>
      <c r="I228" s="105" t="str">
        <f t="shared" si="14642"/>
        <v>-</v>
      </c>
      <c r="J228" s="21" t="str">
        <f t="shared" si="14643"/>
        <v>-</v>
      </c>
      <c r="L228" s="105" t="str">
        <f t="shared" si="14644"/>
        <v>-</v>
      </c>
      <c r="M228" s="21" t="str">
        <f t="shared" si="14645"/>
        <v>-</v>
      </c>
      <c r="O228" s="105" t="str">
        <f t="shared" si="14646"/>
        <v>-</v>
      </c>
      <c r="P228" s="21" t="str">
        <f t="shared" si="14647"/>
        <v>-</v>
      </c>
      <c r="R228" s="105" t="str">
        <f t="shared" si="14648"/>
        <v>-</v>
      </c>
      <c r="S228" s="21" t="str">
        <f t="shared" si="14649"/>
        <v>-</v>
      </c>
      <c r="U228" s="105" t="str">
        <f t="shared" si="14650"/>
        <v>-</v>
      </c>
      <c r="V228" s="21" t="str">
        <f t="shared" si="14651"/>
        <v>-</v>
      </c>
      <c r="X228" s="105" t="str">
        <f t="shared" si="14652"/>
        <v>-</v>
      </c>
      <c r="Y228" s="21" t="str">
        <f t="shared" si="14653"/>
        <v>-</v>
      </c>
      <c r="AA228" s="105" t="str">
        <f t="shared" si="14654"/>
        <v>-</v>
      </c>
      <c r="AB228" s="21" t="str">
        <f t="shared" si="14655"/>
        <v>-</v>
      </c>
      <c r="AD228" s="105" t="str">
        <f t="shared" si="14656"/>
        <v>-</v>
      </c>
      <c r="AE228" s="21" t="str">
        <f t="shared" si="14657"/>
        <v>-</v>
      </c>
      <c r="AG228" s="105" t="str">
        <f t="shared" si="14658"/>
        <v>-</v>
      </c>
      <c r="AH228" s="21" t="str">
        <f t="shared" si="14659"/>
        <v>-</v>
      </c>
      <c r="AJ228" s="105" t="str">
        <f t="shared" si="14660"/>
        <v>-</v>
      </c>
      <c r="AK228" s="21" t="str">
        <f t="shared" si="14661"/>
        <v>-</v>
      </c>
      <c r="AM228" s="105" t="str">
        <f t="shared" si="14662"/>
        <v>-</v>
      </c>
      <c r="AN228" s="21" t="str">
        <f t="shared" si="14663"/>
        <v>-</v>
      </c>
      <c r="AP228" s="105" t="str">
        <f t="shared" si="14664"/>
        <v>-</v>
      </c>
      <c r="AQ228" s="21" t="str">
        <f t="shared" si="14665"/>
        <v>-</v>
      </c>
      <c r="AR228" s="1"/>
      <c r="AS228" s="105" t="str">
        <f t="shared" si="14666"/>
        <v>-</v>
      </c>
      <c r="AT228" s="21" t="str">
        <f t="shared" si="14667"/>
        <v>-</v>
      </c>
      <c r="AU228" s="1"/>
      <c r="AV228" s="105" t="str">
        <f t="shared" si="14668"/>
        <v>-</v>
      </c>
      <c r="AW228" s="21" t="str">
        <f t="shared" si="14669"/>
        <v>-</v>
      </c>
      <c r="AX228" s="1"/>
      <c r="AY228" s="105" t="str">
        <f t="shared" si="14670"/>
        <v>-</v>
      </c>
      <c r="AZ228" s="21" t="str">
        <f t="shared" si="14671"/>
        <v>-</v>
      </c>
      <c r="BA228" s="1"/>
      <c r="BB228" s="105" t="str">
        <f t="shared" si="14672"/>
        <v>-</v>
      </c>
      <c r="BC228" s="21" t="str">
        <f t="shared" si="14673"/>
        <v>-</v>
      </c>
      <c r="BD228" s="1"/>
      <c r="BE228" s="105" t="str">
        <f t="shared" si="14674"/>
        <v>-</v>
      </c>
      <c r="BF228" s="21" t="str">
        <f t="shared" si="14675"/>
        <v>-</v>
      </c>
      <c r="BG228" s="1"/>
      <c r="BH228" s="105" t="str">
        <f t="shared" si="14676"/>
        <v>-</v>
      </c>
      <c r="BI228" s="21" t="str">
        <f t="shared" si="14677"/>
        <v>-</v>
      </c>
      <c r="BJ228" s="1"/>
      <c r="BK228" s="105" t="str">
        <f t="shared" si="14678"/>
        <v>-</v>
      </c>
      <c r="BL228" s="21" t="str">
        <f t="shared" si="14679"/>
        <v>-</v>
      </c>
      <c r="BM228" s="1"/>
      <c r="BN228" s="105" t="str">
        <f t="shared" si="14680"/>
        <v>-</v>
      </c>
      <c r="BO228" s="21" t="str">
        <f t="shared" si="14681"/>
        <v>-</v>
      </c>
      <c r="BP228" s="1"/>
      <c r="BQ228" s="105" t="str">
        <f t="shared" si="14682"/>
        <v>-</v>
      </c>
      <c r="BR228" s="21" t="str">
        <f t="shared" si="14683"/>
        <v>-</v>
      </c>
      <c r="BS228" s="1"/>
      <c r="BT228" s="105" t="str">
        <f t="shared" si="14684"/>
        <v>-</v>
      </c>
      <c r="BU228" s="21" t="str">
        <f t="shared" si="14685"/>
        <v>-</v>
      </c>
      <c r="BV228" s="1"/>
      <c r="BW228" s="105" t="str">
        <f t="shared" si="14686"/>
        <v>-</v>
      </c>
      <c r="BX228" s="21" t="str">
        <f t="shared" si="14687"/>
        <v>-</v>
      </c>
      <c r="BZ228" s="105" t="str">
        <f t="shared" si="14688"/>
        <v>-</v>
      </c>
      <c r="CA228" s="21" t="str">
        <f t="shared" si="14689"/>
        <v>-</v>
      </c>
      <c r="CB228" s="1"/>
      <c r="CC228" s="105" t="str">
        <f t="shared" si="14690"/>
        <v>-</v>
      </c>
      <c r="CD228" s="21" t="str">
        <f t="shared" si="14691"/>
        <v>-</v>
      </c>
      <c r="CE228" s="1"/>
      <c r="CF228" s="105" t="str">
        <f t="shared" si="14692"/>
        <v>-</v>
      </c>
      <c r="CG228" s="21" t="str">
        <f t="shared" si="14693"/>
        <v>-</v>
      </c>
      <c r="CH228" s="1"/>
      <c r="CI228" s="105" t="str">
        <f t="shared" si="14694"/>
        <v>-</v>
      </c>
      <c r="CJ228" s="21" t="str">
        <f t="shared" si="14695"/>
        <v>-</v>
      </c>
      <c r="CK228" s="1"/>
      <c r="CL228" s="105" t="str">
        <f t="shared" si="14696"/>
        <v>-</v>
      </c>
      <c r="CM228" s="21" t="str">
        <f t="shared" si="14697"/>
        <v>-</v>
      </c>
      <c r="CN228" s="1"/>
      <c r="CO228" s="105" t="str">
        <f t="shared" si="14698"/>
        <v>-</v>
      </c>
      <c r="CP228" s="21" t="str">
        <f t="shared" si="14699"/>
        <v>-</v>
      </c>
      <c r="CQ228" s="1"/>
      <c r="CR228" s="105" t="str">
        <f t="shared" si="14700"/>
        <v>-</v>
      </c>
      <c r="CS228" s="21" t="str">
        <f t="shared" si="14701"/>
        <v>-</v>
      </c>
      <c r="CT228" s="1"/>
      <c r="CU228" s="105" t="str">
        <f t="shared" si="14702"/>
        <v>-</v>
      </c>
      <c r="CV228" s="21" t="str">
        <f t="shared" si="14703"/>
        <v>-</v>
      </c>
      <c r="CW228" s="1"/>
      <c r="CX228" s="105" t="str">
        <f t="shared" si="14704"/>
        <v>-</v>
      </c>
      <c r="CY228" s="21" t="str">
        <f t="shared" si="14705"/>
        <v>-</v>
      </c>
      <c r="CZ228" s="1"/>
      <c r="DA228" s="105" t="str">
        <f t="shared" si="14706"/>
        <v>-</v>
      </c>
      <c r="DB228" s="21" t="str">
        <f t="shared" si="14707"/>
        <v>-</v>
      </c>
      <c r="DC228" s="1"/>
      <c r="DD228" s="105" t="str">
        <f t="shared" si="14708"/>
        <v>-</v>
      </c>
      <c r="DE228" s="21" t="str">
        <f t="shared" si="14709"/>
        <v>-</v>
      </c>
      <c r="DF228" s="1"/>
      <c r="DG228" s="105" t="str">
        <f t="shared" si="14710"/>
        <v>-</v>
      </c>
      <c r="DH228" s="21" t="str">
        <f t="shared" si="14711"/>
        <v>-</v>
      </c>
    </row>
    <row r="229" spans="2:112" x14ac:dyDescent="0.3">
      <c r="B229" s="1">
        <v>18</v>
      </c>
      <c r="C229" s="15">
        <v>180</v>
      </c>
      <c r="D229" s="21">
        <v>8</v>
      </c>
      <c r="F229" s="105" t="str">
        <f t="shared" si="14640"/>
        <v>-</v>
      </c>
      <c r="G229" s="21" t="str">
        <f t="shared" si="14641"/>
        <v>-</v>
      </c>
      <c r="I229" s="105" t="str">
        <f t="shared" si="14642"/>
        <v>-</v>
      </c>
      <c r="J229" s="21" t="str">
        <f t="shared" si="14643"/>
        <v>-</v>
      </c>
      <c r="L229" s="105" t="str">
        <f t="shared" si="14644"/>
        <v>-</v>
      </c>
      <c r="M229" s="21" t="str">
        <f t="shared" si="14645"/>
        <v>-</v>
      </c>
      <c r="O229" s="105" t="str">
        <f t="shared" si="14646"/>
        <v>-</v>
      </c>
      <c r="P229" s="21" t="str">
        <f t="shared" si="14647"/>
        <v>-</v>
      </c>
      <c r="R229" s="105" t="str">
        <f t="shared" si="14648"/>
        <v>-</v>
      </c>
      <c r="S229" s="21" t="str">
        <f t="shared" si="14649"/>
        <v>-</v>
      </c>
      <c r="U229" s="105" t="str">
        <f t="shared" si="14650"/>
        <v>-</v>
      </c>
      <c r="V229" s="21" t="str">
        <f t="shared" si="14651"/>
        <v>-</v>
      </c>
      <c r="X229" s="105" t="str">
        <f t="shared" si="14652"/>
        <v>-</v>
      </c>
      <c r="Y229" s="21" t="str">
        <f t="shared" si="14653"/>
        <v>-</v>
      </c>
      <c r="AA229" s="105" t="str">
        <f t="shared" si="14654"/>
        <v>-</v>
      </c>
      <c r="AB229" s="21" t="str">
        <f t="shared" si="14655"/>
        <v>-</v>
      </c>
      <c r="AD229" s="105" t="str">
        <f t="shared" si="14656"/>
        <v>-</v>
      </c>
      <c r="AE229" s="21" t="str">
        <f t="shared" si="14657"/>
        <v>-</v>
      </c>
      <c r="AG229" s="105" t="str">
        <f t="shared" si="14658"/>
        <v>-</v>
      </c>
      <c r="AH229" s="21" t="str">
        <f t="shared" si="14659"/>
        <v>-</v>
      </c>
      <c r="AJ229" s="105" t="str">
        <f t="shared" si="14660"/>
        <v>-</v>
      </c>
      <c r="AK229" s="21" t="str">
        <f t="shared" si="14661"/>
        <v>-</v>
      </c>
      <c r="AM229" s="105" t="str">
        <f t="shared" si="14662"/>
        <v>-</v>
      </c>
      <c r="AN229" s="21" t="str">
        <f t="shared" si="14663"/>
        <v>-</v>
      </c>
      <c r="AP229" s="105" t="str">
        <f t="shared" si="14664"/>
        <v>-</v>
      </c>
      <c r="AQ229" s="21" t="str">
        <f t="shared" si="14665"/>
        <v>-</v>
      </c>
      <c r="AR229" s="1"/>
      <c r="AS229" s="105" t="str">
        <f t="shared" si="14666"/>
        <v>-</v>
      </c>
      <c r="AT229" s="21" t="str">
        <f t="shared" si="14667"/>
        <v>-</v>
      </c>
      <c r="AU229" s="1"/>
      <c r="AV229" s="105" t="str">
        <f t="shared" si="14668"/>
        <v>-</v>
      </c>
      <c r="AW229" s="21" t="str">
        <f t="shared" si="14669"/>
        <v>-</v>
      </c>
      <c r="AX229" s="1"/>
      <c r="AY229" s="105" t="str">
        <f t="shared" si="14670"/>
        <v>-</v>
      </c>
      <c r="AZ229" s="21" t="str">
        <f t="shared" si="14671"/>
        <v>-</v>
      </c>
      <c r="BA229" s="1"/>
      <c r="BB229" s="105" t="str">
        <f t="shared" si="14672"/>
        <v>-</v>
      </c>
      <c r="BC229" s="21" t="str">
        <f t="shared" si="14673"/>
        <v>-</v>
      </c>
      <c r="BD229" s="1"/>
      <c r="BE229" s="105" t="str">
        <f t="shared" si="14674"/>
        <v>-</v>
      </c>
      <c r="BF229" s="21" t="str">
        <f t="shared" si="14675"/>
        <v>-</v>
      </c>
      <c r="BG229" s="1"/>
      <c r="BH229" s="105" t="str">
        <f t="shared" si="14676"/>
        <v>-</v>
      </c>
      <c r="BI229" s="21" t="str">
        <f t="shared" si="14677"/>
        <v>-</v>
      </c>
      <c r="BJ229" s="1"/>
      <c r="BK229" s="105" t="str">
        <f t="shared" si="14678"/>
        <v>-</v>
      </c>
      <c r="BL229" s="21" t="str">
        <f t="shared" si="14679"/>
        <v>-</v>
      </c>
      <c r="BM229" s="1"/>
      <c r="BN229" s="105" t="str">
        <f t="shared" si="14680"/>
        <v>-</v>
      </c>
      <c r="BO229" s="21" t="str">
        <f t="shared" si="14681"/>
        <v>-</v>
      </c>
      <c r="BP229" s="1"/>
      <c r="BQ229" s="105" t="str">
        <f t="shared" si="14682"/>
        <v>-</v>
      </c>
      <c r="BR229" s="21" t="str">
        <f t="shared" si="14683"/>
        <v>-</v>
      </c>
      <c r="BS229" s="1"/>
      <c r="BT229" s="105" t="str">
        <f t="shared" si="14684"/>
        <v>-</v>
      </c>
      <c r="BU229" s="21" t="str">
        <f t="shared" si="14685"/>
        <v>-</v>
      </c>
      <c r="BV229" s="1"/>
      <c r="BW229" s="105" t="str">
        <f t="shared" si="14686"/>
        <v>-</v>
      </c>
      <c r="BX229" s="21" t="str">
        <f t="shared" si="14687"/>
        <v>-</v>
      </c>
      <c r="BZ229" s="105" t="str">
        <f t="shared" si="14688"/>
        <v>-</v>
      </c>
      <c r="CA229" s="21" t="str">
        <f t="shared" si="14689"/>
        <v>-</v>
      </c>
      <c r="CB229" s="1"/>
      <c r="CC229" s="105" t="str">
        <f t="shared" si="14690"/>
        <v>-</v>
      </c>
      <c r="CD229" s="21" t="str">
        <f t="shared" si="14691"/>
        <v>-</v>
      </c>
      <c r="CE229" s="1"/>
      <c r="CF229" s="105" t="str">
        <f t="shared" si="14692"/>
        <v>-</v>
      </c>
      <c r="CG229" s="21" t="str">
        <f t="shared" si="14693"/>
        <v>-</v>
      </c>
      <c r="CH229" s="1"/>
      <c r="CI229" s="105" t="str">
        <f t="shared" si="14694"/>
        <v>-</v>
      </c>
      <c r="CJ229" s="21" t="str">
        <f t="shared" si="14695"/>
        <v>-</v>
      </c>
      <c r="CK229" s="1"/>
      <c r="CL229" s="105" t="str">
        <f t="shared" si="14696"/>
        <v>-</v>
      </c>
      <c r="CM229" s="21" t="str">
        <f t="shared" si="14697"/>
        <v>-</v>
      </c>
      <c r="CN229" s="1"/>
      <c r="CO229" s="105" t="str">
        <f t="shared" si="14698"/>
        <v>-</v>
      </c>
      <c r="CP229" s="21" t="str">
        <f t="shared" si="14699"/>
        <v>-</v>
      </c>
      <c r="CQ229" s="1"/>
      <c r="CR229" s="105" t="str">
        <f t="shared" si="14700"/>
        <v>-</v>
      </c>
      <c r="CS229" s="21" t="str">
        <f t="shared" si="14701"/>
        <v>-</v>
      </c>
      <c r="CT229" s="1"/>
      <c r="CU229" s="105" t="str">
        <f t="shared" si="14702"/>
        <v>-</v>
      </c>
      <c r="CV229" s="21" t="str">
        <f t="shared" si="14703"/>
        <v>-</v>
      </c>
      <c r="CW229" s="1"/>
      <c r="CX229" s="105" t="str">
        <f t="shared" si="14704"/>
        <v>-</v>
      </c>
      <c r="CY229" s="21" t="str">
        <f t="shared" si="14705"/>
        <v>-</v>
      </c>
      <c r="CZ229" s="1"/>
      <c r="DA229" s="105" t="str">
        <f t="shared" si="14706"/>
        <v>-</v>
      </c>
      <c r="DB229" s="21" t="str">
        <f t="shared" si="14707"/>
        <v>-</v>
      </c>
      <c r="DC229" s="1"/>
      <c r="DD229" s="105" t="str">
        <f t="shared" si="14708"/>
        <v>-</v>
      </c>
      <c r="DE229" s="21" t="str">
        <f t="shared" si="14709"/>
        <v>-</v>
      </c>
      <c r="DF229" s="1"/>
      <c r="DG229" s="105" t="str">
        <f t="shared" si="14710"/>
        <v>-</v>
      </c>
      <c r="DH229" s="21" t="str">
        <f t="shared" si="14711"/>
        <v>-</v>
      </c>
    </row>
    <row r="230" spans="2:112" x14ac:dyDescent="0.3">
      <c r="B230" s="1">
        <v>19</v>
      </c>
      <c r="C230" s="15">
        <v>190</v>
      </c>
      <c r="D230" s="21">
        <v>9</v>
      </c>
      <c r="F230" s="105" t="str">
        <f t="shared" si="14640"/>
        <v>-</v>
      </c>
      <c r="G230" s="21" t="str">
        <f t="shared" si="14641"/>
        <v>-</v>
      </c>
      <c r="I230" s="105" t="str">
        <f t="shared" si="14642"/>
        <v>-</v>
      </c>
      <c r="J230" s="21" t="str">
        <f t="shared" si="14643"/>
        <v>-</v>
      </c>
      <c r="L230" s="105" t="str">
        <f t="shared" si="14644"/>
        <v>-</v>
      </c>
      <c r="M230" s="21" t="str">
        <f t="shared" si="14645"/>
        <v>-</v>
      </c>
      <c r="O230" s="105" t="str">
        <f t="shared" si="14646"/>
        <v>-</v>
      </c>
      <c r="P230" s="21" t="str">
        <f t="shared" si="14647"/>
        <v>-</v>
      </c>
      <c r="R230" s="105" t="str">
        <f t="shared" si="14648"/>
        <v>-</v>
      </c>
      <c r="S230" s="21" t="str">
        <f t="shared" si="14649"/>
        <v>-</v>
      </c>
      <c r="U230" s="105" t="str">
        <f t="shared" si="14650"/>
        <v>-</v>
      </c>
      <c r="V230" s="21" t="str">
        <f t="shared" si="14651"/>
        <v>-</v>
      </c>
      <c r="X230" s="105" t="str">
        <f t="shared" si="14652"/>
        <v>-</v>
      </c>
      <c r="Y230" s="21" t="str">
        <f t="shared" si="14653"/>
        <v>-</v>
      </c>
      <c r="AA230" s="105" t="str">
        <f t="shared" si="14654"/>
        <v>-</v>
      </c>
      <c r="AB230" s="21" t="str">
        <f t="shared" si="14655"/>
        <v>-</v>
      </c>
      <c r="AD230" s="105" t="str">
        <f t="shared" si="14656"/>
        <v>-</v>
      </c>
      <c r="AE230" s="21" t="str">
        <f t="shared" si="14657"/>
        <v>-</v>
      </c>
      <c r="AG230" s="105" t="str">
        <f t="shared" si="14658"/>
        <v>-</v>
      </c>
      <c r="AH230" s="21" t="str">
        <f t="shared" si="14659"/>
        <v>-</v>
      </c>
      <c r="AJ230" s="105" t="str">
        <f t="shared" si="14660"/>
        <v>-</v>
      </c>
      <c r="AK230" s="21" t="str">
        <f t="shared" si="14661"/>
        <v>-</v>
      </c>
      <c r="AM230" s="105" t="str">
        <f t="shared" si="14662"/>
        <v>-</v>
      </c>
      <c r="AN230" s="21" t="str">
        <f t="shared" si="14663"/>
        <v>-</v>
      </c>
      <c r="AP230" s="105" t="str">
        <f t="shared" si="14664"/>
        <v>-</v>
      </c>
      <c r="AQ230" s="21" t="str">
        <f t="shared" si="14665"/>
        <v>-</v>
      </c>
      <c r="AR230" s="1"/>
      <c r="AS230" s="105" t="str">
        <f t="shared" si="14666"/>
        <v>-</v>
      </c>
      <c r="AT230" s="21" t="str">
        <f t="shared" si="14667"/>
        <v>-</v>
      </c>
      <c r="AU230" s="1"/>
      <c r="AV230" s="105" t="str">
        <f t="shared" si="14668"/>
        <v>-</v>
      </c>
      <c r="AW230" s="21" t="str">
        <f t="shared" si="14669"/>
        <v>-</v>
      </c>
      <c r="AX230" s="1"/>
      <c r="AY230" s="105" t="str">
        <f t="shared" si="14670"/>
        <v>-</v>
      </c>
      <c r="AZ230" s="21" t="str">
        <f t="shared" si="14671"/>
        <v>-</v>
      </c>
      <c r="BA230" s="1"/>
      <c r="BB230" s="105" t="str">
        <f t="shared" si="14672"/>
        <v>-</v>
      </c>
      <c r="BC230" s="21" t="str">
        <f t="shared" si="14673"/>
        <v>-</v>
      </c>
      <c r="BD230" s="1"/>
      <c r="BE230" s="105" t="str">
        <f t="shared" si="14674"/>
        <v>-</v>
      </c>
      <c r="BF230" s="21" t="str">
        <f t="shared" si="14675"/>
        <v>-</v>
      </c>
      <c r="BG230" s="1"/>
      <c r="BH230" s="105" t="str">
        <f t="shared" si="14676"/>
        <v>-</v>
      </c>
      <c r="BI230" s="21" t="str">
        <f t="shared" si="14677"/>
        <v>-</v>
      </c>
      <c r="BJ230" s="1"/>
      <c r="BK230" s="105" t="str">
        <f t="shared" si="14678"/>
        <v>-</v>
      </c>
      <c r="BL230" s="21" t="str">
        <f t="shared" si="14679"/>
        <v>-</v>
      </c>
      <c r="BM230" s="1"/>
      <c r="BN230" s="105" t="str">
        <f t="shared" si="14680"/>
        <v>-</v>
      </c>
      <c r="BO230" s="21" t="str">
        <f t="shared" si="14681"/>
        <v>-</v>
      </c>
      <c r="BP230" s="1"/>
      <c r="BQ230" s="105" t="str">
        <f t="shared" si="14682"/>
        <v>-</v>
      </c>
      <c r="BR230" s="21" t="str">
        <f t="shared" si="14683"/>
        <v>-</v>
      </c>
      <c r="BS230" s="1"/>
      <c r="BT230" s="105" t="str">
        <f t="shared" si="14684"/>
        <v>-</v>
      </c>
      <c r="BU230" s="21" t="str">
        <f t="shared" si="14685"/>
        <v>-</v>
      </c>
      <c r="BV230" s="1"/>
      <c r="BW230" s="105" t="str">
        <f t="shared" si="14686"/>
        <v>-</v>
      </c>
      <c r="BX230" s="21" t="str">
        <f t="shared" si="14687"/>
        <v>-</v>
      </c>
      <c r="BZ230" s="105" t="str">
        <f t="shared" si="14688"/>
        <v>-</v>
      </c>
      <c r="CA230" s="21" t="str">
        <f t="shared" si="14689"/>
        <v>-</v>
      </c>
      <c r="CB230" s="1"/>
      <c r="CC230" s="105" t="str">
        <f t="shared" si="14690"/>
        <v>-</v>
      </c>
      <c r="CD230" s="21" t="str">
        <f t="shared" si="14691"/>
        <v>-</v>
      </c>
      <c r="CE230" s="1"/>
      <c r="CF230" s="105" t="str">
        <f t="shared" si="14692"/>
        <v>-</v>
      </c>
      <c r="CG230" s="21" t="str">
        <f t="shared" si="14693"/>
        <v>-</v>
      </c>
      <c r="CH230" s="1"/>
      <c r="CI230" s="105" t="str">
        <f t="shared" si="14694"/>
        <v>-</v>
      </c>
      <c r="CJ230" s="21" t="str">
        <f t="shared" si="14695"/>
        <v>-</v>
      </c>
      <c r="CK230" s="1"/>
      <c r="CL230" s="105" t="str">
        <f t="shared" si="14696"/>
        <v>-</v>
      </c>
      <c r="CM230" s="21" t="str">
        <f t="shared" si="14697"/>
        <v>-</v>
      </c>
      <c r="CN230" s="1"/>
      <c r="CO230" s="105" t="str">
        <f t="shared" si="14698"/>
        <v>-</v>
      </c>
      <c r="CP230" s="21" t="str">
        <f t="shared" si="14699"/>
        <v>-</v>
      </c>
      <c r="CQ230" s="1"/>
      <c r="CR230" s="105" t="str">
        <f t="shared" si="14700"/>
        <v>-</v>
      </c>
      <c r="CS230" s="21" t="str">
        <f t="shared" si="14701"/>
        <v>-</v>
      </c>
      <c r="CT230" s="1"/>
      <c r="CU230" s="105" t="str">
        <f t="shared" si="14702"/>
        <v>-</v>
      </c>
      <c r="CV230" s="21" t="str">
        <f t="shared" si="14703"/>
        <v>-</v>
      </c>
      <c r="CW230" s="1"/>
      <c r="CX230" s="105" t="str">
        <f t="shared" si="14704"/>
        <v>-</v>
      </c>
      <c r="CY230" s="21" t="str">
        <f t="shared" si="14705"/>
        <v>-</v>
      </c>
      <c r="CZ230" s="1"/>
      <c r="DA230" s="105" t="str">
        <f t="shared" si="14706"/>
        <v>-</v>
      </c>
      <c r="DB230" s="21" t="str">
        <f t="shared" si="14707"/>
        <v>-</v>
      </c>
      <c r="DC230" s="1"/>
      <c r="DD230" s="105" t="str">
        <f t="shared" si="14708"/>
        <v>-</v>
      </c>
      <c r="DE230" s="21" t="str">
        <f t="shared" si="14709"/>
        <v>-</v>
      </c>
      <c r="DF230" s="1"/>
      <c r="DG230" s="105" t="str">
        <f t="shared" si="14710"/>
        <v>-</v>
      </c>
      <c r="DH230" s="21" t="str">
        <f t="shared" si="14711"/>
        <v>-</v>
      </c>
    </row>
    <row r="231" spans="2:112" x14ac:dyDescent="0.3">
      <c r="B231" s="1">
        <v>20</v>
      </c>
      <c r="C231" s="17">
        <v>200</v>
      </c>
      <c r="D231" s="22">
        <v>10</v>
      </c>
      <c r="F231" s="104" t="str">
        <f t="shared" si="14640"/>
        <v>-</v>
      </c>
      <c r="G231" s="22" t="str">
        <f t="shared" si="14641"/>
        <v>-</v>
      </c>
      <c r="I231" s="104" t="str">
        <f t="shared" si="14642"/>
        <v>-</v>
      </c>
      <c r="J231" s="22" t="str">
        <f t="shared" si="14643"/>
        <v>-</v>
      </c>
      <c r="L231" s="104" t="str">
        <f t="shared" si="14644"/>
        <v>-</v>
      </c>
      <c r="M231" s="22" t="str">
        <f t="shared" si="14645"/>
        <v>-</v>
      </c>
      <c r="O231" s="104" t="str">
        <f t="shared" si="14646"/>
        <v>-</v>
      </c>
      <c r="P231" s="22" t="str">
        <f t="shared" si="14647"/>
        <v>-</v>
      </c>
      <c r="R231" s="104" t="str">
        <f t="shared" si="14648"/>
        <v>-</v>
      </c>
      <c r="S231" s="22" t="str">
        <f t="shared" si="14649"/>
        <v>-</v>
      </c>
      <c r="U231" s="104" t="str">
        <f t="shared" si="14650"/>
        <v>-</v>
      </c>
      <c r="V231" s="22" t="str">
        <f t="shared" si="14651"/>
        <v>-</v>
      </c>
      <c r="X231" s="104" t="str">
        <f t="shared" si="14652"/>
        <v>-</v>
      </c>
      <c r="Y231" s="22" t="str">
        <f t="shared" si="14653"/>
        <v>-</v>
      </c>
      <c r="AA231" s="104" t="str">
        <f t="shared" si="14654"/>
        <v>-</v>
      </c>
      <c r="AB231" s="22" t="str">
        <f t="shared" si="14655"/>
        <v>-</v>
      </c>
      <c r="AD231" s="104" t="str">
        <f t="shared" si="14656"/>
        <v>-</v>
      </c>
      <c r="AE231" s="22" t="str">
        <f t="shared" si="14657"/>
        <v>-</v>
      </c>
      <c r="AG231" s="104" t="str">
        <f t="shared" si="14658"/>
        <v>-</v>
      </c>
      <c r="AH231" s="22" t="str">
        <f t="shared" si="14659"/>
        <v>-</v>
      </c>
      <c r="AJ231" s="104" t="str">
        <f t="shared" si="14660"/>
        <v>-</v>
      </c>
      <c r="AK231" s="22" t="str">
        <f t="shared" si="14661"/>
        <v>-</v>
      </c>
      <c r="AM231" s="104" t="str">
        <f t="shared" si="14662"/>
        <v>-</v>
      </c>
      <c r="AN231" s="22" t="str">
        <f t="shared" si="14663"/>
        <v>-</v>
      </c>
      <c r="AP231" s="104" t="str">
        <f t="shared" si="14664"/>
        <v>-</v>
      </c>
      <c r="AQ231" s="22" t="str">
        <f t="shared" si="14665"/>
        <v>-</v>
      </c>
      <c r="AR231" s="1"/>
      <c r="AS231" s="104" t="str">
        <f t="shared" si="14666"/>
        <v>-</v>
      </c>
      <c r="AT231" s="22" t="str">
        <f t="shared" si="14667"/>
        <v>-</v>
      </c>
      <c r="AU231" s="1"/>
      <c r="AV231" s="104" t="str">
        <f t="shared" si="14668"/>
        <v>-</v>
      </c>
      <c r="AW231" s="22" t="str">
        <f t="shared" si="14669"/>
        <v>-</v>
      </c>
      <c r="AX231" s="1"/>
      <c r="AY231" s="104" t="str">
        <f t="shared" si="14670"/>
        <v>-</v>
      </c>
      <c r="AZ231" s="22" t="str">
        <f t="shared" si="14671"/>
        <v>-</v>
      </c>
      <c r="BA231" s="1"/>
      <c r="BB231" s="104" t="str">
        <f t="shared" si="14672"/>
        <v>-</v>
      </c>
      <c r="BC231" s="22" t="str">
        <f t="shared" si="14673"/>
        <v>-</v>
      </c>
      <c r="BD231" s="1"/>
      <c r="BE231" s="104" t="str">
        <f t="shared" si="14674"/>
        <v>-</v>
      </c>
      <c r="BF231" s="22" t="str">
        <f t="shared" si="14675"/>
        <v>-</v>
      </c>
      <c r="BG231" s="1"/>
      <c r="BH231" s="104" t="str">
        <f t="shared" si="14676"/>
        <v>-</v>
      </c>
      <c r="BI231" s="22" t="str">
        <f t="shared" si="14677"/>
        <v>-</v>
      </c>
      <c r="BJ231" s="1"/>
      <c r="BK231" s="104" t="str">
        <f t="shared" si="14678"/>
        <v>-</v>
      </c>
      <c r="BL231" s="22" t="str">
        <f t="shared" si="14679"/>
        <v>-</v>
      </c>
      <c r="BM231" s="1"/>
      <c r="BN231" s="104" t="str">
        <f t="shared" si="14680"/>
        <v>-</v>
      </c>
      <c r="BO231" s="22" t="str">
        <f t="shared" si="14681"/>
        <v>-</v>
      </c>
      <c r="BP231" s="1"/>
      <c r="BQ231" s="104" t="str">
        <f t="shared" si="14682"/>
        <v>-</v>
      </c>
      <c r="BR231" s="22" t="str">
        <f t="shared" si="14683"/>
        <v>-</v>
      </c>
      <c r="BS231" s="1"/>
      <c r="BT231" s="104" t="str">
        <f t="shared" si="14684"/>
        <v>-</v>
      </c>
      <c r="BU231" s="22" t="str">
        <f t="shared" si="14685"/>
        <v>-</v>
      </c>
      <c r="BV231" s="1"/>
      <c r="BW231" s="104" t="str">
        <f t="shared" si="14686"/>
        <v>-</v>
      </c>
      <c r="BX231" s="22" t="str">
        <f t="shared" si="14687"/>
        <v>-</v>
      </c>
      <c r="BZ231" s="104" t="str">
        <f t="shared" si="14688"/>
        <v>-</v>
      </c>
      <c r="CA231" s="22" t="str">
        <f t="shared" si="14689"/>
        <v>-</v>
      </c>
      <c r="CB231" s="1"/>
      <c r="CC231" s="104" t="str">
        <f t="shared" si="14690"/>
        <v>-</v>
      </c>
      <c r="CD231" s="22" t="str">
        <f t="shared" si="14691"/>
        <v>-</v>
      </c>
      <c r="CE231" s="1"/>
      <c r="CF231" s="104" t="str">
        <f t="shared" si="14692"/>
        <v>-</v>
      </c>
      <c r="CG231" s="22" t="str">
        <f t="shared" si="14693"/>
        <v>-</v>
      </c>
      <c r="CH231" s="1"/>
      <c r="CI231" s="104" t="str">
        <f t="shared" si="14694"/>
        <v>-</v>
      </c>
      <c r="CJ231" s="22" t="str">
        <f t="shared" si="14695"/>
        <v>-</v>
      </c>
      <c r="CK231" s="1"/>
      <c r="CL231" s="104" t="str">
        <f t="shared" si="14696"/>
        <v>-</v>
      </c>
      <c r="CM231" s="22" t="str">
        <f t="shared" si="14697"/>
        <v>-</v>
      </c>
      <c r="CN231" s="1"/>
      <c r="CO231" s="104" t="str">
        <f t="shared" si="14698"/>
        <v>-</v>
      </c>
      <c r="CP231" s="22" t="str">
        <f t="shared" si="14699"/>
        <v>-</v>
      </c>
      <c r="CQ231" s="1"/>
      <c r="CR231" s="104" t="str">
        <f t="shared" si="14700"/>
        <v>-</v>
      </c>
      <c r="CS231" s="22" t="str">
        <f t="shared" si="14701"/>
        <v>-</v>
      </c>
      <c r="CT231" s="1"/>
      <c r="CU231" s="104" t="str">
        <f t="shared" si="14702"/>
        <v>-</v>
      </c>
      <c r="CV231" s="22" t="str">
        <f t="shared" si="14703"/>
        <v>-</v>
      </c>
      <c r="CW231" s="1"/>
      <c r="CX231" s="104" t="str">
        <f t="shared" si="14704"/>
        <v>-</v>
      </c>
      <c r="CY231" s="22" t="str">
        <f t="shared" si="14705"/>
        <v>-</v>
      </c>
      <c r="CZ231" s="1"/>
      <c r="DA231" s="104" t="str">
        <f t="shared" si="14706"/>
        <v>-</v>
      </c>
      <c r="DB231" s="22" t="str">
        <f t="shared" si="14707"/>
        <v>-</v>
      </c>
      <c r="DC231" s="1"/>
      <c r="DD231" s="104" t="str">
        <f t="shared" si="14708"/>
        <v>-</v>
      </c>
      <c r="DE231" s="22" t="str">
        <f t="shared" si="14709"/>
        <v>-</v>
      </c>
      <c r="DF231" s="1"/>
      <c r="DG231" s="104" t="str">
        <f t="shared" si="14710"/>
        <v>-</v>
      </c>
      <c r="DH231" s="22" t="str">
        <f t="shared" si="14711"/>
        <v>-</v>
      </c>
    </row>
    <row r="232" spans="2:112" x14ac:dyDescent="0.3">
      <c r="C232" s="1">
        <f>SUM(C211:C231)</f>
        <v>2100</v>
      </c>
      <c r="D232" s="1">
        <f>SUM(D211:D231)</f>
        <v>55</v>
      </c>
      <c r="F232" s="1">
        <f>SUM(F211:F231)</f>
        <v>0</v>
      </c>
      <c r="G232" s="1">
        <f t="shared" ref="G232:BR232" si="14712">SUM(G211:G231)</f>
        <v>0</v>
      </c>
      <c r="H232" s="1"/>
      <c r="I232" s="1">
        <f t="shared" si="14712"/>
        <v>0</v>
      </c>
      <c r="J232" s="1">
        <f t="shared" si="14712"/>
        <v>0</v>
      </c>
      <c r="K232" s="1"/>
      <c r="L232" s="1">
        <f t="shared" si="14712"/>
        <v>0</v>
      </c>
      <c r="M232" s="1">
        <f t="shared" si="14712"/>
        <v>0</v>
      </c>
      <c r="N232" s="1"/>
      <c r="O232" s="1">
        <f t="shared" si="14712"/>
        <v>0</v>
      </c>
      <c r="P232" s="1">
        <f t="shared" si="14712"/>
        <v>0</v>
      </c>
      <c r="Q232" s="1"/>
      <c r="R232" s="1">
        <f t="shared" si="14712"/>
        <v>0</v>
      </c>
      <c r="S232" s="1">
        <f t="shared" si="14712"/>
        <v>0</v>
      </c>
      <c r="T232" s="1"/>
      <c r="U232" s="1">
        <f t="shared" si="14712"/>
        <v>0</v>
      </c>
      <c r="V232" s="1">
        <f t="shared" si="14712"/>
        <v>0</v>
      </c>
      <c r="W232" s="1"/>
      <c r="X232" s="1">
        <f t="shared" si="14712"/>
        <v>0</v>
      </c>
      <c r="Y232" s="1">
        <f t="shared" si="14712"/>
        <v>0</v>
      </c>
      <c r="Z232" s="1"/>
      <c r="AA232" s="1">
        <f t="shared" si="14712"/>
        <v>0</v>
      </c>
      <c r="AB232" s="1">
        <f t="shared" si="14712"/>
        <v>0</v>
      </c>
      <c r="AC232" s="1"/>
      <c r="AD232" s="1">
        <f t="shared" si="14712"/>
        <v>0</v>
      </c>
      <c r="AE232" s="1">
        <f t="shared" si="14712"/>
        <v>0</v>
      </c>
      <c r="AF232" s="1"/>
      <c r="AG232" s="1">
        <f t="shared" si="14712"/>
        <v>0</v>
      </c>
      <c r="AH232" s="1">
        <f t="shared" si="14712"/>
        <v>0</v>
      </c>
      <c r="AI232" s="1"/>
      <c r="AJ232" s="1">
        <f t="shared" si="14712"/>
        <v>0</v>
      </c>
      <c r="AK232" s="1">
        <f t="shared" si="14712"/>
        <v>0</v>
      </c>
      <c r="AL232" s="1"/>
      <c r="AM232" s="1">
        <f t="shared" si="14712"/>
        <v>0</v>
      </c>
      <c r="AN232" s="1">
        <f t="shared" si="14712"/>
        <v>0</v>
      </c>
      <c r="AO232" s="1"/>
      <c r="AP232" s="1">
        <f t="shared" si="14712"/>
        <v>0</v>
      </c>
      <c r="AQ232" s="1">
        <f t="shared" si="14712"/>
        <v>0</v>
      </c>
      <c r="AR232" s="1"/>
      <c r="AS232" s="1">
        <f t="shared" si="14712"/>
        <v>160</v>
      </c>
      <c r="AT232" s="1">
        <f t="shared" si="14712"/>
        <v>6</v>
      </c>
      <c r="AU232" s="1"/>
      <c r="AV232" s="1">
        <f t="shared" si="14712"/>
        <v>160</v>
      </c>
      <c r="AW232" s="1">
        <f t="shared" si="14712"/>
        <v>6</v>
      </c>
      <c r="AX232" s="1"/>
      <c r="AY232" s="1">
        <f t="shared" si="14712"/>
        <v>0</v>
      </c>
      <c r="AZ232" s="1">
        <f t="shared" si="14712"/>
        <v>0</v>
      </c>
      <c r="BA232" s="1"/>
      <c r="BB232" s="1">
        <f t="shared" si="14712"/>
        <v>160</v>
      </c>
      <c r="BC232" s="1">
        <f t="shared" si="14712"/>
        <v>6</v>
      </c>
      <c r="BD232" s="1"/>
      <c r="BE232" s="1">
        <f t="shared" si="14712"/>
        <v>0</v>
      </c>
      <c r="BF232" s="1">
        <f t="shared" si="14712"/>
        <v>0</v>
      </c>
      <c r="BG232" s="1"/>
      <c r="BH232" s="1">
        <f t="shared" si="14712"/>
        <v>0</v>
      </c>
      <c r="BI232" s="1">
        <f t="shared" si="14712"/>
        <v>0</v>
      </c>
      <c r="BJ232" s="1"/>
      <c r="BK232" s="1">
        <f t="shared" si="14712"/>
        <v>160</v>
      </c>
      <c r="BL232" s="1">
        <f t="shared" si="14712"/>
        <v>6</v>
      </c>
      <c r="BM232" s="1"/>
      <c r="BN232" s="1">
        <f t="shared" si="14712"/>
        <v>160</v>
      </c>
      <c r="BO232" s="1">
        <f t="shared" si="14712"/>
        <v>6</v>
      </c>
      <c r="BP232" s="1"/>
      <c r="BQ232" s="1">
        <f t="shared" si="14712"/>
        <v>0</v>
      </c>
      <c r="BR232" s="1">
        <f t="shared" si="14712"/>
        <v>0</v>
      </c>
      <c r="BS232" s="1"/>
      <c r="BT232" s="1">
        <f t="shared" ref="BT232:BX232" si="14713">SUM(BT211:BT231)</f>
        <v>0</v>
      </c>
      <c r="BU232" s="1">
        <f t="shared" si="14713"/>
        <v>0</v>
      </c>
      <c r="BV232" s="1"/>
      <c r="BW232" s="1">
        <f t="shared" si="14713"/>
        <v>160</v>
      </c>
      <c r="BX232" s="1">
        <f t="shared" si="14713"/>
        <v>6</v>
      </c>
      <c r="BZ232" s="1">
        <f t="shared" ref="BZ232:CA232" si="14714">SUM(BZ211:BZ231)</f>
        <v>0</v>
      </c>
      <c r="CA232" s="1">
        <f t="shared" si="14714"/>
        <v>0</v>
      </c>
      <c r="CB232" s="1"/>
      <c r="CC232" s="1">
        <f t="shared" ref="CC232:CD232" si="14715">SUM(CC211:CC231)</f>
        <v>0</v>
      </c>
      <c r="CD232" s="1">
        <f t="shared" si="14715"/>
        <v>0</v>
      </c>
      <c r="CE232" s="1"/>
      <c r="CF232" s="1">
        <f t="shared" ref="CF232:CG232" si="14716">SUM(CF211:CF231)</f>
        <v>0</v>
      </c>
      <c r="CG232" s="1">
        <f t="shared" si="14716"/>
        <v>0</v>
      </c>
      <c r="CH232" s="1"/>
      <c r="CI232" s="1">
        <f t="shared" ref="CI232:CJ232" si="14717">SUM(CI211:CI231)</f>
        <v>0</v>
      </c>
      <c r="CJ232" s="1">
        <f t="shared" si="14717"/>
        <v>0</v>
      </c>
      <c r="CK232" s="1"/>
      <c r="CL232" s="1">
        <f t="shared" ref="CL232:CM232" si="14718">SUM(CL211:CL231)</f>
        <v>0</v>
      </c>
      <c r="CM232" s="1">
        <f t="shared" si="14718"/>
        <v>0</v>
      </c>
      <c r="CN232" s="1"/>
      <c r="CO232" s="1">
        <f t="shared" ref="CO232:CP232" si="14719">SUM(CO211:CO231)</f>
        <v>0</v>
      </c>
      <c r="CP232" s="1">
        <f t="shared" si="14719"/>
        <v>0</v>
      </c>
      <c r="CQ232" s="1"/>
      <c r="CR232" s="1">
        <f t="shared" ref="CR232:CS232" si="14720">SUM(CR211:CR231)</f>
        <v>0</v>
      </c>
      <c r="CS232" s="1">
        <f t="shared" si="14720"/>
        <v>0</v>
      </c>
      <c r="CT232" s="1"/>
      <c r="CU232" s="1">
        <f t="shared" ref="CU232:CV232" si="14721">SUM(CU211:CU231)</f>
        <v>0</v>
      </c>
      <c r="CV232" s="1">
        <f t="shared" si="14721"/>
        <v>0</v>
      </c>
      <c r="CW232" s="1"/>
      <c r="CX232" s="1">
        <f t="shared" ref="CX232:CY232" si="14722">SUM(CX211:CX231)</f>
        <v>0</v>
      </c>
      <c r="CY232" s="1">
        <f t="shared" si="14722"/>
        <v>0</v>
      </c>
      <c r="CZ232" s="1"/>
      <c r="DA232" s="1">
        <f t="shared" ref="DA232:DB232" si="14723">SUM(DA211:DA231)</f>
        <v>0</v>
      </c>
      <c r="DB232" s="1">
        <f t="shared" si="14723"/>
        <v>0</v>
      </c>
      <c r="DC232" s="1"/>
      <c r="DD232" s="1">
        <f t="shared" ref="DD232:DE232" si="14724">SUM(DD211:DD231)</f>
        <v>0</v>
      </c>
      <c r="DE232" s="1">
        <f t="shared" si="14724"/>
        <v>0</v>
      </c>
      <c r="DF232" s="1"/>
      <c r="DG232" s="1">
        <f t="shared" ref="DG232:DH232" si="14725">SUM(DG211:DG231)</f>
        <v>0</v>
      </c>
      <c r="DH232" s="1">
        <f t="shared" si="14725"/>
        <v>0</v>
      </c>
    </row>
    <row r="234" spans="2:112" x14ac:dyDescent="0.3">
      <c r="B234" s="564" t="s">
        <v>574</v>
      </c>
      <c r="C234" s="564"/>
      <c r="D234" s="564"/>
    </row>
    <row r="235" spans="2:112" x14ac:dyDescent="0.3">
      <c r="B235" s="2" t="s">
        <v>174</v>
      </c>
      <c r="C235" s="185" t="s">
        <v>570</v>
      </c>
      <c r="D235" s="185" t="s">
        <v>575</v>
      </c>
    </row>
    <row r="236" spans="2:112" x14ac:dyDescent="0.3">
      <c r="B236" s="1">
        <v>0</v>
      </c>
      <c r="C236" s="20" t="s">
        <v>27</v>
      </c>
    </row>
    <row r="237" spans="2:112" x14ac:dyDescent="0.3">
      <c r="B237" s="1">
        <v>1</v>
      </c>
      <c r="C237" s="15">
        <v>10</v>
      </c>
      <c r="D237" s="1">
        <f>C237</f>
        <v>10</v>
      </c>
    </row>
    <row r="238" spans="2:112" x14ac:dyDescent="0.3">
      <c r="B238" s="1">
        <v>2</v>
      </c>
      <c r="C238" s="67">
        <v>15</v>
      </c>
      <c r="D238" s="88">
        <f>C238+D237</f>
        <v>25</v>
      </c>
    </row>
    <row r="239" spans="2:112" x14ac:dyDescent="0.3">
      <c r="B239" s="1">
        <v>3</v>
      </c>
      <c r="C239" s="67">
        <v>20</v>
      </c>
      <c r="D239" s="88">
        <f t="shared" ref="D239:D302" si="14726">C239+D238</f>
        <v>45</v>
      </c>
    </row>
    <row r="240" spans="2:112" x14ac:dyDescent="0.3">
      <c r="B240" s="1">
        <v>4</v>
      </c>
      <c r="C240" s="67">
        <v>25</v>
      </c>
      <c r="D240" s="88">
        <f t="shared" si="14726"/>
        <v>70</v>
      </c>
    </row>
    <row r="241" spans="2:4" x14ac:dyDescent="0.3">
      <c r="B241" s="1">
        <v>5</v>
      </c>
      <c r="C241" s="67">
        <v>30</v>
      </c>
      <c r="D241" s="88">
        <f t="shared" si="14726"/>
        <v>100</v>
      </c>
    </row>
    <row r="242" spans="2:4" x14ac:dyDescent="0.3">
      <c r="B242" s="1">
        <v>6</v>
      </c>
      <c r="C242" s="67">
        <v>35</v>
      </c>
      <c r="D242" s="88">
        <f t="shared" si="14726"/>
        <v>135</v>
      </c>
    </row>
    <row r="243" spans="2:4" x14ac:dyDescent="0.3">
      <c r="B243" s="1">
        <v>7</v>
      </c>
      <c r="C243" s="67">
        <v>40</v>
      </c>
      <c r="D243" s="88">
        <f t="shared" si="14726"/>
        <v>175</v>
      </c>
    </row>
    <row r="244" spans="2:4" x14ac:dyDescent="0.3">
      <c r="B244" s="1">
        <v>8</v>
      </c>
      <c r="C244" s="67">
        <v>45</v>
      </c>
      <c r="D244" s="88">
        <f t="shared" si="14726"/>
        <v>220</v>
      </c>
    </row>
    <row r="245" spans="2:4" x14ac:dyDescent="0.3">
      <c r="B245" s="1">
        <v>9</v>
      </c>
      <c r="C245" s="67">
        <v>50</v>
      </c>
      <c r="D245" s="88">
        <f t="shared" si="14726"/>
        <v>270</v>
      </c>
    </row>
    <row r="246" spans="2:4" x14ac:dyDescent="0.3">
      <c r="B246" s="1">
        <v>10</v>
      </c>
      <c r="C246" s="67">
        <v>55</v>
      </c>
      <c r="D246" s="88">
        <f t="shared" si="14726"/>
        <v>325</v>
      </c>
    </row>
    <row r="247" spans="2:4" x14ac:dyDescent="0.3">
      <c r="B247" s="1">
        <v>11</v>
      </c>
      <c r="C247" s="67">
        <v>60</v>
      </c>
      <c r="D247" s="88">
        <f t="shared" si="14726"/>
        <v>385</v>
      </c>
    </row>
    <row r="248" spans="2:4" x14ac:dyDescent="0.3">
      <c r="B248" s="1">
        <v>12</v>
      </c>
      <c r="C248" s="67">
        <v>65</v>
      </c>
      <c r="D248" s="88">
        <f t="shared" si="14726"/>
        <v>450</v>
      </c>
    </row>
    <row r="249" spans="2:4" x14ac:dyDescent="0.3">
      <c r="B249" s="1">
        <v>13</v>
      </c>
      <c r="C249" s="67">
        <v>70</v>
      </c>
      <c r="D249" s="88">
        <f t="shared" si="14726"/>
        <v>520</v>
      </c>
    </row>
    <row r="250" spans="2:4" x14ac:dyDescent="0.3">
      <c r="B250" s="1">
        <v>14</v>
      </c>
      <c r="C250" s="67">
        <v>75</v>
      </c>
      <c r="D250" s="88">
        <f t="shared" si="14726"/>
        <v>595</v>
      </c>
    </row>
    <row r="251" spans="2:4" x14ac:dyDescent="0.3">
      <c r="B251" s="1">
        <v>15</v>
      </c>
      <c r="C251" s="67">
        <v>80</v>
      </c>
      <c r="D251" s="88">
        <f t="shared" si="14726"/>
        <v>675</v>
      </c>
    </row>
    <row r="252" spans="2:4" x14ac:dyDescent="0.3">
      <c r="B252" s="1">
        <v>16</v>
      </c>
      <c r="C252" s="67">
        <v>85</v>
      </c>
      <c r="D252" s="88">
        <f t="shared" si="14726"/>
        <v>760</v>
      </c>
    </row>
    <row r="253" spans="2:4" x14ac:dyDescent="0.3">
      <c r="B253" s="1">
        <v>17</v>
      </c>
      <c r="C253" s="67">
        <v>90</v>
      </c>
      <c r="D253" s="88">
        <f t="shared" si="14726"/>
        <v>850</v>
      </c>
    </row>
    <row r="254" spans="2:4" x14ac:dyDescent="0.3">
      <c r="B254" s="1">
        <v>18</v>
      </c>
      <c r="C254" s="67">
        <v>95</v>
      </c>
      <c r="D254" s="88">
        <f t="shared" si="14726"/>
        <v>945</v>
      </c>
    </row>
    <row r="255" spans="2:4" x14ac:dyDescent="0.3">
      <c r="B255" s="1">
        <v>19</v>
      </c>
      <c r="C255" s="67">
        <v>100</v>
      </c>
      <c r="D255" s="88">
        <f t="shared" si="14726"/>
        <v>1045</v>
      </c>
    </row>
    <row r="256" spans="2:4" x14ac:dyDescent="0.3">
      <c r="B256" s="1">
        <v>20</v>
      </c>
      <c r="C256" s="67">
        <v>105</v>
      </c>
      <c r="D256" s="88">
        <f t="shared" si="14726"/>
        <v>1150</v>
      </c>
    </row>
    <row r="257" spans="2:4" x14ac:dyDescent="0.3">
      <c r="B257" s="1">
        <v>21</v>
      </c>
      <c r="C257" s="67">
        <v>110</v>
      </c>
      <c r="D257" s="88">
        <f t="shared" si="14726"/>
        <v>1260</v>
      </c>
    </row>
    <row r="258" spans="2:4" x14ac:dyDescent="0.3">
      <c r="B258" s="1">
        <v>22</v>
      </c>
      <c r="C258" s="67">
        <v>115</v>
      </c>
      <c r="D258" s="88">
        <f t="shared" si="14726"/>
        <v>1375</v>
      </c>
    </row>
    <row r="259" spans="2:4" x14ac:dyDescent="0.3">
      <c r="B259" s="1">
        <v>23</v>
      </c>
      <c r="C259" s="67">
        <v>120</v>
      </c>
      <c r="D259" s="88">
        <f t="shared" si="14726"/>
        <v>1495</v>
      </c>
    </row>
    <row r="260" spans="2:4" x14ac:dyDescent="0.3">
      <c r="B260" s="1">
        <v>24</v>
      </c>
      <c r="C260" s="67">
        <v>125</v>
      </c>
      <c r="D260" s="88">
        <f t="shared" si="14726"/>
        <v>1620</v>
      </c>
    </row>
    <row r="261" spans="2:4" x14ac:dyDescent="0.3">
      <c r="B261" s="1">
        <v>25</v>
      </c>
      <c r="C261" s="67">
        <v>130</v>
      </c>
      <c r="D261" s="88">
        <f t="shared" si="14726"/>
        <v>1750</v>
      </c>
    </row>
    <row r="262" spans="2:4" x14ac:dyDescent="0.3">
      <c r="B262" s="1">
        <v>26</v>
      </c>
      <c r="C262" s="67">
        <v>135</v>
      </c>
      <c r="D262" s="88">
        <f t="shared" si="14726"/>
        <v>1885</v>
      </c>
    </row>
    <row r="263" spans="2:4" x14ac:dyDescent="0.3">
      <c r="B263" s="1">
        <v>27</v>
      </c>
      <c r="C263" s="67">
        <v>140</v>
      </c>
      <c r="D263" s="88">
        <f t="shared" si="14726"/>
        <v>2025</v>
      </c>
    </row>
    <row r="264" spans="2:4" x14ac:dyDescent="0.3">
      <c r="B264" s="1">
        <v>28</v>
      </c>
      <c r="C264" s="67">
        <v>145</v>
      </c>
      <c r="D264" s="88">
        <f t="shared" si="14726"/>
        <v>2170</v>
      </c>
    </row>
    <row r="265" spans="2:4" x14ac:dyDescent="0.3">
      <c r="B265" s="1">
        <v>29</v>
      </c>
      <c r="C265" s="67">
        <v>150</v>
      </c>
      <c r="D265" s="88">
        <f t="shared" si="14726"/>
        <v>2320</v>
      </c>
    </row>
    <row r="266" spans="2:4" x14ac:dyDescent="0.3">
      <c r="B266" s="1">
        <v>30</v>
      </c>
      <c r="C266" s="67">
        <v>160</v>
      </c>
      <c r="D266" s="88">
        <f t="shared" si="14726"/>
        <v>2480</v>
      </c>
    </row>
    <row r="267" spans="2:4" x14ac:dyDescent="0.3">
      <c r="B267" s="1">
        <v>31</v>
      </c>
      <c r="C267" s="67">
        <v>170</v>
      </c>
      <c r="D267" s="88">
        <f t="shared" si="14726"/>
        <v>2650</v>
      </c>
    </row>
    <row r="268" spans="2:4" x14ac:dyDescent="0.3">
      <c r="B268" s="1">
        <v>32</v>
      </c>
      <c r="C268" s="67">
        <v>180</v>
      </c>
      <c r="D268" s="88">
        <f t="shared" si="14726"/>
        <v>2830</v>
      </c>
    </row>
    <row r="269" spans="2:4" x14ac:dyDescent="0.3">
      <c r="B269" s="1">
        <v>33</v>
      </c>
      <c r="C269" s="67">
        <v>190</v>
      </c>
      <c r="D269" s="88">
        <f t="shared" si="14726"/>
        <v>3020</v>
      </c>
    </row>
    <row r="270" spans="2:4" x14ac:dyDescent="0.3">
      <c r="B270" s="1">
        <v>34</v>
      </c>
      <c r="C270" s="67">
        <v>200</v>
      </c>
      <c r="D270" s="88">
        <f t="shared" si="14726"/>
        <v>3220</v>
      </c>
    </row>
    <row r="271" spans="2:4" x14ac:dyDescent="0.3">
      <c r="B271" s="1">
        <v>35</v>
      </c>
      <c r="C271" s="67">
        <v>210</v>
      </c>
      <c r="D271" s="88">
        <f t="shared" si="14726"/>
        <v>3430</v>
      </c>
    </row>
    <row r="272" spans="2:4" x14ac:dyDescent="0.3">
      <c r="B272" s="1">
        <v>36</v>
      </c>
      <c r="C272" s="67">
        <v>220</v>
      </c>
      <c r="D272" s="88">
        <f t="shared" si="14726"/>
        <v>3650</v>
      </c>
    </row>
    <row r="273" spans="2:4" x14ac:dyDescent="0.3">
      <c r="B273" s="1">
        <v>37</v>
      </c>
      <c r="C273" s="67">
        <v>230</v>
      </c>
      <c r="D273" s="88">
        <f t="shared" si="14726"/>
        <v>3880</v>
      </c>
    </row>
    <row r="274" spans="2:4" x14ac:dyDescent="0.3">
      <c r="B274" s="1">
        <v>38</v>
      </c>
      <c r="C274" s="67">
        <v>240</v>
      </c>
      <c r="D274" s="88">
        <f t="shared" si="14726"/>
        <v>4120</v>
      </c>
    </row>
    <row r="275" spans="2:4" x14ac:dyDescent="0.3">
      <c r="B275" s="1">
        <v>39</v>
      </c>
      <c r="C275" s="67">
        <v>250</v>
      </c>
      <c r="D275" s="88">
        <f t="shared" si="14726"/>
        <v>4370</v>
      </c>
    </row>
    <row r="276" spans="2:4" x14ac:dyDescent="0.3">
      <c r="B276" s="1">
        <v>40</v>
      </c>
      <c r="C276" s="67">
        <v>270</v>
      </c>
      <c r="D276" s="88">
        <f t="shared" si="14726"/>
        <v>4640</v>
      </c>
    </row>
    <row r="277" spans="2:4" x14ac:dyDescent="0.3">
      <c r="B277" s="1">
        <v>41</v>
      </c>
      <c r="C277" s="67">
        <v>290</v>
      </c>
      <c r="D277" s="88">
        <f t="shared" si="14726"/>
        <v>4930</v>
      </c>
    </row>
    <row r="278" spans="2:4" x14ac:dyDescent="0.3">
      <c r="B278" s="1">
        <v>42</v>
      </c>
      <c r="C278" s="67">
        <v>310</v>
      </c>
      <c r="D278" s="88">
        <f t="shared" si="14726"/>
        <v>5240</v>
      </c>
    </row>
    <row r="279" spans="2:4" x14ac:dyDescent="0.3">
      <c r="B279" s="1">
        <v>43</v>
      </c>
      <c r="C279" s="67">
        <v>330</v>
      </c>
      <c r="D279" s="88">
        <f t="shared" si="14726"/>
        <v>5570</v>
      </c>
    </row>
    <row r="280" spans="2:4" x14ac:dyDescent="0.3">
      <c r="B280" s="1">
        <v>44</v>
      </c>
      <c r="C280" s="67">
        <v>350</v>
      </c>
      <c r="D280" s="88">
        <f t="shared" si="14726"/>
        <v>5920</v>
      </c>
    </row>
    <row r="281" spans="2:4" x14ac:dyDescent="0.3">
      <c r="B281" s="1">
        <v>45</v>
      </c>
      <c r="C281" s="67">
        <v>370</v>
      </c>
      <c r="D281" s="88">
        <f t="shared" si="14726"/>
        <v>6290</v>
      </c>
    </row>
    <row r="282" spans="2:4" x14ac:dyDescent="0.3">
      <c r="B282" s="1">
        <v>46</v>
      </c>
      <c r="C282" s="67">
        <v>390</v>
      </c>
      <c r="D282" s="88">
        <f t="shared" si="14726"/>
        <v>6680</v>
      </c>
    </row>
    <row r="283" spans="2:4" x14ac:dyDescent="0.3">
      <c r="B283" s="1">
        <v>47</v>
      </c>
      <c r="C283" s="67">
        <v>410</v>
      </c>
      <c r="D283" s="88">
        <f t="shared" si="14726"/>
        <v>7090</v>
      </c>
    </row>
    <row r="284" spans="2:4" x14ac:dyDescent="0.3">
      <c r="B284" s="1">
        <v>48</v>
      </c>
      <c r="C284" s="67">
        <v>430</v>
      </c>
      <c r="D284" s="88">
        <f t="shared" si="14726"/>
        <v>7520</v>
      </c>
    </row>
    <row r="285" spans="2:4" x14ac:dyDescent="0.3">
      <c r="B285" s="1">
        <v>49</v>
      </c>
      <c r="C285" s="67">
        <v>450</v>
      </c>
      <c r="D285" s="88">
        <f t="shared" si="14726"/>
        <v>7970</v>
      </c>
    </row>
    <row r="286" spans="2:4" x14ac:dyDescent="0.3">
      <c r="B286" s="1">
        <v>50</v>
      </c>
      <c r="C286" s="67">
        <v>470</v>
      </c>
      <c r="D286" s="88">
        <f t="shared" si="14726"/>
        <v>8440</v>
      </c>
    </row>
    <row r="287" spans="2:4" x14ac:dyDescent="0.3">
      <c r="B287" s="1">
        <v>51</v>
      </c>
      <c r="C287" s="67">
        <v>490</v>
      </c>
      <c r="D287" s="88">
        <f t="shared" si="14726"/>
        <v>8930</v>
      </c>
    </row>
    <row r="288" spans="2:4" x14ac:dyDescent="0.3">
      <c r="B288" s="1">
        <v>52</v>
      </c>
      <c r="C288" s="67">
        <v>510</v>
      </c>
      <c r="D288" s="88">
        <f t="shared" si="14726"/>
        <v>9440</v>
      </c>
    </row>
    <row r="289" spans="2:4" x14ac:dyDescent="0.3">
      <c r="B289" s="1">
        <v>53</v>
      </c>
      <c r="C289" s="67">
        <v>530</v>
      </c>
      <c r="D289" s="88">
        <f t="shared" si="14726"/>
        <v>9970</v>
      </c>
    </row>
    <row r="290" spans="2:4" x14ac:dyDescent="0.3">
      <c r="B290" s="1">
        <v>54</v>
      </c>
      <c r="C290" s="67">
        <v>550</v>
      </c>
      <c r="D290" s="88">
        <f t="shared" si="14726"/>
        <v>10520</v>
      </c>
    </row>
    <row r="291" spans="2:4" x14ac:dyDescent="0.3">
      <c r="B291" s="1">
        <v>55</v>
      </c>
      <c r="C291" s="67">
        <v>570</v>
      </c>
      <c r="D291" s="88">
        <f t="shared" si="14726"/>
        <v>11090</v>
      </c>
    </row>
    <row r="292" spans="2:4" x14ac:dyDescent="0.3">
      <c r="B292" s="1">
        <v>56</v>
      </c>
      <c r="C292" s="67">
        <v>590</v>
      </c>
      <c r="D292" s="88">
        <f t="shared" si="14726"/>
        <v>11680</v>
      </c>
    </row>
    <row r="293" spans="2:4" x14ac:dyDescent="0.3">
      <c r="B293" s="1">
        <v>57</v>
      </c>
      <c r="C293" s="67">
        <v>610</v>
      </c>
      <c r="D293" s="88">
        <f t="shared" si="14726"/>
        <v>12290</v>
      </c>
    </row>
    <row r="294" spans="2:4" x14ac:dyDescent="0.3">
      <c r="B294" s="1">
        <v>58</v>
      </c>
      <c r="C294" s="67">
        <v>630</v>
      </c>
      <c r="D294" s="88">
        <f t="shared" si="14726"/>
        <v>12920</v>
      </c>
    </row>
    <row r="295" spans="2:4" x14ac:dyDescent="0.3">
      <c r="B295" s="1">
        <v>59</v>
      </c>
      <c r="C295" s="67">
        <v>650</v>
      </c>
      <c r="D295" s="88">
        <f t="shared" si="14726"/>
        <v>13570</v>
      </c>
    </row>
    <row r="296" spans="2:4" x14ac:dyDescent="0.3">
      <c r="B296" s="1">
        <v>60</v>
      </c>
      <c r="C296" s="67">
        <v>680</v>
      </c>
      <c r="D296" s="88">
        <f t="shared" si="14726"/>
        <v>14250</v>
      </c>
    </row>
    <row r="297" spans="2:4" x14ac:dyDescent="0.3">
      <c r="B297" s="1">
        <v>61</v>
      </c>
      <c r="C297" s="67">
        <v>710</v>
      </c>
      <c r="D297" s="88">
        <f t="shared" si="14726"/>
        <v>14960</v>
      </c>
    </row>
    <row r="298" spans="2:4" x14ac:dyDescent="0.3">
      <c r="B298" s="1">
        <v>62</v>
      </c>
      <c r="C298" s="67">
        <v>740</v>
      </c>
      <c r="D298" s="88">
        <f t="shared" si="14726"/>
        <v>15700</v>
      </c>
    </row>
    <row r="299" spans="2:4" x14ac:dyDescent="0.3">
      <c r="B299" s="1">
        <v>63</v>
      </c>
      <c r="C299" s="67">
        <v>770</v>
      </c>
      <c r="D299" s="88">
        <f t="shared" si="14726"/>
        <v>16470</v>
      </c>
    </row>
    <row r="300" spans="2:4" x14ac:dyDescent="0.3">
      <c r="B300" s="1">
        <v>64</v>
      </c>
      <c r="C300" s="67">
        <v>800</v>
      </c>
      <c r="D300" s="88">
        <f t="shared" si="14726"/>
        <v>17270</v>
      </c>
    </row>
    <row r="301" spans="2:4" x14ac:dyDescent="0.3">
      <c r="B301" s="1">
        <v>65</v>
      </c>
      <c r="C301" s="67">
        <v>830</v>
      </c>
      <c r="D301" s="88">
        <f t="shared" si="14726"/>
        <v>18100</v>
      </c>
    </row>
    <row r="302" spans="2:4" x14ac:dyDescent="0.3">
      <c r="B302" s="1">
        <v>66</v>
      </c>
      <c r="C302" s="67">
        <v>860</v>
      </c>
      <c r="D302" s="88">
        <f t="shared" si="14726"/>
        <v>18960</v>
      </c>
    </row>
    <row r="303" spans="2:4" x14ac:dyDescent="0.3">
      <c r="B303" s="1">
        <v>67</v>
      </c>
      <c r="C303" s="67">
        <v>890</v>
      </c>
      <c r="D303" s="88">
        <f t="shared" ref="D303:D336" si="14727">C303+D302</f>
        <v>19850</v>
      </c>
    </row>
    <row r="304" spans="2:4" x14ac:dyDescent="0.3">
      <c r="B304" s="1">
        <v>68</v>
      </c>
      <c r="C304" s="67">
        <v>920</v>
      </c>
      <c r="D304" s="88">
        <f t="shared" si="14727"/>
        <v>20770</v>
      </c>
    </row>
    <row r="305" spans="2:4" x14ac:dyDescent="0.3">
      <c r="B305" s="1">
        <v>69</v>
      </c>
      <c r="C305" s="67">
        <v>950</v>
      </c>
      <c r="D305" s="88">
        <f t="shared" si="14727"/>
        <v>21720</v>
      </c>
    </row>
    <row r="306" spans="2:4" x14ac:dyDescent="0.3">
      <c r="B306" s="1">
        <v>70</v>
      </c>
      <c r="C306" s="67">
        <v>990</v>
      </c>
      <c r="D306" s="88">
        <f t="shared" si="14727"/>
        <v>22710</v>
      </c>
    </row>
    <row r="307" spans="2:4" x14ac:dyDescent="0.3">
      <c r="B307" s="1">
        <v>71</v>
      </c>
      <c r="C307" s="67">
        <v>1030</v>
      </c>
      <c r="D307" s="88">
        <f t="shared" si="14727"/>
        <v>23740</v>
      </c>
    </row>
    <row r="308" spans="2:4" x14ac:dyDescent="0.3">
      <c r="B308" s="1">
        <v>72</v>
      </c>
      <c r="C308" s="67">
        <v>1070</v>
      </c>
      <c r="D308" s="88">
        <f t="shared" si="14727"/>
        <v>24810</v>
      </c>
    </row>
    <row r="309" spans="2:4" x14ac:dyDescent="0.3">
      <c r="B309" s="1">
        <v>73</v>
      </c>
      <c r="C309" s="67">
        <v>1110</v>
      </c>
      <c r="D309" s="88">
        <f t="shared" si="14727"/>
        <v>25920</v>
      </c>
    </row>
    <row r="310" spans="2:4" x14ac:dyDescent="0.3">
      <c r="B310" s="1">
        <v>74</v>
      </c>
      <c r="C310" s="67">
        <v>1150</v>
      </c>
      <c r="D310" s="88">
        <f t="shared" si="14727"/>
        <v>27070</v>
      </c>
    </row>
    <row r="311" spans="2:4" x14ac:dyDescent="0.3">
      <c r="B311" s="1">
        <v>75</v>
      </c>
      <c r="C311" s="67">
        <v>1190</v>
      </c>
      <c r="D311" s="88">
        <f t="shared" si="14727"/>
        <v>28260</v>
      </c>
    </row>
    <row r="312" spans="2:4" x14ac:dyDescent="0.3">
      <c r="B312" s="1">
        <v>76</v>
      </c>
      <c r="C312" s="67">
        <v>1230</v>
      </c>
      <c r="D312" s="88">
        <f t="shared" si="14727"/>
        <v>29490</v>
      </c>
    </row>
    <row r="313" spans="2:4" x14ac:dyDescent="0.3">
      <c r="B313" s="1">
        <v>77</v>
      </c>
      <c r="C313" s="67">
        <v>1270</v>
      </c>
      <c r="D313" s="88">
        <f t="shared" si="14727"/>
        <v>30760</v>
      </c>
    </row>
    <row r="314" spans="2:4" x14ac:dyDescent="0.3">
      <c r="B314" s="1">
        <v>78</v>
      </c>
      <c r="C314" s="67">
        <v>1310</v>
      </c>
      <c r="D314" s="88">
        <f t="shared" si="14727"/>
        <v>32070</v>
      </c>
    </row>
    <row r="315" spans="2:4" x14ac:dyDescent="0.3">
      <c r="B315" s="1">
        <v>79</v>
      </c>
      <c r="C315" s="67">
        <v>1350</v>
      </c>
      <c r="D315" s="88">
        <f t="shared" si="14727"/>
        <v>33420</v>
      </c>
    </row>
    <row r="316" spans="2:4" x14ac:dyDescent="0.3">
      <c r="B316" s="1">
        <v>80</v>
      </c>
      <c r="C316" s="67">
        <v>1400</v>
      </c>
      <c r="D316" s="88">
        <f t="shared" si="14727"/>
        <v>34820</v>
      </c>
    </row>
    <row r="317" spans="2:4" x14ac:dyDescent="0.3">
      <c r="B317" s="1">
        <v>81</v>
      </c>
      <c r="C317" s="67">
        <v>1450</v>
      </c>
      <c r="D317" s="88">
        <f t="shared" si="14727"/>
        <v>36270</v>
      </c>
    </row>
    <row r="318" spans="2:4" x14ac:dyDescent="0.3">
      <c r="B318" s="1">
        <v>82</v>
      </c>
      <c r="C318" s="67">
        <v>1500</v>
      </c>
      <c r="D318" s="88">
        <f t="shared" si="14727"/>
        <v>37770</v>
      </c>
    </row>
    <row r="319" spans="2:4" x14ac:dyDescent="0.3">
      <c r="B319" s="1">
        <v>83</v>
      </c>
      <c r="C319" s="67">
        <v>1550</v>
      </c>
      <c r="D319" s="88">
        <f t="shared" si="14727"/>
        <v>39320</v>
      </c>
    </row>
    <row r="320" spans="2:4" x14ac:dyDescent="0.3">
      <c r="B320" s="1">
        <v>84</v>
      </c>
      <c r="C320" s="67">
        <v>1600</v>
      </c>
      <c r="D320" s="88">
        <f t="shared" si="14727"/>
        <v>40920</v>
      </c>
    </row>
    <row r="321" spans="2:4" x14ac:dyDescent="0.3">
      <c r="B321" s="1">
        <v>85</v>
      </c>
      <c r="C321" s="67">
        <v>1650</v>
      </c>
      <c r="D321" s="88">
        <f t="shared" si="14727"/>
        <v>42570</v>
      </c>
    </row>
    <row r="322" spans="2:4" x14ac:dyDescent="0.3">
      <c r="B322" s="1">
        <v>86</v>
      </c>
      <c r="C322" s="67">
        <v>1700</v>
      </c>
      <c r="D322" s="88">
        <f t="shared" si="14727"/>
        <v>44270</v>
      </c>
    </row>
    <row r="323" spans="2:4" x14ac:dyDescent="0.3">
      <c r="B323" s="1">
        <v>87</v>
      </c>
      <c r="C323" s="67">
        <v>1750</v>
      </c>
      <c r="D323" s="88">
        <f t="shared" si="14727"/>
        <v>46020</v>
      </c>
    </row>
    <row r="324" spans="2:4" x14ac:dyDescent="0.3">
      <c r="B324" s="1">
        <v>88</v>
      </c>
      <c r="C324" s="67">
        <v>1800</v>
      </c>
      <c r="D324" s="88">
        <f t="shared" si="14727"/>
        <v>47820</v>
      </c>
    </row>
    <row r="325" spans="2:4" x14ac:dyDescent="0.3">
      <c r="B325" s="1">
        <v>89</v>
      </c>
      <c r="C325" s="67">
        <v>1850</v>
      </c>
      <c r="D325" s="88">
        <f t="shared" si="14727"/>
        <v>49670</v>
      </c>
    </row>
    <row r="326" spans="2:4" x14ac:dyDescent="0.3">
      <c r="B326" s="1">
        <v>90</v>
      </c>
      <c r="C326" s="67">
        <v>1900</v>
      </c>
      <c r="D326" s="88">
        <f t="shared" si="14727"/>
        <v>51570</v>
      </c>
    </row>
    <row r="327" spans="2:4" x14ac:dyDescent="0.3">
      <c r="B327" s="1">
        <v>91</v>
      </c>
      <c r="C327" s="67">
        <v>1950</v>
      </c>
      <c r="D327" s="88">
        <f t="shared" si="14727"/>
        <v>53520</v>
      </c>
    </row>
    <row r="328" spans="2:4" x14ac:dyDescent="0.3">
      <c r="B328" s="1">
        <v>92</v>
      </c>
      <c r="C328" s="67">
        <v>2000</v>
      </c>
      <c r="D328" s="88">
        <f t="shared" si="14727"/>
        <v>55520</v>
      </c>
    </row>
    <row r="329" spans="2:4" x14ac:dyDescent="0.3">
      <c r="B329" s="1">
        <v>93</v>
      </c>
      <c r="C329" s="67">
        <v>2050</v>
      </c>
      <c r="D329" s="88">
        <f t="shared" si="14727"/>
        <v>57570</v>
      </c>
    </row>
    <row r="330" spans="2:4" x14ac:dyDescent="0.3">
      <c r="B330" s="1">
        <v>94</v>
      </c>
      <c r="C330" s="67">
        <v>2100</v>
      </c>
      <c r="D330" s="88">
        <f t="shared" si="14727"/>
        <v>59670</v>
      </c>
    </row>
    <row r="331" spans="2:4" x14ac:dyDescent="0.3">
      <c r="B331" s="1">
        <v>95</v>
      </c>
      <c r="C331" s="67">
        <v>2150</v>
      </c>
      <c r="D331" s="88">
        <f t="shared" si="14727"/>
        <v>61820</v>
      </c>
    </row>
    <row r="332" spans="2:4" x14ac:dyDescent="0.3">
      <c r="B332" s="1">
        <v>96</v>
      </c>
      <c r="C332" s="67">
        <v>2200</v>
      </c>
      <c r="D332" s="88">
        <f t="shared" si="14727"/>
        <v>64020</v>
      </c>
    </row>
    <row r="333" spans="2:4" x14ac:dyDescent="0.3">
      <c r="B333" s="1">
        <v>97</v>
      </c>
      <c r="C333" s="67">
        <v>2250</v>
      </c>
      <c r="D333" s="88">
        <f t="shared" si="14727"/>
        <v>66270</v>
      </c>
    </row>
    <row r="334" spans="2:4" x14ac:dyDescent="0.3">
      <c r="B334" s="1">
        <v>98</v>
      </c>
      <c r="C334" s="67">
        <v>2300</v>
      </c>
      <c r="D334" s="88">
        <f t="shared" si="14727"/>
        <v>68570</v>
      </c>
    </row>
    <row r="335" spans="2:4" x14ac:dyDescent="0.3">
      <c r="B335" s="1">
        <v>99</v>
      </c>
      <c r="C335" s="67">
        <v>2350</v>
      </c>
      <c r="D335" s="88">
        <f t="shared" si="14727"/>
        <v>70920</v>
      </c>
    </row>
    <row r="336" spans="2:4" x14ac:dyDescent="0.3">
      <c r="B336" s="1">
        <v>100</v>
      </c>
      <c r="C336" s="67">
        <v>2400</v>
      </c>
      <c r="D336" s="88">
        <f t="shared" si="14727"/>
        <v>73320</v>
      </c>
    </row>
  </sheetData>
  <sheetProtection sheet="1" objects="1" scenarios="1"/>
  <mergeCells count="93">
    <mergeCell ref="B234:D234"/>
    <mergeCell ref="CR209:CS209"/>
    <mergeCell ref="CU209:CV209"/>
    <mergeCell ref="CX209:CY209"/>
    <mergeCell ref="DA209:DB209"/>
    <mergeCell ref="BH209:BI209"/>
    <mergeCell ref="BK209:BL209"/>
    <mergeCell ref="BN209:BO209"/>
    <mergeCell ref="BQ209:BR209"/>
    <mergeCell ref="BT209:BU209"/>
    <mergeCell ref="BW209:BX209"/>
    <mergeCell ref="AP209:AQ209"/>
    <mergeCell ref="AS209:AT209"/>
    <mergeCell ref="AV209:AW209"/>
    <mergeCell ref="AY209:AZ209"/>
    <mergeCell ref="BB209:BC209"/>
    <mergeCell ref="DD209:DE209"/>
    <mergeCell ref="DG209:DH209"/>
    <mergeCell ref="BZ209:CA209"/>
    <mergeCell ref="CC209:CD209"/>
    <mergeCell ref="CF209:CG209"/>
    <mergeCell ref="CI209:CJ209"/>
    <mergeCell ref="CL209:CM209"/>
    <mergeCell ref="CO209:CP209"/>
    <mergeCell ref="BE209:BF209"/>
    <mergeCell ref="X209:Y209"/>
    <mergeCell ref="AA209:AB209"/>
    <mergeCell ref="AD209:AE209"/>
    <mergeCell ref="AG209:AH209"/>
    <mergeCell ref="AJ209:AK209"/>
    <mergeCell ref="AM209:AN209"/>
    <mergeCell ref="BZ208:CJ208"/>
    <mergeCell ref="CL208:CV208"/>
    <mergeCell ref="CX208:DH208"/>
    <mergeCell ref="C209:D209"/>
    <mergeCell ref="F209:G209"/>
    <mergeCell ref="I209:J209"/>
    <mergeCell ref="L209:M209"/>
    <mergeCell ref="O209:P209"/>
    <mergeCell ref="R209:S209"/>
    <mergeCell ref="U209:V209"/>
    <mergeCell ref="F208:P208"/>
    <mergeCell ref="R208:AB208"/>
    <mergeCell ref="AD208:AN208"/>
    <mergeCell ref="AP208:AZ208"/>
    <mergeCell ref="BB208:BL208"/>
    <mergeCell ref="BN208:BX208"/>
    <mergeCell ref="BN3:BP3"/>
    <mergeCell ref="BQ3:BS3"/>
    <mergeCell ref="BT3:BV3"/>
    <mergeCell ref="DG3:DI3"/>
    <mergeCell ref="BZ3:CB3"/>
    <mergeCell ref="CC3:CE3"/>
    <mergeCell ref="CF3:CH3"/>
    <mergeCell ref="CI3:CK3"/>
    <mergeCell ref="CL3:CN3"/>
    <mergeCell ref="CO3:CQ3"/>
    <mergeCell ref="CR3:CT3"/>
    <mergeCell ref="CU3:CW3"/>
    <mergeCell ref="CX3:CZ3"/>
    <mergeCell ref="DA3:DC3"/>
    <mergeCell ref="DD3:DF3"/>
    <mergeCell ref="R3:T3"/>
    <mergeCell ref="U3:W3"/>
    <mergeCell ref="F2:Q2"/>
    <mergeCell ref="R2:AC2"/>
    <mergeCell ref="AD2:AO2"/>
    <mergeCell ref="X3:Z3"/>
    <mergeCell ref="AA3:AC3"/>
    <mergeCell ref="AD3:AF3"/>
    <mergeCell ref="AG3:AI3"/>
    <mergeCell ref="AJ3:AL3"/>
    <mergeCell ref="C3:E3"/>
    <mergeCell ref="F3:H3"/>
    <mergeCell ref="I3:K3"/>
    <mergeCell ref="L3:N3"/>
    <mergeCell ref="O3:Q3"/>
    <mergeCell ref="BN2:BY2"/>
    <mergeCell ref="AM3:AO3"/>
    <mergeCell ref="BZ2:CK2"/>
    <mergeCell ref="CL2:CW2"/>
    <mergeCell ref="CX2:DI2"/>
    <mergeCell ref="AP2:BA2"/>
    <mergeCell ref="BB2:BM2"/>
    <mergeCell ref="BW3:BY3"/>
    <mergeCell ref="AP3:AR3"/>
    <mergeCell ref="AS3:AU3"/>
    <mergeCell ref="AV3:AX3"/>
    <mergeCell ref="AY3:BA3"/>
    <mergeCell ref="BB3:BD3"/>
    <mergeCell ref="BE3:BG3"/>
    <mergeCell ref="BH3:BJ3"/>
    <mergeCell ref="BK3:BM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E9D8-99F5-4423-BA95-7DC26A9E52C9}">
  <sheetPr codeName="Sheet24"/>
  <dimension ref="A1:R33"/>
  <sheetViews>
    <sheetView workbookViewId="0">
      <selection sqref="A1:R2"/>
    </sheetView>
  </sheetViews>
  <sheetFormatPr baseColWidth="10" defaultColWidth="8.88671875" defaultRowHeight="14.4" x14ac:dyDescent="0.3"/>
  <sheetData>
    <row r="1" spans="1:18" x14ac:dyDescent="0.3">
      <c r="A1" s="423" t="s">
        <v>502</v>
      </c>
      <c r="B1" s="424"/>
      <c r="C1" s="424"/>
      <c r="D1" s="424"/>
      <c r="E1" s="424"/>
      <c r="F1" s="424"/>
      <c r="G1" s="424"/>
      <c r="H1" s="424"/>
      <c r="I1" s="424"/>
      <c r="J1" s="424"/>
      <c r="K1" s="424"/>
      <c r="L1" s="424"/>
      <c r="M1" s="424"/>
      <c r="N1" s="424"/>
      <c r="O1" s="424"/>
      <c r="P1" s="424"/>
      <c r="Q1" s="424"/>
      <c r="R1" s="424"/>
    </row>
    <row r="2" spans="1:18" x14ac:dyDescent="0.3">
      <c r="A2" s="423"/>
      <c r="B2" s="424"/>
      <c r="C2" s="424"/>
      <c r="D2" s="424"/>
      <c r="E2" s="424"/>
      <c r="F2" s="424"/>
      <c r="G2" s="424"/>
      <c r="H2" s="424"/>
      <c r="I2" s="424"/>
      <c r="J2" s="424"/>
      <c r="K2" s="424"/>
      <c r="L2" s="424"/>
      <c r="M2" s="424"/>
      <c r="N2" s="424"/>
      <c r="O2" s="424"/>
      <c r="P2" s="424"/>
      <c r="Q2" s="424"/>
      <c r="R2" s="424"/>
    </row>
    <row r="4" spans="1:18" x14ac:dyDescent="0.3">
      <c r="B4" s="406" t="s">
        <v>465</v>
      </c>
      <c r="C4" s="406"/>
      <c r="D4" s="406"/>
      <c r="E4" s="406"/>
      <c r="F4" s="406"/>
      <c r="G4" s="406"/>
      <c r="H4" s="406"/>
      <c r="I4" s="406"/>
      <c r="L4" s="406" t="s">
        <v>396</v>
      </c>
      <c r="M4" s="406"/>
      <c r="N4" s="406"/>
      <c r="O4" s="406"/>
      <c r="P4" s="406"/>
      <c r="Q4" s="406"/>
    </row>
    <row r="5" spans="1:18" x14ac:dyDescent="0.3">
      <c r="B5" s="643" t="s">
        <v>350</v>
      </c>
      <c r="C5" s="644"/>
      <c r="D5" s="173" t="s">
        <v>98</v>
      </c>
      <c r="E5" s="173" t="s">
        <v>99</v>
      </c>
      <c r="F5" s="173" t="s">
        <v>351</v>
      </c>
      <c r="G5" s="173" t="s">
        <v>352</v>
      </c>
      <c r="H5" s="173" t="s">
        <v>353</v>
      </c>
      <c r="I5" s="173" t="s">
        <v>354</v>
      </c>
      <c r="L5" s="89">
        <v>5</v>
      </c>
      <c r="M5" s="89">
        <v>10</v>
      </c>
      <c r="N5" s="89">
        <v>20</v>
      </c>
      <c r="O5" s="89">
        <v>50</v>
      </c>
      <c r="P5" s="89">
        <v>100</v>
      </c>
      <c r="Q5" s="14" t="s">
        <v>25</v>
      </c>
    </row>
    <row r="6" spans="1:18" x14ac:dyDescent="0.3">
      <c r="B6" s="645" t="s">
        <v>356</v>
      </c>
      <c r="C6" s="646"/>
      <c r="D6" s="266">
        <v>50.1</v>
      </c>
      <c r="E6" s="107"/>
      <c r="F6" s="112">
        <f>HyenaFood</f>
        <v>0</v>
      </c>
      <c r="G6" s="95">
        <f>HyenaManuals</f>
        <v>0</v>
      </c>
      <c r="H6" s="95">
        <f>HyenaPotions</f>
        <v>0</v>
      </c>
      <c r="I6" s="96">
        <f>HyenaSerums</f>
        <v>0</v>
      </c>
      <c r="K6" s="11" t="s">
        <v>260</v>
      </c>
      <c r="L6" s="81">
        <v>5000</v>
      </c>
      <c r="M6" s="66">
        <f>L6*2</f>
        <v>10000</v>
      </c>
      <c r="N6" s="66">
        <f>L6*4</f>
        <v>20000</v>
      </c>
      <c r="O6" s="66">
        <f>L6*10</f>
        <v>50000</v>
      </c>
      <c r="P6" s="66">
        <f>L6*20</f>
        <v>100000</v>
      </c>
      <c r="Q6" s="641">
        <f>L7*L6+M7*M6+N7*N6+O7*O6+P7*P6</f>
        <v>0</v>
      </c>
    </row>
    <row r="7" spans="1:18" x14ac:dyDescent="0.3">
      <c r="B7" s="639" t="s">
        <v>357</v>
      </c>
      <c r="C7" s="640"/>
      <c r="D7" s="266">
        <v>60.1</v>
      </c>
      <c r="E7" s="107"/>
      <c r="F7" s="113">
        <f>WolfFood</f>
        <v>0</v>
      </c>
      <c r="G7" s="97">
        <f>WolfManuals</f>
        <v>0</v>
      </c>
      <c r="H7" s="97">
        <f>WolfPotions</f>
        <v>0</v>
      </c>
      <c r="I7" s="98">
        <f>WolfSerums</f>
        <v>0</v>
      </c>
      <c r="K7" s="11" t="s">
        <v>264</v>
      </c>
      <c r="L7" s="90"/>
      <c r="M7" s="91"/>
      <c r="N7" s="91"/>
      <c r="O7" s="91"/>
      <c r="P7" s="91"/>
      <c r="Q7" s="642"/>
    </row>
    <row r="8" spans="1:18" x14ac:dyDescent="0.3">
      <c r="B8" s="639" t="s">
        <v>358</v>
      </c>
      <c r="C8" s="640"/>
      <c r="D8" s="266">
        <v>60.1</v>
      </c>
      <c r="E8" s="107"/>
      <c r="F8" s="113">
        <f>OxFood</f>
        <v>0</v>
      </c>
      <c r="G8" s="97">
        <f>OxManuals</f>
        <v>0</v>
      </c>
      <c r="H8" s="97">
        <f>OxPotions</f>
        <v>0</v>
      </c>
      <c r="I8" s="98">
        <f>OxSerums</f>
        <v>0</v>
      </c>
      <c r="K8" s="11" t="s">
        <v>263</v>
      </c>
      <c r="L8" s="81">
        <v>6</v>
      </c>
      <c r="M8" s="66">
        <f>L8*2</f>
        <v>12</v>
      </c>
      <c r="N8" s="66">
        <f>L8*4</f>
        <v>24</v>
      </c>
      <c r="O8" s="66">
        <f>L8*10</f>
        <v>60</v>
      </c>
      <c r="P8" s="66">
        <f>L8*20</f>
        <v>120</v>
      </c>
      <c r="Q8" s="641">
        <f>L9*L8+M9*M8+N9*N8+O9*O8+P9*P8</f>
        <v>0</v>
      </c>
    </row>
    <row r="9" spans="1:18" x14ac:dyDescent="0.3">
      <c r="B9" s="639" t="s">
        <v>359</v>
      </c>
      <c r="C9" s="640"/>
      <c r="D9" s="266">
        <v>70.099999999999994</v>
      </c>
      <c r="E9" s="107"/>
      <c r="F9" s="113">
        <f>TapirFood</f>
        <v>0</v>
      </c>
      <c r="G9" s="97">
        <f>TapirManuals</f>
        <v>0</v>
      </c>
      <c r="H9" s="97">
        <f>TapirPotions</f>
        <v>0</v>
      </c>
      <c r="I9" s="98">
        <f>TapirSerums</f>
        <v>0</v>
      </c>
      <c r="K9" s="11" t="s">
        <v>264</v>
      </c>
      <c r="L9" s="90"/>
      <c r="M9" s="91"/>
      <c r="N9" s="91"/>
      <c r="O9" s="91"/>
      <c r="P9" s="91"/>
      <c r="Q9" s="642"/>
    </row>
    <row r="10" spans="1:18" x14ac:dyDescent="0.3">
      <c r="B10" s="639" t="s">
        <v>360</v>
      </c>
      <c r="C10" s="640"/>
      <c r="D10" s="266">
        <v>70.099999999999994</v>
      </c>
      <c r="E10" s="107"/>
      <c r="F10" s="113">
        <f>RocFood</f>
        <v>0</v>
      </c>
      <c r="G10" s="97">
        <f>RocManuals</f>
        <v>0</v>
      </c>
      <c r="H10" s="97">
        <f>RocPotions</f>
        <v>0</v>
      </c>
      <c r="I10" s="98">
        <f>RocSerums</f>
        <v>0</v>
      </c>
      <c r="K10" s="11" t="s">
        <v>261</v>
      </c>
      <c r="L10" s="81">
        <v>16</v>
      </c>
      <c r="M10" s="66">
        <f>L10*2</f>
        <v>32</v>
      </c>
      <c r="N10" s="66">
        <f>L10*4</f>
        <v>64</v>
      </c>
      <c r="O10" s="66">
        <f>L10*10</f>
        <v>160</v>
      </c>
      <c r="P10" s="66">
        <f>L10*20</f>
        <v>320</v>
      </c>
      <c r="Q10" s="641">
        <f>L11*L10+M11*M10+N11*N10+O11*O10+P11*P10</f>
        <v>0</v>
      </c>
    </row>
    <row r="11" spans="1:18" x14ac:dyDescent="0.3">
      <c r="B11" s="639" t="s">
        <v>361</v>
      </c>
      <c r="C11" s="640"/>
      <c r="D11" s="266">
        <v>80.099999999999994</v>
      </c>
      <c r="E11" s="107"/>
      <c r="F11" s="113">
        <f>ElkFood</f>
        <v>0</v>
      </c>
      <c r="G11" s="97">
        <f>ElkManuals</f>
        <v>0</v>
      </c>
      <c r="H11" s="97">
        <f>ElkPotions</f>
        <v>0</v>
      </c>
      <c r="I11" s="98">
        <f>ElkSerums</f>
        <v>0</v>
      </c>
      <c r="K11" s="11" t="s">
        <v>264</v>
      </c>
      <c r="L11" s="90"/>
      <c r="M11" s="91"/>
      <c r="N11" s="91"/>
      <c r="O11" s="91"/>
      <c r="P11" s="91"/>
      <c r="Q11" s="642"/>
    </row>
    <row r="12" spans="1:18" x14ac:dyDescent="0.3">
      <c r="B12" s="639" t="s">
        <v>362</v>
      </c>
      <c r="C12" s="640"/>
      <c r="D12" s="266">
        <v>80.099999999999994</v>
      </c>
      <c r="E12" s="107"/>
      <c r="F12" s="113">
        <f>LeopardFood</f>
        <v>0</v>
      </c>
      <c r="G12" s="97">
        <f>LeopardManuals</f>
        <v>0</v>
      </c>
      <c r="H12" s="97">
        <f>LeopardPotions</f>
        <v>0</v>
      </c>
      <c r="I12" s="98">
        <f>LeopardSerums</f>
        <v>0</v>
      </c>
      <c r="K12" s="11" t="s">
        <v>262</v>
      </c>
      <c r="L12" s="81">
        <v>2</v>
      </c>
      <c r="M12" s="66">
        <f>L12*2</f>
        <v>4</v>
      </c>
      <c r="N12" s="66">
        <f>L12*4</f>
        <v>8</v>
      </c>
      <c r="O12" s="66">
        <f>L12*10</f>
        <v>20</v>
      </c>
      <c r="P12" s="80">
        <f>L12*20</f>
        <v>40</v>
      </c>
      <c r="Q12" s="641">
        <f>L13*L12+M13*M12+N13*N12+O13*O12+P13*P12</f>
        <v>0</v>
      </c>
    </row>
    <row r="13" spans="1:18" x14ac:dyDescent="0.3">
      <c r="B13" s="639" t="s">
        <v>363</v>
      </c>
      <c r="C13" s="640"/>
      <c r="D13" s="266">
        <v>100.1</v>
      </c>
      <c r="E13" s="107"/>
      <c r="F13" s="113">
        <f>LionFood</f>
        <v>0</v>
      </c>
      <c r="G13" s="97">
        <f>LionManuals</f>
        <v>0</v>
      </c>
      <c r="H13" s="97">
        <f>LionPotions</f>
        <v>0</v>
      </c>
      <c r="I13" s="98">
        <f>LionSerums</f>
        <v>0</v>
      </c>
      <c r="K13" s="11" t="s">
        <v>264</v>
      </c>
      <c r="L13" s="90"/>
      <c r="M13" s="91"/>
      <c r="N13" s="91"/>
      <c r="O13" s="91"/>
      <c r="P13" s="92"/>
      <c r="Q13" s="642"/>
    </row>
    <row r="14" spans="1:18" x14ac:dyDescent="0.3">
      <c r="B14" s="561" t="s">
        <v>395</v>
      </c>
      <c r="C14" s="459"/>
      <c r="D14" s="266">
        <v>100.1</v>
      </c>
      <c r="E14" s="107"/>
      <c r="F14" s="113">
        <f>ApeFood</f>
        <v>0</v>
      </c>
      <c r="G14" s="97">
        <f>ApeManuals</f>
        <v>0</v>
      </c>
      <c r="H14" s="97">
        <f>ApePotions</f>
        <v>0</v>
      </c>
      <c r="I14" s="98">
        <f>ApeSerum</f>
        <v>0</v>
      </c>
      <c r="K14" s="11" t="s">
        <v>402</v>
      </c>
      <c r="L14" s="120">
        <f t="shared" ref="L14:N14" si="0">IF(L7+L9+L11+L13&gt;3,"Too Many",3-(L7+L9+L11+L13))</f>
        <v>3</v>
      </c>
      <c r="M14" s="120">
        <f t="shared" si="0"/>
        <v>3</v>
      </c>
      <c r="N14" s="120">
        <f t="shared" si="0"/>
        <v>3</v>
      </c>
      <c r="O14" s="120">
        <f>IF(O7+O9+O11+O13&gt;3,"Too Many",3-(O7+O9+O11+O13))</f>
        <v>3</v>
      </c>
      <c r="P14" s="120">
        <f>IF(P7+P9+P11+P13&gt;3,"Too Many",3-(P7+P9+P11+P13))</f>
        <v>3</v>
      </c>
    </row>
    <row r="15" spans="1:18" x14ac:dyDescent="0.3">
      <c r="B15" s="639" t="s">
        <v>416</v>
      </c>
      <c r="C15" s="640"/>
      <c r="D15" s="266">
        <v>100.1</v>
      </c>
      <c r="E15" s="107"/>
      <c r="F15" s="113">
        <f>RhinoFood</f>
        <v>0</v>
      </c>
      <c r="G15" s="97">
        <f>RhinoManuals</f>
        <v>0</v>
      </c>
      <c r="H15" s="97">
        <f>RhinoPotions</f>
        <v>0</v>
      </c>
      <c r="I15" s="98">
        <f>RhinoSerum</f>
        <v>0</v>
      </c>
      <c r="K15" s="11"/>
      <c r="L15" s="132"/>
      <c r="M15" s="132"/>
      <c r="N15" s="132"/>
      <c r="O15" s="132"/>
      <c r="P15" s="132"/>
    </row>
    <row r="16" spans="1:18" x14ac:dyDescent="0.3">
      <c r="B16" s="561" t="s">
        <v>417</v>
      </c>
      <c r="C16" s="459"/>
      <c r="D16" s="266">
        <v>100.1</v>
      </c>
      <c r="E16" s="47"/>
      <c r="F16" s="67">
        <f>TigerFood</f>
        <v>0</v>
      </c>
      <c r="G16" s="88">
        <f>TigerManuals</f>
        <v>0</v>
      </c>
      <c r="H16" s="88">
        <f>TigerPotions</f>
        <v>0</v>
      </c>
      <c r="I16" s="68">
        <f>TigerSerum</f>
        <v>0</v>
      </c>
      <c r="K16" s="11"/>
      <c r="L16" s="132"/>
      <c r="M16" s="132"/>
      <c r="N16" s="132"/>
      <c r="O16" s="132"/>
      <c r="P16" s="132"/>
    </row>
    <row r="17" spans="2:16" x14ac:dyDescent="0.3">
      <c r="B17" s="561" t="s">
        <v>464</v>
      </c>
      <c r="C17" s="459"/>
      <c r="D17" s="266">
        <v>100.1</v>
      </c>
      <c r="E17" s="47"/>
      <c r="F17" s="67">
        <f>MammothFood</f>
        <v>0</v>
      </c>
      <c r="G17" s="88">
        <f>MammothManuals</f>
        <v>0</v>
      </c>
      <c r="H17" s="88">
        <f>MammothPotions</f>
        <v>0</v>
      </c>
      <c r="I17" s="68">
        <f>MammothSerum</f>
        <v>0</v>
      </c>
      <c r="K17" s="11"/>
      <c r="L17" s="132"/>
      <c r="M17" s="132"/>
      <c r="N17" s="132"/>
      <c r="O17" s="132"/>
      <c r="P17" s="132"/>
    </row>
    <row r="18" spans="2:16" x14ac:dyDescent="0.3">
      <c r="B18" s="639" t="s">
        <v>812</v>
      </c>
      <c r="C18" s="640"/>
      <c r="D18" s="47">
        <v>100.1</v>
      </c>
      <c r="E18" s="47">
        <v>100.1</v>
      </c>
      <c r="F18" s="67">
        <f>GorillaFood</f>
        <v>0</v>
      </c>
      <c r="G18" s="88">
        <f>GorillaManuals</f>
        <v>0</v>
      </c>
      <c r="H18" s="88">
        <f>GorillaPotions</f>
        <v>0</v>
      </c>
      <c r="I18" s="68">
        <f>GorillaSerum</f>
        <v>0</v>
      </c>
      <c r="K18" s="11"/>
      <c r="L18" s="132"/>
      <c r="M18" s="132"/>
      <c r="N18" s="132"/>
      <c r="O18" s="132"/>
      <c r="P18" s="132"/>
    </row>
    <row r="19" spans="2:16" x14ac:dyDescent="0.3">
      <c r="B19" s="651" t="s">
        <v>813</v>
      </c>
      <c r="C19" s="652"/>
      <c r="D19" s="47">
        <v>0</v>
      </c>
      <c r="E19" s="47"/>
      <c r="F19" s="67">
        <f>ChameleonFood</f>
        <v>0</v>
      </c>
      <c r="G19" s="88">
        <f>ChameleonManuals</f>
        <v>0</v>
      </c>
      <c r="H19" s="88">
        <f>ChameleonPotions</f>
        <v>0</v>
      </c>
      <c r="I19" s="68">
        <f>ChameleonSerum</f>
        <v>0</v>
      </c>
      <c r="J19" s="624" t="s">
        <v>930</v>
      </c>
      <c r="K19" s="637"/>
      <c r="L19" s="637"/>
      <c r="M19" s="637"/>
      <c r="N19" s="625"/>
      <c r="O19" s="132"/>
      <c r="P19" s="132"/>
    </row>
    <row r="20" spans="2:16" x14ac:dyDescent="0.3">
      <c r="B20" s="649" t="s">
        <v>912</v>
      </c>
      <c r="C20" s="650"/>
      <c r="D20" s="47">
        <v>0</v>
      </c>
      <c r="E20" s="47"/>
      <c r="F20" s="69">
        <f>ShelldragonFood</f>
        <v>0</v>
      </c>
      <c r="G20" s="83">
        <f>ShelldragonManuals</f>
        <v>0</v>
      </c>
      <c r="H20" s="83">
        <f>ShelldragonPotions</f>
        <v>0</v>
      </c>
      <c r="I20" s="70">
        <f>ShelldragonSerum</f>
        <v>0</v>
      </c>
      <c r="J20" s="626"/>
      <c r="K20" s="638"/>
      <c r="L20" s="638"/>
      <c r="M20" s="638"/>
      <c r="N20" s="627"/>
      <c r="O20" s="132"/>
      <c r="P20" s="132"/>
    </row>
    <row r="21" spans="2:16" x14ac:dyDescent="0.3">
      <c r="B21" s="30"/>
      <c r="D21" s="8"/>
      <c r="E21" s="11" t="s">
        <v>25</v>
      </c>
      <c r="F21" s="115">
        <f>SUM(F6:F20)</f>
        <v>0</v>
      </c>
      <c r="G21" s="115">
        <f>SUM(G6:G20)</f>
        <v>0</v>
      </c>
      <c r="H21" s="115">
        <f>SUM(H6:H20)</f>
        <v>0</v>
      </c>
      <c r="I21" s="115">
        <f>SUM(I6:I20)</f>
        <v>0</v>
      </c>
      <c r="K21" s="11"/>
      <c r="L21" s="132"/>
      <c r="M21" s="132"/>
      <c r="N21" s="132"/>
    </row>
    <row r="22" spans="2:16" x14ac:dyDescent="0.3">
      <c r="B22" s="30"/>
      <c r="D22" s="8"/>
      <c r="E22" s="11" t="s">
        <v>31</v>
      </c>
      <c r="F22" s="269">
        <v>1720000</v>
      </c>
      <c r="G22" s="270">
        <v>4114</v>
      </c>
      <c r="H22" s="270">
        <v>650</v>
      </c>
      <c r="I22" s="271">
        <v>33</v>
      </c>
      <c r="K22" s="11"/>
      <c r="L22" s="132"/>
      <c r="M22" s="132"/>
      <c r="N22" s="132"/>
    </row>
    <row r="23" spans="2:16" x14ac:dyDescent="0.3">
      <c r="B23" s="30"/>
      <c r="D23" s="8"/>
      <c r="E23" s="11" t="s">
        <v>400</v>
      </c>
      <c r="F23" s="118">
        <f>Q6</f>
        <v>0</v>
      </c>
      <c r="G23" s="115">
        <f>H31</f>
        <v>0</v>
      </c>
      <c r="H23" s="115">
        <f>H32</f>
        <v>0</v>
      </c>
      <c r="I23" s="115">
        <f>H33</f>
        <v>277</v>
      </c>
      <c r="J23" s="88"/>
      <c r="K23" s="426" t="s">
        <v>504</v>
      </c>
      <c r="L23" s="426"/>
      <c r="M23" s="426"/>
      <c r="N23" s="426"/>
    </row>
    <row r="24" spans="2:16" x14ac:dyDescent="0.3">
      <c r="B24" s="8"/>
      <c r="D24" s="8"/>
      <c r="E24" s="11" t="s">
        <v>32</v>
      </c>
      <c r="F24" s="116" t="str">
        <f>IF(F21-F22-F23&gt;0,F21-F22-F23,"-")</f>
        <v>-</v>
      </c>
      <c r="G24" s="116" t="str">
        <f>IF(G21-G22-G23&gt;0,G21-G22-G23,"-")</f>
        <v>-</v>
      </c>
      <c r="H24" s="116" t="str">
        <f>IF(H21-H22-H23&gt;0,H21-H22-H23,"-")</f>
        <v>-</v>
      </c>
      <c r="I24" s="116" t="str">
        <f>IF(I21-I22-I23&gt;0,I21-I22-I23,"-")</f>
        <v>-</v>
      </c>
      <c r="J24" s="88"/>
      <c r="K24" s="656" t="s">
        <v>503</v>
      </c>
      <c r="L24" s="658"/>
      <c r="M24" s="500">
        <f>(HyenaPoints+WolfPoints+OxPoints+TapirPoints+RocPoints+ElkPoints+LeopardPoints+LionPoints+ApePoints+RhinoPoints+TigerPoints+MammothPoints+GorillaPoints+ChameleonPoints)*50</f>
        <v>0</v>
      </c>
      <c r="N24" s="502"/>
    </row>
    <row r="25" spans="2:16" x14ac:dyDescent="0.3">
      <c r="B25" s="30"/>
      <c r="C25" s="8"/>
      <c r="D25" s="8"/>
      <c r="E25" s="11" t="s">
        <v>401</v>
      </c>
      <c r="F25" s="119">
        <f>IF(F21-F22-F23&lt;0,(F21-F22-F23)*-1,"-")</f>
        <v>1720000</v>
      </c>
      <c r="G25" s="119">
        <f t="shared" ref="G25:I25" si="1">IF(G21-G22-G23&lt;0,(G21-G22-G23)*-1,"-")</f>
        <v>4114</v>
      </c>
      <c r="H25" s="119">
        <f t="shared" si="1"/>
        <v>650</v>
      </c>
      <c r="I25" s="119">
        <f t="shared" si="1"/>
        <v>310</v>
      </c>
      <c r="K25" s="661" t="s">
        <v>364</v>
      </c>
      <c r="L25" s="662"/>
      <c r="M25" s="455">
        <f>K32*1150</f>
        <v>0</v>
      </c>
      <c r="N25" s="456"/>
    </row>
    <row r="26" spans="2:16" x14ac:dyDescent="0.3">
      <c r="B26" s="30"/>
      <c r="C26" s="8"/>
      <c r="D26" s="8"/>
      <c r="E26" s="8"/>
      <c r="F26" s="8"/>
      <c r="G26" s="8"/>
      <c r="H26" s="8"/>
      <c r="I26" s="8"/>
      <c r="J26" s="8"/>
      <c r="K26" s="663" t="s">
        <v>371</v>
      </c>
      <c r="L26" s="664"/>
      <c r="M26" s="500">
        <f>M32*15000</f>
        <v>0</v>
      </c>
      <c r="N26" s="502"/>
    </row>
    <row r="27" spans="2:16" x14ac:dyDescent="0.3">
      <c r="B27" s="402" t="s">
        <v>501</v>
      </c>
      <c r="C27" s="403"/>
      <c r="D27" s="403"/>
      <c r="E27" s="510"/>
      <c r="F27" s="647">
        <v>1287</v>
      </c>
      <c r="G27" s="648"/>
    </row>
    <row r="28" spans="2:16" x14ac:dyDescent="0.3">
      <c r="B28" s="403" t="s">
        <v>399</v>
      </c>
      <c r="C28" s="403"/>
      <c r="D28" s="403"/>
      <c r="E28" s="403"/>
      <c r="F28" s="494">
        <f>Q8</f>
        <v>0</v>
      </c>
      <c r="G28" s="405"/>
    </row>
    <row r="29" spans="2:16" x14ac:dyDescent="0.3">
      <c r="B29" s="402" t="s">
        <v>365</v>
      </c>
      <c r="C29" s="403"/>
      <c r="D29" s="403"/>
      <c r="E29" s="510"/>
      <c r="F29" s="500">
        <f>F27+F28-SUM(F31:F33)</f>
        <v>1010</v>
      </c>
      <c r="G29" s="394"/>
      <c r="H29" s="38"/>
    </row>
    <row r="30" spans="2:16" x14ac:dyDescent="0.3">
      <c r="B30" s="389" t="s">
        <v>366</v>
      </c>
      <c r="C30" s="450"/>
      <c r="D30" s="390"/>
      <c r="E30" s="14" t="s">
        <v>367</v>
      </c>
      <c r="F30" s="389" t="s">
        <v>368</v>
      </c>
      <c r="G30" s="390"/>
      <c r="H30" s="389" t="s">
        <v>369</v>
      </c>
      <c r="I30" s="390"/>
      <c r="K30" s="406" t="s">
        <v>505</v>
      </c>
      <c r="L30" s="406"/>
      <c r="M30" s="406"/>
      <c r="N30" s="406"/>
    </row>
    <row r="31" spans="2:16" x14ac:dyDescent="0.3">
      <c r="B31" s="656" t="s">
        <v>370</v>
      </c>
      <c r="C31" s="657"/>
      <c r="D31" s="658"/>
      <c r="E31" s="106">
        <v>7</v>
      </c>
      <c r="F31" s="647"/>
      <c r="G31" s="648"/>
      <c r="H31" s="566">
        <f>F31*E31</f>
        <v>0</v>
      </c>
      <c r="I31" s="457"/>
      <c r="K31" s="389" t="s">
        <v>506</v>
      </c>
      <c r="L31" s="390"/>
      <c r="M31" s="389" t="s">
        <v>507</v>
      </c>
      <c r="N31" s="390"/>
    </row>
    <row r="32" spans="2:16" x14ac:dyDescent="0.3">
      <c r="B32" s="659" t="s">
        <v>372</v>
      </c>
      <c r="C32" s="435"/>
      <c r="D32" s="660"/>
      <c r="E32" s="105">
        <v>2</v>
      </c>
      <c r="F32" s="647"/>
      <c r="G32" s="648"/>
      <c r="H32" s="459">
        <f>F32*E32</f>
        <v>0</v>
      </c>
      <c r="I32" s="459"/>
      <c r="K32" s="408"/>
      <c r="L32" s="408"/>
      <c r="M32" s="408"/>
      <c r="N32" s="408"/>
    </row>
    <row r="33" spans="2:9" x14ac:dyDescent="0.3">
      <c r="B33" s="653" t="s">
        <v>373</v>
      </c>
      <c r="C33" s="654"/>
      <c r="D33" s="655"/>
      <c r="E33" s="104">
        <v>1</v>
      </c>
      <c r="F33" s="647">
        <v>277</v>
      </c>
      <c r="G33" s="648"/>
      <c r="H33" s="565">
        <f>F33*E33</f>
        <v>277</v>
      </c>
      <c r="I33" s="460"/>
    </row>
  </sheetData>
  <sheetProtection sheet="1" objects="1" scenarios="1" formatColumns="0"/>
  <mergeCells count="54">
    <mergeCell ref="M31:N31"/>
    <mergeCell ref="K31:L31"/>
    <mergeCell ref="K30:N30"/>
    <mergeCell ref="K32:L32"/>
    <mergeCell ref="M32:N32"/>
    <mergeCell ref="A1:R2"/>
    <mergeCell ref="K24:L24"/>
    <mergeCell ref="M24:N24"/>
    <mergeCell ref="K25:L25"/>
    <mergeCell ref="K26:L26"/>
    <mergeCell ref="K23:N23"/>
    <mergeCell ref="M25:N25"/>
    <mergeCell ref="M26:N26"/>
    <mergeCell ref="B12:C12"/>
    <mergeCell ref="Q12:Q13"/>
    <mergeCell ref="B13:C13"/>
    <mergeCell ref="B14:C14"/>
    <mergeCell ref="B15:C15"/>
    <mergeCell ref="B16:C16"/>
    <mergeCell ref="B8:C8"/>
    <mergeCell ref="Q8:Q9"/>
    <mergeCell ref="B33:D33"/>
    <mergeCell ref="F33:G33"/>
    <mergeCell ref="H33:I33"/>
    <mergeCell ref="B31:D31"/>
    <mergeCell ref="F31:G31"/>
    <mergeCell ref="H31:I31"/>
    <mergeCell ref="B32:D32"/>
    <mergeCell ref="F32:G32"/>
    <mergeCell ref="H32:I32"/>
    <mergeCell ref="B30:D30"/>
    <mergeCell ref="F30:G30"/>
    <mergeCell ref="H30:I30"/>
    <mergeCell ref="B17:C17"/>
    <mergeCell ref="B27:E27"/>
    <mergeCell ref="F27:G27"/>
    <mergeCell ref="B28:E28"/>
    <mergeCell ref="F28:G28"/>
    <mergeCell ref="B29:E29"/>
    <mergeCell ref="F29:G29"/>
    <mergeCell ref="B18:C18"/>
    <mergeCell ref="B20:C20"/>
    <mergeCell ref="B19:C19"/>
    <mergeCell ref="B4:I4"/>
    <mergeCell ref="L4:Q4"/>
    <mergeCell ref="B5:C5"/>
    <mergeCell ref="B6:C6"/>
    <mergeCell ref="Q6:Q7"/>
    <mergeCell ref="B7:C7"/>
    <mergeCell ref="J19:N20"/>
    <mergeCell ref="B9:C9"/>
    <mergeCell ref="B10:C10"/>
    <mergeCell ref="Q10:Q11"/>
    <mergeCell ref="B11:C11"/>
  </mergeCells>
  <conditionalFormatting sqref="E1">
    <cfRule type="expression" dxfId="100" priority="5">
      <formula>GorillaCurrent=100.1</formula>
    </cfRule>
  </conditionalFormatting>
  <conditionalFormatting sqref="E6">
    <cfRule type="expression" dxfId="99" priority="17">
      <formula>HyenaCurrent=50.1</formula>
    </cfRule>
  </conditionalFormatting>
  <conditionalFormatting sqref="E7">
    <cfRule type="expression" dxfId="98" priority="18">
      <formula>WolfCurrent=60.1</formula>
    </cfRule>
  </conditionalFormatting>
  <conditionalFormatting sqref="E8">
    <cfRule type="expression" dxfId="97" priority="15">
      <formula>OxCurrent=60.1</formula>
    </cfRule>
  </conditionalFormatting>
  <conditionalFormatting sqref="E9">
    <cfRule type="expression" dxfId="96" priority="14">
      <formula>TapirCurrent=70.1</formula>
    </cfRule>
  </conditionalFormatting>
  <conditionalFormatting sqref="E10">
    <cfRule type="expression" dxfId="95" priority="13">
      <formula>RocCurrent=70.1</formula>
    </cfRule>
  </conditionalFormatting>
  <conditionalFormatting sqref="E11">
    <cfRule type="expression" dxfId="94" priority="12">
      <formula>ElkCurrent=80.1</formula>
    </cfRule>
  </conditionalFormatting>
  <conditionalFormatting sqref="E12">
    <cfRule type="expression" dxfId="93" priority="10">
      <formula>LeopardCurrent=80.1</formula>
    </cfRule>
  </conditionalFormatting>
  <conditionalFormatting sqref="E13">
    <cfRule type="expression" dxfId="92" priority="11">
      <formula>LionCurrent=100.1</formula>
    </cfRule>
  </conditionalFormatting>
  <conditionalFormatting sqref="E14">
    <cfRule type="expression" dxfId="91" priority="16">
      <formula>ApeCurrent=100.1</formula>
    </cfRule>
  </conditionalFormatting>
  <conditionalFormatting sqref="E15">
    <cfRule type="expression" dxfId="90" priority="6">
      <formula>RhinoCurrent=100.1</formula>
    </cfRule>
  </conditionalFormatting>
  <conditionalFormatting sqref="E16">
    <cfRule type="expression" dxfId="89" priority="7">
      <formula>TigerCurrent=100.1</formula>
    </cfRule>
  </conditionalFormatting>
  <conditionalFormatting sqref="E17">
    <cfRule type="expression" dxfId="88" priority="8">
      <formula>MammothCurrent=100.1</formula>
    </cfRule>
  </conditionalFormatting>
  <conditionalFormatting sqref="E18">
    <cfRule type="expression" dxfId="87" priority="1">
      <formula>GorillaCurrent=100.1</formula>
    </cfRule>
  </conditionalFormatting>
  <conditionalFormatting sqref="E19">
    <cfRule type="expression" dxfId="86" priority="2">
      <formula>ChameleonCurrent=100.1</formula>
    </cfRule>
  </conditionalFormatting>
  <conditionalFormatting sqref="E20">
    <cfRule type="expression" dxfId="85" priority="4">
      <formula>ShelldragonCurrent=100.1</formula>
    </cfRule>
  </conditionalFormatting>
  <conditionalFormatting sqref="F27 F31:F33">
    <cfRule type="expression" dxfId="84" priority="20">
      <formula>IF(SUM($G$232:$G$234)&gt;$H$229,TRUE,FALSE)</formula>
    </cfRule>
  </conditionalFormatting>
  <conditionalFormatting sqref="L5:P5">
    <cfRule type="cellIs" dxfId="83" priority="19" operator="equal">
      <formula>TRUE</formula>
    </cfRule>
  </conditionalFormatting>
  <conditionalFormatting sqref="L14:P15 L16:N18 O16:P20 L21:N22">
    <cfRule type="cellIs" dxfId="82" priority="9" operator="equal">
      <formula>"Too Many"</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30560C7D-FA5D-4C2B-80F2-55BBA1EDD60A}">
          <x14:formula1>
            <xm:f>'Pet Data'!$C$6:$C$26</xm:f>
          </x14:formula1>
          <xm:sqref>D13:E20</xm:sqref>
        </x14:dataValidation>
        <x14:dataValidation type="list" allowBlank="1" showInputMessage="1" showErrorMessage="1" xr:uid="{740A852D-4EFF-4EDA-8C01-6F4C9138274A}">
          <x14:formula1>
            <xm:f>'Pet Data'!$C$6:$C$22</xm:f>
          </x14:formula1>
          <xm:sqref>D11:E12</xm:sqref>
        </x14:dataValidation>
        <x14:dataValidation type="list" allowBlank="1" showInputMessage="1" showErrorMessage="1" xr:uid="{8A5A4427-B0D3-4F93-9C30-883CACD32D58}">
          <x14:formula1>
            <xm:f>'Pet Data'!$C$6:$C$20</xm:f>
          </x14:formula1>
          <xm:sqref>D9:E10</xm:sqref>
        </x14:dataValidation>
        <x14:dataValidation type="list" allowBlank="1" showInputMessage="1" showErrorMessage="1" xr:uid="{F16E4751-22FA-4ED1-A60A-158680CBF5DF}">
          <x14:formula1>
            <xm:f>'Pet Data'!$C$6:$C$18</xm:f>
          </x14:formula1>
          <xm:sqref>D7:E8</xm:sqref>
        </x14:dataValidation>
        <x14:dataValidation type="list" allowBlank="1" showInputMessage="1" showErrorMessage="1" xr:uid="{78FA839D-08E0-4601-B6EF-2BA3D5BF38F8}">
          <x14:formula1>
            <xm:f>'Pet Data'!$C$6:$C$16</xm:f>
          </x14:formula1>
          <xm:sqref>D6:E6</xm:sqref>
        </x14:dataValidation>
        <x14:dataValidation type="list" allowBlank="1" showInputMessage="1" showErrorMessage="1" xr:uid="{06A348B7-6DB9-44ED-9158-3C9A9F2C4C97}">
          <x14:formula1>
            <xm:f>Lists!$A$132:$A$135</xm:f>
          </x14:formula1>
          <xm:sqref>L9:P9 L7:P7 L11:P11 L13:P13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95F2C-25C5-48CC-A12B-700079E996FB}">
  <sheetPr codeName="Sheet28"/>
  <dimension ref="C4:EW27"/>
  <sheetViews>
    <sheetView topLeftCell="A4" workbookViewId="0">
      <pane xSplit="3" topLeftCell="DT1" activePane="topRight" state="frozen"/>
      <selection pane="topRight" activeCell="EW7" sqref="EW7:EW26"/>
    </sheetView>
  </sheetViews>
  <sheetFormatPr baseColWidth="10" defaultColWidth="8.88671875" defaultRowHeight="14.4" x14ac:dyDescent="0.3"/>
  <cols>
    <col min="4" max="4" width="10.5546875" bestFit="1" customWidth="1"/>
    <col min="5" max="5" width="10.5546875" customWidth="1"/>
    <col min="6" max="6" width="9.33203125" bestFit="1" customWidth="1"/>
    <col min="7" max="7" width="9.33203125" customWidth="1"/>
    <col min="8" max="8" width="9.33203125" bestFit="1" customWidth="1"/>
    <col min="9" max="9" width="9.33203125" customWidth="1"/>
    <col min="10" max="10" width="9.33203125" bestFit="1" customWidth="1"/>
    <col min="11" max="13" width="9.33203125" customWidth="1"/>
    <col min="14" max="14" width="10.5546875" bestFit="1" customWidth="1"/>
    <col min="15" max="15" width="10.5546875" customWidth="1"/>
    <col min="16" max="16" width="9.33203125" bestFit="1" customWidth="1"/>
    <col min="17" max="17" width="9.33203125" customWidth="1"/>
    <col min="18" max="18" width="9.33203125" bestFit="1" customWidth="1"/>
    <col min="19" max="19" width="9.33203125" customWidth="1"/>
    <col min="20" max="20" width="9.33203125" bestFit="1" customWidth="1"/>
    <col min="21" max="23" width="9.33203125" customWidth="1"/>
    <col min="24" max="24" width="10.5546875" bestFit="1" customWidth="1"/>
    <col min="25" max="25" width="10.5546875" customWidth="1"/>
    <col min="26" max="26" width="9.33203125" bestFit="1" customWidth="1"/>
    <col min="27" max="27" width="9.33203125" customWidth="1"/>
    <col min="28" max="28" width="9.33203125" bestFit="1" customWidth="1"/>
    <col min="29" max="29" width="9.33203125" customWidth="1"/>
    <col min="30" max="30" width="9.33203125" bestFit="1" customWidth="1"/>
    <col min="31" max="33" width="9.33203125" customWidth="1"/>
    <col min="34" max="34" width="10.5546875" bestFit="1" customWidth="1"/>
    <col min="35" max="35" width="10.5546875" customWidth="1"/>
    <col min="36" max="36" width="9.33203125" bestFit="1" customWidth="1"/>
    <col min="37" max="37" width="9.33203125" customWidth="1"/>
    <col min="38" max="38" width="9.33203125" bestFit="1" customWidth="1"/>
    <col min="39" max="39" width="9.33203125" customWidth="1"/>
    <col min="40" max="40" width="9.33203125" bestFit="1" customWidth="1"/>
    <col min="41" max="43" width="9.33203125" customWidth="1"/>
    <col min="44" max="44" width="10.5546875" bestFit="1" customWidth="1"/>
    <col min="45" max="45" width="10.5546875" customWidth="1"/>
    <col min="46" max="46" width="9.33203125" bestFit="1" customWidth="1"/>
    <col min="47" max="47" width="9.33203125" customWidth="1"/>
    <col min="48" max="48" width="9.33203125" bestFit="1" customWidth="1"/>
    <col min="49" max="49" width="9.33203125" customWidth="1"/>
    <col min="50" max="50" width="9.33203125" bestFit="1" customWidth="1"/>
    <col min="51" max="53" width="9.33203125" customWidth="1"/>
    <col min="54" max="54" width="11.5546875" bestFit="1" customWidth="1"/>
    <col min="55" max="55" width="11.5546875" customWidth="1"/>
    <col min="56" max="56" width="9.33203125" bestFit="1" customWidth="1"/>
    <col min="57" max="57" width="9.33203125" customWidth="1"/>
    <col min="58" max="58" width="9.33203125" bestFit="1" customWidth="1"/>
    <col min="59" max="59" width="9.33203125" customWidth="1"/>
    <col min="60" max="60" width="9.33203125" bestFit="1" customWidth="1"/>
    <col min="61" max="63" width="9.33203125" customWidth="1"/>
    <col min="64" max="64" width="11.5546875" bestFit="1" customWidth="1"/>
    <col min="65" max="65" width="11.5546875" customWidth="1"/>
    <col min="66" max="66" width="9.33203125" bestFit="1" customWidth="1"/>
    <col min="67" max="67" width="9.33203125" customWidth="1"/>
    <col min="68" max="68" width="9.33203125" bestFit="1" customWidth="1"/>
    <col min="69" max="69" width="9.33203125" customWidth="1"/>
    <col min="70" max="70" width="9.33203125" bestFit="1" customWidth="1"/>
    <col min="71" max="73" width="9.33203125" customWidth="1"/>
    <col min="74" max="74" width="11.5546875" bestFit="1" customWidth="1"/>
    <col min="75" max="75" width="11.5546875" customWidth="1"/>
    <col min="76" max="76" width="9.33203125" bestFit="1" customWidth="1"/>
    <col min="77" max="77" width="9.33203125" customWidth="1"/>
    <col min="78" max="78" width="9.33203125" bestFit="1" customWidth="1"/>
    <col min="79" max="79" width="9.33203125" customWidth="1"/>
    <col min="80" max="80" width="9.33203125" bestFit="1" customWidth="1"/>
    <col min="81" max="81" width="9.33203125" customWidth="1"/>
  </cols>
  <sheetData>
    <row r="4" spans="3:153" x14ac:dyDescent="0.3">
      <c r="C4" s="1"/>
      <c r="D4" s="406" t="s">
        <v>356</v>
      </c>
      <c r="E4" s="406"/>
      <c r="F4" s="406"/>
      <c r="G4" s="406"/>
      <c r="H4" s="406"/>
      <c r="I4" s="406"/>
      <c r="J4" s="406"/>
      <c r="K4" s="406"/>
      <c r="L4" s="406"/>
      <c r="M4" s="591"/>
      <c r="N4" s="665" t="s">
        <v>357</v>
      </c>
      <c r="O4" s="406"/>
      <c r="P4" s="406"/>
      <c r="Q4" s="406"/>
      <c r="R4" s="406"/>
      <c r="S4" s="406"/>
      <c r="T4" s="406"/>
      <c r="U4" s="406"/>
      <c r="V4" s="406"/>
      <c r="W4" s="591"/>
      <c r="X4" s="665" t="s">
        <v>358</v>
      </c>
      <c r="Y4" s="406"/>
      <c r="Z4" s="406"/>
      <c r="AA4" s="406"/>
      <c r="AB4" s="406"/>
      <c r="AC4" s="406"/>
      <c r="AD4" s="406"/>
      <c r="AE4" s="406"/>
      <c r="AF4" s="406"/>
      <c r="AG4" s="591"/>
      <c r="AH4" s="665" t="s">
        <v>359</v>
      </c>
      <c r="AI4" s="406"/>
      <c r="AJ4" s="406"/>
      <c r="AK4" s="406"/>
      <c r="AL4" s="406"/>
      <c r="AM4" s="406"/>
      <c r="AN4" s="406"/>
      <c r="AO4" s="406"/>
      <c r="AP4" s="406"/>
      <c r="AQ4" s="591"/>
      <c r="AR4" s="665" t="s">
        <v>360</v>
      </c>
      <c r="AS4" s="406"/>
      <c r="AT4" s="406"/>
      <c r="AU4" s="406"/>
      <c r="AV4" s="406"/>
      <c r="AW4" s="406"/>
      <c r="AX4" s="406"/>
      <c r="AY4" s="406"/>
      <c r="AZ4" s="406"/>
      <c r="BA4" s="591"/>
      <c r="BB4" s="665" t="s">
        <v>361</v>
      </c>
      <c r="BC4" s="406"/>
      <c r="BD4" s="406"/>
      <c r="BE4" s="406"/>
      <c r="BF4" s="406"/>
      <c r="BG4" s="406"/>
      <c r="BH4" s="406"/>
      <c r="BI4" s="406"/>
      <c r="BJ4" s="406"/>
      <c r="BK4" s="591"/>
      <c r="BL4" s="665" t="s">
        <v>362</v>
      </c>
      <c r="BM4" s="406"/>
      <c r="BN4" s="406"/>
      <c r="BO4" s="406"/>
      <c r="BP4" s="406"/>
      <c r="BQ4" s="406"/>
      <c r="BR4" s="406"/>
      <c r="BS4" s="406"/>
      <c r="BT4" s="406"/>
      <c r="BU4" s="666"/>
      <c r="BV4" s="667" t="s">
        <v>363</v>
      </c>
      <c r="BW4" s="406"/>
      <c r="BX4" s="406"/>
      <c r="BY4" s="406"/>
      <c r="BZ4" s="406"/>
      <c r="CA4" s="406"/>
      <c r="CB4" s="406"/>
      <c r="CC4" s="406"/>
      <c r="CD4" s="406"/>
      <c r="CE4" s="406"/>
      <c r="CF4" s="667" t="s">
        <v>395</v>
      </c>
      <c r="CG4" s="406"/>
      <c r="CH4" s="406"/>
      <c r="CI4" s="406"/>
      <c r="CJ4" s="406"/>
      <c r="CK4" s="406"/>
      <c r="CL4" s="406"/>
      <c r="CM4" s="406"/>
      <c r="CN4" s="406"/>
      <c r="CO4" s="406"/>
      <c r="CP4" s="667" t="s">
        <v>416</v>
      </c>
      <c r="CQ4" s="406"/>
      <c r="CR4" s="406"/>
      <c r="CS4" s="406"/>
      <c r="CT4" s="406"/>
      <c r="CU4" s="406"/>
      <c r="CV4" s="406"/>
      <c r="CW4" s="406"/>
      <c r="CX4" s="406"/>
      <c r="CY4" s="406"/>
      <c r="CZ4" s="667" t="s">
        <v>417</v>
      </c>
      <c r="DA4" s="406"/>
      <c r="DB4" s="406"/>
      <c r="DC4" s="406"/>
      <c r="DD4" s="406"/>
      <c r="DE4" s="406"/>
      <c r="DF4" s="406"/>
      <c r="DG4" s="406"/>
      <c r="DH4" s="406"/>
      <c r="DI4" s="406"/>
      <c r="DJ4" s="667" t="s">
        <v>464</v>
      </c>
      <c r="DK4" s="406"/>
      <c r="DL4" s="406"/>
      <c r="DM4" s="406"/>
      <c r="DN4" s="406"/>
      <c r="DO4" s="406"/>
      <c r="DP4" s="406"/>
      <c r="DQ4" s="406"/>
      <c r="DR4" s="406"/>
      <c r="DS4" s="406"/>
      <c r="DT4" s="667" t="s">
        <v>812</v>
      </c>
      <c r="DU4" s="406"/>
      <c r="DV4" s="406"/>
      <c r="DW4" s="406"/>
      <c r="DX4" s="406"/>
      <c r="DY4" s="406"/>
      <c r="DZ4" s="406"/>
      <c r="EA4" s="406"/>
      <c r="EB4" s="406"/>
      <c r="EC4" s="406"/>
      <c r="ED4" s="667" t="s">
        <v>813</v>
      </c>
      <c r="EE4" s="406"/>
      <c r="EF4" s="406"/>
      <c r="EG4" s="406"/>
      <c r="EH4" s="406"/>
      <c r="EI4" s="406"/>
      <c r="EJ4" s="406"/>
      <c r="EK4" s="406"/>
      <c r="EL4" s="406"/>
      <c r="EM4" s="406"/>
      <c r="EN4" s="667" t="s">
        <v>912</v>
      </c>
      <c r="EO4" s="406"/>
      <c r="EP4" s="406"/>
      <c r="EQ4" s="406"/>
      <c r="ER4" s="406"/>
      <c r="ES4" s="406"/>
      <c r="ET4" s="406"/>
      <c r="EU4" s="406"/>
      <c r="EV4" s="406"/>
      <c r="EW4" s="406"/>
    </row>
    <row r="5" spans="3:153" x14ac:dyDescent="0.3">
      <c r="C5" s="1" t="s">
        <v>174</v>
      </c>
      <c r="D5" s="389" t="s">
        <v>351</v>
      </c>
      <c r="E5" s="390"/>
      <c r="F5" s="389" t="s">
        <v>375</v>
      </c>
      <c r="G5" s="390"/>
      <c r="H5" s="389" t="s">
        <v>376</v>
      </c>
      <c r="I5" s="390"/>
      <c r="J5" s="389" t="s">
        <v>354</v>
      </c>
      <c r="K5" s="390"/>
      <c r="L5" s="389" t="s">
        <v>377</v>
      </c>
      <c r="M5" s="390"/>
      <c r="N5" s="598" t="s">
        <v>351</v>
      </c>
      <c r="O5" s="598"/>
      <c r="P5" s="598" t="s">
        <v>375</v>
      </c>
      <c r="Q5" s="598"/>
      <c r="R5" s="598" t="s">
        <v>376</v>
      </c>
      <c r="S5" s="598"/>
      <c r="T5" s="598" t="s">
        <v>354</v>
      </c>
      <c r="U5" s="598"/>
      <c r="V5" s="598" t="s">
        <v>377</v>
      </c>
      <c r="W5" s="598"/>
      <c r="X5" s="389" t="s">
        <v>351</v>
      </c>
      <c r="Y5" s="390"/>
      <c r="Z5" s="389" t="s">
        <v>375</v>
      </c>
      <c r="AA5" s="390"/>
      <c r="AB5" s="389" t="s">
        <v>376</v>
      </c>
      <c r="AC5" s="390"/>
      <c r="AD5" s="389" t="s">
        <v>354</v>
      </c>
      <c r="AE5" s="390"/>
      <c r="AF5" s="389" t="s">
        <v>377</v>
      </c>
      <c r="AG5" s="390"/>
      <c r="AH5" s="389" t="s">
        <v>351</v>
      </c>
      <c r="AI5" s="390"/>
      <c r="AJ5" s="389" t="s">
        <v>375</v>
      </c>
      <c r="AK5" s="390"/>
      <c r="AL5" s="389" t="s">
        <v>376</v>
      </c>
      <c r="AM5" s="390"/>
      <c r="AN5" s="389" t="s">
        <v>354</v>
      </c>
      <c r="AO5" s="390"/>
      <c r="AP5" s="389" t="s">
        <v>377</v>
      </c>
      <c r="AQ5" s="390"/>
      <c r="AR5" s="389" t="s">
        <v>351</v>
      </c>
      <c r="AS5" s="390"/>
      <c r="AT5" s="389" t="s">
        <v>375</v>
      </c>
      <c r="AU5" s="390"/>
      <c r="AV5" s="389" t="s">
        <v>376</v>
      </c>
      <c r="AW5" s="390"/>
      <c r="AX5" s="389" t="s">
        <v>354</v>
      </c>
      <c r="AY5" s="390"/>
      <c r="AZ5" s="389" t="s">
        <v>377</v>
      </c>
      <c r="BA5" s="390"/>
      <c r="BB5" s="389" t="s">
        <v>351</v>
      </c>
      <c r="BC5" s="390"/>
      <c r="BD5" s="389" t="s">
        <v>375</v>
      </c>
      <c r="BE5" s="390"/>
      <c r="BF5" s="389" t="s">
        <v>376</v>
      </c>
      <c r="BG5" s="390"/>
      <c r="BH5" s="389" t="s">
        <v>354</v>
      </c>
      <c r="BI5" s="390"/>
      <c r="BJ5" s="389" t="s">
        <v>377</v>
      </c>
      <c r="BK5" s="390"/>
      <c r="BL5" s="389" t="s">
        <v>351</v>
      </c>
      <c r="BM5" s="390"/>
      <c r="BN5" s="389" t="s">
        <v>375</v>
      </c>
      <c r="BO5" s="390"/>
      <c r="BP5" s="389" t="s">
        <v>376</v>
      </c>
      <c r="BQ5" s="390"/>
      <c r="BR5" s="389" t="s">
        <v>354</v>
      </c>
      <c r="BS5" s="390"/>
      <c r="BT5" s="389" t="s">
        <v>377</v>
      </c>
      <c r="BU5" s="390"/>
      <c r="BV5" s="389" t="s">
        <v>351</v>
      </c>
      <c r="BW5" s="390"/>
      <c r="BX5" s="389" t="s">
        <v>375</v>
      </c>
      <c r="BY5" s="390"/>
      <c r="BZ5" s="389" t="s">
        <v>376</v>
      </c>
      <c r="CA5" s="390"/>
      <c r="CB5" s="389" t="s">
        <v>354</v>
      </c>
      <c r="CC5" s="390"/>
      <c r="CD5" s="389" t="s">
        <v>377</v>
      </c>
      <c r="CE5" s="390"/>
      <c r="CF5" s="389" t="s">
        <v>351</v>
      </c>
      <c r="CG5" s="390"/>
      <c r="CH5" s="389" t="s">
        <v>375</v>
      </c>
      <c r="CI5" s="390"/>
      <c r="CJ5" s="389" t="s">
        <v>376</v>
      </c>
      <c r="CK5" s="390"/>
      <c r="CL5" s="389" t="s">
        <v>354</v>
      </c>
      <c r="CM5" s="390"/>
      <c r="CN5" s="389" t="s">
        <v>377</v>
      </c>
      <c r="CO5" s="390"/>
      <c r="CP5" s="389" t="s">
        <v>351</v>
      </c>
      <c r="CQ5" s="390"/>
      <c r="CR5" s="389" t="s">
        <v>375</v>
      </c>
      <c r="CS5" s="390"/>
      <c r="CT5" s="389" t="s">
        <v>376</v>
      </c>
      <c r="CU5" s="390"/>
      <c r="CV5" s="389" t="s">
        <v>354</v>
      </c>
      <c r="CW5" s="390"/>
      <c r="CX5" s="389" t="s">
        <v>377</v>
      </c>
      <c r="CY5" s="390"/>
      <c r="CZ5" s="389" t="s">
        <v>351</v>
      </c>
      <c r="DA5" s="390"/>
      <c r="DB5" s="389" t="s">
        <v>375</v>
      </c>
      <c r="DC5" s="390"/>
      <c r="DD5" s="389" t="s">
        <v>376</v>
      </c>
      <c r="DE5" s="390"/>
      <c r="DF5" s="389" t="s">
        <v>354</v>
      </c>
      <c r="DG5" s="390"/>
      <c r="DH5" s="389" t="s">
        <v>377</v>
      </c>
      <c r="DI5" s="390"/>
      <c r="DJ5" s="389" t="s">
        <v>351</v>
      </c>
      <c r="DK5" s="390"/>
      <c r="DL5" s="389" t="s">
        <v>375</v>
      </c>
      <c r="DM5" s="390"/>
      <c r="DN5" s="389" t="s">
        <v>376</v>
      </c>
      <c r="DO5" s="390"/>
      <c r="DP5" s="389" t="s">
        <v>354</v>
      </c>
      <c r="DQ5" s="390"/>
      <c r="DR5" s="389" t="s">
        <v>377</v>
      </c>
      <c r="DS5" s="390"/>
      <c r="DT5" s="389" t="s">
        <v>351</v>
      </c>
      <c r="DU5" s="390"/>
      <c r="DV5" s="389" t="s">
        <v>375</v>
      </c>
      <c r="DW5" s="390"/>
      <c r="DX5" s="389" t="s">
        <v>376</v>
      </c>
      <c r="DY5" s="390"/>
      <c r="DZ5" s="389" t="s">
        <v>354</v>
      </c>
      <c r="EA5" s="390"/>
      <c r="EB5" s="389" t="s">
        <v>377</v>
      </c>
      <c r="EC5" s="390"/>
      <c r="ED5" s="389" t="s">
        <v>351</v>
      </c>
      <c r="EE5" s="390"/>
      <c r="EF5" s="389" t="s">
        <v>375</v>
      </c>
      <c r="EG5" s="390"/>
      <c r="EH5" s="389" t="s">
        <v>376</v>
      </c>
      <c r="EI5" s="390"/>
      <c r="EJ5" s="389" t="s">
        <v>354</v>
      </c>
      <c r="EK5" s="390"/>
      <c r="EL5" s="389" t="s">
        <v>377</v>
      </c>
      <c r="EM5" s="390"/>
      <c r="EN5" s="389" t="s">
        <v>351</v>
      </c>
      <c r="EO5" s="390"/>
      <c r="EP5" s="389" t="s">
        <v>375</v>
      </c>
      <c r="EQ5" s="390"/>
      <c r="ER5" s="389" t="s">
        <v>376</v>
      </c>
      <c r="ES5" s="390"/>
      <c r="ET5" s="389" t="s">
        <v>354</v>
      </c>
      <c r="EU5" s="390"/>
      <c r="EV5" s="389" t="s">
        <v>377</v>
      </c>
      <c r="EW5" s="390"/>
    </row>
    <row r="6" spans="3:153" x14ac:dyDescent="0.3">
      <c r="C6" s="9">
        <v>0</v>
      </c>
      <c r="D6" s="108" t="s">
        <v>378</v>
      </c>
      <c r="E6" s="108" t="s">
        <v>379</v>
      </c>
      <c r="F6" s="108" t="s">
        <v>378</v>
      </c>
      <c r="G6" s="108" t="s">
        <v>379</v>
      </c>
      <c r="H6" s="108" t="s">
        <v>378</v>
      </c>
      <c r="I6" s="108" t="s">
        <v>379</v>
      </c>
      <c r="J6" s="108" t="s">
        <v>378</v>
      </c>
      <c r="K6" s="108" t="s">
        <v>379</v>
      </c>
      <c r="L6" s="668" t="s">
        <v>78</v>
      </c>
      <c r="M6" s="669"/>
      <c r="N6" s="79" t="s">
        <v>378</v>
      </c>
      <c r="O6" s="79" t="s">
        <v>379</v>
      </c>
      <c r="P6" s="79" t="s">
        <v>378</v>
      </c>
      <c r="Q6" s="79" t="s">
        <v>379</v>
      </c>
      <c r="R6" s="79" t="s">
        <v>378</v>
      </c>
      <c r="S6" s="79" t="s">
        <v>379</v>
      </c>
      <c r="T6" s="79" t="s">
        <v>378</v>
      </c>
      <c r="U6" s="79" t="s">
        <v>379</v>
      </c>
      <c r="V6" s="670" t="s">
        <v>78</v>
      </c>
      <c r="W6" s="670"/>
      <c r="X6" s="79" t="s">
        <v>378</v>
      </c>
      <c r="Y6" s="79" t="s">
        <v>379</v>
      </c>
      <c r="Z6" s="79" t="s">
        <v>378</v>
      </c>
      <c r="AA6" s="79" t="s">
        <v>379</v>
      </c>
      <c r="AB6" s="79" t="s">
        <v>378</v>
      </c>
      <c r="AC6" s="79" t="s">
        <v>379</v>
      </c>
      <c r="AD6" s="79" t="s">
        <v>378</v>
      </c>
      <c r="AE6" s="79" t="s">
        <v>379</v>
      </c>
      <c r="AF6" s="109" t="s">
        <v>78</v>
      </c>
      <c r="AG6" s="110"/>
      <c r="AH6" s="108" t="s">
        <v>378</v>
      </c>
      <c r="AI6" s="108" t="s">
        <v>379</v>
      </c>
      <c r="AJ6" s="108" t="s">
        <v>378</v>
      </c>
      <c r="AK6" s="108" t="s">
        <v>379</v>
      </c>
      <c r="AL6" s="108" t="s">
        <v>378</v>
      </c>
      <c r="AM6" s="108" t="s">
        <v>379</v>
      </c>
      <c r="AN6" s="79" t="s">
        <v>378</v>
      </c>
      <c r="AO6" s="111" t="s">
        <v>379</v>
      </c>
      <c r="AP6" s="668" t="s">
        <v>78</v>
      </c>
      <c r="AQ6" s="669"/>
      <c r="AR6" s="108" t="s">
        <v>378</v>
      </c>
      <c r="AS6" s="108" t="s">
        <v>379</v>
      </c>
      <c r="AT6" s="108" t="s">
        <v>378</v>
      </c>
      <c r="AU6" s="108" t="s">
        <v>379</v>
      </c>
      <c r="AV6" s="108" t="s">
        <v>378</v>
      </c>
      <c r="AW6" s="108" t="s">
        <v>379</v>
      </c>
      <c r="AX6" s="108" t="s">
        <v>378</v>
      </c>
      <c r="AY6" s="108" t="s">
        <v>379</v>
      </c>
      <c r="AZ6" s="668" t="s">
        <v>78</v>
      </c>
      <c r="BA6" s="669"/>
      <c r="BB6" s="108" t="s">
        <v>378</v>
      </c>
      <c r="BC6" s="108" t="s">
        <v>379</v>
      </c>
      <c r="BD6" s="108" t="s">
        <v>378</v>
      </c>
      <c r="BE6" s="108" t="s">
        <v>379</v>
      </c>
      <c r="BF6" s="108" t="s">
        <v>378</v>
      </c>
      <c r="BG6" s="108" t="s">
        <v>379</v>
      </c>
      <c r="BH6" s="108" t="s">
        <v>378</v>
      </c>
      <c r="BI6" s="108" t="s">
        <v>379</v>
      </c>
      <c r="BJ6" s="668" t="s">
        <v>78</v>
      </c>
      <c r="BK6" s="669"/>
      <c r="BL6" s="108" t="s">
        <v>378</v>
      </c>
      <c r="BM6" s="108" t="s">
        <v>379</v>
      </c>
      <c r="BN6" s="108" t="s">
        <v>378</v>
      </c>
      <c r="BO6" s="108" t="s">
        <v>379</v>
      </c>
      <c r="BP6" s="108" t="s">
        <v>378</v>
      </c>
      <c r="BQ6" s="108" t="s">
        <v>379</v>
      </c>
      <c r="BR6" s="108" t="s">
        <v>378</v>
      </c>
      <c r="BS6" s="108" t="s">
        <v>379</v>
      </c>
      <c r="BT6" s="668" t="s">
        <v>78</v>
      </c>
      <c r="BU6" s="669"/>
      <c r="BV6" s="108" t="s">
        <v>378</v>
      </c>
      <c r="BW6" s="108" t="s">
        <v>379</v>
      </c>
      <c r="BX6" s="108" t="s">
        <v>378</v>
      </c>
      <c r="BY6" s="108" t="s">
        <v>379</v>
      </c>
      <c r="BZ6" s="108" t="s">
        <v>378</v>
      </c>
      <c r="CA6" s="108" t="s">
        <v>379</v>
      </c>
      <c r="CB6" s="108" t="s">
        <v>378</v>
      </c>
      <c r="CC6" s="108" t="s">
        <v>379</v>
      </c>
      <c r="CD6" s="668" t="s">
        <v>78</v>
      </c>
      <c r="CE6" s="669"/>
      <c r="CF6" s="108" t="s">
        <v>378</v>
      </c>
      <c r="CG6" s="108" t="s">
        <v>379</v>
      </c>
      <c r="CH6" s="108" t="s">
        <v>378</v>
      </c>
      <c r="CI6" s="108" t="s">
        <v>379</v>
      </c>
      <c r="CJ6" s="108" t="s">
        <v>378</v>
      </c>
      <c r="CK6" s="108" t="s">
        <v>379</v>
      </c>
      <c r="CL6" s="108" t="s">
        <v>378</v>
      </c>
      <c r="CM6" s="108" t="s">
        <v>379</v>
      </c>
      <c r="CN6" s="668" t="s">
        <v>78</v>
      </c>
      <c r="CO6" s="669"/>
      <c r="CP6" s="108" t="s">
        <v>378</v>
      </c>
      <c r="CQ6" s="108" t="s">
        <v>379</v>
      </c>
      <c r="CR6" s="108" t="s">
        <v>378</v>
      </c>
      <c r="CS6" s="108" t="s">
        <v>379</v>
      </c>
      <c r="CT6" s="108" t="s">
        <v>378</v>
      </c>
      <c r="CU6" s="108" t="s">
        <v>379</v>
      </c>
      <c r="CV6" s="108" t="s">
        <v>378</v>
      </c>
      <c r="CW6" s="108" t="s">
        <v>379</v>
      </c>
      <c r="CX6" s="668" t="s">
        <v>78</v>
      </c>
      <c r="CY6" s="669"/>
      <c r="CZ6" s="108" t="s">
        <v>378</v>
      </c>
      <c r="DA6" s="108" t="s">
        <v>379</v>
      </c>
      <c r="DB6" s="108" t="s">
        <v>378</v>
      </c>
      <c r="DC6" s="108" t="s">
        <v>379</v>
      </c>
      <c r="DD6" s="108" t="s">
        <v>378</v>
      </c>
      <c r="DE6" s="108" t="s">
        <v>379</v>
      </c>
      <c r="DF6" s="108" t="s">
        <v>378</v>
      </c>
      <c r="DG6" s="108" t="s">
        <v>379</v>
      </c>
      <c r="DH6" s="668" t="s">
        <v>78</v>
      </c>
      <c r="DI6" s="669"/>
      <c r="DJ6" s="108" t="s">
        <v>378</v>
      </c>
      <c r="DK6" s="108" t="s">
        <v>379</v>
      </c>
      <c r="DL6" s="108" t="s">
        <v>378</v>
      </c>
      <c r="DM6" s="108" t="s">
        <v>379</v>
      </c>
      <c r="DN6" s="108" t="s">
        <v>378</v>
      </c>
      <c r="DO6" s="108" t="s">
        <v>379</v>
      </c>
      <c r="DP6" s="108" t="s">
        <v>378</v>
      </c>
      <c r="DQ6" s="108" t="s">
        <v>379</v>
      </c>
      <c r="DR6" s="668" t="s">
        <v>78</v>
      </c>
      <c r="DS6" s="669"/>
      <c r="DT6" s="108" t="s">
        <v>378</v>
      </c>
      <c r="DU6" s="108" t="s">
        <v>379</v>
      </c>
      <c r="DV6" s="108" t="s">
        <v>378</v>
      </c>
      <c r="DW6" s="108" t="s">
        <v>379</v>
      </c>
      <c r="DX6" s="108" t="s">
        <v>378</v>
      </c>
      <c r="DY6" s="108" t="s">
        <v>379</v>
      </c>
      <c r="DZ6" s="108" t="s">
        <v>378</v>
      </c>
      <c r="EA6" s="108" t="s">
        <v>379</v>
      </c>
      <c r="EB6" s="668" t="s">
        <v>78</v>
      </c>
      <c r="EC6" s="669"/>
      <c r="ED6" s="108" t="s">
        <v>378</v>
      </c>
      <c r="EE6" s="108" t="s">
        <v>379</v>
      </c>
      <c r="EF6" s="108" t="s">
        <v>378</v>
      </c>
      <c r="EG6" s="108" t="s">
        <v>379</v>
      </c>
      <c r="EH6" s="108" t="s">
        <v>378</v>
      </c>
      <c r="EI6" s="108" t="s">
        <v>379</v>
      </c>
      <c r="EJ6" s="108" t="s">
        <v>378</v>
      </c>
      <c r="EK6" s="108" t="s">
        <v>379</v>
      </c>
      <c r="EL6" s="668" t="s">
        <v>78</v>
      </c>
      <c r="EM6" s="669"/>
      <c r="EN6" s="108" t="s">
        <v>378</v>
      </c>
      <c r="EO6" s="108" t="s">
        <v>379</v>
      </c>
      <c r="EP6" s="108" t="s">
        <v>378</v>
      </c>
      <c r="EQ6" s="108" t="s">
        <v>379</v>
      </c>
      <c r="ER6" s="108" t="s">
        <v>378</v>
      </c>
      <c r="ES6" s="108" t="s">
        <v>379</v>
      </c>
      <c r="ET6" s="108" t="s">
        <v>378</v>
      </c>
      <c r="EU6" s="108" t="s">
        <v>379</v>
      </c>
      <c r="EV6" s="668" t="s">
        <v>78</v>
      </c>
      <c r="EW6" s="669"/>
    </row>
    <row r="7" spans="3:153" x14ac:dyDescent="0.3">
      <c r="C7" s="9">
        <v>10</v>
      </c>
      <c r="D7" s="52">
        <v>1715</v>
      </c>
      <c r="E7" s="73" t="str">
        <f t="shared" ref="E7:E26" si="0">IF(HyenaCurrent&gt;=$C7,"",IF(HyenaDesired&gt;=$C7,D7,""))</f>
        <v/>
      </c>
      <c r="F7" s="99"/>
      <c r="G7" s="73" t="str">
        <f t="shared" ref="G7:G26" si="1">IF(HyenaCurrent&gt;=$C7,"",IF(HyenaDesired&gt;=$C7,F7,""))</f>
        <v/>
      </c>
      <c r="H7" s="73"/>
      <c r="I7" s="73" t="str">
        <f t="shared" ref="I7:I26" si="2">IF(HyenaCurrent&gt;=$C7,"",IF(HyenaDesired&gt;=$C7,H7,""))</f>
        <v/>
      </c>
      <c r="J7" s="73"/>
      <c r="K7" s="73" t="str">
        <f t="shared" ref="K7:K26" si="3">IF(HyenaCurrent&gt;=$C7,"",IF(HyenaDesired&gt;=$C7,J7,""))</f>
        <v/>
      </c>
      <c r="L7" s="73"/>
      <c r="M7" s="73" t="str">
        <f t="shared" ref="M7:M26" si="4">IF(HyenaCurrent&gt;=$C7,"",IF(HyenaDesired&gt;=$C7,L7,""))</f>
        <v/>
      </c>
      <c r="N7" s="52">
        <v>2530</v>
      </c>
      <c r="O7" s="73" t="str">
        <f t="shared" ref="O7:O26" si="5">IF(WolfCurrent&gt;=$C7,"",IF(WolfDesired&gt;=$C7,N7,""))</f>
        <v/>
      </c>
      <c r="P7" s="99"/>
      <c r="Q7" s="73" t="str">
        <f t="shared" ref="Q7:Q26" si="6">IF(WolfCurrent&gt;=$C7,"",IF(WolfDesired&gt;=$C7,P7,""))</f>
        <v/>
      </c>
      <c r="R7" s="99"/>
      <c r="S7" s="73" t="str">
        <f t="shared" ref="S7:S26" si="7">IF(WolfCurrent&gt;=$C7,"",IF(WolfDesired&gt;=$C7,R7,""))</f>
        <v/>
      </c>
      <c r="T7" s="99"/>
      <c r="U7" s="73" t="str">
        <f t="shared" ref="U7:U26" si="8">IF(WolfCurrent&gt;=$C7,"",IF(WolfDesired&gt;=$C7,T7,""))</f>
        <v/>
      </c>
      <c r="V7" s="73"/>
      <c r="W7" s="73" t="str">
        <f t="shared" ref="W7:W26" si="9">IF(WolfCurrent&gt;=$C7,"",IF(WolfDesired&gt;=$C7,V7,""))</f>
        <v/>
      </c>
      <c r="X7" s="52">
        <v>2530</v>
      </c>
      <c r="Y7" s="99" t="str">
        <f t="shared" ref="Y7:Y26" si="10">IF(OxCurrent&gt;=$C7,"",IF(OxDesired&gt;=$C7,X7,""))</f>
        <v/>
      </c>
      <c r="Z7" s="99"/>
      <c r="AA7" s="73" t="str">
        <f t="shared" ref="AA7:AA26" si="11">IF(OxCurrent&gt;=$C7,"",IF(OxDesired&gt;=$C7,Z7,""))</f>
        <v/>
      </c>
      <c r="AB7" s="99"/>
      <c r="AC7" s="73" t="str">
        <f t="shared" ref="AC7:AC26" si="12">IF(OxCurrent&gt;=$C7,"",IF(OxDesired&gt;=$C7,AB7,""))</f>
        <v/>
      </c>
      <c r="AD7" s="99"/>
      <c r="AE7" s="73" t="str">
        <f t="shared" ref="AE7:AE26" si="13">IF(OxCurrent&gt;=$C7,"",IF(OxDesired&gt;=$C7,AD7,""))</f>
        <v/>
      </c>
      <c r="AF7" s="73"/>
      <c r="AG7" s="99" t="str">
        <f t="shared" ref="AG7:AG26" si="14">IF(OxCurrent&gt;=$C7,"",IF(OxDesired&gt;=$C7,AF7,""))</f>
        <v/>
      </c>
      <c r="AH7" s="71">
        <v>3795</v>
      </c>
      <c r="AI7" s="99" t="str">
        <f t="shared" ref="AI7:AI26" si="15">IF(TapirCurrent&gt;=$C7,"",IF(TapirDesired&gt;=$C7,AH7,""))</f>
        <v/>
      </c>
      <c r="AJ7" s="99"/>
      <c r="AK7" s="99" t="str">
        <f t="shared" ref="AK7:AK26" si="16">IF(TapirCurrent&gt;=$C7,"",IF(TapirDesired&gt;=$C7,AJ7,""))</f>
        <v/>
      </c>
      <c r="AL7" s="99"/>
      <c r="AM7" s="99" t="str">
        <f t="shared" ref="AM7:AM26" si="17">IF(TapirCurrent&gt;=$C7,"",IF(TapirDesired&gt;=$C7,AL7,""))</f>
        <v/>
      </c>
      <c r="AN7" s="99"/>
      <c r="AO7" s="99" t="str">
        <f t="shared" ref="AO7:AO26" si="18">IF(TapirCurrent&gt;=$C7,"",IF(TapirDesired&gt;=$C7,AN7,""))</f>
        <v/>
      </c>
      <c r="AP7" s="99"/>
      <c r="AQ7" s="99" t="str">
        <f t="shared" ref="AQ7:AQ26" si="19">IF(TapirCurrent&gt;=$C7,"",IF(TapirDesired&gt;=$C7,AP7,""))</f>
        <v/>
      </c>
      <c r="AR7" s="52">
        <v>3795</v>
      </c>
      <c r="AS7" s="73" t="str">
        <f t="shared" ref="AS7:AS26" si="20">IF(RocCurrent&gt;=$C7,"",IF(RocDesired&gt;=$C7,AR7,""))</f>
        <v/>
      </c>
      <c r="AT7" s="99"/>
      <c r="AU7" s="73" t="str">
        <f t="shared" ref="AU7:AU26" si="21">IF(RocCurrent&gt;=$C7,"",IF(RocDesired&gt;=$C7,AT7,""))</f>
        <v/>
      </c>
      <c r="AV7" s="99"/>
      <c r="AW7" s="73" t="str">
        <f t="shared" ref="AW7:AW26" si="22">IF(RocCurrent&gt;=$C7,"",IF(RocDesired&gt;=$C7,AV7,""))</f>
        <v/>
      </c>
      <c r="AX7" s="99"/>
      <c r="AY7" s="73" t="str">
        <f t="shared" ref="AY7:AY26" si="23">IF(RocCurrent&gt;=$C7,"",IF(RocDesired&gt;=$C7,AX7,""))</f>
        <v/>
      </c>
      <c r="AZ7" s="73"/>
      <c r="BA7" s="73" t="str">
        <f t="shared" ref="BA7:BA26" si="24">IF(RocCurrent&gt;=$C7,"",IF(RocDesired&gt;=$C7,AZ7,""))</f>
        <v/>
      </c>
      <c r="BB7" s="52">
        <v>5060</v>
      </c>
      <c r="BC7" s="73" t="str">
        <f t="shared" ref="BC7:BC26" si="25">IF(ElkCurrent&gt;=$C7,"",IF(ElkDesired&gt;=$C7,BB7,""))</f>
        <v/>
      </c>
      <c r="BD7" s="99"/>
      <c r="BE7" s="73" t="str">
        <f t="shared" ref="BE7:BE26" si="26">IF(ElkCurrent&gt;=$C7,"",IF(ElkDesired&gt;=$C7,BD7,""))</f>
        <v/>
      </c>
      <c r="BF7" s="99"/>
      <c r="BG7" s="73" t="str">
        <f t="shared" ref="BG7:BG26" si="27">IF(ElkCurrent&gt;=$C7,"",IF(ElkDesired&gt;=$C7,BF7,""))</f>
        <v/>
      </c>
      <c r="BH7" s="99"/>
      <c r="BI7" s="73" t="str">
        <f t="shared" ref="BI7:BI26" si="28">IF(ElkCurrent&gt;=$C7,"",IF(ElkDesired&gt;=$C7,BH7,""))</f>
        <v/>
      </c>
      <c r="BJ7" s="73"/>
      <c r="BK7" s="73" t="str">
        <f t="shared" ref="BK7:BK26" si="29">IF(ElkCurrent&gt;=$C7,"",IF(ElkDesired&gt;=$C7,BJ7,""))</f>
        <v/>
      </c>
      <c r="BL7" s="52">
        <v>5060</v>
      </c>
      <c r="BM7" s="73" t="str">
        <f t="shared" ref="BM7:BM26" si="30">IF(LeopardCurrent&gt;=$C7,"",IF(LeopardDesired&gt;=$C7,BL7,""))</f>
        <v/>
      </c>
      <c r="BN7" s="99"/>
      <c r="BO7" s="73" t="str">
        <f t="shared" ref="BO7:BO26" si="31">IF(LeopardCurrent&gt;=$C7,"",IF(LeopardDesired&gt;=$C7,BN7,""))</f>
        <v/>
      </c>
      <c r="BP7" s="99"/>
      <c r="BQ7" s="73" t="str">
        <f t="shared" ref="BQ7:BQ26" si="32">IF(LeopardCurrent&gt;=$C7,"",IF(LeopardDesired&gt;=$C7,BP7,""))</f>
        <v/>
      </c>
      <c r="BR7" s="99"/>
      <c r="BS7" s="73" t="str">
        <f t="shared" ref="BS7:BS26" si="33">IF(LeopardCurrent&gt;=$C7,"",IF(LeopardDesired&gt;=$C7,BR7,""))</f>
        <v/>
      </c>
      <c r="BT7" s="73"/>
      <c r="BU7" s="74" t="str">
        <f t="shared" ref="BU7:BU26" si="34">IF(LeopardCurrent&gt;=$C7,"",IF(LeopardDesired&gt;=$C7,BT7,""))</f>
        <v/>
      </c>
      <c r="BV7" s="52">
        <v>6325</v>
      </c>
      <c r="BW7" s="73" t="str">
        <f t="shared" ref="BW7:BW26" si="35">IF(LionCurrent&gt;=$C7,"",IF(LionDesired&gt;=$C7,BV7,""))</f>
        <v/>
      </c>
      <c r="BX7" s="99"/>
      <c r="BY7" s="73" t="str">
        <f t="shared" ref="BY7:BY26" si="36">IF(LionCurrent&gt;=$C7,"",IF(LionDesired&gt;=$C7,BX7,""))</f>
        <v/>
      </c>
      <c r="BZ7" s="99"/>
      <c r="CA7" s="73" t="str">
        <f t="shared" ref="CA7:CA26" si="37">IF(LionCurrent&gt;=$C7,"",IF(LionDesired&gt;=$C7,BZ7,""))</f>
        <v/>
      </c>
      <c r="CB7" s="99"/>
      <c r="CC7" s="99" t="str">
        <f t="shared" ref="CC7:CC26" si="38">IF(LionCurrent&gt;=$C7,"",IF(LionDesired&gt;=$C7,CB7,""))</f>
        <v/>
      </c>
      <c r="CD7" s="99"/>
      <c r="CE7" s="74" t="str">
        <f t="shared" ref="CE7:CE26" si="39">IF(LionCurrent&gt;=$C7,"",IF(LionDesired&gt;=$C7,CD7,""))</f>
        <v/>
      </c>
      <c r="CF7" s="52">
        <v>6325</v>
      </c>
      <c r="CG7" s="73" t="str">
        <f t="shared" ref="CG7:CG26" si="40">IF(ApeCurrent&gt;=$C7,"",IF(ApeDesired&gt;=$C7,CF7,""))</f>
        <v/>
      </c>
      <c r="CH7" s="99"/>
      <c r="CI7" s="73" t="str">
        <f t="shared" ref="CI7:CI26" si="41">IF(ApeCurrent&gt;=$C7,"",IF(ApeDesired&gt;=$C7,CH7,""))</f>
        <v/>
      </c>
      <c r="CJ7" s="99"/>
      <c r="CK7" s="73" t="str">
        <f t="shared" ref="CK7:CK26" si="42">IF(ApeCurrent&gt;=$C7,"",IF(ApeDesired&gt;=$C7,CJ7,""))</f>
        <v/>
      </c>
      <c r="CL7" s="99"/>
      <c r="CM7" s="99" t="str">
        <f t="shared" ref="CM7:CM26" si="43">IF(ApeCurrent&gt;=$C7,"",IF(ApeDesired&gt;=$C7,CL7,""))</f>
        <v/>
      </c>
      <c r="CN7" s="99"/>
      <c r="CO7" s="74" t="str">
        <f t="shared" ref="CO7:CO26" si="44">IF(ApeCurrent&gt;=$C7,"",IF(ApeDesired&gt;=$C7,CN7,""))</f>
        <v/>
      </c>
      <c r="CP7" s="52">
        <v>6325</v>
      </c>
      <c r="CQ7" s="73" t="str">
        <f t="shared" ref="CQ7:CQ26" si="45">IF(RhinoCurrent&gt;=$C7,"",IF(RhinoDesired&gt;=$C7,CP7,""))</f>
        <v/>
      </c>
      <c r="CR7" s="99"/>
      <c r="CS7" s="73" t="str">
        <f t="shared" ref="CS7:CS26" si="46">IF(RhinoCurrent&gt;=$C7,"",IF(RhinoDesired&gt;=$C7,CR7,""))</f>
        <v/>
      </c>
      <c r="CT7" s="99"/>
      <c r="CU7" s="73" t="str">
        <f t="shared" ref="CU7:CU26" si="47">IF(RhinoCurrent&gt;=$C7,"",IF(RhinoDesired&gt;=$C7,CT7,""))</f>
        <v/>
      </c>
      <c r="CV7" s="99"/>
      <c r="CW7" s="99" t="str">
        <f t="shared" ref="CW7:CW26" si="48">IF(RhinoCurrent&gt;=$C7,"",IF(RhinoDesired&gt;=$C7,CV7,""))</f>
        <v/>
      </c>
      <c r="CX7" s="99"/>
      <c r="CY7" s="74" t="str">
        <f t="shared" ref="CY7:CY26" si="49">IF(RhinoCurrent&gt;=$C7,"",IF(RhinoDesired&gt;=$C7,CX7,""))</f>
        <v/>
      </c>
      <c r="CZ7" s="52">
        <v>6325</v>
      </c>
      <c r="DA7" s="73" t="str" cm="1">
        <f t="array" ref="DA7">IF(TigerCurrent&gt;=$C7,"",IF(TigerDesired&gt;=$C7,CZ7,""))</f>
        <v/>
      </c>
      <c r="DB7" s="99"/>
      <c r="DC7" s="73" t="str" cm="1">
        <f t="array" ref="DC7">IF(TigerCurrent&gt;=$C7,"",IF(TigerDesired&gt;=$C7,DB7,""))</f>
        <v/>
      </c>
      <c r="DD7" s="99"/>
      <c r="DE7" s="73" t="str" cm="1">
        <f t="array" ref="DE7">IF(TigerCurrent&gt;=$C7,"",IF(TigerDesired&gt;=$C7,DD7,""))</f>
        <v/>
      </c>
      <c r="DF7" s="99"/>
      <c r="DG7" s="99" t="str" cm="1">
        <f t="array" ref="DG7">IF(TigerCurrent&gt;=$C7,"",IF(TigerDesired&gt;=$C7,DF7,""))</f>
        <v/>
      </c>
      <c r="DH7" s="99"/>
      <c r="DI7" s="74" t="str" cm="1">
        <f t="array" ref="DI7">IF(TigerCurrent&gt;=$C7,"",IF(TigerDesired&gt;=$C7,DH7,""))</f>
        <v/>
      </c>
      <c r="DJ7" s="52">
        <v>6325</v>
      </c>
      <c r="DK7" s="73" t="str">
        <f t="shared" ref="DK7:DK26" si="50">IF(MammothCurrent&gt;=$C7,"",IF(MammothDesired&gt;=$C7,DJ7,""))</f>
        <v/>
      </c>
      <c r="DL7" s="99"/>
      <c r="DM7" s="73" t="str">
        <f t="shared" ref="DM7:DM26" si="51">IF(MammothCurrent&gt;=$C7,"",IF(MammothDesired&gt;=$C7,DL7,""))</f>
        <v/>
      </c>
      <c r="DN7" s="99"/>
      <c r="DO7" s="73" t="str">
        <f t="shared" ref="DO7:DO26" si="52">IF(MammothCurrent&gt;=$C7,"",IF(MammothDesired&gt;=$C7,DN7,""))</f>
        <v/>
      </c>
      <c r="DP7" s="99"/>
      <c r="DQ7" s="99" t="str">
        <f t="shared" ref="DQ7:DQ26" si="53">IF(MammothCurrent&gt;=$C7,"",IF(MammothDesired&gt;=$C7,DP7,""))</f>
        <v/>
      </c>
      <c r="DR7" s="99"/>
      <c r="DS7" s="74" t="str">
        <f t="shared" ref="DS7:DS26" si="54">IF(MammothCurrent&gt;=$C7,"",IF(MammothDesired&gt;=$C7,DR7,""))</f>
        <v/>
      </c>
      <c r="DT7" s="52">
        <v>6325</v>
      </c>
      <c r="DU7" s="73" t="str">
        <f t="shared" ref="DU7:DU26" si="55">IF(GorillaCurrent&gt;=$C7,"",IF(GorillaDesired&gt;=$C7,DT7,""))</f>
        <v/>
      </c>
      <c r="DV7" s="99"/>
      <c r="DW7" s="73" t="str">
        <f t="shared" ref="DW7:DW26" si="56">IF(GorillaCurrent&gt;=$C7,"",IF(GorillaDesired&gt;=$C7,DV7,""))</f>
        <v/>
      </c>
      <c r="DX7" s="99"/>
      <c r="DY7" s="73" t="str">
        <f t="shared" ref="DY7:DY26" si="57">IF(GorillaCurrent&gt;=$C7,"",IF(GorillaDesired&gt;=$C7,DX7,""))</f>
        <v/>
      </c>
      <c r="DZ7" s="99"/>
      <c r="EA7" s="99" t="str">
        <f t="shared" ref="EA7:EA26" si="58">IF(GorillaCurrent&gt;=$C7,"",IF(GorillaDesired&gt;=$C7,DZ7,""))</f>
        <v/>
      </c>
      <c r="EB7" s="99"/>
      <c r="EC7" s="74" t="str">
        <f t="shared" ref="EC7:EC26" si="59">IF(GorillaCurrent&gt;=$C7,"",IF(GorillaDesired&gt;=$C7,EB7,""))</f>
        <v/>
      </c>
      <c r="ED7" s="52">
        <v>6325</v>
      </c>
      <c r="EE7" s="73" t="str">
        <f t="shared" ref="EE7:EE26" si="60">IF(ChameleonCurrent&gt;=$C7,"",IF(ChameleonDesired&gt;=$C7,ED7,""))</f>
        <v/>
      </c>
      <c r="EF7" s="99"/>
      <c r="EG7" s="73" t="str">
        <f t="shared" ref="EG7:EG26" si="61">IF(ChameleonCurrent&gt;=$C7,"",IF(ChameleonDesired&gt;=$C7,EF7,""))</f>
        <v/>
      </c>
      <c r="EH7" s="99"/>
      <c r="EI7" s="73" t="str">
        <f t="shared" ref="EI7:EI26" si="62">IF(ChameleonCurrent&gt;=$C7,"",IF(ChameleonDesired&gt;=$C7,EH7,""))</f>
        <v/>
      </c>
      <c r="EJ7" s="99"/>
      <c r="EK7" s="99" t="str">
        <f t="shared" ref="EK7:EK26" si="63">IF(ChameleonCurrent&gt;=$C7,"",IF(ChameleonDesired&gt;=$C7,EJ7,""))</f>
        <v/>
      </c>
      <c r="EL7" s="99"/>
      <c r="EM7" s="74" t="str">
        <f t="shared" ref="EM7:EM26" si="64">IF(ChameleonCurrent&gt;=$C7,"",IF(ChameleonDesired&gt;=$C7,EL7,""))</f>
        <v/>
      </c>
      <c r="EN7" s="52">
        <v>6325</v>
      </c>
      <c r="EO7" s="73" t="str">
        <f t="shared" ref="EO7:EO26" si="65">IF(ShelldragonCurrent&gt;=$C7,"",IF(ShelldragonDesired&gt;=$C7,EN7,""))</f>
        <v/>
      </c>
      <c r="EP7" s="99"/>
      <c r="EQ7" s="73" t="str">
        <f t="shared" ref="EQ7:EQ26" si="66">IF(ShelldragonCurrent&gt;=$C7,"",IF(ShelldragonDesired&gt;=$C7,EP7,""))</f>
        <v/>
      </c>
      <c r="ER7" s="99"/>
      <c r="ES7" s="73" t="str">
        <f t="shared" ref="ES7:ES26" si="67">IF(ShelldragonCurrent&gt;=$C7,"",IF(ShelldragonDesired&gt;=$C7,ER7,""))</f>
        <v/>
      </c>
      <c r="ET7" s="99"/>
      <c r="EU7" s="99" t="str">
        <f t="shared" ref="EU7:EU26" si="68">IF(ShelldragonCurrent&gt;=$C7,"",IF(ShelldragonDesired&gt;=$C7,ET7,""))</f>
        <v/>
      </c>
      <c r="EV7" s="99"/>
      <c r="EW7" s="74" t="str">
        <f t="shared" ref="EW7:EW26" si="69">IF(ShelldragonCurrent&gt;=$C7,"",IF(ShelldragonDesired&gt;=$C7,EV7,""))</f>
        <v/>
      </c>
    </row>
    <row r="8" spans="3:153" x14ac:dyDescent="0.3">
      <c r="C8" s="9">
        <v>10.1</v>
      </c>
      <c r="D8" s="53"/>
      <c r="E8" s="75" t="str">
        <f t="shared" si="0"/>
        <v/>
      </c>
      <c r="F8" s="75">
        <v>15</v>
      </c>
      <c r="G8" s="75" t="str">
        <f t="shared" si="1"/>
        <v/>
      </c>
      <c r="H8" s="75"/>
      <c r="I8" s="75" t="str">
        <f t="shared" si="2"/>
        <v/>
      </c>
      <c r="J8" s="75"/>
      <c r="K8" s="75" t="str">
        <f t="shared" si="3"/>
        <v/>
      </c>
      <c r="L8" s="75">
        <v>500</v>
      </c>
      <c r="M8" s="75" t="str">
        <f t="shared" si="4"/>
        <v/>
      </c>
      <c r="N8" s="53"/>
      <c r="O8" s="75" t="str">
        <f t="shared" si="5"/>
        <v/>
      </c>
      <c r="P8" s="75">
        <v>20</v>
      </c>
      <c r="Q8" s="75" t="str">
        <f t="shared" si="6"/>
        <v/>
      </c>
      <c r="R8" s="75"/>
      <c r="S8" s="75" t="str">
        <f t="shared" si="7"/>
        <v/>
      </c>
      <c r="T8" s="75"/>
      <c r="U8" s="75" t="str">
        <f t="shared" si="8"/>
        <v/>
      </c>
      <c r="V8" s="75">
        <v>500</v>
      </c>
      <c r="W8" s="75" t="str">
        <f t="shared" si="9"/>
        <v/>
      </c>
      <c r="X8" s="53"/>
      <c r="Y8" s="59" t="str">
        <f t="shared" si="10"/>
        <v/>
      </c>
      <c r="Z8" s="75">
        <v>20</v>
      </c>
      <c r="AA8" s="75" t="str">
        <f t="shared" si="11"/>
        <v/>
      </c>
      <c r="AB8" s="75"/>
      <c r="AC8" s="75" t="str">
        <f t="shared" si="12"/>
        <v/>
      </c>
      <c r="AD8" s="75"/>
      <c r="AE8" s="75" t="str">
        <f t="shared" si="13"/>
        <v/>
      </c>
      <c r="AF8" s="75">
        <v>500</v>
      </c>
      <c r="AG8" s="59" t="str">
        <f t="shared" si="14"/>
        <v/>
      </c>
      <c r="AH8" s="58"/>
      <c r="AI8" s="59" t="str">
        <f t="shared" si="15"/>
        <v/>
      </c>
      <c r="AJ8" s="59">
        <v>25</v>
      </c>
      <c r="AK8" s="59" t="str">
        <f t="shared" si="16"/>
        <v/>
      </c>
      <c r="AL8" s="59"/>
      <c r="AM8" s="59" t="str">
        <f t="shared" si="17"/>
        <v/>
      </c>
      <c r="AN8" s="59"/>
      <c r="AO8" s="59" t="str">
        <f t="shared" si="18"/>
        <v/>
      </c>
      <c r="AP8" s="59">
        <v>500</v>
      </c>
      <c r="AQ8" s="59" t="str">
        <f t="shared" si="19"/>
        <v/>
      </c>
      <c r="AR8" s="53"/>
      <c r="AS8" s="75" t="str">
        <f t="shared" si="20"/>
        <v/>
      </c>
      <c r="AT8" s="75">
        <v>25</v>
      </c>
      <c r="AU8" s="75" t="str">
        <f t="shared" si="21"/>
        <v/>
      </c>
      <c r="AV8" s="75"/>
      <c r="AW8" s="75" t="str">
        <f t="shared" si="22"/>
        <v/>
      </c>
      <c r="AX8" s="75"/>
      <c r="AY8" s="75" t="str">
        <f t="shared" si="23"/>
        <v/>
      </c>
      <c r="AZ8" s="75">
        <v>500</v>
      </c>
      <c r="BA8" s="75" t="str">
        <f t="shared" si="24"/>
        <v/>
      </c>
      <c r="BB8" s="53"/>
      <c r="BC8" s="75" t="str">
        <f t="shared" si="25"/>
        <v/>
      </c>
      <c r="BD8" s="75">
        <v>30</v>
      </c>
      <c r="BE8" s="75" t="str">
        <f t="shared" si="26"/>
        <v/>
      </c>
      <c r="BF8" s="75"/>
      <c r="BG8" s="75" t="str">
        <f t="shared" si="27"/>
        <v/>
      </c>
      <c r="BH8" s="75"/>
      <c r="BI8" s="75" t="str">
        <f t="shared" si="28"/>
        <v/>
      </c>
      <c r="BJ8" s="75">
        <v>500</v>
      </c>
      <c r="BK8" s="75" t="str">
        <f t="shared" si="29"/>
        <v/>
      </c>
      <c r="BL8" s="53"/>
      <c r="BM8" s="75" t="str">
        <f t="shared" si="30"/>
        <v/>
      </c>
      <c r="BN8" s="75">
        <v>30</v>
      </c>
      <c r="BO8" s="75" t="str">
        <f t="shared" si="31"/>
        <v/>
      </c>
      <c r="BP8" s="75"/>
      <c r="BQ8" s="75" t="str">
        <f t="shared" si="32"/>
        <v/>
      </c>
      <c r="BR8" s="75"/>
      <c r="BS8" s="75" t="str">
        <f t="shared" si="33"/>
        <v/>
      </c>
      <c r="BT8" s="75">
        <v>500</v>
      </c>
      <c r="BU8" s="76" t="str">
        <f t="shared" si="34"/>
        <v/>
      </c>
      <c r="BV8" s="53"/>
      <c r="BW8" s="75" t="str">
        <f t="shared" si="35"/>
        <v/>
      </c>
      <c r="BX8" s="75">
        <v>35</v>
      </c>
      <c r="BY8" s="75" t="str">
        <f t="shared" si="36"/>
        <v/>
      </c>
      <c r="BZ8" s="75"/>
      <c r="CA8" s="75" t="str">
        <f t="shared" si="37"/>
        <v/>
      </c>
      <c r="CB8" s="75"/>
      <c r="CC8" s="59" t="str">
        <f t="shared" si="38"/>
        <v/>
      </c>
      <c r="CD8" s="59">
        <v>500</v>
      </c>
      <c r="CE8" s="76" t="str">
        <f t="shared" si="39"/>
        <v/>
      </c>
      <c r="CF8" s="53"/>
      <c r="CG8" s="75" t="str">
        <f t="shared" si="40"/>
        <v/>
      </c>
      <c r="CH8" s="75">
        <v>35</v>
      </c>
      <c r="CI8" s="75" t="str">
        <f t="shared" si="41"/>
        <v/>
      </c>
      <c r="CJ8" s="75"/>
      <c r="CK8" s="75" t="str">
        <f t="shared" si="42"/>
        <v/>
      </c>
      <c r="CL8" s="75"/>
      <c r="CM8" s="59" t="str">
        <f t="shared" si="43"/>
        <v/>
      </c>
      <c r="CN8" s="59">
        <v>500</v>
      </c>
      <c r="CO8" s="76" t="str">
        <f t="shared" si="44"/>
        <v/>
      </c>
      <c r="CP8" s="53"/>
      <c r="CQ8" s="75" t="str">
        <f t="shared" si="45"/>
        <v/>
      </c>
      <c r="CR8" s="75">
        <v>35</v>
      </c>
      <c r="CS8" s="75" t="str">
        <f t="shared" si="46"/>
        <v/>
      </c>
      <c r="CT8" s="75"/>
      <c r="CU8" s="75" t="str">
        <f t="shared" si="47"/>
        <v/>
      </c>
      <c r="CV8" s="75"/>
      <c r="CW8" s="59" t="str">
        <f t="shared" si="48"/>
        <v/>
      </c>
      <c r="CX8" s="59">
        <v>500</v>
      </c>
      <c r="CY8" s="76" t="str">
        <f t="shared" si="49"/>
        <v/>
      </c>
      <c r="CZ8" s="53"/>
      <c r="DA8" s="75" t="str" cm="1">
        <f t="array" ref="DA8">IF(TigerCurrent&gt;=$C8,"",IF(TigerDesired&gt;=$C8,CZ8,""))</f>
        <v/>
      </c>
      <c r="DB8" s="75">
        <v>35</v>
      </c>
      <c r="DC8" s="75" t="str" cm="1">
        <f t="array" ref="DC8">IF(TigerCurrent&gt;=$C8,"",IF(TigerDesired&gt;=$C8,DB8,""))</f>
        <v/>
      </c>
      <c r="DD8" s="75"/>
      <c r="DE8" s="75" t="str" cm="1">
        <f t="array" ref="DE8">IF(TigerCurrent&gt;=$C8,"",IF(TigerDesired&gt;=$C8,DD8,""))</f>
        <v/>
      </c>
      <c r="DF8" s="75"/>
      <c r="DG8" s="59" t="str" cm="1">
        <f t="array" ref="DG8">IF(TigerCurrent&gt;=$C8,"",IF(TigerDesired&gt;=$C8,DF8,""))</f>
        <v/>
      </c>
      <c r="DH8" s="59">
        <v>500</v>
      </c>
      <c r="DI8" s="76" t="str" cm="1">
        <f t="array" ref="DI8">IF(TigerCurrent&gt;=$C8,"",IF(TigerDesired&gt;=$C8,DH8,""))</f>
        <v/>
      </c>
      <c r="DJ8" s="53"/>
      <c r="DK8" s="75" t="str">
        <f t="shared" si="50"/>
        <v/>
      </c>
      <c r="DL8" s="75">
        <v>35</v>
      </c>
      <c r="DM8" s="75" t="str">
        <f t="shared" si="51"/>
        <v/>
      </c>
      <c r="DN8" s="75"/>
      <c r="DO8" s="75" t="str">
        <f t="shared" si="52"/>
        <v/>
      </c>
      <c r="DP8" s="75"/>
      <c r="DQ8" s="59" t="str">
        <f t="shared" si="53"/>
        <v/>
      </c>
      <c r="DR8" s="59">
        <v>500</v>
      </c>
      <c r="DS8" s="76" t="str">
        <f t="shared" si="54"/>
        <v/>
      </c>
      <c r="DT8" s="53"/>
      <c r="DU8" s="75" t="str">
        <f t="shared" si="55"/>
        <v/>
      </c>
      <c r="DV8" s="75">
        <v>35</v>
      </c>
      <c r="DW8" s="75" t="str">
        <f t="shared" si="56"/>
        <v/>
      </c>
      <c r="DX8" s="75"/>
      <c r="DY8" s="75" t="str">
        <f t="shared" si="57"/>
        <v/>
      </c>
      <c r="DZ8" s="75"/>
      <c r="EA8" s="59" t="str">
        <f t="shared" si="58"/>
        <v/>
      </c>
      <c r="EB8" s="59">
        <v>500</v>
      </c>
      <c r="EC8" s="76" t="str">
        <f t="shared" si="59"/>
        <v/>
      </c>
      <c r="ED8" s="53"/>
      <c r="EE8" s="75" t="str">
        <f t="shared" si="60"/>
        <v/>
      </c>
      <c r="EF8" s="75">
        <v>35</v>
      </c>
      <c r="EG8" s="75" t="str">
        <f t="shared" si="61"/>
        <v/>
      </c>
      <c r="EH8" s="75"/>
      <c r="EI8" s="75" t="str">
        <f t="shared" si="62"/>
        <v/>
      </c>
      <c r="EJ8" s="75"/>
      <c r="EK8" s="59" t="str">
        <f t="shared" si="63"/>
        <v/>
      </c>
      <c r="EL8" s="59">
        <v>500</v>
      </c>
      <c r="EM8" s="76" t="str">
        <f t="shared" si="64"/>
        <v/>
      </c>
      <c r="EN8" s="53"/>
      <c r="EO8" s="75" t="str">
        <f t="shared" si="65"/>
        <v/>
      </c>
      <c r="EP8" s="75">
        <v>35</v>
      </c>
      <c r="EQ8" s="75" t="str">
        <f t="shared" si="66"/>
        <v/>
      </c>
      <c r="ER8" s="75"/>
      <c r="ES8" s="75" t="str">
        <f t="shared" si="67"/>
        <v/>
      </c>
      <c r="ET8" s="75"/>
      <c r="EU8" s="59" t="str">
        <f t="shared" si="68"/>
        <v/>
      </c>
      <c r="EV8" s="59">
        <v>500</v>
      </c>
      <c r="EW8" s="76" t="str">
        <f t="shared" si="69"/>
        <v/>
      </c>
    </row>
    <row r="9" spans="3:153" x14ac:dyDescent="0.3">
      <c r="C9" s="9">
        <v>20</v>
      </c>
      <c r="D9" s="53">
        <v>3180</v>
      </c>
      <c r="E9" s="75" t="str">
        <f t="shared" si="0"/>
        <v/>
      </c>
      <c r="F9" s="75"/>
      <c r="G9" s="75" t="str">
        <f t="shared" si="1"/>
        <v/>
      </c>
      <c r="H9" s="75"/>
      <c r="I9" s="75" t="str">
        <f t="shared" si="2"/>
        <v/>
      </c>
      <c r="J9" s="75"/>
      <c r="K9" s="75" t="str">
        <f t="shared" si="3"/>
        <v/>
      </c>
      <c r="L9" s="75"/>
      <c r="M9" s="75" t="str">
        <f t="shared" si="4"/>
        <v/>
      </c>
      <c r="N9" s="53">
        <v>5360</v>
      </c>
      <c r="O9" s="75" t="str">
        <f t="shared" si="5"/>
        <v/>
      </c>
      <c r="P9" s="75"/>
      <c r="Q9" s="75" t="str">
        <f t="shared" si="6"/>
        <v/>
      </c>
      <c r="R9" s="75"/>
      <c r="S9" s="75" t="str">
        <f t="shared" si="7"/>
        <v/>
      </c>
      <c r="T9" s="75"/>
      <c r="U9" s="75" t="str">
        <f t="shared" si="8"/>
        <v/>
      </c>
      <c r="V9" s="75"/>
      <c r="W9" s="75" t="str">
        <f t="shared" si="9"/>
        <v/>
      </c>
      <c r="X9" s="53">
        <v>5360</v>
      </c>
      <c r="Y9" s="59" t="str">
        <f t="shared" si="10"/>
        <v/>
      </c>
      <c r="Z9" s="75"/>
      <c r="AA9" s="75" t="str">
        <f t="shared" si="11"/>
        <v/>
      </c>
      <c r="AB9" s="75"/>
      <c r="AC9" s="75" t="str">
        <f t="shared" si="12"/>
        <v/>
      </c>
      <c r="AD9" s="75"/>
      <c r="AE9" s="75" t="str">
        <f t="shared" si="13"/>
        <v/>
      </c>
      <c r="AF9" s="75"/>
      <c r="AG9" s="59" t="str">
        <f t="shared" si="14"/>
        <v/>
      </c>
      <c r="AH9" s="58">
        <v>8040</v>
      </c>
      <c r="AI9" s="59" t="str">
        <f t="shared" si="15"/>
        <v/>
      </c>
      <c r="AJ9" s="59"/>
      <c r="AK9" s="59" t="str">
        <f t="shared" si="16"/>
        <v/>
      </c>
      <c r="AL9" s="59"/>
      <c r="AM9" s="59" t="str">
        <f t="shared" si="17"/>
        <v/>
      </c>
      <c r="AN9" s="59"/>
      <c r="AO9" s="59" t="str">
        <f t="shared" si="18"/>
        <v/>
      </c>
      <c r="AP9" s="59"/>
      <c r="AQ9" s="59" t="str">
        <f t="shared" si="19"/>
        <v/>
      </c>
      <c r="AR9" s="53">
        <v>8040</v>
      </c>
      <c r="AS9" s="75" t="str">
        <f t="shared" si="20"/>
        <v/>
      </c>
      <c r="AT9" s="75"/>
      <c r="AU9" s="75" t="str">
        <f t="shared" si="21"/>
        <v/>
      </c>
      <c r="AV9" s="75"/>
      <c r="AW9" s="75" t="str">
        <f t="shared" si="22"/>
        <v/>
      </c>
      <c r="AX9" s="75"/>
      <c r="AY9" s="75" t="str">
        <f t="shared" si="23"/>
        <v/>
      </c>
      <c r="AZ9" s="75"/>
      <c r="BA9" s="75" t="str">
        <f t="shared" si="24"/>
        <v/>
      </c>
      <c r="BB9" s="53">
        <v>10720</v>
      </c>
      <c r="BC9" s="75" t="str">
        <f t="shared" si="25"/>
        <v/>
      </c>
      <c r="BD9" s="75"/>
      <c r="BE9" s="75" t="str">
        <f t="shared" si="26"/>
        <v/>
      </c>
      <c r="BF9" s="75"/>
      <c r="BG9" s="75" t="str">
        <f t="shared" si="27"/>
        <v/>
      </c>
      <c r="BH9" s="75"/>
      <c r="BI9" s="75" t="str">
        <f t="shared" si="28"/>
        <v/>
      </c>
      <c r="BJ9" s="75"/>
      <c r="BK9" s="75" t="str">
        <f t="shared" si="29"/>
        <v/>
      </c>
      <c r="BL9" s="53">
        <v>10720</v>
      </c>
      <c r="BM9" s="75" t="str">
        <f t="shared" si="30"/>
        <v/>
      </c>
      <c r="BN9" s="75"/>
      <c r="BO9" s="75" t="str">
        <f t="shared" si="31"/>
        <v/>
      </c>
      <c r="BP9" s="75"/>
      <c r="BQ9" s="75" t="str">
        <f t="shared" si="32"/>
        <v/>
      </c>
      <c r="BR9" s="75"/>
      <c r="BS9" s="75" t="str">
        <f t="shared" si="33"/>
        <v/>
      </c>
      <c r="BT9" s="75"/>
      <c r="BU9" s="76" t="str">
        <f t="shared" si="34"/>
        <v/>
      </c>
      <c r="BV9" s="53">
        <v>13400</v>
      </c>
      <c r="BW9" s="75" t="str">
        <f t="shared" si="35"/>
        <v/>
      </c>
      <c r="BX9" s="75"/>
      <c r="BY9" s="75" t="str">
        <f t="shared" si="36"/>
        <v/>
      </c>
      <c r="BZ9" s="75"/>
      <c r="CA9" s="75" t="str">
        <f t="shared" si="37"/>
        <v/>
      </c>
      <c r="CB9" s="75"/>
      <c r="CC9" s="59" t="str">
        <f t="shared" si="38"/>
        <v/>
      </c>
      <c r="CD9" s="59"/>
      <c r="CE9" s="76" t="str">
        <f t="shared" si="39"/>
        <v/>
      </c>
      <c r="CF9" s="53">
        <v>13400</v>
      </c>
      <c r="CG9" s="75" t="str">
        <f t="shared" si="40"/>
        <v/>
      </c>
      <c r="CH9" s="75"/>
      <c r="CI9" s="75" t="str">
        <f t="shared" si="41"/>
        <v/>
      </c>
      <c r="CJ9" s="75"/>
      <c r="CK9" s="75" t="str">
        <f t="shared" si="42"/>
        <v/>
      </c>
      <c r="CL9" s="75"/>
      <c r="CM9" s="59" t="str">
        <f t="shared" si="43"/>
        <v/>
      </c>
      <c r="CN9" s="59"/>
      <c r="CO9" s="76" t="str">
        <f t="shared" si="44"/>
        <v/>
      </c>
      <c r="CP9" s="53">
        <v>13400</v>
      </c>
      <c r="CQ9" s="75" t="str">
        <f t="shared" si="45"/>
        <v/>
      </c>
      <c r="CR9" s="75"/>
      <c r="CS9" s="75" t="str">
        <f t="shared" si="46"/>
        <v/>
      </c>
      <c r="CT9" s="75"/>
      <c r="CU9" s="75" t="str">
        <f t="shared" si="47"/>
        <v/>
      </c>
      <c r="CV9" s="75"/>
      <c r="CW9" s="59" t="str">
        <f t="shared" si="48"/>
        <v/>
      </c>
      <c r="CX9" s="59"/>
      <c r="CY9" s="76" t="str">
        <f t="shared" si="49"/>
        <v/>
      </c>
      <c r="CZ9" s="53">
        <v>13400</v>
      </c>
      <c r="DA9" s="75" t="str" cm="1">
        <f t="array" ref="DA9">IF(TigerCurrent&gt;=$C9,"",IF(TigerDesired&gt;=$C9,CZ9,""))</f>
        <v/>
      </c>
      <c r="DB9" s="75"/>
      <c r="DC9" s="75" t="str" cm="1">
        <f t="array" ref="DC9">IF(TigerCurrent&gt;=$C9,"",IF(TigerDesired&gt;=$C9,DB9,""))</f>
        <v/>
      </c>
      <c r="DD9" s="75"/>
      <c r="DE9" s="75" t="str" cm="1">
        <f t="array" ref="DE9">IF(TigerCurrent&gt;=$C9,"",IF(TigerDesired&gt;=$C9,DD9,""))</f>
        <v/>
      </c>
      <c r="DF9" s="75"/>
      <c r="DG9" s="59" t="str" cm="1">
        <f t="array" ref="DG9">IF(TigerCurrent&gt;=$C9,"",IF(TigerDesired&gt;=$C9,DF9,""))</f>
        <v/>
      </c>
      <c r="DH9" s="59"/>
      <c r="DI9" s="76" t="str" cm="1">
        <f t="array" ref="DI9">IF(TigerCurrent&gt;=$C9,"",IF(TigerDesired&gt;=$C9,DH9,""))</f>
        <v/>
      </c>
      <c r="DJ9" s="53">
        <v>13400</v>
      </c>
      <c r="DK9" s="75" t="str">
        <f t="shared" si="50"/>
        <v/>
      </c>
      <c r="DL9" s="75"/>
      <c r="DM9" s="75" t="str">
        <f t="shared" si="51"/>
        <v/>
      </c>
      <c r="DN9" s="75"/>
      <c r="DO9" s="75" t="str">
        <f t="shared" si="52"/>
        <v/>
      </c>
      <c r="DP9" s="75"/>
      <c r="DQ9" s="59" t="str">
        <f t="shared" si="53"/>
        <v/>
      </c>
      <c r="DR9" s="59"/>
      <c r="DS9" s="76" t="str">
        <f t="shared" si="54"/>
        <v/>
      </c>
      <c r="DT9" s="53">
        <v>13400</v>
      </c>
      <c r="DU9" s="75" t="str">
        <f t="shared" si="55"/>
        <v/>
      </c>
      <c r="DV9" s="75"/>
      <c r="DW9" s="75" t="str">
        <f t="shared" si="56"/>
        <v/>
      </c>
      <c r="DX9" s="75"/>
      <c r="DY9" s="75" t="str">
        <f t="shared" si="57"/>
        <v/>
      </c>
      <c r="DZ9" s="75"/>
      <c r="EA9" s="59" t="str">
        <f t="shared" si="58"/>
        <v/>
      </c>
      <c r="EB9" s="59"/>
      <c r="EC9" s="76" t="str">
        <f t="shared" si="59"/>
        <v/>
      </c>
      <c r="ED9" s="53">
        <v>13400</v>
      </c>
      <c r="EE9" s="75" t="str">
        <f t="shared" si="60"/>
        <v/>
      </c>
      <c r="EF9" s="75"/>
      <c r="EG9" s="75" t="str">
        <f t="shared" si="61"/>
        <v/>
      </c>
      <c r="EH9" s="75"/>
      <c r="EI9" s="75" t="str">
        <f t="shared" si="62"/>
        <v/>
      </c>
      <c r="EJ9" s="75"/>
      <c r="EK9" s="59" t="str">
        <f t="shared" si="63"/>
        <v/>
      </c>
      <c r="EL9" s="59"/>
      <c r="EM9" s="76" t="str">
        <f t="shared" si="64"/>
        <v/>
      </c>
      <c r="EN9" s="53">
        <v>13400</v>
      </c>
      <c r="EO9" s="75" t="str">
        <f t="shared" si="65"/>
        <v/>
      </c>
      <c r="EP9" s="75"/>
      <c r="EQ9" s="75" t="str">
        <f t="shared" si="66"/>
        <v/>
      </c>
      <c r="ER9" s="75"/>
      <c r="ES9" s="75" t="str">
        <f t="shared" si="67"/>
        <v/>
      </c>
      <c r="ET9" s="75"/>
      <c r="EU9" s="59" t="str">
        <f t="shared" si="68"/>
        <v/>
      </c>
      <c r="EV9" s="59"/>
      <c r="EW9" s="76" t="str">
        <f t="shared" si="69"/>
        <v/>
      </c>
    </row>
    <row r="10" spans="3:153" x14ac:dyDescent="0.3">
      <c r="C10" s="9">
        <v>20.100000000000001</v>
      </c>
      <c r="D10" s="53"/>
      <c r="E10" s="75" t="str">
        <f t="shared" si="0"/>
        <v/>
      </c>
      <c r="F10" s="75">
        <v>30</v>
      </c>
      <c r="G10" s="75" t="str">
        <f t="shared" si="1"/>
        <v/>
      </c>
      <c r="H10" s="75"/>
      <c r="I10" s="75" t="str">
        <f t="shared" si="2"/>
        <v/>
      </c>
      <c r="J10" s="75"/>
      <c r="K10" s="75" t="str">
        <f t="shared" si="3"/>
        <v/>
      </c>
      <c r="L10" s="75">
        <v>1000</v>
      </c>
      <c r="M10" s="75" t="str">
        <f t="shared" si="4"/>
        <v/>
      </c>
      <c r="N10" s="53"/>
      <c r="O10" s="75" t="str">
        <f t="shared" si="5"/>
        <v/>
      </c>
      <c r="P10" s="75">
        <v>40</v>
      </c>
      <c r="Q10" s="75" t="str">
        <f t="shared" si="6"/>
        <v/>
      </c>
      <c r="R10" s="75"/>
      <c r="S10" s="75" t="str">
        <f t="shared" si="7"/>
        <v/>
      </c>
      <c r="T10" s="75"/>
      <c r="U10" s="75" t="str">
        <f t="shared" si="8"/>
        <v/>
      </c>
      <c r="V10" s="75">
        <v>1000</v>
      </c>
      <c r="W10" s="75" t="str">
        <f t="shared" si="9"/>
        <v/>
      </c>
      <c r="X10" s="53"/>
      <c r="Y10" s="59" t="str">
        <f t="shared" si="10"/>
        <v/>
      </c>
      <c r="Z10" s="75">
        <v>40</v>
      </c>
      <c r="AA10" s="75" t="str">
        <f t="shared" si="11"/>
        <v/>
      </c>
      <c r="AB10" s="75"/>
      <c r="AC10" s="75" t="str">
        <f t="shared" si="12"/>
        <v/>
      </c>
      <c r="AD10" s="75"/>
      <c r="AE10" s="75" t="str">
        <f t="shared" si="13"/>
        <v/>
      </c>
      <c r="AF10" s="75">
        <v>1000</v>
      </c>
      <c r="AG10" s="59" t="str">
        <f t="shared" si="14"/>
        <v/>
      </c>
      <c r="AH10" s="58"/>
      <c r="AI10" s="59" t="str">
        <f t="shared" si="15"/>
        <v/>
      </c>
      <c r="AJ10" s="59">
        <v>50</v>
      </c>
      <c r="AK10" s="59" t="str">
        <f t="shared" si="16"/>
        <v/>
      </c>
      <c r="AL10" s="59"/>
      <c r="AM10" s="59" t="str">
        <f t="shared" si="17"/>
        <v/>
      </c>
      <c r="AN10" s="59"/>
      <c r="AO10" s="59" t="str">
        <f t="shared" si="18"/>
        <v/>
      </c>
      <c r="AP10" s="59">
        <v>1000</v>
      </c>
      <c r="AQ10" s="59" t="str">
        <f t="shared" si="19"/>
        <v/>
      </c>
      <c r="AR10" s="53"/>
      <c r="AS10" s="75" t="str">
        <f t="shared" si="20"/>
        <v/>
      </c>
      <c r="AT10" s="75">
        <v>50</v>
      </c>
      <c r="AU10" s="75" t="str">
        <f t="shared" si="21"/>
        <v/>
      </c>
      <c r="AV10" s="75"/>
      <c r="AW10" s="75" t="str">
        <f t="shared" si="22"/>
        <v/>
      </c>
      <c r="AX10" s="75"/>
      <c r="AY10" s="75" t="str">
        <f t="shared" si="23"/>
        <v/>
      </c>
      <c r="AZ10" s="75">
        <v>1000</v>
      </c>
      <c r="BA10" s="75" t="str">
        <f t="shared" si="24"/>
        <v/>
      </c>
      <c r="BB10" s="53"/>
      <c r="BC10" s="75" t="str">
        <f t="shared" si="25"/>
        <v/>
      </c>
      <c r="BD10" s="75">
        <v>60</v>
      </c>
      <c r="BE10" s="75" t="str">
        <f t="shared" si="26"/>
        <v/>
      </c>
      <c r="BF10" s="75"/>
      <c r="BG10" s="75" t="str">
        <f t="shared" si="27"/>
        <v/>
      </c>
      <c r="BH10" s="75"/>
      <c r="BI10" s="75" t="str">
        <f t="shared" si="28"/>
        <v/>
      </c>
      <c r="BJ10" s="75">
        <v>1000</v>
      </c>
      <c r="BK10" s="75" t="str">
        <f t="shared" si="29"/>
        <v/>
      </c>
      <c r="BL10" s="53"/>
      <c r="BM10" s="75" t="str">
        <f t="shared" si="30"/>
        <v/>
      </c>
      <c r="BN10" s="75">
        <v>60</v>
      </c>
      <c r="BO10" s="75" t="str">
        <f t="shared" si="31"/>
        <v/>
      </c>
      <c r="BP10" s="75"/>
      <c r="BQ10" s="75" t="str">
        <f t="shared" si="32"/>
        <v/>
      </c>
      <c r="BR10" s="75"/>
      <c r="BS10" s="75" t="str">
        <f t="shared" si="33"/>
        <v/>
      </c>
      <c r="BT10" s="75">
        <v>1000</v>
      </c>
      <c r="BU10" s="76" t="str">
        <f t="shared" si="34"/>
        <v/>
      </c>
      <c r="BV10" s="53"/>
      <c r="BW10" s="75" t="str">
        <f t="shared" si="35"/>
        <v/>
      </c>
      <c r="BX10" s="75">
        <v>70</v>
      </c>
      <c r="BY10" s="75" t="str">
        <f t="shared" si="36"/>
        <v/>
      </c>
      <c r="BZ10" s="75"/>
      <c r="CA10" s="75" t="str">
        <f t="shared" si="37"/>
        <v/>
      </c>
      <c r="CB10" s="75"/>
      <c r="CC10" s="59" t="str">
        <f t="shared" si="38"/>
        <v/>
      </c>
      <c r="CD10" s="59">
        <v>1000</v>
      </c>
      <c r="CE10" s="76" t="str">
        <f t="shared" si="39"/>
        <v/>
      </c>
      <c r="CF10" s="53"/>
      <c r="CG10" s="75" t="str">
        <f t="shared" si="40"/>
        <v/>
      </c>
      <c r="CH10" s="75">
        <v>70</v>
      </c>
      <c r="CI10" s="75" t="str">
        <f t="shared" si="41"/>
        <v/>
      </c>
      <c r="CJ10" s="75"/>
      <c r="CK10" s="75" t="str">
        <f t="shared" si="42"/>
        <v/>
      </c>
      <c r="CL10" s="75"/>
      <c r="CM10" s="59" t="str">
        <f t="shared" si="43"/>
        <v/>
      </c>
      <c r="CN10" s="59">
        <v>1000</v>
      </c>
      <c r="CO10" s="76" t="str">
        <f t="shared" si="44"/>
        <v/>
      </c>
      <c r="CP10" s="53"/>
      <c r="CQ10" s="75" t="str">
        <f t="shared" si="45"/>
        <v/>
      </c>
      <c r="CR10" s="75">
        <v>70</v>
      </c>
      <c r="CS10" s="75" t="str">
        <f t="shared" si="46"/>
        <v/>
      </c>
      <c r="CT10" s="75"/>
      <c r="CU10" s="75" t="str">
        <f t="shared" si="47"/>
        <v/>
      </c>
      <c r="CV10" s="75"/>
      <c r="CW10" s="59" t="str">
        <f t="shared" si="48"/>
        <v/>
      </c>
      <c r="CX10" s="59">
        <v>1000</v>
      </c>
      <c r="CY10" s="76" t="str">
        <f t="shared" si="49"/>
        <v/>
      </c>
      <c r="CZ10" s="53"/>
      <c r="DA10" s="75" t="str" cm="1">
        <f t="array" ref="DA10">IF(TigerCurrent&gt;=$C10,"",IF(TigerDesired&gt;=$C10,CZ10,""))</f>
        <v/>
      </c>
      <c r="DB10" s="75">
        <v>70</v>
      </c>
      <c r="DC10" s="75" t="str" cm="1">
        <f t="array" ref="DC10">IF(TigerCurrent&gt;=$C10,"",IF(TigerDesired&gt;=$C10,DB10,""))</f>
        <v/>
      </c>
      <c r="DD10" s="75"/>
      <c r="DE10" s="75" t="str" cm="1">
        <f t="array" ref="DE10">IF(TigerCurrent&gt;=$C10,"",IF(TigerDesired&gt;=$C10,DD10,""))</f>
        <v/>
      </c>
      <c r="DF10" s="75"/>
      <c r="DG10" s="59" t="str" cm="1">
        <f t="array" ref="DG10">IF(TigerCurrent&gt;=$C10,"",IF(TigerDesired&gt;=$C10,DF10,""))</f>
        <v/>
      </c>
      <c r="DH10" s="59">
        <v>1000</v>
      </c>
      <c r="DI10" s="76" t="str" cm="1">
        <f t="array" ref="DI10">IF(TigerCurrent&gt;=$C10,"",IF(TigerDesired&gt;=$C10,DH10,""))</f>
        <v/>
      </c>
      <c r="DJ10" s="53"/>
      <c r="DK10" s="75" t="str">
        <f t="shared" si="50"/>
        <v/>
      </c>
      <c r="DL10" s="75">
        <v>70</v>
      </c>
      <c r="DM10" s="75" t="str">
        <f t="shared" si="51"/>
        <v/>
      </c>
      <c r="DN10" s="75"/>
      <c r="DO10" s="75" t="str">
        <f t="shared" si="52"/>
        <v/>
      </c>
      <c r="DP10" s="75"/>
      <c r="DQ10" s="59" t="str">
        <f t="shared" si="53"/>
        <v/>
      </c>
      <c r="DR10" s="59">
        <v>1000</v>
      </c>
      <c r="DS10" s="76" t="str">
        <f t="shared" si="54"/>
        <v/>
      </c>
      <c r="DT10" s="53"/>
      <c r="DU10" s="75" t="str">
        <f t="shared" si="55"/>
        <v/>
      </c>
      <c r="DV10" s="75">
        <v>70</v>
      </c>
      <c r="DW10" s="75" t="str">
        <f t="shared" si="56"/>
        <v/>
      </c>
      <c r="DX10" s="75"/>
      <c r="DY10" s="75" t="str">
        <f t="shared" si="57"/>
        <v/>
      </c>
      <c r="DZ10" s="75"/>
      <c r="EA10" s="59" t="str">
        <f t="shared" si="58"/>
        <v/>
      </c>
      <c r="EB10" s="59">
        <v>1000</v>
      </c>
      <c r="EC10" s="76" t="str">
        <f t="shared" si="59"/>
        <v/>
      </c>
      <c r="ED10" s="53"/>
      <c r="EE10" s="75" t="str">
        <f t="shared" si="60"/>
        <v/>
      </c>
      <c r="EF10" s="75">
        <v>70</v>
      </c>
      <c r="EG10" s="75" t="str">
        <f t="shared" si="61"/>
        <v/>
      </c>
      <c r="EH10" s="75"/>
      <c r="EI10" s="75" t="str">
        <f t="shared" si="62"/>
        <v/>
      </c>
      <c r="EJ10" s="75"/>
      <c r="EK10" s="59" t="str">
        <f t="shared" si="63"/>
        <v/>
      </c>
      <c r="EL10" s="59">
        <v>1000</v>
      </c>
      <c r="EM10" s="76" t="str">
        <f t="shared" si="64"/>
        <v/>
      </c>
      <c r="EN10" s="53"/>
      <c r="EO10" s="75" t="str">
        <f t="shared" si="65"/>
        <v/>
      </c>
      <c r="EP10" s="75">
        <v>70</v>
      </c>
      <c r="EQ10" s="75" t="str">
        <f t="shared" si="66"/>
        <v/>
      </c>
      <c r="ER10" s="75"/>
      <c r="ES10" s="75" t="str">
        <f t="shared" si="67"/>
        <v/>
      </c>
      <c r="ET10" s="75"/>
      <c r="EU10" s="59" t="str">
        <f t="shared" si="68"/>
        <v/>
      </c>
      <c r="EV10" s="59">
        <v>1000</v>
      </c>
      <c r="EW10" s="76" t="str">
        <f t="shared" si="69"/>
        <v/>
      </c>
    </row>
    <row r="11" spans="3:153" x14ac:dyDescent="0.3">
      <c r="C11" s="9">
        <v>30</v>
      </c>
      <c r="D11" s="53">
        <v>5010</v>
      </c>
      <c r="E11" s="75" t="str">
        <f t="shared" si="0"/>
        <v/>
      </c>
      <c r="F11" s="75"/>
      <c r="G11" s="75" t="str">
        <f t="shared" si="1"/>
        <v/>
      </c>
      <c r="H11" s="59"/>
      <c r="I11" s="75" t="str">
        <f t="shared" si="2"/>
        <v/>
      </c>
      <c r="J11" s="75"/>
      <c r="K11" s="75" t="str">
        <f t="shared" si="3"/>
        <v/>
      </c>
      <c r="L11" s="75"/>
      <c r="M11" s="75" t="str">
        <f t="shared" si="4"/>
        <v/>
      </c>
      <c r="N11" s="53">
        <v>9020</v>
      </c>
      <c r="O11" s="75" t="str">
        <f t="shared" si="5"/>
        <v/>
      </c>
      <c r="P11" s="75"/>
      <c r="Q11" s="75" t="str">
        <f t="shared" si="6"/>
        <v/>
      </c>
      <c r="R11" s="75"/>
      <c r="S11" s="75" t="str">
        <f t="shared" si="7"/>
        <v/>
      </c>
      <c r="T11" s="75"/>
      <c r="U11" s="75" t="str">
        <f t="shared" si="8"/>
        <v/>
      </c>
      <c r="V11" s="75"/>
      <c r="W11" s="75" t="str">
        <f t="shared" si="9"/>
        <v/>
      </c>
      <c r="X11" s="53">
        <v>9020</v>
      </c>
      <c r="Y11" s="59" t="str">
        <f t="shared" si="10"/>
        <v/>
      </c>
      <c r="Z11" s="75"/>
      <c r="AA11" s="75" t="str">
        <f t="shared" si="11"/>
        <v/>
      </c>
      <c r="AB11" s="75"/>
      <c r="AC11" s="75" t="str">
        <f t="shared" si="12"/>
        <v/>
      </c>
      <c r="AD11" s="75"/>
      <c r="AE11" s="75" t="str">
        <f t="shared" si="13"/>
        <v/>
      </c>
      <c r="AF11" s="75"/>
      <c r="AG11" s="59" t="str">
        <f t="shared" si="14"/>
        <v/>
      </c>
      <c r="AH11" s="58">
        <v>13530</v>
      </c>
      <c r="AI11" s="59" t="str">
        <f t="shared" si="15"/>
        <v/>
      </c>
      <c r="AJ11" s="59"/>
      <c r="AK11" s="59" t="str">
        <f t="shared" si="16"/>
        <v/>
      </c>
      <c r="AL11" s="59"/>
      <c r="AM11" s="59" t="str">
        <f t="shared" si="17"/>
        <v/>
      </c>
      <c r="AN11" s="59"/>
      <c r="AO11" s="59" t="str">
        <f t="shared" si="18"/>
        <v/>
      </c>
      <c r="AP11" s="59"/>
      <c r="AQ11" s="59" t="str">
        <f t="shared" si="19"/>
        <v/>
      </c>
      <c r="AR11" s="53">
        <v>13530</v>
      </c>
      <c r="AS11" s="75" t="str">
        <f t="shared" si="20"/>
        <v/>
      </c>
      <c r="AT11" s="75"/>
      <c r="AU11" s="75" t="str">
        <f t="shared" si="21"/>
        <v/>
      </c>
      <c r="AV11" s="75"/>
      <c r="AW11" s="75" t="str">
        <f t="shared" si="22"/>
        <v/>
      </c>
      <c r="AX11" s="75"/>
      <c r="AY11" s="75" t="str">
        <f t="shared" si="23"/>
        <v/>
      </c>
      <c r="AZ11" s="75"/>
      <c r="BA11" s="75" t="str">
        <f t="shared" si="24"/>
        <v/>
      </c>
      <c r="BB11" s="53">
        <v>18040</v>
      </c>
      <c r="BC11" s="75" t="str">
        <f t="shared" si="25"/>
        <v/>
      </c>
      <c r="BD11" s="75"/>
      <c r="BE11" s="75" t="str">
        <f t="shared" si="26"/>
        <v/>
      </c>
      <c r="BF11" s="75"/>
      <c r="BG11" s="75" t="str">
        <f t="shared" si="27"/>
        <v/>
      </c>
      <c r="BH11" s="75"/>
      <c r="BI11" s="75" t="str">
        <f t="shared" si="28"/>
        <v/>
      </c>
      <c r="BJ11" s="75"/>
      <c r="BK11" s="75" t="str">
        <f t="shared" si="29"/>
        <v/>
      </c>
      <c r="BL11" s="53">
        <v>18040</v>
      </c>
      <c r="BM11" s="75" t="str">
        <f t="shared" si="30"/>
        <v/>
      </c>
      <c r="BN11" s="75"/>
      <c r="BO11" s="75" t="str">
        <f t="shared" si="31"/>
        <v/>
      </c>
      <c r="BP11" s="75"/>
      <c r="BQ11" s="75" t="str">
        <f t="shared" si="32"/>
        <v/>
      </c>
      <c r="BR11" s="75"/>
      <c r="BS11" s="75" t="str">
        <f t="shared" si="33"/>
        <v/>
      </c>
      <c r="BT11" s="75"/>
      <c r="BU11" s="76" t="str">
        <f t="shared" si="34"/>
        <v/>
      </c>
      <c r="BV11" s="53">
        <v>22550</v>
      </c>
      <c r="BW11" s="75" t="str">
        <f t="shared" si="35"/>
        <v/>
      </c>
      <c r="BX11" s="75"/>
      <c r="BY11" s="75" t="str">
        <f t="shared" si="36"/>
        <v/>
      </c>
      <c r="BZ11" s="75"/>
      <c r="CA11" s="75" t="str">
        <f t="shared" si="37"/>
        <v/>
      </c>
      <c r="CB11" s="75"/>
      <c r="CC11" s="59" t="str">
        <f t="shared" si="38"/>
        <v/>
      </c>
      <c r="CD11" s="59"/>
      <c r="CE11" s="76" t="str">
        <f t="shared" si="39"/>
        <v/>
      </c>
      <c r="CF11" s="53">
        <v>22550</v>
      </c>
      <c r="CG11" s="75" t="str">
        <f t="shared" si="40"/>
        <v/>
      </c>
      <c r="CH11" s="75"/>
      <c r="CI11" s="75" t="str">
        <f t="shared" si="41"/>
        <v/>
      </c>
      <c r="CJ11" s="75"/>
      <c r="CK11" s="75" t="str">
        <f t="shared" si="42"/>
        <v/>
      </c>
      <c r="CL11" s="75"/>
      <c r="CM11" s="59" t="str">
        <f t="shared" si="43"/>
        <v/>
      </c>
      <c r="CN11" s="59"/>
      <c r="CO11" s="76" t="str">
        <f t="shared" si="44"/>
        <v/>
      </c>
      <c r="CP11" s="53">
        <v>22550</v>
      </c>
      <c r="CQ11" s="75" t="str">
        <f t="shared" si="45"/>
        <v/>
      </c>
      <c r="CR11" s="75"/>
      <c r="CS11" s="75" t="str">
        <f t="shared" si="46"/>
        <v/>
      </c>
      <c r="CT11" s="75"/>
      <c r="CU11" s="75" t="str">
        <f t="shared" si="47"/>
        <v/>
      </c>
      <c r="CV11" s="75"/>
      <c r="CW11" s="59" t="str">
        <f t="shared" si="48"/>
        <v/>
      </c>
      <c r="CX11" s="59"/>
      <c r="CY11" s="76" t="str">
        <f t="shared" si="49"/>
        <v/>
      </c>
      <c r="CZ11" s="53">
        <v>22550</v>
      </c>
      <c r="DA11" s="75" t="str" cm="1">
        <f t="array" ref="DA11">IF(TigerCurrent&gt;=$C11,"",IF(TigerDesired&gt;=$C11,CZ11,""))</f>
        <v/>
      </c>
      <c r="DB11" s="75"/>
      <c r="DC11" s="75" t="str" cm="1">
        <f t="array" ref="DC11">IF(TigerCurrent&gt;=$C11,"",IF(TigerDesired&gt;=$C11,DB11,""))</f>
        <v/>
      </c>
      <c r="DD11" s="75"/>
      <c r="DE11" s="75" t="str" cm="1">
        <f t="array" ref="DE11">IF(TigerCurrent&gt;=$C11,"",IF(TigerDesired&gt;=$C11,DD11,""))</f>
        <v/>
      </c>
      <c r="DF11" s="75"/>
      <c r="DG11" s="59" t="str" cm="1">
        <f t="array" ref="DG11">IF(TigerCurrent&gt;=$C11,"",IF(TigerDesired&gt;=$C11,DF11,""))</f>
        <v/>
      </c>
      <c r="DH11" s="59"/>
      <c r="DI11" s="76" t="str" cm="1">
        <f t="array" ref="DI11">IF(TigerCurrent&gt;=$C11,"",IF(TigerDesired&gt;=$C11,DH11,""))</f>
        <v/>
      </c>
      <c r="DJ11" s="53">
        <v>22550</v>
      </c>
      <c r="DK11" s="75" t="str">
        <f t="shared" si="50"/>
        <v/>
      </c>
      <c r="DL11" s="75"/>
      <c r="DM11" s="75" t="str">
        <f t="shared" si="51"/>
        <v/>
      </c>
      <c r="DN11" s="75"/>
      <c r="DO11" s="75" t="str">
        <f t="shared" si="52"/>
        <v/>
      </c>
      <c r="DP11" s="75"/>
      <c r="DQ11" s="59" t="str">
        <f t="shared" si="53"/>
        <v/>
      </c>
      <c r="DR11" s="59"/>
      <c r="DS11" s="76" t="str">
        <f t="shared" si="54"/>
        <v/>
      </c>
      <c r="DT11" s="53">
        <v>22550</v>
      </c>
      <c r="DU11" s="75" t="str">
        <f t="shared" si="55"/>
        <v/>
      </c>
      <c r="DV11" s="75"/>
      <c r="DW11" s="75" t="str">
        <f t="shared" si="56"/>
        <v/>
      </c>
      <c r="DX11" s="75"/>
      <c r="DY11" s="75" t="str">
        <f t="shared" si="57"/>
        <v/>
      </c>
      <c r="DZ11" s="75"/>
      <c r="EA11" s="59" t="str">
        <f t="shared" si="58"/>
        <v/>
      </c>
      <c r="EB11" s="59"/>
      <c r="EC11" s="76" t="str">
        <f t="shared" si="59"/>
        <v/>
      </c>
      <c r="ED11" s="53">
        <v>22550</v>
      </c>
      <c r="EE11" s="75" t="str">
        <f t="shared" si="60"/>
        <v/>
      </c>
      <c r="EF11" s="75"/>
      <c r="EG11" s="75" t="str">
        <f t="shared" si="61"/>
        <v/>
      </c>
      <c r="EH11" s="75"/>
      <c r="EI11" s="75" t="str">
        <f t="shared" si="62"/>
        <v/>
      </c>
      <c r="EJ11" s="75"/>
      <c r="EK11" s="59" t="str">
        <f t="shared" si="63"/>
        <v/>
      </c>
      <c r="EL11" s="59"/>
      <c r="EM11" s="76" t="str">
        <f t="shared" si="64"/>
        <v/>
      </c>
      <c r="EN11" s="53">
        <v>22550</v>
      </c>
      <c r="EO11" s="75" t="str">
        <f t="shared" si="65"/>
        <v/>
      </c>
      <c r="EP11" s="75"/>
      <c r="EQ11" s="75" t="str">
        <f t="shared" si="66"/>
        <v/>
      </c>
      <c r="ER11" s="75"/>
      <c r="ES11" s="75" t="str">
        <f t="shared" si="67"/>
        <v/>
      </c>
      <c r="ET11" s="75"/>
      <c r="EU11" s="59" t="str">
        <f t="shared" si="68"/>
        <v/>
      </c>
      <c r="EV11" s="59"/>
      <c r="EW11" s="76" t="str">
        <f t="shared" si="69"/>
        <v/>
      </c>
    </row>
    <row r="12" spans="3:153" x14ac:dyDescent="0.3">
      <c r="C12" s="9">
        <v>30.1</v>
      </c>
      <c r="D12" s="53"/>
      <c r="E12" s="75" t="str">
        <f t="shared" si="0"/>
        <v/>
      </c>
      <c r="F12" s="75">
        <v>45</v>
      </c>
      <c r="G12" s="75" t="str">
        <f t="shared" si="1"/>
        <v/>
      </c>
      <c r="H12" s="75">
        <v>10</v>
      </c>
      <c r="I12" s="75" t="str">
        <f t="shared" si="2"/>
        <v/>
      </c>
      <c r="J12" s="75"/>
      <c r="K12" s="75" t="str">
        <f t="shared" si="3"/>
        <v/>
      </c>
      <c r="L12" s="75">
        <v>2000</v>
      </c>
      <c r="M12" s="75" t="str">
        <f t="shared" si="4"/>
        <v/>
      </c>
      <c r="N12" s="53"/>
      <c r="O12" s="75" t="str">
        <f t="shared" si="5"/>
        <v/>
      </c>
      <c r="P12" s="75">
        <v>60</v>
      </c>
      <c r="Q12" s="75" t="str">
        <f t="shared" si="6"/>
        <v/>
      </c>
      <c r="R12" s="75">
        <v>10</v>
      </c>
      <c r="S12" s="75" t="str">
        <f t="shared" si="7"/>
        <v/>
      </c>
      <c r="T12" s="75"/>
      <c r="U12" s="75" t="str">
        <f t="shared" si="8"/>
        <v/>
      </c>
      <c r="V12" s="75">
        <v>2000</v>
      </c>
      <c r="W12" s="75" t="str">
        <f t="shared" si="9"/>
        <v/>
      </c>
      <c r="X12" s="53"/>
      <c r="Y12" s="59" t="str">
        <f t="shared" si="10"/>
        <v/>
      </c>
      <c r="Z12" s="75">
        <v>60</v>
      </c>
      <c r="AA12" s="75" t="str">
        <f t="shared" si="11"/>
        <v/>
      </c>
      <c r="AB12" s="75">
        <v>10</v>
      </c>
      <c r="AC12" s="75" t="str">
        <f t="shared" si="12"/>
        <v/>
      </c>
      <c r="AD12" s="75"/>
      <c r="AE12" s="75" t="str">
        <f t="shared" si="13"/>
        <v/>
      </c>
      <c r="AF12" s="75">
        <v>2000</v>
      </c>
      <c r="AG12" s="59" t="str">
        <f t="shared" si="14"/>
        <v/>
      </c>
      <c r="AH12" s="58"/>
      <c r="AI12" s="59" t="str">
        <f t="shared" si="15"/>
        <v/>
      </c>
      <c r="AJ12" s="59">
        <v>75</v>
      </c>
      <c r="AK12" s="59" t="str">
        <f t="shared" si="16"/>
        <v/>
      </c>
      <c r="AL12" s="59">
        <v>10</v>
      </c>
      <c r="AM12" s="59" t="str">
        <f t="shared" si="17"/>
        <v/>
      </c>
      <c r="AN12" s="59"/>
      <c r="AO12" s="59" t="str">
        <f t="shared" si="18"/>
        <v/>
      </c>
      <c r="AP12" s="59">
        <v>2000</v>
      </c>
      <c r="AQ12" s="59" t="str">
        <f t="shared" si="19"/>
        <v/>
      </c>
      <c r="AR12" s="53"/>
      <c r="AS12" s="75" t="str">
        <f t="shared" si="20"/>
        <v/>
      </c>
      <c r="AT12" s="75">
        <v>75</v>
      </c>
      <c r="AU12" s="75" t="str">
        <f t="shared" si="21"/>
        <v/>
      </c>
      <c r="AV12" s="75">
        <v>10</v>
      </c>
      <c r="AW12" s="75" t="str">
        <f t="shared" si="22"/>
        <v/>
      </c>
      <c r="AX12" s="75"/>
      <c r="AY12" s="75" t="str">
        <f t="shared" si="23"/>
        <v/>
      </c>
      <c r="AZ12" s="75">
        <v>2000</v>
      </c>
      <c r="BA12" s="75" t="str">
        <f t="shared" si="24"/>
        <v/>
      </c>
      <c r="BB12" s="53"/>
      <c r="BC12" s="75" t="str">
        <f t="shared" si="25"/>
        <v/>
      </c>
      <c r="BD12" s="75">
        <v>95</v>
      </c>
      <c r="BE12" s="75" t="str">
        <f t="shared" si="26"/>
        <v/>
      </c>
      <c r="BF12" s="75">
        <v>10</v>
      </c>
      <c r="BG12" s="75" t="str">
        <f t="shared" si="27"/>
        <v/>
      </c>
      <c r="BH12" s="75"/>
      <c r="BI12" s="75" t="str">
        <f t="shared" si="28"/>
        <v/>
      </c>
      <c r="BJ12" s="75">
        <v>2000</v>
      </c>
      <c r="BK12" s="75" t="str">
        <f t="shared" si="29"/>
        <v/>
      </c>
      <c r="BL12" s="53"/>
      <c r="BM12" s="75" t="str">
        <f t="shared" si="30"/>
        <v/>
      </c>
      <c r="BN12" s="75">
        <v>95</v>
      </c>
      <c r="BO12" s="75" t="str">
        <f t="shared" si="31"/>
        <v/>
      </c>
      <c r="BP12" s="75">
        <v>10</v>
      </c>
      <c r="BQ12" s="75" t="str">
        <f t="shared" si="32"/>
        <v/>
      </c>
      <c r="BR12" s="75"/>
      <c r="BS12" s="75" t="str">
        <f t="shared" si="33"/>
        <v/>
      </c>
      <c r="BT12" s="75">
        <v>2000</v>
      </c>
      <c r="BU12" s="76" t="str">
        <f t="shared" si="34"/>
        <v/>
      </c>
      <c r="BV12" s="53"/>
      <c r="BW12" s="75" t="str">
        <f t="shared" si="35"/>
        <v/>
      </c>
      <c r="BX12" s="75">
        <v>110</v>
      </c>
      <c r="BY12" s="75" t="str">
        <f t="shared" si="36"/>
        <v/>
      </c>
      <c r="BZ12" s="75">
        <v>15</v>
      </c>
      <c r="CA12" s="75" t="str">
        <f t="shared" si="37"/>
        <v/>
      </c>
      <c r="CB12" s="75"/>
      <c r="CC12" s="59" t="str">
        <f t="shared" si="38"/>
        <v/>
      </c>
      <c r="CD12" s="59">
        <v>2000</v>
      </c>
      <c r="CE12" s="76" t="str">
        <f t="shared" si="39"/>
        <v/>
      </c>
      <c r="CF12" s="53"/>
      <c r="CG12" s="75" t="str">
        <f t="shared" si="40"/>
        <v/>
      </c>
      <c r="CH12" s="75">
        <v>110</v>
      </c>
      <c r="CI12" s="75" t="str">
        <f t="shared" si="41"/>
        <v/>
      </c>
      <c r="CJ12" s="75">
        <v>15</v>
      </c>
      <c r="CK12" s="75" t="str">
        <f t="shared" si="42"/>
        <v/>
      </c>
      <c r="CL12" s="75"/>
      <c r="CM12" s="59" t="str">
        <f t="shared" si="43"/>
        <v/>
      </c>
      <c r="CN12" s="59">
        <v>2000</v>
      </c>
      <c r="CO12" s="76" t="str">
        <f t="shared" si="44"/>
        <v/>
      </c>
      <c r="CP12" s="53"/>
      <c r="CQ12" s="75" t="str">
        <f t="shared" si="45"/>
        <v/>
      </c>
      <c r="CR12" s="75">
        <v>110</v>
      </c>
      <c r="CS12" s="75" t="str">
        <f t="shared" si="46"/>
        <v/>
      </c>
      <c r="CT12" s="75">
        <v>15</v>
      </c>
      <c r="CU12" s="75" t="str">
        <f t="shared" si="47"/>
        <v/>
      </c>
      <c r="CV12" s="75"/>
      <c r="CW12" s="59" t="str">
        <f t="shared" si="48"/>
        <v/>
      </c>
      <c r="CX12" s="59">
        <v>2000</v>
      </c>
      <c r="CY12" s="76" t="str">
        <f t="shared" si="49"/>
        <v/>
      </c>
      <c r="CZ12" s="53"/>
      <c r="DA12" s="75" t="str" cm="1">
        <f t="array" ref="DA12">IF(TigerCurrent&gt;=$C12,"",IF(TigerDesired&gt;=$C12,CZ12,""))</f>
        <v/>
      </c>
      <c r="DB12" s="75">
        <v>110</v>
      </c>
      <c r="DC12" s="75" t="str" cm="1">
        <f t="array" ref="DC12">IF(TigerCurrent&gt;=$C12,"",IF(TigerDesired&gt;=$C12,DB12,""))</f>
        <v/>
      </c>
      <c r="DD12" s="75">
        <v>15</v>
      </c>
      <c r="DE12" s="75" t="str" cm="1">
        <f t="array" ref="DE12">IF(TigerCurrent&gt;=$C12,"",IF(TigerDesired&gt;=$C12,DD12,""))</f>
        <v/>
      </c>
      <c r="DF12" s="75"/>
      <c r="DG12" s="59" t="str" cm="1">
        <f t="array" ref="DG12">IF(TigerCurrent&gt;=$C12,"",IF(TigerDesired&gt;=$C12,DF12,""))</f>
        <v/>
      </c>
      <c r="DH12" s="59">
        <v>2000</v>
      </c>
      <c r="DI12" s="76" t="str" cm="1">
        <f t="array" ref="DI12">IF(TigerCurrent&gt;=$C12,"",IF(TigerDesired&gt;=$C12,DH12,""))</f>
        <v/>
      </c>
      <c r="DJ12" s="53"/>
      <c r="DK12" s="75" t="str">
        <f t="shared" si="50"/>
        <v/>
      </c>
      <c r="DL12" s="75">
        <v>110</v>
      </c>
      <c r="DM12" s="75" t="str">
        <f t="shared" si="51"/>
        <v/>
      </c>
      <c r="DN12" s="75">
        <v>15</v>
      </c>
      <c r="DO12" s="75" t="str">
        <f t="shared" si="52"/>
        <v/>
      </c>
      <c r="DP12" s="75"/>
      <c r="DQ12" s="59" t="str">
        <f t="shared" si="53"/>
        <v/>
      </c>
      <c r="DR12" s="59">
        <v>2000</v>
      </c>
      <c r="DS12" s="76" t="str">
        <f t="shared" si="54"/>
        <v/>
      </c>
      <c r="DT12" s="53"/>
      <c r="DU12" s="75" t="str">
        <f t="shared" si="55"/>
        <v/>
      </c>
      <c r="DV12" s="75">
        <v>110</v>
      </c>
      <c r="DW12" s="75" t="str">
        <f t="shared" si="56"/>
        <v/>
      </c>
      <c r="DX12" s="75">
        <v>15</v>
      </c>
      <c r="DY12" s="75" t="str">
        <f t="shared" si="57"/>
        <v/>
      </c>
      <c r="DZ12" s="75"/>
      <c r="EA12" s="59" t="str">
        <f t="shared" si="58"/>
        <v/>
      </c>
      <c r="EB12" s="59">
        <v>2000</v>
      </c>
      <c r="EC12" s="76" t="str">
        <f t="shared" si="59"/>
        <v/>
      </c>
      <c r="ED12" s="53"/>
      <c r="EE12" s="75" t="str">
        <f t="shared" si="60"/>
        <v/>
      </c>
      <c r="EF12" s="75">
        <v>110</v>
      </c>
      <c r="EG12" s="75" t="str">
        <f t="shared" si="61"/>
        <v/>
      </c>
      <c r="EH12" s="75">
        <v>15</v>
      </c>
      <c r="EI12" s="75" t="str">
        <f t="shared" si="62"/>
        <v/>
      </c>
      <c r="EJ12" s="75"/>
      <c r="EK12" s="59" t="str">
        <f t="shared" si="63"/>
        <v/>
      </c>
      <c r="EL12" s="59">
        <v>2000</v>
      </c>
      <c r="EM12" s="76" t="str">
        <f t="shared" si="64"/>
        <v/>
      </c>
      <c r="EN12" s="53"/>
      <c r="EO12" s="75" t="str">
        <f t="shared" si="65"/>
        <v/>
      </c>
      <c r="EP12" s="75">
        <v>110</v>
      </c>
      <c r="EQ12" s="75" t="str">
        <f t="shared" si="66"/>
        <v/>
      </c>
      <c r="ER12" s="75">
        <v>15</v>
      </c>
      <c r="ES12" s="75" t="str">
        <f t="shared" si="67"/>
        <v/>
      </c>
      <c r="ET12" s="75"/>
      <c r="EU12" s="59" t="str">
        <f t="shared" si="68"/>
        <v/>
      </c>
      <c r="EV12" s="59">
        <v>2000</v>
      </c>
      <c r="EW12" s="76" t="str">
        <f t="shared" si="69"/>
        <v/>
      </c>
    </row>
    <row r="13" spans="3:153" x14ac:dyDescent="0.3">
      <c r="C13" s="9">
        <v>40</v>
      </c>
      <c r="D13" s="53">
        <v>7660</v>
      </c>
      <c r="E13" s="75" t="str">
        <f t="shared" si="0"/>
        <v/>
      </c>
      <c r="F13" s="75"/>
      <c r="G13" s="75" t="str">
        <f t="shared" si="1"/>
        <v/>
      </c>
      <c r="H13" s="75"/>
      <c r="I13" s="75" t="str">
        <f t="shared" si="2"/>
        <v/>
      </c>
      <c r="J13" s="75"/>
      <c r="K13" s="75" t="str">
        <f t="shared" si="3"/>
        <v/>
      </c>
      <c r="L13" s="75"/>
      <c r="M13" s="75" t="str">
        <f t="shared" si="4"/>
        <v/>
      </c>
      <c r="N13" s="53">
        <v>14320</v>
      </c>
      <c r="O13" s="75" t="str">
        <f t="shared" si="5"/>
        <v/>
      </c>
      <c r="P13" s="75"/>
      <c r="Q13" s="75" t="str">
        <f t="shared" si="6"/>
        <v/>
      </c>
      <c r="R13" s="75"/>
      <c r="S13" s="75" t="str">
        <f t="shared" si="7"/>
        <v/>
      </c>
      <c r="T13" s="75"/>
      <c r="U13" s="75" t="str">
        <f t="shared" si="8"/>
        <v/>
      </c>
      <c r="V13" s="75"/>
      <c r="W13" s="75" t="str">
        <f t="shared" si="9"/>
        <v/>
      </c>
      <c r="X13" s="53">
        <v>14320</v>
      </c>
      <c r="Y13" s="59" t="str">
        <f t="shared" si="10"/>
        <v/>
      </c>
      <c r="Z13" s="75"/>
      <c r="AA13" s="75" t="str">
        <f t="shared" si="11"/>
        <v/>
      </c>
      <c r="AB13" s="75"/>
      <c r="AC13" s="75" t="str">
        <f t="shared" si="12"/>
        <v/>
      </c>
      <c r="AD13" s="75"/>
      <c r="AE13" s="75" t="str">
        <f t="shared" si="13"/>
        <v/>
      </c>
      <c r="AF13" s="75"/>
      <c r="AG13" s="59" t="str">
        <f t="shared" si="14"/>
        <v/>
      </c>
      <c r="AH13" s="58">
        <v>21480</v>
      </c>
      <c r="AI13" s="59" t="str">
        <f t="shared" si="15"/>
        <v/>
      </c>
      <c r="AJ13" s="59"/>
      <c r="AK13" s="59" t="str">
        <f t="shared" si="16"/>
        <v/>
      </c>
      <c r="AL13" s="59"/>
      <c r="AM13" s="59" t="str">
        <f t="shared" si="17"/>
        <v/>
      </c>
      <c r="AN13" s="59"/>
      <c r="AO13" s="59" t="str">
        <f t="shared" si="18"/>
        <v/>
      </c>
      <c r="AP13" s="59"/>
      <c r="AQ13" s="59" t="str">
        <f t="shared" si="19"/>
        <v/>
      </c>
      <c r="AR13" s="53">
        <v>21480</v>
      </c>
      <c r="AS13" s="75" t="str">
        <f t="shared" si="20"/>
        <v/>
      </c>
      <c r="AT13" s="75"/>
      <c r="AU13" s="75" t="str">
        <f t="shared" si="21"/>
        <v/>
      </c>
      <c r="AV13" s="75"/>
      <c r="AW13" s="75" t="str">
        <f t="shared" si="22"/>
        <v/>
      </c>
      <c r="AX13" s="75"/>
      <c r="AY13" s="75" t="str">
        <f t="shared" si="23"/>
        <v/>
      </c>
      <c r="AZ13" s="75"/>
      <c r="BA13" s="75" t="str">
        <f t="shared" si="24"/>
        <v/>
      </c>
      <c r="BB13" s="53">
        <v>28640</v>
      </c>
      <c r="BC13" s="75" t="str">
        <f t="shared" si="25"/>
        <v/>
      </c>
      <c r="BD13" s="75"/>
      <c r="BE13" s="75" t="str">
        <f t="shared" si="26"/>
        <v/>
      </c>
      <c r="BF13" s="75"/>
      <c r="BG13" s="75" t="str">
        <f t="shared" si="27"/>
        <v/>
      </c>
      <c r="BH13" s="75"/>
      <c r="BI13" s="75" t="str">
        <f t="shared" si="28"/>
        <v/>
      </c>
      <c r="BJ13" s="75"/>
      <c r="BK13" s="75" t="str">
        <f t="shared" si="29"/>
        <v/>
      </c>
      <c r="BL13" s="53">
        <v>28640</v>
      </c>
      <c r="BM13" s="75" t="str">
        <f t="shared" si="30"/>
        <v/>
      </c>
      <c r="BN13" s="75"/>
      <c r="BO13" s="75" t="str">
        <f t="shared" si="31"/>
        <v/>
      </c>
      <c r="BP13" s="75"/>
      <c r="BQ13" s="75" t="str">
        <f t="shared" si="32"/>
        <v/>
      </c>
      <c r="BR13" s="75"/>
      <c r="BS13" s="75" t="str">
        <f t="shared" si="33"/>
        <v/>
      </c>
      <c r="BT13" s="75"/>
      <c r="BU13" s="76" t="str">
        <f t="shared" si="34"/>
        <v/>
      </c>
      <c r="BV13" s="53">
        <v>35800</v>
      </c>
      <c r="BW13" s="75" t="str">
        <f t="shared" si="35"/>
        <v/>
      </c>
      <c r="BX13" s="75"/>
      <c r="BY13" s="75" t="str">
        <f t="shared" si="36"/>
        <v/>
      </c>
      <c r="BZ13" s="75"/>
      <c r="CA13" s="75" t="str">
        <f t="shared" si="37"/>
        <v/>
      </c>
      <c r="CB13" s="75"/>
      <c r="CC13" s="59" t="str">
        <f t="shared" si="38"/>
        <v/>
      </c>
      <c r="CD13" s="59"/>
      <c r="CE13" s="76" t="str">
        <f t="shared" si="39"/>
        <v/>
      </c>
      <c r="CF13" s="53">
        <v>35800</v>
      </c>
      <c r="CG13" s="75" t="str">
        <f t="shared" si="40"/>
        <v/>
      </c>
      <c r="CH13" s="75"/>
      <c r="CI13" s="75" t="str">
        <f t="shared" si="41"/>
        <v/>
      </c>
      <c r="CJ13" s="75"/>
      <c r="CK13" s="75" t="str">
        <f t="shared" si="42"/>
        <v/>
      </c>
      <c r="CL13" s="75"/>
      <c r="CM13" s="59" t="str">
        <f t="shared" si="43"/>
        <v/>
      </c>
      <c r="CN13" s="59"/>
      <c r="CO13" s="76" t="str">
        <f t="shared" si="44"/>
        <v/>
      </c>
      <c r="CP13" s="53">
        <v>35800</v>
      </c>
      <c r="CQ13" s="75" t="str">
        <f t="shared" si="45"/>
        <v/>
      </c>
      <c r="CR13" s="75"/>
      <c r="CS13" s="75" t="str">
        <f t="shared" si="46"/>
        <v/>
      </c>
      <c r="CT13" s="75"/>
      <c r="CU13" s="75" t="str">
        <f t="shared" si="47"/>
        <v/>
      </c>
      <c r="CV13" s="75"/>
      <c r="CW13" s="59" t="str">
        <f t="shared" si="48"/>
        <v/>
      </c>
      <c r="CX13" s="59"/>
      <c r="CY13" s="76" t="str">
        <f t="shared" si="49"/>
        <v/>
      </c>
      <c r="CZ13" s="53">
        <v>35800</v>
      </c>
      <c r="DA13" s="75" t="str" cm="1">
        <f t="array" ref="DA13">IF(TigerCurrent&gt;=$C13,"",IF(TigerDesired&gt;=$C13,CZ13,""))</f>
        <v/>
      </c>
      <c r="DB13" s="75"/>
      <c r="DC13" s="75" t="str" cm="1">
        <f t="array" ref="DC13">IF(TigerCurrent&gt;=$C13,"",IF(TigerDesired&gt;=$C13,DB13,""))</f>
        <v/>
      </c>
      <c r="DD13" s="75"/>
      <c r="DE13" s="75" t="str" cm="1">
        <f t="array" ref="DE13">IF(TigerCurrent&gt;=$C13,"",IF(TigerDesired&gt;=$C13,DD13,""))</f>
        <v/>
      </c>
      <c r="DF13" s="75"/>
      <c r="DG13" s="59" t="str" cm="1">
        <f t="array" ref="DG13">IF(TigerCurrent&gt;=$C13,"",IF(TigerDesired&gt;=$C13,DF13,""))</f>
        <v/>
      </c>
      <c r="DH13" s="59"/>
      <c r="DI13" s="76" t="str" cm="1">
        <f t="array" ref="DI13">IF(TigerCurrent&gt;=$C13,"",IF(TigerDesired&gt;=$C13,DH13,""))</f>
        <v/>
      </c>
      <c r="DJ13" s="53">
        <v>35800</v>
      </c>
      <c r="DK13" s="75" t="str">
        <f t="shared" si="50"/>
        <v/>
      </c>
      <c r="DL13" s="75"/>
      <c r="DM13" s="75" t="str">
        <f t="shared" si="51"/>
        <v/>
      </c>
      <c r="DN13" s="75"/>
      <c r="DO13" s="75" t="str">
        <f t="shared" si="52"/>
        <v/>
      </c>
      <c r="DP13" s="75"/>
      <c r="DQ13" s="59" t="str">
        <f t="shared" si="53"/>
        <v/>
      </c>
      <c r="DR13" s="59"/>
      <c r="DS13" s="76" t="str">
        <f t="shared" si="54"/>
        <v/>
      </c>
      <c r="DT13" s="53">
        <v>35800</v>
      </c>
      <c r="DU13" s="75" t="str">
        <f t="shared" si="55"/>
        <v/>
      </c>
      <c r="DV13" s="75"/>
      <c r="DW13" s="75" t="str">
        <f t="shared" si="56"/>
        <v/>
      </c>
      <c r="DX13" s="75"/>
      <c r="DY13" s="75" t="str">
        <f t="shared" si="57"/>
        <v/>
      </c>
      <c r="DZ13" s="75"/>
      <c r="EA13" s="59" t="str">
        <f t="shared" si="58"/>
        <v/>
      </c>
      <c r="EB13" s="59"/>
      <c r="EC13" s="76" t="str">
        <f t="shared" si="59"/>
        <v/>
      </c>
      <c r="ED13" s="53">
        <v>35800</v>
      </c>
      <c r="EE13" s="75" t="str">
        <f t="shared" si="60"/>
        <v/>
      </c>
      <c r="EF13" s="75"/>
      <c r="EG13" s="75" t="str">
        <f t="shared" si="61"/>
        <v/>
      </c>
      <c r="EH13" s="75"/>
      <c r="EI13" s="75" t="str">
        <f t="shared" si="62"/>
        <v/>
      </c>
      <c r="EJ13" s="75"/>
      <c r="EK13" s="59" t="str">
        <f t="shared" si="63"/>
        <v/>
      </c>
      <c r="EL13" s="59"/>
      <c r="EM13" s="76" t="str">
        <f t="shared" si="64"/>
        <v/>
      </c>
      <c r="EN13" s="53">
        <v>35800</v>
      </c>
      <c r="EO13" s="75" t="str">
        <f t="shared" si="65"/>
        <v/>
      </c>
      <c r="EP13" s="75"/>
      <c r="EQ13" s="75" t="str">
        <f t="shared" si="66"/>
        <v/>
      </c>
      <c r="ER13" s="75"/>
      <c r="ES13" s="75" t="str">
        <f t="shared" si="67"/>
        <v/>
      </c>
      <c r="ET13" s="75"/>
      <c r="EU13" s="59" t="str">
        <f t="shared" si="68"/>
        <v/>
      </c>
      <c r="EV13" s="59"/>
      <c r="EW13" s="76" t="str">
        <f t="shared" si="69"/>
        <v/>
      </c>
    </row>
    <row r="14" spans="3:153" x14ac:dyDescent="0.3">
      <c r="C14" s="9">
        <v>40.1</v>
      </c>
      <c r="D14" s="53"/>
      <c r="E14" s="75" t="str">
        <f t="shared" si="0"/>
        <v/>
      </c>
      <c r="F14" s="75">
        <v>60</v>
      </c>
      <c r="G14" s="75" t="str">
        <f t="shared" si="1"/>
        <v/>
      </c>
      <c r="H14" s="75">
        <v>20</v>
      </c>
      <c r="I14" s="75" t="str">
        <f t="shared" si="2"/>
        <v/>
      </c>
      <c r="J14" s="75"/>
      <c r="K14" s="75" t="str">
        <f t="shared" si="3"/>
        <v/>
      </c>
      <c r="L14" s="75">
        <v>3000</v>
      </c>
      <c r="M14" s="75" t="str">
        <f t="shared" si="4"/>
        <v/>
      </c>
      <c r="N14" s="53"/>
      <c r="O14" s="75" t="str">
        <f t="shared" si="5"/>
        <v/>
      </c>
      <c r="P14" s="75">
        <v>90</v>
      </c>
      <c r="Q14" s="75" t="str">
        <f t="shared" si="6"/>
        <v/>
      </c>
      <c r="R14" s="75">
        <v>20</v>
      </c>
      <c r="S14" s="75" t="str">
        <f t="shared" si="7"/>
        <v/>
      </c>
      <c r="T14" s="75"/>
      <c r="U14" s="75" t="str">
        <f t="shared" si="8"/>
        <v/>
      </c>
      <c r="V14" s="75">
        <v>3000</v>
      </c>
      <c r="W14" s="75" t="str">
        <f t="shared" si="9"/>
        <v/>
      </c>
      <c r="X14" s="53"/>
      <c r="Y14" s="59" t="str">
        <f t="shared" si="10"/>
        <v/>
      </c>
      <c r="Z14" s="75">
        <v>90</v>
      </c>
      <c r="AA14" s="75" t="str">
        <f t="shared" si="11"/>
        <v/>
      </c>
      <c r="AB14" s="75">
        <v>20</v>
      </c>
      <c r="AC14" s="75" t="str">
        <f t="shared" si="12"/>
        <v/>
      </c>
      <c r="AD14" s="75"/>
      <c r="AE14" s="75" t="str">
        <f t="shared" si="13"/>
        <v/>
      </c>
      <c r="AF14" s="75">
        <v>3000</v>
      </c>
      <c r="AG14" s="59" t="str">
        <f t="shared" si="14"/>
        <v/>
      </c>
      <c r="AH14" s="58"/>
      <c r="AI14" s="59" t="str">
        <f t="shared" si="15"/>
        <v/>
      </c>
      <c r="AJ14" s="59">
        <v>100</v>
      </c>
      <c r="AK14" s="59" t="str">
        <f t="shared" si="16"/>
        <v/>
      </c>
      <c r="AL14" s="59">
        <v>20</v>
      </c>
      <c r="AM14" s="59" t="str">
        <f t="shared" si="17"/>
        <v/>
      </c>
      <c r="AN14" s="59"/>
      <c r="AO14" s="59" t="str">
        <f t="shared" si="18"/>
        <v/>
      </c>
      <c r="AP14" s="59">
        <v>3000</v>
      </c>
      <c r="AQ14" s="59" t="str">
        <f t="shared" si="19"/>
        <v/>
      </c>
      <c r="AR14" s="53"/>
      <c r="AS14" s="75" t="str">
        <f t="shared" si="20"/>
        <v/>
      </c>
      <c r="AT14" s="75">
        <v>100</v>
      </c>
      <c r="AU14" s="75" t="str">
        <f t="shared" si="21"/>
        <v/>
      </c>
      <c r="AV14" s="75">
        <v>20</v>
      </c>
      <c r="AW14" s="75" t="str">
        <f t="shared" si="22"/>
        <v/>
      </c>
      <c r="AX14" s="75"/>
      <c r="AY14" s="75" t="str">
        <f t="shared" si="23"/>
        <v/>
      </c>
      <c r="AZ14" s="75">
        <v>3000</v>
      </c>
      <c r="BA14" s="75" t="str">
        <f t="shared" si="24"/>
        <v/>
      </c>
      <c r="BB14" s="53"/>
      <c r="BC14" s="75" t="str">
        <f t="shared" si="25"/>
        <v/>
      </c>
      <c r="BD14" s="75">
        <v>125</v>
      </c>
      <c r="BE14" s="75" t="str">
        <f t="shared" si="26"/>
        <v/>
      </c>
      <c r="BF14" s="75">
        <v>20</v>
      </c>
      <c r="BG14" s="75" t="str">
        <f t="shared" si="27"/>
        <v/>
      </c>
      <c r="BH14" s="75"/>
      <c r="BI14" s="75" t="str">
        <f t="shared" si="28"/>
        <v/>
      </c>
      <c r="BJ14" s="75">
        <v>3000</v>
      </c>
      <c r="BK14" s="75" t="str">
        <f t="shared" si="29"/>
        <v/>
      </c>
      <c r="BL14" s="53"/>
      <c r="BM14" s="75" t="str">
        <f t="shared" si="30"/>
        <v/>
      </c>
      <c r="BN14" s="75">
        <v>125</v>
      </c>
      <c r="BO14" s="75" t="str">
        <f t="shared" si="31"/>
        <v/>
      </c>
      <c r="BP14" s="75">
        <v>20</v>
      </c>
      <c r="BQ14" s="75" t="str">
        <f t="shared" si="32"/>
        <v/>
      </c>
      <c r="BR14" s="75"/>
      <c r="BS14" s="75" t="str">
        <f t="shared" si="33"/>
        <v/>
      </c>
      <c r="BT14" s="75">
        <v>3000</v>
      </c>
      <c r="BU14" s="76" t="str">
        <f t="shared" si="34"/>
        <v/>
      </c>
      <c r="BV14" s="53"/>
      <c r="BW14" s="75" t="str">
        <f t="shared" si="35"/>
        <v/>
      </c>
      <c r="BX14" s="75">
        <v>145</v>
      </c>
      <c r="BY14" s="75" t="str">
        <f t="shared" si="36"/>
        <v/>
      </c>
      <c r="BZ14" s="75">
        <v>35</v>
      </c>
      <c r="CA14" s="75" t="str">
        <f t="shared" si="37"/>
        <v/>
      </c>
      <c r="CB14" s="75"/>
      <c r="CC14" s="59" t="str">
        <f t="shared" si="38"/>
        <v/>
      </c>
      <c r="CD14" s="59">
        <v>3000</v>
      </c>
      <c r="CE14" s="76" t="str">
        <f t="shared" si="39"/>
        <v/>
      </c>
      <c r="CF14" s="53"/>
      <c r="CG14" s="75" t="str">
        <f t="shared" si="40"/>
        <v/>
      </c>
      <c r="CH14" s="75">
        <v>145</v>
      </c>
      <c r="CI14" s="75" t="str">
        <f t="shared" si="41"/>
        <v/>
      </c>
      <c r="CJ14" s="75">
        <v>35</v>
      </c>
      <c r="CK14" s="75" t="str">
        <f t="shared" si="42"/>
        <v/>
      </c>
      <c r="CL14" s="75"/>
      <c r="CM14" s="59" t="str">
        <f t="shared" si="43"/>
        <v/>
      </c>
      <c r="CN14" s="59">
        <v>3000</v>
      </c>
      <c r="CO14" s="76" t="str">
        <f t="shared" si="44"/>
        <v/>
      </c>
      <c r="CP14" s="53"/>
      <c r="CQ14" s="75" t="str">
        <f t="shared" si="45"/>
        <v/>
      </c>
      <c r="CR14" s="75">
        <v>145</v>
      </c>
      <c r="CS14" s="75" t="str">
        <f t="shared" si="46"/>
        <v/>
      </c>
      <c r="CT14" s="75">
        <v>35</v>
      </c>
      <c r="CU14" s="75" t="str">
        <f t="shared" si="47"/>
        <v/>
      </c>
      <c r="CV14" s="75"/>
      <c r="CW14" s="59" t="str">
        <f t="shared" si="48"/>
        <v/>
      </c>
      <c r="CX14" s="59">
        <v>3000</v>
      </c>
      <c r="CY14" s="76" t="str">
        <f t="shared" si="49"/>
        <v/>
      </c>
      <c r="CZ14" s="53"/>
      <c r="DA14" s="75" t="str" cm="1">
        <f t="array" ref="DA14">IF(TigerCurrent&gt;=$C14,"",IF(TigerDesired&gt;=$C14,CZ14,""))</f>
        <v/>
      </c>
      <c r="DB14" s="75">
        <v>145</v>
      </c>
      <c r="DC14" s="75" t="str" cm="1">
        <f t="array" ref="DC14">IF(TigerCurrent&gt;=$C14,"",IF(TigerDesired&gt;=$C14,DB14,""))</f>
        <v/>
      </c>
      <c r="DD14" s="75">
        <v>35</v>
      </c>
      <c r="DE14" s="75" t="str" cm="1">
        <f t="array" ref="DE14">IF(TigerCurrent&gt;=$C14,"",IF(TigerDesired&gt;=$C14,DD14,""))</f>
        <v/>
      </c>
      <c r="DF14" s="75"/>
      <c r="DG14" s="59" t="str" cm="1">
        <f t="array" ref="DG14">IF(TigerCurrent&gt;=$C14,"",IF(TigerDesired&gt;=$C14,DF14,""))</f>
        <v/>
      </c>
      <c r="DH14" s="59">
        <v>3000</v>
      </c>
      <c r="DI14" s="76" t="str" cm="1">
        <f t="array" ref="DI14">IF(TigerCurrent&gt;=$C14,"",IF(TigerDesired&gt;=$C14,DH14,""))</f>
        <v/>
      </c>
      <c r="DJ14" s="53"/>
      <c r="DK14" s="75" t="str">
        <f t="shared" si="50"/>
        <v/>
      </c>
      <c r="DL14" s="75">
        <v>145</v>
      </c>
      <c r="DM14" s="75" t="str">
        <f t="shared" si="51"/>
        <v/>
      </c>
      <c r="DN14" s="75">
        <v>35</v>
      </c>
      <c r="DO14" s="75" t="str">
        <f t="shared" si="52"/>
        <v/>
      </c>
      <c r="DP14" s="75"/>
      <c r="DQ14" s="59" t="str">
        <f t="shared" si="53"/>
        <v/>
      </c>
      <c r="DR14" s="59">
        <v>3000</v>
      </c>
      <c r="DS14" s="76" t="str">
        <f t="shared" si="54"/>
        <v/>
      </c>
      <c r="DT14" s="53"/>
      <c r="DU14" s="75" t="str">
        <f t="shared" si="55"/>
        <v/>
      </c>
      <c r="DV14" s="75">
        <v>145</v>
      </c>
      <c r="DW14" s="75" t="str">
        <f t="shared" si="56"/>
        <v/>
      </c>
      <c r="DX14" s="75">
        <v>35</v>
      </c>
      <c r="DY14" s="75" t="str">
        <f t="shared" si="57"/>
        <v/>
      </c>
      <c r="DZ14" s="75"/>
      <c r="EA14" s="59" t="str">
        <f t="shared" si="58"/>
        <v/>
      </c>
      <c r="EB14" s="59">
        <v>3000</v>
      </c>
      <c r="EC14" s="76" t="str">
        <f t="shared" si="59"/>
        <v/>
      </c>
      <c r="ED14" s="53"/>
      <c r="EE14" s="75" t="str">
        <f t="shared" si="60"/>
        <v/>
      </c>
      <c r="EF14" s="75">
        <v>145</v>
      </c>
      <c r="EG14" s="75" t="str">
        <f t="shared" si="61"/>
        <v/>
      </c>
      <c r="EH14" s="75">
        <v>35</v>
      </c>
      <c r="EI14" s="75" t="str">
        <f t="shared" si="62"/>
        <v/>
      </c>
      <c r="EJ14" s="75"/>
      <c r="EK14" s="59" t="str">
        <f t="shared" si="63"/>
        <v/>
      </c>
      <c r="EL14" s="59">
        <v>3000</v>
      </c>
      <c r="EM14" s="76" t="str">
        <f t="shared" si="64"/>
        <v/>
      </c>
      <c r="EN14" s="53"/>
      <c r="EO14" s="75" t="str">
        <f t="shared" si="65"/>
        <v/>
      </c>
      <c r="EP14" s="75">
        <v>145</v>
      </c>
      <c r="EQ14" s="75" t="str">
        <f t="shared" si="66"/>
        <v/>
      </c>
      <c r="ER14" s="75">
        <v>35</v>
      </c>
      <c r="ES14" s="75" t="str">
        <f t="shared" si="67"/>
        <v/>
      </c>
      <c r="ET14" s="75"/>
      <c r="EU14" s="59" t="str">
        <f t="shared" si="68"/>
        <v/>
      </c>
      <c r="EV14" s="59">
        <v>3000</v>
      </c>
      <c r="EW14" s="76" t="str">
        <f t="shared" si="69"/>
        <v/>
      </c>
    </row>
    <row r="15" spans="3:153" x14ac:dyDescent="0.3">
      <c r="C15" s="9">
        <v>50</v>
      </c>
      <c r="D15" s="53">
        <v>11310</v>
      </c>
      <c r="E15" s="75" t="str">
        <f t="shared" si="0"/>
        <v/>
      </c>
      <c r="F15" s="75"/>
      <c r="G15" s="75" t="str">
        <f t="shared" si="1"/>
        <v/>
      </c>
      <c r="H15" s="75"/>
      <c r="I15" s="75" t="str">
        <f t="shared" si="2"/>
        <v/>
      </c>
      <c r="J15" s="59"/>
      <c r="K15" s="75" t="str">
        <f t="shared" si="3"/>
        <v/>
      </c>
      <c r="L15" s="75"/>
      <c r="M15" s="75" t="str">
        <f t="shared" si="4"/>
        <v/>
      </c>
      <c r="N15" s="53">
        <v>21620</v>
      </c>
      <c r="O15" s="75" t="str">
        <f t="shared" si="5"/>
        <v/>
      </c>
      <c r="P15" s="75"/>
      <c r="Q15" s="75" t="str">
        <f t="shared" si="6"/>
        <v/>
      </c>
      <c r="R15" s="75"/>
      <c r="S15" s="75" t="str">
        <f t="shared" si="7"/>
        <v/>
      </c>
      <c r="T15" s="75"/>
      <c r="U15" s="75" t="str">
        <f t="shared" si="8"/>
        <v/>
      </c>
      <c r="V15" s="75"/>
      <c r="W15" s="75" t="str">
        <f t="shared" si="9"/>
        <v/>
      </c>
      <c r="X15" s="53">
        <v>21620</v>
      </c>
      <c r="Y15" s="59" t="str">
        <f t="shared" si="10"/>
        <v/>
      </c>
      <c r="Z15" s="75"/>
      <c r="AA15" s="75" t="str">
        <f t="shared" si="11"/>
        <v/>
      </c>
      <c r="AB15" s="75"/>
      <c r="AC15" s="75" t="str">
        <f t="shared" si="12"/>
        <v/>
      </c>
      <c r="AD15" s="75"/>
      <c r="AE15" s="75" t="str">
        <f t="shared" si="13"/>
        <v/>
      </c>
      <c r="AF15" s="75"/>
      <c r="AG15" s="59" t="str">
        <f t="shared" si="14"/>
        <v/>
      </c>
      <c r="AH15" s="58">
        <v>32430</v>
      </c>
      <c r="AI15" s="59" t="str">
        <f t="shared" si="15"/>
        <v/>
      </c>
      <c r="AJ15" s="59"/>
      <c r="AK15" s="59" t="str">
        <f t="shared" si="16"/>
        <v/>
      </c>
      <c r="AL15" s="59"/>
      <c r="AM15" s="59" t="str">
        <f t="shared" si="17"/>
        <v/>
      </c>
      <c r="AN15" s="59"/>
      <c r="AO15" s="59" t="str">
        <f t="shared" si="18"/>
        <v/>
      </c>
      <c r="AP15" s="59"/>
      <c r="AQ15" s="59" t="str">
        <f t="shared" si="19"/>
        <v/>
      </c>
      <c r="AR15" s="53">
        <v>32430</v>
      </c>
      <c r="AS15" s="75" t="str">
        <f t="shared" si="20"/>
        <v/>
      </c>
      <c r="AT15" s="75"/>
      <c r="AU15" s="75" t="str">
        <f t="shared" si="21"/>
        <v/>
      </c>
      <c r="AV15" s="75"/>
      <c r="AW15" s="75" t="str">
        <f t="shared" si="22"/>
        <v/>
      </c>
      <c r="AX15" s="75"/>
      <c r="AY15" s="75" t="str">
        <f t="shared" si="23"/>
        <v/>
      </c>
      <c r="AZ15" s="75"/>
      <c r="BA15" s="75" t="str">
        <f t="shared" si="24"/>
        <v/>
      </c>
      <c r="BB15" s="53">
        <v>43240</v>
      </c>
      <c r="BC15" s="75" t="str">
        <f t="shared" si="25"/>
        <v/>
      </c>
      <c r="BD15" s="75"/>
      <c r="BE15" s="75" t="str">
        <f t="shared" si="26"/>
        <v/>
      </c>
      <c r="BF15" s="75"/>
      <c r="BG15" s="75" t="str">
        <f t="shared" si="27"/>
        <v/>
      </c>
      <c r="BH15" s="75"/>
      <c r="BI15" s="75" t="str">
        <f t="shared" si="28"/>
        <v/>
      </c>
      <c r="BJ15" s="75"/>
      <c r="BK15" s="75" t="str">
        <f t="shared" si="29"/>
        <v/>
      </c>
      <c r="BL15" s="53">
        <v>43240</v>
      </c>
      <c r="BM15" s="75" t="str">
        <f t="shared" si="30"/>
        <v/>
      </c>
      <c r="BN15" s="75"/>
      <c r="BO15" s="75" t="str">
        <f t="shared" si="31"/>
        <v/>
      </c>
      <c r="BP15" s="75"/>
      <c r="BQ15" s="75" t="str">
        <f t="shared" si="32"/>
        <v/>
      </c>
      <c r="BR15" s="75"/>
      <c r="BS15" s="75" t="str">
        <f t="shared" si="33"/>
        <v/>
      </c>
      <c r="BT15" s="75"/>
      <c r="BU15" s="76" t="str">
        <f t="shared" si="34"/>
        <v/>
      </c>
      <c r="BV15" s="53">
        <v>54050</v>
      </c>
      <c r="BW15" s="75" t="str">
        <f t="shared" si="35"/>
        <v/>
      </c>
      <c r="BX15" s="75"/>
      <c r="BY15" s="75" t="str">
        <f t="shared" si="36"/>
        <v/>
      </c>
      <c r="BZ15" s="75"/>
      <c r="CA15" s="75" t="str">
        <f t="shared" si="37"/>
        <v/>
      </c>
      <c r="CB15" s="75"/>
      <c r="CC15" s="59" t="str">
        <f t="shared" si="38"/>
        <v/>
      </c>
      <c r="CD15" s="59"/>
      <c r="CE15" s="76" t="str">
        <f t="shared" si="39"/>
        <v/>
      </c>
      <c r="CF15" s="53">
        <v>54050</v>
      </c>
      <c r="CG15" s="75" t="str">
        <f t="shared" si="40"/>
        <v/>
      </c>
      <c r="CH15" s="75"/>
      <c r="CI15" s="75" t="str">
        <f t="shared" si="41"/>
        <v/>
      </c>
      <c r="CJ15" s="75"/>
      <c r="CK15" s="75" t="str">
        <f t="shared" si="42"/>
        <v/>
      </c>
      <c r="CL15" s="75"/>
      <c r="CM15" s="59" t="str">
        <f t="shared" si="43"/>
        <v/>
      </c>
      <c r="CN15" s="59"/>
      <c r="CO15" s="76" t="str">
        <f t="shared" si="44"/>
        <v/>
      </c>
      <c r="CP15" s="53">
        <v>54050</v>
      </c>
      <c r="CQ15" s="75" t="str">
        <f t="shared" si="45"/>
        <v/>
      </c>
      <c r="CR15" s="75"/>
      <c r="CS15" s="75" t="str">
        <f t="shared" si="46"/>
        <v/>
      </c>
      <c r="CT15" s="75"/>
      <c r="CU15" s="75" t="str">
        <f t="shared" si="47"/>
        <v/>
      </c>
      <c r="CV15" s="75"/>
      <c r="CW15" s="59" t="str">
        <f t="shared" si="48"/>
        <v/>
      </c>
      <c r="CX15" s="59"/>
      <c r="CY15" s="76" t="str">
        <f t="shared" si="49"/>
        <v/>
      </c>
      <c r="CZ15" s="53">
        <v>54050</v>
      </c>
      <c r="DA15" s="75" t="str" cm="1">
        <f t="array" ref="DA15">IF(TigerCurrent&gt;=$C15,"",IF(TigerDesired&gt;=$C15,CZ15,""))</f>
        <v/>
      </c>
      <c r="DB15" s="75"/>
      <c r="DC15" s="75" t="str" cm="1">
        <f t="array" ref="DC15">IF(TigerCurrent&gt;=$C15,"",IF(TigerDesired&gt;=$C15,DB15,""))</f>
        <v/>
      </c>
      <c r="DD15" s="75"/>
      <c r="DE15" s="75" t="str" cm="1">
        <f t="array" ref="DE15">IF(TigerCurrent&gt;=$C15,"",IF(TigerDesired&gt;=$C15,DD15,""))</f>
        <v/>
      </c>
      <c r="DF15" s="75"/>
      <c r="DG15" s="59" t="str" cm="1">
        <f t="array" ref="DG15">IF(TigerCurrent&gt;=$C15,"",IF(TigerDesired&gt;=$C15,DF15,""))</f>
        <v/>
      </c>
      <c r="DH15" s="59"/>
      <c r="DI15" s="76" t="str" cm="1">
        <f t="array" ref="DI15">IF(TigerCurrent&gt;=$C15,"",IF(TigerDesired&gt;=$C15,DH15,""))</f>
        <v/>
      </c>
      <c r="DJ15" s="53">
        <v>54050</v>
      </c>
      <c r="DK15" s="75" t="str">
        <f t="shared" si="50"/>
        <v/>
      </c>
      <c r="DL15" s="75"/>
      <c r="DM15" s="75" t="str">
        <f t="shared" si="51"/>
        <v/>
      </c>
      <c r="DN15" s="75"/>
      <c r="DO15" s="75" t="str">
        <f t="shared" si="52"/>
        <v/>
      </c>
      <c r="DP15" s="75"/>
      <c r="DQ15" s="59" t="str">
        <f t="shared" si="53"/>
        <v/>
      </c>
      <c r="DR15" s="59"/>
      <c r="DS15" s="76" t="str">
        <f t="shared" si="54"/>
        <v/>
      </c>
      <c r="DT15" s="53">
        <v>54050</v>
      </c>
      <c r="DU15" s="75" t="str">
        <f t="shared" si="55"/>
        <v/>
      </c>
      <c r="DV15" s="75"/>
      <c r="DW15" s="75" t="str">
        <f t="shared" si="56"/>
        <v/>
      </c>
      <c r="DX15" s="75"/>
      <c r="DY15" s="75" t="str">
        <f t="shared" si="57"/>
        <v/>
      </c>
      <c r="DZ15" s="75"/>
      <c r="EA15" s="59" t="str">
        <f t="shared" si="58"/>
        <v/>
      </c>
      <c r="EB15" s="59"/>
      <c r="EC15" s="76" t="str">
        <f t="shared" si="59"/>
        <v/>
      </c>
      <c r="ED15" s="53">
        <v>54050</v>
      </c>
      <c r="EE15" s="75" t="str">
        <f t="shared" si="60"/>
        <v/>
      </c>
      <c r="EF15" s="75"/>
      <c r="EG15" s="75" t="str">
        <f t="shared" si="61"/>
        <v/>
      </c>
      <c r="EH15" s="75"/>
      <c r="EI15" s="75" t="str">
        <f t="shared" si="62"/>
        <v/>
      </c>
      <c r="EJ15" s="75"/>
      <c r="EK15" s="59" t="str">
        <f t="shared" si="63"/>
        <v/>
      </c>
      <c r="EL15" s="59"/>
      <c r="EM15" s="76" t="str">
        <f t="shared" si="64"/>
        <v/>
      </c>
      <c r="EN15" s="53">
        <v>54050</v>
      </c>
      <c r="EO15" s="75" t="str">
        <f t="shared" si="65"/>
        <v/>
      </c>
      <c r="EP15" s="75"/>
      <c r="EQ15" s="75" t="str">
        <f t="shared" si="66"/>
        <v/>
      </c>
      <c r="ER15" s="75"/>
      <c r="ES15" s="75" t="str">
        <f t="shared" si="67"/>
        <v/>
      </c>
      <c r="ET15" s="75"/>
      <c r="EU15" s="59" t="str">
        <f t="shared" si="68"/>
        <v/>
      </c>
      <c r="EV15" s="59"/>
      <c r="EW15" s="76" t="str">
        <f t="shared" si="69"/>
        <v/>
      </c>
    </row>
    <row r="16" spans="3:153" x14ac:dyDescent="0.3">
      <c r="C16" s="9">
        <v>50.1</v>
      </c>
      <c r="D16" s="53"/>
      <c r="E16" s="75" t="str">
        <f t="shared" si="0"/>
        <v/>
      </c>
      <c r="F16" s="75">
        <v>90</v>
      </c>
      <c r="G16" s="75" t="str">
        <f t="shared" si="1"/>
        <v/>
      </c>
      <c r="H16" s="75">
        <v>30</v>
      </c>
      <c r="I16" s="75" t="str">
        <f t="shared" si="2"/>
        <v/>
      </c>
      <c r="J16" s="75">
        <v>10</v>
      </c>
      <c r="K16" s="75" t="str">
        <f t="shared" si="3"/>
        <v/>
      </c>
      <c r="L16" s="75">
        <v>4500</v>
      </c>
      <c r="M16" s="75" t="str">
        <f t="shared" si="4"/>
        <v/>
      </c>
      <c r="N16" s="53"/>
      <c r="O16" s="75" t="str">
        <f t="shared" si="5"/>
        <v/>
      </c>
      <c r="P16" s="75">
        <v>130</v>
      </c>
      <c r="Q16" s="75" t="str">
        <f t="shared" si="6"/>
        <v/>
      </c>
      <c r="R16" s="75">
        <v>30</v>
      </c>
      <c r="S16" s="75" t="str">
        <f t="shared" si="7"/>
        <v/>
      </c>
      <c r="T16" s="75">
        <v>10</v>
      </c>
      <c r="U16" s="75" t="str">
        <f t="shared" si="8"/>
        <v/>
      </c>
      <c r="V16" s="75">
        <v>4500</v>
      </c>
      <c r="W16" s="75" t="str">
        <f t="shared" si="9"/>
        <v/>
      </c>
      <c r="X16" s="53"/>
      <c r="Y16" s="59" t="str">
        <f t="shared" si="10"/>
        <v/>
      </c>
      <c r="Z16" s="75">
        <v>130</v>
      </c>
      <c r="AA16" s="75" t="str">
        <f t="shared" si="11"/>
        <v/>
      </c>
      <c r="AB16" s="75">
        <v>30</v>
      </c>
      <c r="AC16" s="75" t="str">
        <f t="shared" si="12"/>
        <v/>
      </c>
      <c r="AD16" s="75">
        <v>10</v>
      </c>
      <c r="AE16" s="75" t="str">
        <f t="shared" si="13"/>
        <v/>
      </c>
      <c r="AF16" s="75">
        <v>4500</v>
      </c>
      <c r="AG16" s="59" t="str">
        <f t="shared" si="14"/>
        <v/>
      </c>
      <c r="AH16" s="58"/>
      <c r="AI16" s="59" t="str">
        <f t="shared" si="15"/>
        <v/>
      </c>
      <c r="AJ16" s="59">
        <v>155</v>
      </c>
      <c r="AK16" s="59" t="str">
        <f t="shared" si="16"/>
        <v/>
      </c>
      <c r="AL16" s="59">
        <v>30</v>
      </c>
      <c r="AM16" s="59" t="str">
        <f t="shared" si="17"/>
        <v/>
      </c>
      <c r="AN16" s="59">
        <v>10</v>
      </c>
      <c r="AO16" s="59" t="str">
        <f t="shared" si="18"/>
        <v/>
      </c>
      <c r="AP16" s="59">
        <v>4500</v>
      </c>
      <c r="AQ16" s="59" t="str">
        <f t="shared" si="19"/>
        <v/>
      </c>
      <c r="AR16" s="53"/>
      <c r="AS16" s="75" t="str">
        <f t="shared" si="20"/>
        <v/>
      </c>
      <c r="AT16" s="75">
        <v>155</v>
      </c>
      <c r="AU16" s="75" t="str">
        <f t="shared" si="21"/>
        <v/>
      </c>
      <c r="AV16" s="75">
        <v>30</v>
      </c>
      <c r="AW16" s="75" t="str">
        <f t="shared" si="22"/>
        <v/>
      </c>
      <c r="AX16" s="75">
        <v>10</v>
      </c>
      <c r="AY16" s="75" t="str">
        <f t="shared" si="23"/>
        <v/>
      </c>
      <c r="AZ16" s="75">
        <v>4500</v>
      </c>
      <c r="BA16" s="75" t="str">
        <f t="shared" si="24"/>
        <v/>
      </c>
      <c r="BB16" s="53"/>
      <c r="BC16" s="75" t="str">
        <f t="shared" si="25"/>
        <v/>
      </c>
      <c r="BD16" s="75">
        <v>190</v>
      </c>
      <c r="BE16" s="75" t="str">
        <f t="shared" si="26"/>
        <v/>
      </c>
      <c r="BF16" s="75">
        <v>30</v>
      </c>
      <c r="BG16" s="75" t="str">
        <f t="shared" si="27"/>
        <v/>
      </c>
      <c r="BH16" s="75">
        <v>10</v>
      </c>
      <c r="BI16" s="75" t="str">
        <f t="shared" si="28"/>
        <v/>
      </c>
      <c r="BJ16" s="75">
        <v>4500</v>
      </c>
      <c r="BK16" s="75" t="str">
        <f t="shared" si="29"/>
        <v/>
      </c>
      <c r="BL16" s="53"/>
      <c r="BM16" s="75" t="str">
        <f t="shared" si="30"/>
        <v/>
      </c>
      <c r="BN16" s="75">
        <v>190</v>
      </c>
      <c r="BO16" s="75" t="str">
        <f t="shared" si="31"/>
        <v/>
      </c>
      <c r="BP16" s="75">
        <v>30</v>
      </c>
      <c r="BQ16" s="75" t="str">
        <f t="shared" si="32"/>
        <v/>
      </c>
      <c r="BR16" s="75">
        <v>10</v>
      </c>
      <c r="BS16" s="75" t="str">
        <f t="shared" si="33"/>
        <v/>
      </c>
      <c r="BT16" s="75">
        <v>4500</v>
      </c>
      <c r="BU16" s="76" t="str">
        <f t="shared" si="34"/>
        <v/>
      </c>
      <c r="BV16" s="53"/>
      <c r="BW16" s="75" t="str">
        <f t="shared" si="35"/>
        <v/>
      </c>
      <c r="BX16" s="75">
        <v>220</v>
      </c>
      <c r="BY16" s="75" t="str">
        <f t="shared" si="36"/>
        <v/>
      </c>
      <c r="BZ16" s="75">
        <v>50</v>
      </c>
      <c r="CA16" s="75" t="str">
        <f t="shared" si="37"/>
        <v/>
      </c>
      <c r="CB16" s="75">
        <v>10</v>
      </c>
      <c r="CC16" s="59" t="str">
        <f t="shared" si="38"/>
        <v/>
      </c>
      <c r="CD16" s="59">
        <v>4500</v>
      </c>
      <c r="CE16" s="76" t="str">
        <f t="shared" si="39"/>
        <v/>
      </c>
      <c r="CF16" s="53"/>
      <c r="CG16" s="75" t="str">
        <f t="shared" si="40"/>
        <v/>
      </c>
      <c r="CH16" s="75">
        <v>220</v>
      </c>
      <c r="CI16" s="75" t="str">
        <f t="shared" si="41"/>
        <v/>
      </c>
      <c r="CJ16" s="75">
        <v>50</v>
      </c>
      <c r="CK16" s="75" t="str">
        <f t="shared" si="42"/>
        <v/>
      </c>
      <c r="CL16" s="75">
        <v>10</v>
      </c>
      <c r="CM16" s="59" t="str">
        <f t="shared" si="43"/>
        <v/>
      </c>
      <c r="CN16" s="59">
        <v>4500</v>
      </c>
      <c r="CO16" s="76" t="str">
        <f t="shared" si="44"/>
        <v/>
      </c>
      <c r="CP16" s="53"/>
      <c r="CQ16" s="75" t="str">
        <f t="shared" si="45"/>
        <v/>
      </c>
      <c r="CR16" s="75">
        <v>220</v>
      </c>
      <c r="CS16" s="75" t="str">
        <f t="shared" si="46"/>
        <v/>
      </c>
      <c r="CT16" s="75">
        <v>50</v>
      </c>
      <c r="CU16" s="75" t="str">
        <f t="shared" si="47"/>
        <v/>
      </c>
      <c r="CV16" s="75">
        <v>10</v>
      </c>
      <c r="CW16" s="59" t="str">
        <f t="shared" si="48"/>
        <v/>
      </c>
      <c r="CX16" s="59">
        <v>4500</v>
      </c>
      <c r="CY16" s="76" t="str">
        <f t="shared" si="49"/>
        <v/>
      </c>
      <c r="CZ16" s="53"/>
      <c r="DA16" s="75" t="str" cm="1">
        <f t="array" ref="DA16">IF(TigerCurrent&gt;=$C16,"",IF(TigerDesired&gt;=$C16,CZ16,""))</f>
        <v/>
      </c>
      <c r="DB16" s="75">
        <v>220</v>
      </c>
      <c r="DC16" s="75" t="str" cm="1">
        <f t="array" ref="DC16">IF(TigerCurrent&gt;=$C16,"",IF(TigerDesired&gt;=$C16,DB16,""))</f>
        <v/>
      </c>
      <c r="DD16" s="75">
        <v>50</v>
      </c>
      <c r="DE16" s="75" t="str" cm="1">
        <f t="array" ref="DE16">IF(TigerCurrent&gt;=$C16,"",IF(TigerDesired&gt;=$C16,DD16,""))</f>
        <v/>
      </c>
      <c r="DF16" s="75">
        <v>10</v>
      </c>
      <c r="DG16" s="59" t="str" cm="1">
        <f t="array" ref="DG16">IF(TigerCurrent&gt;=$C16,"",IF(TigerDesired&gt;=$C16,DF16,""))</f>
        <v/>
      </c>
      <c r="DH16" s="59">
        <v>4500</v>
      </c>
      <c r="DI16" s="76" t="str" cm="1">
        <f t="array" ref="DI16">IF(TigerCurrent&gt;=$C16,"",IF(TigerDesired&gt;=$C16,DH16,""))</f>
        <v/>
      </c>
      <c r="DJ16" s="53"/>
      <c r="DK16" s="75" t="str">
        <f t="shared" si="50"/>
        <v/>
      </c>
      <c r="DL16" s="75">
        <v>220</v>
      </c>
      <c r="DM16" s="75" t="str">
        <f t="shared" si="51"/>
        <v/>
      </c>
      <c r="DN16" s="75">
        <v>50</v>
      </c>
      <c r="DO16" s="75" t="str">
        <f t="shared" si="52"/>
        <v/>
      </c>
      <c r="DP16" s="75">
        <v>10</v>
      </c>
      <c r="DQ16" s="59" t="str">
        <f t="shared" si="53"/>
        <v/>
      </c>
      <c r="DR16" s="59">
        <v>4500</v>
      </c>
      <c r="DS16" s="76" t="str">
        <f t="shared" si="54"/>
        <v/>
      </c>
      <c r="DT16" s="53"/>
      <c r="DU16" s="75" t="str">
        <f t="shared" si="55"/>
        <v/>
      </c>
      <c r="DV16" s="75">
        <v>220</v>
      </c>
      <c r="DW16" s="75" t="str">
        <f t="shared" si="56"/>
        <v/>
      </c>
      <c r="DX16" s="75">
        <v>50</v>
      </c>
      <c r="DY16" s="75" t="str">
        <f t="shared" si="57"/>
        <v/>
      </c>
      <c r="DZ16" s="75">
        <v>10</v>
      </c>
      <c r="EA16" s="59" t="str">
        <f t="shared" si="58"/>
        <v/>
      </c>
      <c r="EB16" s="59">
        <v>4500</v>
      </c>
      <c r="EC16" s="76" t="str">
        <f t="shared" si="59"/>
        <v/>
      </c>
      <c r="ED16" s="53"/>
      <c r="EE16" s="75" t="str">
        <f t="shared" si="60"/>
        <v/>
      </c>
      <c r="EF16" s="75">
        <v>220</v>
      </c>
      <c r="EG16" s="75" t="str">
        <f t="shared" si="61"/>
        <v/>
      </c>
      <c r="EH16" s="75">
        <v>50</v>
      </c>
      <c r="EI16" s="75" t="str">
        <f t="shared" si="62"/>
        <v/>
      </c>
      <c r="EJ16" s="75">
        <v>10</v>
      </c>
      <c r="EK16" s="59" t="str">
        <f t="shared" si="63"/>
        <v/>
      </c>
      <c r="EL16" s="59">
        <v>4500</v>
      </c>
      <c r="EM16" s="76" t="str">
        <f t="shared" si="64"/>
        <v/>
      </c>
      <c r="EN16" s="53"/>
      <c r="EO16" s="75" t="str">
        <f t="shared" si="65"/>
        <v/>
      </c>
      <c r="EP16" s="75">
        <v>220</v>
      </c>
      <c r="EQ16" s="75" t="str">
        <f t="shared" si="66"/>
        <v/>
      </c>
      <c r="ER16" s="75">
        <v>50</v>
      </c>
      <c r="ES16" s="75" t="str">
        <f t="shared" si="67"/>
        <v/>
      </c>
      <c r="ET16" s="75">
        <v>10</v>
      </c>
      <c r="EU16" s="59" t="str">
        <f t="shared" si="68"/>
        <v/>
      </c>
      <c r="EV16" s="59">
        <v>4500</v>
      </c>
      <c r="EW16" s="76" t="str">
        <f t="shared" si="69"/>
        <v/>
      </c>
    </row>
    <row r="17" spans="3:153" x14ac:dyDescent="0.3">
      <c r="C17" s="9">
        <v>60</v>
      </c>
      <c r="D17" s="53"/>
      <c r="E17" s="75" t="str">
        <f t="shared" si="0"/>
        <v/>
      </c>
      <c r="F17" s="75"/>
      <c r="G17" s="75" t="str">
        <f t="shared" si="1"/>
        <v/>
      </c>
      <c r="H17" s="75"/>
      <c r="I17" s="75" t="str">
        <f t="shared" si="2"/>
        <v/>
      </c>
      <c r="J17" s="75"/>
      <c r="K17" s="75" t="str">
        <f t="shared" si="3"/>
        <v/>
      </c>
      <c r="L17" s="75"/>
      <c r="M17" s="75" t="str">
        <f t="shared" si="4"/>
        <v/>
      </c>
      <c r="N17" s="53">
        <v>30920</v>
      </c>
      <c r="O17" s="75" t="str">
        <f t="shared" si="5"/>
        <v/>
      </c>
      <c r="P17" s="75"/>
      <c r="Q17" s="75" t="str">
        <f t="shared" si="6"/>
        <v/>
      </c>
      <c r="R17" s="75"/>
      <c r="S17" s="75" t="str">
        <f t="shared" si="7"/>
        <v/>
      </c>
      <c r="T17" s="75"/>
      <c r="U17" s="75" t="str">
        <f t="shared" si="8"/>
        <v/>
      </c>
      <c r="V17" s="75"/>
      <c r="W17" s="75" t="str">
        <f t="shared" si="9"/>
        <v/>
      </c>
      <c r="X17" s="53">
        <v>30920</v>
      </c>
      <c r="Y17" s="59" t="str">
        <f t="shared" si="10"/>
        <v/>
      </c>
      <c r="Z17" s="75"/>
      <c r="AA17" s="75" t="str">
        <f t="shared" si="11"/>
        <v/>
      </c>
      <c r="AB17" s="75"/>
      <c r="AC17" s="75" t="str">
        <f t="shared" si="12"/>
        <v/>
      </c>
      <c r="AD17" s="75"/>
      <c r="AE17" s="75" t="str">
        <f t="shared" si="13"/>
        <v/>
      </c>
      <c r="AF17" s="75"/>
      <c r="AG17" s="59" t="str">
        <f t="shared" si="14"/>
        <v/>
      </c>
      <c r="AH17" s="58">
        <v>46380</v>
      </c>
      <c r="AI17" s="59" t="str">
        <f t="shared" si="15"/>
        <v/>
      </c>
      <c r="AJ17" s="59"/>
      <c r="AK17" s="59" t="str">
        <f t="shared" si="16"/>
        <v/>
      </c>
      <c r="AL17" s="59"/>
      <c r="AM17" s="59" t="str">
        <f t="shared" si="17"/>
        <v/>
      </c>
      <c r="AN17" s="59"/>
      <c r="AO17" s="59" t="str">
        <f t="shared" si="18"/>
        <v/>
      </c>
      <c r="AP17" s="59"/>
      <c r="AQ17" s="59" t="str">
        <f t="shared" si="19"/>
        <v/>
      </c>
      <c r="AR17" s="53">
        <v>46380</v>
      </c>
      <c r="AS17" s="75" t="str">
        <f t="shared" si="20"/>
        <v/>
      </c>
      <c r="AT17" s="75"/>
      <c r="AU17" s="75" t="str">
        <f t="shared" si="21"/>
        <v/>
      </c>
      <c r="AV17" s="75"/>
      <c r="AW17" s="75" t="str">
        <f t="shared" si="22"/>
        <v/>
      </c>
      <c r="AX17" s="75"/>
      <c r="AY17" s="75" t="str">
        <f t="shared" si="23"/>
        <v/>
      </c>
      <c r="AZ17" s="75"/>
      <c r="BA17" s="75" t="str">
        <f t="shared" si="24"/>
        <v/>
      </c>
      <c r="BB17" s="53">
        <v>61840</v>
      </c>
      <c r="BC17" s="75" t="str">
        <f t="shared" si="25"/>
        <v/>
      </c>
      <c r="BD17" s="75"/>
      <c r="BE17" s="75" t="str">
        <f t="shared" si="26"/>
        <v/>
      </c>
      <c r="BF17" s="75"/>
      <c r="BG17" s="75" t="str">
        <f t="shared" si="27"/>
        <v/>
      </c>
      <c r="BH17" s="75"/>
      <c r="BI17" s="75" t="str">
        <f t="shared" si="28"/>
        <v/>
      </c>
      <c r="BJ17" s="75"/>
      <c r="BK17" s="75" t="str">
        <f t="shared" si="29"/>
        <v/>
      </c>
      <c r="BL17" s="53">
        <v>61840</v>
      </c>
      <c r="BM17" s="75" t="str">
        <f t="shared" si="30"/>
        <v/>
      </c>
      <c r="BN17" s="75"/>
      <c r="BO17" s="75" t="str">
        <f t="shared" si="31"/>
        <v/>
      </c>
      <c r="BP17" s="75"/>
      <c r="BQ17" s="75" t="str">
        <f t="shared" si="32"/>
        <v/>
      </c>
      <c r="BR17" s="75"/>
      <c r="BS17" s="75" t="str">
        <f t="shared" si="33"/>
        <v/>
      </c>
      <c r="BT17" s="75"/>
      <c r="BU17" s="76" t="str">
        <f t="shared" si="34"/>
        <v/>
      </c>
      <c r="BV17" s="53">
        <v>77300</v>
      </c>
      <c r="BW17" s="75" t="str">
        <f t="shared" si="35"/>
        <v/>
      </c>
      <c r="BX17" s="75"/>
      <c r="BY17" s="75" t="str">
        <f t="shared" si="36"/>
        <v/>
      </c>
      <c r="BZ17" s="75"/>
      <c r="CA17" s="75" t="str">
        <f t="shared" si="37"/>
        <v/>
      </c>
      <c r="CB17" s="75"/>
      <c r="CC17" s="59" t="str">
        <f t="shared" si="38"/>
        <v/>
      </c>
      <c r="CD17" s="59"/>
      <c r="CE17" s="76" t="str">
        <f t="shared" si="39"/>
        <v/>
      </c>
      <c r="CF17" s="53">
        <v>77300</v>
      </c>
      <c r="CG17" s="75" t="str">
        <f t="shared" si="40"/>
        <v/>
      </c>
      <c r="CH17" s="75"/>
      <c r="CI17" s="75" t="str">
        <f t="shared" si="41"/>
        <v/>
      </c>
      <c r="CJ17" s="75"/>
      <c r="CK17" s="75" t="str">
        <f t="shared" si="42"/>
        <v/>
      </c>
      <c r="CL17" s="75"/>
      <c r="CM17" s="59" t="str">
        <f t="shared" si="43"/>
        <v/>
      </c>
      <c r="CN17" s="59"/>
      <c r="CO17" s="76" t="str">
        <f t="shared" si="44"/>
        <v/>
      </c>
      <c r="CP17" s="53">
        <v>77300</v>
      </c>
      <c r="CQ17" s="75" t="str">
        <f t="shared" si="45"/>
        <v/>
      </c>
      <c r="CR17" s="75"/>
      <c r="CS17" s="75" t="str">
        <f t="shared" si="46"/>
        <v/>
      </c>
      <c r="CT17" s="75"/>
      <c r="CU17" s="75" t="str">
        <f t="shared" si="47"/>
        <v/>
      </c>
      <c r="CV17" s="75"/>
      <c r="CW17" s="59" t="str">
        <f t="shared" si="48"/>
        <v/>
      </c>
      <c r="CX17" s="59"/>
      <c r="CY17" s="76" t="str">
        <f t="shared" si="49"/>
        <v/>
      </c>
      <c r="CZ17" s="53">
        <v>77300</v>
      </c>
      <c r="DA17" s="75" t="str" cm="1">
        <f t="array" ref="DA17">IF(TigerCurrent&gt;=$C17,"",IF(TigerDesired&gt;=$C17,CZ17,""))</f>
        <v/>
      </c>
      <c r="DB17" s="75"/>
      <c r="DC17" s="75" t="str" cm="1">
        <f t="array" ref="DC17">IF(TigerCurrent&gt;=$C17,"",IF(TigerDesired&gt;=$C17,DB17,""))</f>
        <v/>
      </c>
      <c r="DD17" s="75"/>
      <c r="DE17" s="75" t="str" cm="1">
        <f t="array" ref="DE17">IF(TigerCurrent&gt;=$C17,"",IF(TigerDesired&gt;=$C17,DD17,""))</f>
        <v/>
      </c>
      <c r="DF17" s="75"/>
      <c r="DG17" s="59" t="str" cm="1">
        <f t="array" ref="DG17">IF(TigerCurrent&gt;=$C17,"",IF(TigerDesired&gt;=$C17,DF17,""))</f>
        <v/>
      </c>
      <c r="DH17" s="59"/>
      <c r="DI17" s="76" t="str" cm="1">
        <f t="array" ref="DI17">IF(TigerCurrent&gt;=$C17,"",IF(TigerDesired&gt;=$C17,DH17,""))</f>
        <v/>
      </c>
      <c r="DJ17" s="53">
        <v>77300</v>
      </c>
      <c r="DK17" s="75" t="str">
        <f t="shared" si="50"/>
        <v/>
      </c>
      <c r="DL17" s="75"/>
      <c r="DM17" s="75" t="str">
        <f t="shared" si="51"/>
        <v/>
      </c>
      <c r="DN17" s="75"/>
      <c r="DO17" s="75" t="str">
        <f t="shared" si="52"/>
        <v/>
      </c>
      <c r="DP17" s="75"/>
      <c r="DQ17" s="59" t="str">
        <f t="shared" si="53"/>
        <v/>
      </c>
      <c r="DR17" s="59"/>
      <c r="DS17" s="76" t="str">
        <f t="shared" si="54"/>
        <v/>
      </c>
      <c r="DT17" s="53">
        <v>77300</v>
      </c>
      <c r="DU17" s="75" t="str">
        <f t="shared" si="55"/>
        <v/>
      </c>
      <c r="DV17" s="75"/>
      <c r="DW17" s="75" t="str">
        <f t="shared" si="56"/>
        <v/>
      </c>
      <c r="DX17" s="75"/>
      <c r="DY17" s="75" t="str">
        <f t="shared" si="57"/>
        <v/>
      </c>
      <c r="DZ17" s="75"/>
      <c r="EA17" s="59" t="str">
        <f t="shared" si="58"/>
        <v/>
      </c>
      <c r="EB17" s="59"/>
      <c r="EC17" s="76" t="str">
        <f t="shared" si="59"/>
        <v/>
      </c>
      <c r="ED17" s="53">
        <v>77300</v>
      </c>
      <c r="EE17" s="75" t="str">
        <f t="shared" si="60"/>
        <v/>
      </c>
      <c r="EF17" s="75"/>
      <c r="EG17" s="75" t="str">
        <f t="shared" si="61"/>
        <v/>
      </c>
      <c r="EH17" s="75"/>
      <c r="EI17" s="75" t="str">
        <f t="shared" si="62"/>
        <v/>
      </c>
      <c r="EJ17" s="75"/>
      <c r="EK17" s="59" t="str">
        <f t="shared" si="63"/>
        <v/>
      </c>
      <c r="EL17" s="59"/>
      <c r="EM17" s="76" t="str">
        <f t="shared" si="64"/>
        <v/>
      </c>
      <c r="EN17" s="53">
        <v>77300</v>
      </c>
      <c r="EO17" s="75" t="str">
        <f t="shared" si="65"/>
        <v/>
      </c>
      <c r="EP17" s="75"/>
      <c r="EQ17" s="75" t="str">
        <f t="shared" si="66"/>
        <v/>
      </c>
      <c r="ER17" s="75"/>
      <c r="ES17" s="75" t="str">
        <f t="shared" si="67"/>
        <v/>
      </c>
      <c r="ET17" s="75"/>
      <c r="EU17" s="59" t="str">
        <f t="shared" si="68"/>
        <v/>
      </c>
      <c r="EV17" s="59"/>
      <c r="EW17" s="76" t="str">
        <f t="shared" si="69"/>
        <v/>
      </c>
    </row>
    <row r="18" spans="3:153" x14ac:dyDescent="0.3">
      <c r="C18" s="9">
        <v>60.1</v>
      </c>
      <c r="D18" s="53"/>
      <c r="E18" s="75" t="str">
        <f t="shared" si="0"/>
        <v/>
      </c>
      <c r="F18" s="75"/>
      <c r="G18" s="75" t="str">
        <f t="shared" si="1"/>
        <v/>
      </c>
      <c r="H18" s="75"/>
      <c r="I18" s="75" t="str">
        <f t="shared" si="2"/>
        <v/>
      </c>
      <c r="J18" s="75"/>
      <c r="K18" s="75" t="str">
        <f t="shared" si="3"/>
        <v/>
      </c>
      <c r="L18" s="75">
        <v>6750</v>
      </c>
      <c r="M18" s="75" t="str">
        <f t="shared" si="4"/>
        <v/>
      </c>
      <c r="N18" s="53"/>
      <c r="O18" s="75" t="str">
        <f t="shared" si="5"/>
        <v/>
      </c>
      <c r="P18" s="75">
        <v>175</v>
      </c>
      <c r="Q18" s="75" t="str">
        <f t="shared" si="6"/>
        <v/>
      </c>
      <c r="R18" s="75">
        <v>50</v>
      </c>
      <c r="S18" s="75" t="str">
        <f t="shared" si="7"/>
        <v/>
      </c>
      <c r="T18" s="75">
        <v>20</v>
      </c>
      <c r="U18" s="75" t="str">
        <f t="shared" si="8"/>
        <v/>
      </c>
      <c r="V18" s="75">
        <v>6750</v>
      </c>
      <c r="W18" s="75" t="str">
        <f t="shared" si="9"/>
        <v/>
      </c>
      <c r="X18" s="53"/>
      <c r="Y18" s="59" t="str">
        <f t="shared" si="10"/>
        <v/>
      </c>
      <c r="Z18" s="75">
        <v>175</v>
      </c>
      <c r="AA18" s="75" t="str">
        <f t="shared" si="11"/>
        <v/>
      </c>
      <c r="AB18" s="75">
        <v>50</v>
      </c>
      <c r="AC18" s="75" t="str">
        <f t="shared" si="12"/>
        <v/>
      </c>
      <c r="AD18" s="75">
        <v>20</v>
      </c>
      <c r="AE18" s="75" t="str">
        <f t="shared" si="13"/>
        <v/>
      </c>
      <c r="AF18" s="75">
        <v>6750</v>
      </c>
      <c r="AG18" s="59" t="str">
        <f t="shared" si="14"/>
        <v/>
      </c>
      <c r="AH18" s="58"/>
      <c r="AI18" s="59" t="str">
        <f t="shared" si="15"/>
        <v/>
      </c>
      <c r="AJ18" s="59">
        <v>200</v>
      </c>
      <c r="AK18" s="59" t="str">
        <f t="shared" si="16"/>
        <v/>
      </c>
      <c r="AL18" s="59">
        <v>50</v>
      </c>
      <c r="AM18" s="59" t="str">
        <f t="shared" si="17"/>
        <v/>
      </c>
      <c r="AN18" s="59">
        <v>20</v>
      </c>
      <c r="AO18" s="59" t="str">
        <f t="shared" si="18"/>
        <v/>
      </c>
      <c r="AP18" s="59">
        <v>6750</v>
      </c>
      <c r="AQ18" s="59" t="str">
        <f t="shared" si="19"/>
        <v/>
      </c>
      <c r="AR18" s="53"/>
      <c r="AS18" s="75" t="str">
        <f t="shared" si="20"/>
        <v/>
      </c>
      <c r="AT18" s="75">
        <v>200</v>
      </c>
      <c r="AU18" s="75" t="str">
        <f t="shared" si="21"/>
        <v/>
      </c>
      <c r="AV18" s="75">
        <v>50</v>
      </c>
      <c r="AW18" s="75" t="str">
        <f t="shared" si="22"/>
        <v/>
      </c>
      <c r="AX18" s="75">
        <v>20</v>
      </c>
      <c r="AY18" s="75" t="str">
        <f t="shared" si="23"/>
        <v/>
      </c>
      <c r="AZ18" s="75">
        <v>6750</v>
      </c>
      <c r="BA18" s="75" t="str">
        <f t="shared" si="24"/>
        <v/>
      </c>
      <c r="BB18" s="53"/>
      <c r="BC18" s="75" t="str">
        <f t="shared" si="25"/>
        <v/>
      </c>
      <c r="BD18" s="75">
        <v>250</v>
      </c>
      <c r="BE18" s="75" t="str">
        <f t="shared" si="26"/>
        <v/>
      </c>
      <c r="BF18" s="75">
        <v>50</v>
      </c>
      <c r="BG18" s="75" t="str">
        <f t="shared" si="27"/>
        <v/>
      </c>
      <c r="BH18" s="75">
        <v>20</v>
      </c>
      <c r="BI18" s="75" t="str">
        <f t="shared" si="28"/>
        <v/>
      </c>
      <c r="BJ18" s="75">
        <v>6750</v>
      </c>
      <c r="BK18" s="75" t="str">
        <f t="shared" si="29"/>
        <v/>
      </c>
      <c r="BL18" s="53"/>
      <c r="BM18" s="75" t="str">
        <f t="shared" si="30"/>
        <v/>
      </c>
      <c r="BN18" s="75">
        <v>250</v>
      </c>
      <c r="BO18" s="75" t="str">
        <f t="shared" si="31"/>
        <v/>
      </c>
      <c r="BP18" s="75">
        <v>50</v>
      </c>
      <c r="BQ18" s="75" t="str">
        <f t="shared" si="32"/>
        <v/>
      </c>
      <c r="BR18" s="75">
        <v>20</v>
      </c>
      <c r="BS18" s="75" t="str">
        <f t="shared" si="33"/>
        <v/>
      </c>
      <c r="BT18" s="75">
        <v>6750</v>
      </c>
      <c r="BU18" s="76" t="str">
        <f t="shared" si="34"/>
        <v/>
      </c>
      <c r="BV18" s="53"/>
      <c r="BW18" s="75" t="str">
        <f t="shared" si="35"/>
        <v/>
      </c>
      <c r="BX18" s="75">
        <v>290</v>
      </c>
      <c r="BY18" s="75" t="str">
        <f t="shared" si="36"/>
        <v/>
      </c>
      <c r="BZ18" s="75">
        <v>65</v>
      </c>
      <c r="CA18" s="75" t="str">
        <f t="shared" si="37"/>
        <v/>
      </c>
      <c r="CB18" s="75">
        <v>20</v>
      </c>
      <c r="CC18" s="59" t="str">
        <f t="shared" si="38"/>
        <v/>
      </c>
      <c r="CD18" s="59">
        <v>6750</v>
      </c>
      <c r="CE18" s="76" t="str">
        <f t="shared" si="39"/>
        <v/>
      </c>
      <c r="CF18" s="53"/>
      <c r="CG18" s="75" t="str">
        <f t="shared" si="40"/>
        <v/>
      </c>
      <c r="CH18" s="75">
        <v>290</v>
      </c>
      <c r="CI18" s="75" t="str">
        <f t="shared" si="41"/>
        <v/>
      </c>
      <c r="CJ18" s="75">
        <v>65</v>
      </c>
      <c r="CK18" s="75" t="str">
        <f t="shared" si="42"/>
        <v/>
      </c>
      <c r="CL18" s="75">
        <v>20</v>
      </c>
      <c r="CM18" s="59" t="str">
        <f t="shared" si="43"/>
        <v/>
      </c>
      <c r="CN18" s="59">
        <v>6750</v>
      </c>
      <c r="CO18" s="76" t="str">
        <f t="shared" si="44"/>
        <v/>
      </c>
      <c r="CP18" s="53"/>
      <c r="CQ18" s="75" t="str">
        <f t="shared" si="45"/>
        <v/>
      </c>
      <c r="CR18" s="75">
        <v>290</v>
      </c>
      <c r="CS18" s="75" t="str">
        <f t="shared" si="46"/>
        <v/>
      </c>
      <c r="CT18" s="75">
        <v>65</v>
      </c>
      <c r="CU18" s="75" t="str">
        <f t="shared" si="47"/>
        <v/>
      </c>
      <c r="CV18" s="75">
        <v>20</v>
      </c>
      <c r="CW18" s="59" t="str">
        <f t="shared" si="48"/>
        <v/>
      </c>
      <c r="CX18" s="59">
        <v>6750</v>
      </c>
      <c r="CY18" s="76" t="str">
        <f t="shared" si="49"/>
        <v/>
      </c>
      <c r="CZ18" s="53"/>
      <c r="DA18" s="75" t="str" cm="1">
        <f t="array" ref="DA18">IF(TigerCurrent&gt;=$C18,"",IF(TigerDesired&gt;=$C18,CZ18,""))</f>
        <v/>
      </c>
      <c r="DB18" s="75">
        <v>290</v>
      </c>
      <c r="DC18" s="75" t="str" cm="1">
        <f t="array" ref="DC18">IF(TigerCurrent&gt;=$C18,"",IF(TigerDesired&gt;=$C18,DB18,""))</f>
        <v/>
      </c>
      <c r="DD18" s="75">
        <v>65</v>
      </c>
      <c r="DE18" s="75" t="str" cm="1">
        <f t="array" ref="DE18">IF(TigerCurrent&gt;=$C18,"",IF(TigerDesired&gt;=$C18,DD18,""))</f>
        <v/>
      </c>
      <c r="DF18" s="75">
        <v>20</v>
      </c>
      <c r="DG18" s="59" t="str" cm="1">
        <f t="array" ref="DG18">IF(TigerCurrent&gt;=$C18,"",IF(TigerDesired&gt;=$C18,DF18,""))</f>
        <v/>
      </c>
      <c r="DH18" s="59">
        <v>6750</v>
      </c>
      <c r="DI18" s="76" t="str" cm="1">
        <f t="array" ref="DI18">IF(TigerCurrent&gt;=$C18,"",IF(TigerDesired&gt;=$C18,DH18,""))</f>
        <v/>
      </c>
      <c r="DJ18" s="53"/>
      <c r="DK18" s="75" t="str">
        <f t="shared" si="50"/>
        <v/>
      </c>
      <c r="DL18" s="75">
        <v>290</v>
      </c>
      <c r="DM18" s="75" t="str">
        <f t="shared" si="51"/>
        <v/>
      </c>
      <c r="DN18" s="75">
        <v>65</v>
      </c>
      <c r="DO18" s="75" t="str">
        <f t="shared" si="52"/>
        <v/>
      </c>
      <c r="DP18" s="75">
        <v>20</v>
      </c>
      <c r="DQ18" s="59" t="str">
        <f t="shared" si="53"/>
        <v/>
      </c>
      <c r="DR18" s="59">
        <v>6750</v>
      </c>
      <c r="DS18" s="76" t="str">
        <f t="shared" si="54"/>
        <v/>
      </c>
      <c r="DT18" s="53"/>
      <c r="DU18" s="75" t="str">
        <f t="shared" si="55"/>
        <v/>
      </c>
      <c r="DV18" s="75">
        <v>290</v>
      </c>
      <c r="DW18" s="75" t="str">
        <f t="shared" si="56"/>
        <v/>
      </c>
      <c r="DX18" s="75">
        <v>65</v>
      </c>
      <c r="DY18" s="75" t="str">
        <f t="shared" si="57"/>
        <v/>
      </c>
      <c r="DZ18" s="75">
        <v>20</v>
      </c>
      <c r="EA18" s="59" t="str">
        <f t="shared" si="58"/>
        <v/>
      </c>
      <c r="EB18" s="59">
        <v>6750</v>
      </c>
      <c r="EC18" s="76" t="str">
        <f t="shared" si="59"/>
        <v/>
      </c>
      <c r="ED18" s="53"/>
      <c r="EE18" s="75" t="str">
        <f t="shared" si="60"/>
        <v/>
      </c>
      <c r="EF18" s="75">
        <v>290</v>
      </c>
      <c r="EG18" s="75" t="str">
        <f t="shared" si="61"/>
        <v/>
      </c>
      <c r="EH18" s="75">
        <v>65</v>
      </c>
      <c r="EI18" s="75" t="str">
        <f t="shared" si="62"/>
        <v/>
      </c>
      <c r="EJ18" s="75">
        <v>20</v>
      </c>
      <c r="EK18" s="59" t="str">
        <f t="shared" si="63"/>
        <v/>
      </c>
      <c r="EL18" s="59">
        <v>6750</v>
      </c>
      <c r="EM18" s="76" t="str">
        <f t="shared" si="64"/>
        <v/>
      </c>
      <c r="EN18" s="53"/>
      <c r="EO18" s="75" t="str">
        <f t="shared" si="65"/>
        <v/>
      </c>
      <c r="EP18" s="75">
        <v>290</v>
      </c>
      <c r="EQ18" s="75" t="str">
        <f t="shared" si="66"/>
        <v/>
      </c>
      <c r="ER18" s="75">
        <v>65</v>
      </c>
      <c r="ES18" s="75" t="str">
        <f t="shared" si="67"/>
        <v/>
      </c>
      <c r="ET18" s="75">
        <v>20</v>
      </c>
      <c r="EU18" s="59" t="str">
        <f t="shared" si="68"/>
        <v/>
      </c>
      <c r="EV18" s="59">
        <v>6750</v>
      </c>
      <c r="EW18" s="76" t="str">
        <f t="shared" si="69"/>
        <v/>
      </c>
    </row>
    <row r="19" spans="3:153" x14ac:dyDescent="0.3">
      <c r="C19" s="9">
        <v>70</v>
      </c>
      <c r="D19" s="53"/>
      <c r="E19" s="75" t="str">
        <f t="shared" si="0"/>
        <v/>
      </c>
      <c r="F19" s="75"/>
      <c r="G19" s="75" t="str">
        <f t="shared" si="1"/>
        <v/>
      </c>
      <c r="H19" s="75"/>
      <c r="I19" s="75" t="str">
        <f t="shared" si="2"/>
        <v/>
      </c>
      <c r="J19" s="75"/>
      <c r="K19" s="75" t="str">
        <f t="shared" si="3"/>
        <v/>
      </c>
      <c r="L19" s="75"/>
      <c r="M19" s="75" t="str">
        <f t="shared" si="4"/>
        <v/>
      </c>
      <c r="N19" s="53"/>
      <c r="O19" s="75" t="str">
        <f t="shared" si="5"/>
        <v/>
      </c>
      <c r="P19" s="75"/>
      <c r="Q19" s="75" t="str">
        <f t="shared" si="6"/>
        <v/>
      </c>
      <c r="R19" s="75"/>
      <c r="S19" s="75" t="str">
        <f t="shared" si="7"/>
        <v/>
      </c>
      <c r="T19" s="75"/>
      <c r="U19" s="75" t="str">
        <f t="shared" si="8"/>
        <v/>
      </c>
      <c r="V19" s="75"/>
      <c r="W19" s="75" t="str">
        <f t="shared" si="9"/>
        <v/>
      </c>
      <c r="X19" s="53"/>
      <c r="Y19" s="59" t="str">
        <f t="shared" si="10"/>
        <v/>
      </c>
      <c r="Z19" s="75"/>
      <c r="AA19" s="75" t="str">
        <f t="shared" si="11"/>
        <v/>
      </c>
      <c r="AB19" s="75"/>
      <c r="AC19" s="75" t="str">
        <f t="shared" si="12"/>
        <v/>
      </c>
      <c r="AD19" s="75"/>
      <c r="AE19" s="75" t="str">
        <f t="shared" si="13"/>
        <v/>
      </c>
      <c r="AF19" s="75"/>
      <c r="AG19" s="59" t="str">
        <f t="shared" si="14"/>
        <v/>
      </c>
      <c r="AH19" s="58">
        <v>63300</v>
      </c>
      <c r="AI19" s="59" t="str">
        <f t="shared" si="15"/>
        <v/>
      </c>
      <c r="AJ19" s="59"/>
      <c r="AK19" s="59" t="str">
        <f t="shared" si="16"/>
        <v/>
      </c>
      <c r="AL19" s="59"/>
      <c r="AM19" s="59" t="str">
        <f t="shared" si="17"/>
        <v/>
      </c>
      <c r="AN19" s="59"/>
      <c r="AO19" s="59" t="str">
        <f t="shared" si="18"/>
        <v/>
      </c>
      <c r="AP19" s="59"/>
      <c r="AQ19" s="59" t="str">
        <f t="shared" si="19"/>
        <v/>
      </c>
      <c r="AR19" s="53">
        <v>63300</v>
      </c>
      <c r="AS19" s="75" t="str">
        <f t="shared" si="20"/>
        <v/>
      </c>
      <c r="AT19" s="75"/>
      <c r="AU19" s="75" t="str">
        <f t="shared" si="21"/>
        <v/>
      </c>
      <c r="AV19" s="75"/>
      <c r="AW19" s="75" t="str">
        <f t="shared" si="22"/>
        <v/>
      </c>
      <c r="AX19" s="75"/>
      <c r="AY19" s="75" t="str">
        <f t="shared" si="23"/>
        <v/>
      </c>
      <c r="AZ19" s="75"/>
      <c r="BA19" s="75" t="str">
        <f t="shared" si="24"/>
        <v/>
      </c>
      <c r="BB19" s="53">
        <v>84400</v>
      </c>
      <c r="BC19" s="75" t="str">
        <f t="shared" si="25"/>
        <v/>
      </c>
      <c r="BD19" s="75"/>
      <c r="BE19" s="75" t="str">
        <f t="shared" si="26"/>
        <v/>
      </c>
      <c r="BF19" s="75"/>
      <c r="BG19" s="75" t="str">
        <f t="shared" si="27"/>
        <v/>
      </c>
      <c r="BH19" s="75"/>
      <c r="BI19" s="75" t="str">
        <f t="shared" si="28"/>
        <v/>
      </c>
      <c r="BJ19" s="75"/>
      <c r="BK19" s="75" t="str">
        <f t="shared" si="29"/>
        <v/>
      </c>
      <c r="BL19" s="53">
        <v>84400</v>
      </c>
      <c r="BM19" s="75" t="str">
        <f t="shared" si="30"/>
        <v/>
      </c>
      <c r="BN19" s="75"/>
      <c r="BO19" s="75" t="str">
        <f t="shared" si="31"/>
        <v/>
      </c>
      <c r="BP19" s="75"/>
      <c r="BQ19" s="75" t="str">
        <f t="shared" si="32"/>
        <v/>
      </c>
      <c r="BR19" s="75"/>
      <c r="BS19" s="75" t="str">
        <f t="shared" si="33"/>
        <v/>
      </c>
      <c r="BT19" s="75"/>
      <c r="BU19" s="76" t="str">
        <f t="shared" si="34"/>
        <v/>
      </c>
      <c r="BV19" s="53">
        <v>105500</v>
      </c>
      <c r="BW19" s="75" t="str">
        <f t="shared" si="35"/>
        <v/>
      </c>
      <c r="BX19" s="75"/>
      <c r="BY19" s="75" t="str">
        <f t="shared" si="36"/>
        <v/>
      </c>
      <c r="BZ19" s="75"/>
      <c r="CA19" s="75" t="str">
        <f t="shared" si="37"/>
        <v/>
      </c>
      <c r="CB19" s="75"/>
      <c r="CC19" s="59" t="str">
        <f t="shared" si="38"/>
        <v/>
      </c>
      <c r="CD19" s="59"/>
      <c r="CE19" s="76" t="str">
        <f t="shared" si="39"/>
        <v/>
      </c>
      <c r="CF19" s="53">
        <v>105500</v>
      </c>
      <c r="CG19" s="75" t="str">
        <f t="shared" si="40"/>
        <v/>
      </c>
      <c r="CH19" s="75"/>
      <c r="CI19" s="75" t="str">
        <f t="shared" si="41"/>
        <v/>
      </c>
      <c r="CJ19" s="75"/>
      <c r="CK19" s="75" t="str">
        <f t="shared" si="42"/>
        <v/>
      </c>
      <c r="CL19" s="75"/>
      <c r="CM19" s="59" t="str">
        <f t="shared" si="43"/>
        <v/>
      </c>
      <c r="CN19" s="59"/>
      <c r="CO19" s="76" t="str">
        <f t="shared" si="44"/>
        <v/>
      </c>
      <c r="CP19" s="53">
        <v>105500</v>
      </c>
      <c r="CQ19" s="75" t="str">
        <f t="shared" si="45"/>
        <v/>
      </c>
      <c r="CR19" s="75"/>
      <c r="CS19" s="75" t="str">
        <f t="shared" si="46"/>
        <v/>
      </c>
      <c r="CT19" s="75"/>
      <c r="CU19" s="75" t="str">
        <f t="shared" si="47"/>
        <v/>
      </c>
      <c r="CV19" s="75"/>
      <c r="CW19" s="59" t="str">
        <f t="shared" si="48"/>
        <v/>
      </c>
      <c r="CX19" s="59"/>
      <c r="CY19" s="76" t="str">
        <f t="shared" si="49"/>
        <v/>
      </c>
      <c r="CZ19" s="53">
        <v>105500</v>
      </c>
      <c r="DA19" s="75" t="str" cm="1">
        <f t="array" ref="DA19">IF(TigerCurrent&gt;=$C19,"",IF(TigerDesired&gt;=$C19,CZ19,""))</f>
        <v/>
      </c>
      <c r="DB19" s="75"/>
      <c r="DC19" s="75" t="str" cm="1">
        <f t="array" ref="DC19">IF(TigerCurrent&gt;=$C19,"",IF(TigerDesired&gt;=$C19,DB19,""))</f>
        <v/>
      </c>
      <c r="DD19" s="75"/>
      <c r="DE19" s="75" t="str" cm="1">
        <f t="array" ref="DE19">IF(TigerCurrent&gt;=$C19,"",IF(TigerDesired&gt;=$C19,DD19,""))</f>
        <v/>
      </c>
      <c r="DF19" s="75"/>
      <c r="DG19" s="59" t="str" cm="1">
        <f t="array" ref="DG19">IF(TigerCurrent&gt;=$C19,"",IF(TigerDesired&gt;=$C19,DF19,""))</f>
        <v/>
      </c>
      <c r="DH19" s="59"/>
      <c r="DI19" s="76" t="str" cm="1">
        <f t="array" ref="DI19">IF(TigerCurrent&gt;=$C19,"",IF(TigerDesired&gt;=$C19,DH19,""))</f>
        <v/>
      </c>
      <c r="DJ19" s="53">
        <v>105500</v>
      </c>
      <c r="DK19" s="75" t="str">
        <f t="shared" si="50"/>
        <v/>
      </c>
      <c r="DL19" s="75"/>
      <c r="DM19" s="75" t="str">
        <f t="shared" si="51"/>
        <v/>
      </c>
      <c r="DN19" s="75"/>
      <c r="DO19" s="75" t="str">
        <f t="shared" si="52"/>
        <v/>
      </c>
      <c r="DP19" s="75"/>
      <c r="DQ19" s="59" t="str">
        <f t="shared" si="53"/>
        <v/>
      </c>
      <c r="DR19" s="59"/>
      <c r="DS19" s="76" t="str">
        <f t="shared" si="54"/>
        <v/>
      </c>
      <c r="DT19" s="53">
        <v>105500</v>
      </c>
      <c r="DU19" s="75" t="str">
        <f t="shared" si="55"/>
        <v/>
      </c>
      <c r="DV19" s="75"/>
      <c r="DW19" s="75" t="str">
        <f t="shared" si="56"/>
        <v/>
      </c>
      <c r="DX19" s="75"/>
      <c r="DY19" s="75" t="str">
        <f t="shared" si="57"/>
        <v/>
      </c>
      <c r="DZ19" s="75"/>
      <c r="EA19" s="59" t="str">
        <f t="shared" si="58"/>
        <v/>
      </c>
      <c r="EB19" s="59"/>
      <c r="EC19" s="76" t="str">
        <f t="shared" si="59"/>
        <v/>
      </c>
      <c r="ED19" s="53">
        <v>105500</v>
      </c>
      <c r="EE19" s="75" t="str">
        <f t="shared" si="60"/>
        <v/>
      </c>
      <c r="EF19" s="75"/>
      <c r="EG19" s="75" t="str">
        <f t="shared" si="61"/>
        <v/>
      </c>
      <c r="EH19" s="75"/>
      <c r="EI19" s="75" t="str">
        <f t="shared" si="62"/>
        <v/>
      </c>
      <c r="EJ19" s="75"/>
      <c r="EK19" s="59" t="str">
        <f t="shared" si="63"/>
        <v/>
      </c>
      <c r="EL19" s="59"/>
      <c r="EM19" s="76" t="str">
        <f t="shared" si="64"/>
        <v/>
      </c>
      <c r="EN19" s="53">
        <v>105500</v>
      </c>
      <c r="EO19" s="75" t="str">
        <f t="shared" si="65"/>
        <v/>
      </c>
      <c r="EP19" s="75"/>
      <c r="EQ19" s="75" t="str">
        <f t="shared" si="66"/>
        <v/>
      </c>
      <c r="ER19" s="75"/>
      <c r="ES19" s="75" t="str">
        <f t="shared" si="67"/>
        <v/>
      </c>
      <c r="ET19" s="75"/>
      <c r="EU19" s="59" t="str">
        <f t="shared" si="68"/>
        <v/>
      </c>
      <c r="EV19" s="59"/>
      <c r="EW19" s="76" t="str">
        <f t="shared" si="69"/>
        <v/>
      </c>
    </row>
    <row r="20" spans="3:153" x14ac:dyDescent="0.3">
      <c r="C20" s="9">
        <v>70.099999999999994</v>
      </c>
      <c r="D20" s="53"/>
      <c r="E20" s="75" t="str">
        <f t="shared" si="0"/>
        <v/>
      </c>
      <c r="F20" s="75"/>
      <c r="G20" s="75" t="str">
        <f t="shared" si="1"/>
        <v/>
      </c>
      <c r="H20" s="75"/>
      <c r="I20" s="75" t="str">
        <f t="shared" si="2"/>
        <v/>
      </c>
      <c r="J20" s="75"/>
      <c r="K20" s="75" t="str">
        <f t="shared" si="3"/>
        <v/>
      </c>
      <c r="L20" s="75">
        <v>10000</v>
      </c>
      <c r="M20" s="75" t="str">
        <f t="shared" si="4"/>
        <v/>
      </c>
      <c r="N20" s="53"/>
      <c r="O20" s="75" t="str">
        <f t="shared" si="5"/>
        <v/>
      </c>
      <c r="P20" s="75"/>
      <c r="Q20" s="75" t="str">
        <f t="shared" si="6"/>
        <v/>
      </c>
      <c r="R20" s="75"/>
      <c r="S20" s="75" t="str">
        <f t="shared" si="7"/>
        <v/>
      </c>
      <c r="T20" s="75"/>
      <c r="U20" s="75" t="str">
        <f t="shared" si="8"/>
        <v/>
      </c>
      <c r="V20" s="75">
        <v>10000</v>
      </c>
      <c r="W20" s="75" t="str">
        <f t="shared" si="9"/>
        <v/>
      </c>
      <c r="X20" s="53"/>
      <c r="Y20" s="59" t="str">
        <f t="shared" si="10"/>
        <v/>
      </c>
      <c r="Z20" s="75"/>
      <c r="AA20" s="75" t="str">
        <f t="shared" si="11"/>
        <v/>
      </c>
      <c r="AB20" s="75"/>
      <c r="AC20" s="75" t="str">
        <f t="shared" si="12"/>
        <v/>
      </c>
      <c r="AD20" s="75"/>
      <c r="AE20" s="75" t="str">
        <f t="shared" si="13"/>
        <v/>
      </c>
      <c r="AF20" s="75">
        <v>10000</v>
      </c>
      <c r="AG20" s="59" t="str">
        <f t="shared" si="14"/>
        <v/>
      </c>
      <c r="AH20" s="58"/>
      <c r="AI20" s="59" t="str">
        <f t="shared" si="15"/>
        <v/>
      </c>
      <c r="AJ20" s="59">
        <v>255</v>
      </c>
      <c r="AK20" s="59" t="str">
        <f t="shared" si="16"/>
        <v/>
      </c>
      <c r="AL20" s="59">
        <v>80</v>
      </c>
      <c r="AM20" s="59" t="str">
        <f t="shared" si="17"/>
        <v/>
      </c>
      <c r="AN20" s="59">
        <v>40</v>
      </c>
      <c r="AO20" s="59" t="str">
        <f t="shared" si="18"/>
        <v/>
      </c>
      <c r="AP20" s="59">
        <v>10000</v>
      </c>
      <c r="AQ20" s="59" t="str">
        <f t="shared" si="19"/>
        <v/>
      </c>
      <c r="AR20" s="53"/>
      <c r="AS20" s="75" t="str">
        <f t="shared" si="20"/>
        <v/>
      </c>
      <c r="AT20" s="75">
        <v>255</v>
      </c>
      <c r="AU20" s="75" t="str">
        <f t="shared" si="21"/>
        <v/>
      </c>
      <c r="AV20" s="75">
        <v>80</v>
      </c>
      <c r="AW20" s="75" t="str">
        <f t="shared" si="22"/>
        <v/>
      </c>
      <c r="AX20" s="75">
        <v>40</v>
      </c>
      <c r="AY20" s="75" t="str">
        <f t="shared" si="23"/>
        <v/>
      </c>
      <c r="AZ20" s="75">
        <v>10000</v>
      </c>
      <c r="BA20" s="75" t="str">
        <f t="shared" si="24"/>
        <v/>
      </c>
      <c r="BB20" s="53"/>
      <c r="BC20" s="75" t="str">
        <f t="shared" si="25"/>
        <v/>
      </c>
      <c r="BD20" s="75">
        <v>310</v>
      </c>
      <c r="BE20" s="75" t="str">
        <f t="shared" si="26"/>
        <v/>
      </c>
      <c r="BF20" s="75">
        <v>80</v>
      </c>
      <c r="BG20" s="75" t="str">
        <f t="shared" si="27"/>
        <v/>
      </c>
      <c r="BH20" s="75">
        <v>40</v>
      </c>
      <c r="BI20" s="75" t="str">
        <f t="shared" si="28"/>
        <v/>
      </c>
      <c r="BJ20" s="75">
        <v>10000</v>
      </c>
      <c r="BK20" s="75" t="str">
        <f t="shared" si="29"/>
        <v/>
      </c>
      <c r="BL20" s="53"/>
      <c r="BM20" s="75" t="str">
        <f t="shared" si="30"/>
        <v/>
      </c>
      <c r="BN20" s="75">
        <v>310</v>
      </c>
      <c r="BO20" s="75" t="str">
        <f t="shared" si="31"/>
        <v/>
      </c>
      <c r="BP20" s="75">
        <v>80</v>
      </c>
      <c r="BQ20" s="75" t="str">
        <f t="shared" si="32"/>
        <v/>
      </c>
      <c r="BR20" s="75">
        <v>40</v>
      </c>
      <c r="BS20" s="75" t="str">
        <f t="shared" si="33"/>
        <v/>
      </c>
      <c r="BT20" s="75">
        <v>10000</v>
      </c>
      <c r="BU20" s="76" t="str">
        <f t="shared" si="34"/>
        <v/>
      </c>
      <c r="BV20" s="53"/>
      <c r="BW20" s="75" t="str">
        <f t="shared" si="35"/>
        <v/>
      </c>
      <c r="BX20" s="75">
        <v>365</v>
      </c>
      <c r="BY20" s="75" t="str">
        <f t="shared" si="36"/>
        <v/>
      </c>
      <c r="BZ20" s="75">
        <v>85</v>
      </c>
      <c r="CA20" s="75" t="str">
        <f t="shared" si="37"/>
        <v/>
      </c>
      <c r="CB20" s="75">
        <v>40</v>
      </c>
      <c r="CC20" s="59" t="str">
        <f t="shared" si="38"/>
        <v/>
      </c>
      <c r="CD20" s="59">
        <v>10000</v>
      </c>
      <c r="CE20" s="76" t="str">
        <f t="shared" si="39"/>
        <v/>
      </c>
      <c r="CF20" s="53"/>
      <c r="CG20" s="75" t="str">
        <f t="shared" si="40"/>
        <v/>
      </c>
      <c r="CH20" s="75">
        <v>365</v>
      </c>
      <c r="CI20" s="75" t="str">
        <f t="shared" si="41"/>
        <v/>
      </c>
      <c r="CJ20" s="75">
        <v>85</v>
      </c>
      <c r="CK20" s="75" t="str">
        <f t="shared" si="42"/>
        <v/>
      </c>
      <c r="CL20" s="75">
        <v>40</v>
      </c>
      <c r="CM20" s="59" t="str">
        <f t="shared" si="43"/>
        <v/>
      </c>
      <c r="CN20" s="59">
        <v>10000</v>
      </c>
      <c r="CO20" s="76" t="str">
        <f t="shared" si="44"/>
        <v/>
      </c>
      <c r="CP20" s="53"/>
      <c r="CQ20" s="75" t="str">
        <f t="shared" si="45"/>
        <v/>
      </c>
      <c r="CR20" s="75">
        <v>365</v>
      </c>
      <c r="CS20" s="75" t="str">
        <f t="shared" si="46"/>
        <v/>
      </c>
      <c r="CT20" s="75">
        <v>85</v>
      </c>
      <c r="CU20" s="75" t="str">
        <f t="shared" si="47"/>
        <v/>
      </c>
      <c r="CV20" s="75">
        <v>40</v>
      </c>
      <c r="CW20" s="59" t="str">
        <f t="shared" si="48"/>
        <v/>
      </c>
      <c r="CX20" s="59">
        <v>10000</v>
      </c>
      <c r="CY20" s="76" t="str">
        <f t="shared" si="49"/>
        <v/>
      </c>
      <c r="CZ20" s="53"/>
      <c r="DA20" s="75" t="str" cm="1">
        <f t="array" ref="DA20">IF(TigerCurrent&gt;=$C20,"",IF(TigerDesired&gt;=$C20,CZ20,""))</f>
        <v/>
      </c>
      <c r="DB20" s="75">
        <v>365</v>
      </c>
      <c r="DC20" s="75" t="str" cm="1">
        <f t="array" ref="DC20">IF(TigerCurrent&gt;=$C20,"",IF(TigerDesired&gt;=$C20,DB20,""))</f>
        <v/>
      </c>
      <c r="DD20" s="75">
        <v>85</v>
      </c>
      <c r="DE20" s="75" t="str" cm="1">
        <f t="array" ref="DE20">IF(TigerCurrent&gt;=$C20,"",IF(TigerDesired&gt;=$C20,DD20,""))</f>
        <v/>
      </c>
      <c r="DF20" s="75">
        <v>40</v>
      </c>
      <c r="DG20" s="59" t="str" cm="1">
        <f t="array" ref="DG20">IF(TigerCurrent&gt;=$C20,"",IF(TigerDesired&gt;=$C20,DF20,""))</f>
        <v/>
      </c>
      <c r="DH20" s="59">
        <v>10000</v>
      </c>
      <c r="DI20" s="76" t="str" cm="1">
        <f t="array" ref="DI20">IF(TigerCurrent&gt;=$C20,"",IF(TigerDesired&gt;=$C20,DH20,""))</f>
        <v/>
      </c>
      <c r="DJ20" s="53"/>
      <c r="DK20" s="75" t="str">
        <f t="shared" si="50"/>
        <v/>
      </c>
      <c r="DL20" s="75">
        <v>365</v>
      </c>
      <c r="DM20" s="75" t="str">
        <f t="shared" si="51"/>
        <v/>
      </c>
      <c r="DN20" s="75">
        <v>85</v>
      </c>
      <c r="DO20" s="75" t="str">
        <f t="shared" si="52"/>
        <v/>
      </c>
      <c r="DP20" s="75">
        <v>40</v>
      </c>
      <c r="DQ20" s="59" t="str">
        <f t="shared" si="53"/>
        <v/>
      </c>
      <c r="DR20" s="59">
        <v>10000</v>
      </c>
      <c r="DS20" s="76" t="str">
        <f t="shared" si="54"/>
        <v/>
      </c>
      <c r="DT20" s="53"/>
      <c r="DU20" s="75" t="str">
        <f t="shared" si="55"/>
        <v/>
      </c>
      <c r="DV20" s="75">
        <v>365</v>
      </c>
      <c r="DW20" s="75" t="str">
        <f t="shared" si="56"/>
        <v/>
      </c>
      <c r="DX20" s="75">
        <v>85</v>
      </c>
      <c r="DY20" s="75" t="str">
        <f t="shared" si="57"/>
        <v/>
      </c>
      <c r="DZ20" s="75">
        <v>40</v>
      </c>
      <c r="EA20" s="59" t="str">
        <f t="shared" si="58"/>
        <v/>
      </c>
      <c r="EB20" s="59">
        <v>10000</v>
      </c>
      <c r="EC20" s="76" t="str">
        <f t="shared" si="59"/>
        <v/>
      </c>
      <c r="ED20" s="53"/>
      <c r="EE20" s="75" t="str">
        <f t="shared" si="60"/>
        <v/>
      </c>
      <c r="EF20" s="75">
        <v>365</v>
      </c>
      <c r="EG20" s="75" t="str">
        <f t="shared" si="61"/>
        <v/>
      </c>
      <c r="EH20" s="75">
        <v>85</v>
      </c>
      <c r="EI20" s="75" t="str">
        <f t="shared" si="62"/>
        <v/>
      </c>
      <c r="EJ20" s="75">
        <v>40</v>
      </c>
      <c r="EK20" s="59" t="str">
        <f t="shared" si="63"/>
        <v/>
      </c>
      <c r="EL20" s="59">
        <v>10000</v>
      </c>
      <c r="EM20" s="76" t="str">
        <f t="shared" si="64"/>
        <v/>
      </c>
      <c r="EN20" s="53"/>
      <c r="EO20" s="75" t="str">
        <f t="shared" si="65"/>
        <v/>
      </c>
      <c r="EP20" s="75">
        <v>365</v>
      </c>
      <c r="EQ20" s="75" t="str">
        <f t="shared" si="66"/>
        <v/>
      </c>
      <c r="ER20" s="75">
        <v>85</v>
      </c>
      <c r="ES20" s="75" t="str">
        <f t="shared" si="67"/>
        <v/>
      </c>
      <c r="ET20" s="75">
        <v>40</v>
      </c>
      <c r="EU20" s="59" t="str">
        <f t="shared" si="68"/>
        <v/>
      </c>
      <c r="EV20" s="59">
        <v>10000</v>
      </c>
      <c r="EW20" s="76" t="str">
        <f t="shared" si="69"/>
        <v/>
      </c>
    </row>
    <row r="21" spans="3:153" x14ac:dyDescent="0.3">
      <c r="C21" s="9">
        <v>80</v>
      </c>
      <c r="D21" s="53"/>
      <c r="E21" s="75" t="str">
        <f t="shared" si="0"/>
        <v/>
      </c>
      <c r="F21" s="75"/>
      <c r="G21" s="75" t="str">
        <f t="shared" si="1"/>
        <v/>
      </c>
      <c r="H21" s="75"/>
      <c r="I21" s="75" t="str">
        <f t="shared" si="2"/>
        <v/>
      </c>
      <c r="J21" s="75"/>
      <c r="K21" s="75" t="str">
        <f t="shared" si="3"/>
        <v/>
      </c>
      <c r="L21" s="75"/>
      <c r="M21" s="75" t="str">
        <f t="shared" si="4"/>
        <v/>
      </c>
      <c r="N21" s="53"/>
      <c r="O21" s="75" t="str">
        <f t="shared" si="5"/>
        <v/>
      </c>
      <c r="P21" s="75"/>
      <c r="Q21" s="75" t="str">
        <f t="shared" si="6"/>
        <v/>
      </c>
      <c r="R21" s="75"/>
      <c r="S21" s="75" t="str">
        <f t="shared" si="7"/>
        <v/>
      </c>
      <c r="T21" s="75"/>
      <c r="U21" s="75" t="str">
        <f t="shared" si="8"/>
        <v/>
      </c>
      <c r="V21" s="75"/>
      <c r="W21" s="75" t="str">
        <f t="shared" si="9"/>
        <v/>
      </c>
      <c r="X21" s="53"/>
      <c r="Y21" s="59" t="str">
        <f t="shared" si="10"/>
        <v/>
      </c>
      <c r="Z21" s="75"/>
      <c r="AA21" s="75" t="str">
        <f t="shared" si="11"/>
        <v/>
      </c>
      <c r="AB21" s="75"/>
      <c r="AC21" s="75" t="str">
        <f t="shared" si="12"/>
        <v/>
      </c>
      <c r="AD21" s="75"/>
      <c r="AE21" s="75" t="str">
        <f t="shared" si="13"/>
        <v/>
      </c>
      <c r="AF21" s="75"/>
      <c r="AG21" s="59" t="str">
        <f t="shared" si="14"/>
        <v/>
      </c>
      <c r="AH21" s="58"/>
      <c r="AI21" s="59" t="str">
        <f t="shared" si="15"/>
        <v/>
      </c>
      <c r="AJ21" s="59"/>
      <c r="AK21" s="59" t="str">
        <f t="shared" si="16"/>
        <v/>
      </c>
      <c r="AL21" s="59"/>
      <c r="AM21" s="59" t="str">
        <f t="shared" si="17"/>
        <v/>
      </c>
      <c r="AN21" s="59"/>
      <c r="AO21" s="59" t="str">
        <f t="shared" si="18"/>
        <v/>
      </c>
      <c r="AP21" s="59"/>
      <c r="AQ21" s="59" t="str">
        <f t="shared" si="19"/>
        <v/>
      </c>
      <c r="AR21" s="53"/>
      <c r="AS21" s="75" t="str">
        <f t="shared" si="20"/>
        <v/>
      </c>
      <c r="AT21" s="75"/>
      <c r="AU21" s="75" t="str">
        <f t="shared" si="21"/>
        <v/>
      </c>
      <c r="AV21" s="75"/>
      <c r="AW21" s="75" t="str">
        <f t="shared" si="22"/>
        <v/>
      </c>
      <c r="AX21" s="75"/>
      <c r="AY21" s="75" t="str">
        <f t="shared" si="23"/>
        <v/>
      </c>
      <c r="AZ21" s="75"/>
      <c r="BA21" s="75" t="str">
        <f t="shared" si="24"/>
        <v/>
      </c>
      <c r="BB21" s="53">
        <v>108480</v>
      </c>
      <c r="BC21" s="75" t="str">
        <f t="shared" si="25"/>
        <v/>
      </c>
      <c r="BD21" s="75"/>
      <c r="BE21" s="75" t="str">
        <f t="shared" si="26"/>
        <v/>
      </c>
      <c r="BF21" s="75"/>
      <c r="BG21" s="75" t="str">
        <f t="shared" si="27"/>
        <v/>
      </c>
      <c r="BH21" s="75"/>
      <c r="BI21" s="75" t="str">
        <f t="shared" si="28"/>
        <v/>
      </c>
      <c r="BJ21" s="75"/>
      <c r="BK21" s="75" t="str">
        <f t="shared" si="29"/>
        <v/>
      </c>
      <c r="BL21" s="53">
        <v>108480</v>
      </c>
      <c r="BM21" s="75" t="str">
        <f t="shared" si="30"/>
        <v/>
      </c>
      <c r="BN21" s="75"/>
      <c r="BO21" s="75" t="str">
        <f t="shared" si="31"/>
        <v/>
      </c>
      <c r="BP21" s="75"/>
      <c r="BQ21" s="75" t="str">
        <f t="shared" si="32"/>
        <v/>
      </c>
      <c r="BR21" s="75"/>
      <c r="BS21" s="75" t="str">
        <f t="shared" si="33"/>
        <v/>
      </c>
      <c r="BT21" s="75"/>
      <c r="BU21" s="76" t="str">
        <f t="shared" si="34"/>
        <v/>
      </c>
      <c r="BV21" s="53">
        <v>135600</v>
      </c>
      <c r="BW21" s="75" t="str">
        <f t="shared" si="35"/>
        <v/>
      </c>
      <c r="BX21" s="75"/>
      <c r="BY21" s="75" t="str">
        <f t="shared" si="36"/>
        <v/>
      </c>
      <c r="BZ21" s="75"/>
      <c r="CA21" s="75" t="str">
        <f t="shared" si="37"/>
        <v/>
      </c>
      <c r="CB21" s="75"/>
      <c r="CC21" s="59" t="str">
        <f t="shared" si="38"/>
        <v/>
      </c>
      <c r="CD21" s="59"/>
      <c r="CE21" s="76" t="str">
        <f t="shared" si="39"/>
        <v/>
      </c>
      <c r="CF21" s="53">
        <v>135600</v>
      </c>
      <c r="CG21" s="75" t="str">
        <f t="shared" si="40"/>
        <v/>
      </c>
      <c r="CH21" s="75"/>
      <c r="CI21" s="75" t="str">
        <f t="shared" si="41"/>
        <v/>
      </c>
      <c r="CJ21" s="75"/>
      <c r="CK21" s="75" t="str">
        <f t="shared" si="42"/>
        <v/>
      </c>
      <c r="CL21" s="75"/>
      <c r="CM21" s="59" t="str">
        <f t="shared" si="43"/>
        <v/>
      </c>
      <c r="CN21" s="59"/>
      <c r="CO21" s="76" t="str">
        <f t="shared" si="44"/>
        <v/>
      </c>
      <c r="CP21" s="53">
        <v>135600</v>
      </c>
      <c r="CQ21" s="75" t="str">
        <f t="shared" si="45"/>
        <v/>
      </c>
      <c r="CR21" s="75"/>
      <c r="CS21" s="75" t="str">
        <f t="shared" si="46"/>
        <v/>
      </c>
      <c r="CT21" s="75"/>
      <c r="CU21" s="75" t="str">
        <f t="shared" si="47"/>
        <v/>
      </c>
      <c r="CV21" s="75"/>
      <c r="CW21" s="59" t="str">
        <f t="shared" si="48"/>
        <v/>
      </c>
      <c r="CX21" s="59"/>
      <c r="CY21" s="76" t="str">
        <f t="shared" si="49"/>
        <v/>
      </c>
      <c r="CZ21" s="53">
        <v>135600</v>
      </c>
      <c r="DA21" s="75" t="str" cm="1">
        <f t="array" ref="DA21">IF(TigerCurrent&gt;=$C21,"",IF(TigerDesired&gt;=$C21,CZ21,""))</f>
        <v/>
      </c>
      <c r="DB21" s="75"/>
      <c r="DC21" s="75" t="str" cm="1">
        <f t="array" ref="DC21">IF(TigerCurrent&gt;=$C21,"",IF(TigerDesired&gt;=$C21,DB21,""))</f>
        <v/>
      </c>
      <c r="DD21" s="75"/>
      <c r="DE21" s="75" t="str" cm="1">
        <f t="array" ref="DE21">IF(TigerCurrent&gt;=$C21,"",IF(TigerDesired&gt;=$C21,DD21,""))</f>
        <v/>
      </c>
      <c r="DF21" s="75"/>
      <c r="DG21" s="59" t="str" cm="1">
        <f t="array" ref="DG21">IF(TigerCurrent&gt;=$C21,"",IF(TigerDesired&gt;=$C21,DF21,""))</f>
        <v/>
      </c>
      <c r="DH21" s="59"/>
      <c r="DI21" s="76" t="str" cm="1">
        <f t="array" ref="DI21">IF(TigerCurrent&gt;=$C21,"",IF(TigerDesired&gt;=$C21,DH21,""))</f>
        <v/>
      </c>
      <c r="DJ21" s="53">
        <v>135600</v>
      </c>
      <c r="DK21" s="75" t="str">
        <f t="shared" si="50"/>
        <v/>
      </c>
      <c r="DL21" s="75"/>
      <c r="DM21" s="75" t="str">
        <f t="shared" si="51"/>
        <v/>
      </c>
      <c r="DN21" s="75"/>
      <c r="DO21" s="75" t="str">
        <f t="shared" si="52"/>
        <v/>
      </c>
      <c r="DP21" s="75"/>
      <c r="DQ21" s="59" t="str">
        <f t="shared" si="53"/>
        <v/>
      </c>
      <c r="DR21" s="59"/>
      <c r="DS21" s="76" t="str">
        <f t="shared" si="54"/>
        <v/>
      </c>
      <c r="DT21" s="53">
        <v>135600</v>
      </c>
      <c r="DU21" s="75" t="str">
        <f t="shared" si="55"/>
        <v/>
      </c>
      <c r="DV21" s="75"/>
      <c r="DW21" s="75" t="str">
        <f t="shared" si="56"/>
        <v/>
      </c>
      <c r="DX21" s="75"/>
      <c r="DY21" s="75" t="str">
        <f t="shared" si="57"/>
        <v/>
      </c>
      <c r="DZ21" s="75"/>
      <c r="EA21" s="59" t="str">
        <f t="shared" si="58"/>
        <v/>
      </c>
      <c r="EB21" s="59"/>
      <c r="EC21" s="76" t="str">
        <f t="shared" si="59"/>
        <v/>
      </c>
      <c r="ED21" s="53">
        <v>135600</v>
      </c>
      <c r="EE21" s="75" t="str">
        <f t="shared" si="60"/>
        <v/>
      </c>
      <c r="EF21" s="75"/>
      <c r="EG21" s="75" t="str">
        <f t="shared" si="61"/>
        <v/>
      </c>
      <c r="EH21" s="75"/>
      <c r="EI21" s="75" t="str">
        <f t="shared" si="62"/>
        <v/>
      </c>
      <c r="EJ21" s="75"/>
      <c r="EK21" s="59" t="str">
        <f t="shared" si="63"/>
        <v/>
      </c>
      <c r="EL21" s="59"/>
      <c r="EM21" s="76" t="str">
        <f t="shared" si="64"/>
        <v/>
      </c>
      <c r="EN21" s="53">
        <v>135600</v>
      </c>
      <c r="EO21" s="75" t="str">
        <f t="shared" si="65"/>
        <v/>
      </c>
      <c r="EP21" s="75"/>
      <c r="EQ21" s="75" t="str">
        <f t="shared" si="66"/>
        <v/>
      </c>
      <c r="ER21" s="75"/>
      <c r="ES21" s="75" t="str">
        <f t="shared" si="67"/>
        <v/>
      </c>
      <c r="ET21" s="75"/>
      <c r="EU21" s="59" t="str">
        <f t="shared" si="68"/>
        <v/>
      </c>
      <c r="EV21" s="59"/>
      <c r="EW21" s="76" t="str">
        <f t="shared" si="69"/>
        <v/>
      </c>
    </row>
    <row r="22" spans="3:153" x14ac:dyDescent="0.3">
      <c r="C22" s="9">
        <v>80.099999999999994</v>
      </c>
      <c r="D22" s="53"/>
      <c r="E22" s="75" t="str">
        <f t="shared" si="0"/>
        <v/>
      </c>
      <c r="F22" s="75"/>
      <c r="G22" s="75" t="str">
        <f t="shared" si="1"/>
        <v/>
      </c>
      <c r="H22" s="75"/>
      <c r="I22" s="75" t="str">
        <f t="shared" si="2"/>
        <v/>
      </c>
      <c r="J22" s="75"/>
      <c r="K22" s="75" t="str">
        <f t="shared" si="3"/>
        <v/>
      </c>
      <c r="L22" s="75">
        <v>12000</v>
      </c>
      <c r="M22" s="75" t="str">
        <f t="shared" si="4"/>
        <v/>
      </c>
      <c r="N22" s="53"/>
      <c r="O22" s="75" t="str">
        <f t="shared" si="5"/>
        <v/>
      </c>
      <c r="P22" s="75"/>
      <c r="Q22" s="75" t="str">
        <f t="shared" si="6"/>
        <v/>
      </c>
      <c r="R22" s="75"/>
      <c r="S22" s="75" t="str">
        <f t="shared" si="7"/>
        <v/>
      </c>
      <c r="T22" s="75"/>
      <c r="U22" s="75" t="str">
        <f t="shared" si="8"/>
        <v/>
      </c>
      <c r="V22" s="75">
        <v>12000</v>
      </c>
      <c r="W22" s="75" t="str">
        <f t="shared" si="9"/>
        <v/>
      </c>
      <c r="X22" s="53"/>
      <c r="Y22" s="59" t="str">
        <f t="shared" si="10"/>
        <v/>
      </c>
      <c r="Z22" s="75"/>
      <c r="AA22" s="75" t="str">
        <f t="shared" si="11"/>
        <v/>
      </c>
      <c r="AB22" s="75"/>
      <c r="AC22" s="75" t="str">
        <f t="shared" si="12"/>
        <v/>
      </c>
      <c r="AD22" s="75"/>
      <c r="AE22" s="75" t="str">
        <f t="shared" si="13"/>
        <v/>
      </c>
      <c r="AF22" s="75">
        <v>12000</v>
      </c>
      <c r="AG22" s="59" t="str">
        <f t="shared" si="14"/>
        <v/>
      </c>
      <c r="AH22" s="58"/>
      <c r="AI22" s="59" t="str">
        <f t="shared" si="15"/>
        <v/>
      </c>
      <c r="AJ22" s="59"/>
      <c r="AK22" s="59" t="str">
        <f t="shared" si="16"/>
        <v/>
      </c>
      <c r="AL22" s="59"/>
      <c r="AM22" s="59" t="str">
        <f t="shared" si="17"/>
        <v/>
      </c>
      <c r="AN22" s="59"/>
      <c r="AO22" s="59" t="str">
        <f t="shared" si="18"/>
        <v/>
      </c>
      <c r="AP22" s="59">
        <v>12000</v>
      </c>
      <c r="AQ22" s="59" t="str">
        <f t="shared" si="19"/>
        <v/>
      </c>
      <c r="AR22" s="53"/>
      <c r="AS22" s="75" t="str">
        <f t="shared" si="20"/>
        <v/>
      </c>
      <c r="AT22" s="75"/>
      <c r="AU22" s="75" t="str">
        <f t="shared" si="21"/>
        <v/>
      </c>
      <c r="AV22" s="75"/>
      <c r="AW22" s="75" t="str">
        <f t="shared" si="22"/>
        <v/>
      </c>
      <c r="AX22" s="75"/>
      <c r="AY22" s="75" t="str">
        <f t="shared" si="23"/>
        <v/>
      </c>
      <c r="AZ22" s="75">
        <v>12000</v>
      </c>
      <c r="BA22" s="75" t="str">
        <f t="shared" si="24"/>
        <v/>
      </c>
      <c r="BB22" s="53"/>
      <c r="BC22" s="75" t="str">
        <f t="shared" si="25"/>
        <v/>
      </c>
      <c r="BD22" s="75">
        <v>380</v>
      </c>
      <c r="BE22" s="75" t="str">
        <f t="shared" si="26"/>
        <v/>
      </c>
      <c r="BF22" s="75">
        <v>100</v>
      </c>
      <c r="BG22" s="75" t="str">
        <f t="shared" si="27"/>
        <v/>
      </c>
      <c r="BH22" s="75">
        <v>60</v>
      </c>
      <c r="BI22" s="75" t="str">
        <f t="shared" si="28"/>
        <v/>
      </c>
      <c r="BJ22" s="75">
        <v>12000</v>
      </c>
      <c r="BK22" s="75" t="str">
        <f t="shared" si="29"/>
        <v/>
      </c>
      <c r="BL22" s="53"/>
      <c r="BM22" s="75" t="str">
        <f t="shared" si="30"/>
        <v/>
      </c>
      <c r="BN22" s="75">
        <v>380</v>
      </c>
      <c r="BO22" s="75" t="str">
        <f t="shared" si="31"/>
        <v/>
      </c>
      <c r="BP22" s="75">
        <v>100</v>
      </c>
      <c r="BQ22" s="75" t="str">
        <f t="shared" si="32"/>
        <v/>
      </c>
      <c r="BR22" s="75">
        <v>60</v>
      </c>
      <c r="BS22" s="75" t="str">
        <f t="shared" si="33"/>
        <v/>
      </c>
      <c r="BT22" s="75">
        <v>12000</v>
      </c>
      <c r="BU22" s="76" t="str">
        <f t="shared" si="34"/>
        <v/>
      </c>
      <c r="BV22" s="53"/>
      <c r="BW22" s="75" t="str">
        <f t="shared" si="35"/>
        <v/>
      </c>
      <c r="BX22" s="75">
        <v>440</v>
      </c>
      <c r="BY22" s="75" t="str">
        <f t="shared" si="36"/>
        <v/>
      </c>
      <c r="BZ22" s="75">
        <v>100</v>
      </c>
      <c r="CA22" s="75" t="str">
        <f t="shared" si="37"/>
        <v/>
      </c>
      <c r="CB22" s="75">
        <v>60</v>
      </c>
      <c r="CC22" s="59" t="str">
        <f t="shared" si="38"/>
        <v/>
      </c>
      <c r="CD22" s="59">
        <v>12000</v>
      </c>
      <c r="CE22" s="76" t="str">
        <f t="shared" si="39"/>
        <v/>
      </c>
      <c r="CF22" s="53"/>
      <c r="CG22" s="75" t="str">
        <f t="shared" si="40"/>
        <v/>
      </c>
      <c r="CH22" s="75">
        <v>440</v>
      </c>
      <c r="CI22" s="75" t="str">
        <f t="shared" si="41"/>
        <v/>
      </c>
      <c r="CJ22" s="75">
        <v>100</v>
      </c>
      <c r="CK22" s="75" t="str">
        <f t="shared" si="42"/>
        <v/>
      </c>
      <c r="CL22" s="75">
        <v>60</v>
      </c>
      <c r="CM22" s="59" t="str">
        <f t="shared" si="43"/>
        <v/>
      </c>
      <c r="CN22" s="59">
        <v>12000</v>
      </c>
      <c r="CO22" s="76" t="str">
        <f t="shared" si="44"/>
        <v/>
      </c>
      <c r="CP22" s="53"/>
      <c r="CQ22" s="75" t="str">
        <f t="shared" si="45"/>
        <v/>
      </c>
      <c r="CR22" s="75">
        <v>440</v>
      </c>
      <c r="CS22" s="75" t="str">
        <f t="shared" si="46"/>
        <v/>
      </c>
      <c r="CT22" s="75">
        <v>100</v>
      </c>
      <c r="CU22" s="75" t="str">
        <f t="shared" si="47"/>
        <v/>
      </c>
      <c r="CV22" s="75">
        <v>60</v>
      </c>
      <c r="CW22" s="59" t="str">
        <f t="shared" si="48"/>
        <v/>
      </c>
      <c r="CX22" s="59">
        <v>12000</v>
      </c>
      <c r="CY22" s="76" t="str">
        <f t="shared" si="49"/>
        <v/>
      </c>
      <c r="CZ22" s="53"/>
      <c r="DA22" s="75" t="str" cm="1">
        <f t="array" ref="DA22">IF(TigerCurrent&gt;=$C22,"",IF(TigerDesired&gt;=$C22,CZ22,""))</f>
        <v/>
      </c>
      <c r="DB22" s="75">
        <v>440</v>
      </c>
      <c r="DC22" s="75" t="str" cm="1">
        <f t="array" ref="DC22">IF(TigerCurrent&gt;=$C22,"",IF(TigerDesired&gt;=$C22,DB22,""))</f>
        <v/>
      </c>
      <c r="DD22" s="75">
        <v>100</v>
      </c>
      <c r="DE22" s="75" t="str" cm="1">
        <f t="array" ref="DE22">IF(TigerCurrent&gt;=$C22,"",IF(TigerDesired&gt;=$C22,DD22,""))</f>
        <v/>
      </c>
      <c r="DF22" s="75">
        <v>60</v>
      </c>
      <c r="DG22" s="59" t="str" cm="1">
        <f t="array" ref="DG22">IF(TigerCurrent&gt;=$C22,"",IF(TigerDesired&gt;=$C22,DF22,""))</f>
        <v/>
      </c>
      <c r="DH22" s="59">
        <v>12000</v>
      </c>
      <c r="DI22" s="76" t="str" cm="1">
        <f t="array" ref="DI22">IF(TigerCurrent&gt;=$C22,"",IF(TigerDesired&gt;=$C22,DH22,""))</f>
        <v/>
      </c>
      <c r="DJ22" s="53"/>
      <c r="DK22" s="75" t="str">
        <f t="shared" si="50"/>
        <v/>
      </c>
      <c r="DL22" s="75">
        <v>440</v>
      </c>
      <c r="DM22" s="75" t="str">
        <f t="shared" si="51"/>
        <v/>
      </c>
      <c r="DN22" s="75">
        <v>100</v>
      </c>
      <c r="DO22" s="75" t="str">
        <f t="shared" si="52"/>
        <v/>
      </c>
      <c r="DP22" s="75">
        <v>60</v>
      </c>
      <c r="DQ22" s="59" t="str">
        <f t="shared" si="53"/>
        <v/>
      </c>
      <c r="DR22" s="59">
        <v>12000</v>
      </c>
      <c r="DS22" s="76" t="str">
        <f t="shared" si="54"/>
        <v/>
      </c>
      <c r="DT22" s="53"/>
      <c r="DU22" s="75" t="str">
        <f t="shared" si="55"/>
        <v/>
      </c>
      <c r="DV22" s="75">
        <v>440</v>
      </c>
      <c r="DW22" s="75" t="str">
        <f t="shared" si="56"/>
        <v/>
      </c>
      <c r="DX22" s="75">
        <v>100</v>
      </c>
      <c r="DY22" s="75" t="str">
        <f t="shared" si="57"/>
        <v/>
      </c>
      <c r="DZ22" s="75">
        <v>60</v>
      </c>
      <c r="EA22" s="59" t="str">
        <f t="shared" si="58"/>
        <v/>
      </c>
      <c r="EB22" s="59">
        <v>12000</v>
      </c>
      <c r="EC22" s="76" t="str">
        <f t="shared" si="59"/>
        <v/>
      </c>
      <c r="ED22" s="53"/>
      <c r="EE22" s="75" t="str">
        <f t="shared" si="60"/>
        <v/>
      </c>
      <c r="EF22" s="75">
        <v>440</v>
      </c>
      <c r="EG22" s="75" t="str">
        <f t="shared" si="61"/>
        <v/>
      </c>
      <c r="EH22" s="75">
        <v>100</v>
      </c>
      <c r="EI22" s="75" t="str">
        <f t="shared" si="62"/>
        <v/>
      </c>
      <c r="EJ22" s="75">
        <v>60</v>
      </c>
      <c r="EK22" s="59" t="str">
        <f t="shared" si="63"/>
        <v/>
      </c>
      <c r="EL22" s="59">
        <v>12000</v>
      </c>
      <c r="EM22" s="76" t="str">
        <f t="shared" si="64"/>
        <v/>
      </c>
      <c r="EN22" s="53"/>
      <c r="EO22" s="75" t="str">
        <f t="shared" si="65"/>
        <v/>
      </c>
      <c r="EP22" s="75">
        <v>440</v>
      </c>
      <c r="EQ22" s="75" t="str">
        <f t="shared" si="66"/>
        <v/>
      </c>
      <c r="ER22" s="75">
        <v>100</v>
      </c>
      <c r="ES22" s="75" t="str">
        <f t="shared" si="67"/>
        <v/>
      </c>
      <c r="ET22" s="75">
        <v>60</v>
      </c>
      <c r="EU22" s="59" t="str">
        <f t="shared" si="68"/>
        <v/>
      </c>
      <c r="EV22" s="59">
        <v>12000</v>
      </c>
      <c r="EW22" s="76" t="str">
        <f t="shared" si="69"/>
        <v/>
      </c>
    </row>
    <row r="23" spans="3:153" x14ac:dyDescent="0.3">
      <c r="C23" s="9">
        <v>90</v>
      </c>
      <c r="D23" s="53"/>
      <c r="E23" s="75" t="str">
        <f t="shared" si="0"/>
        <v/>
      </c>
      <c r="F23" s="75"/>
      <c r="G23" s="75" t="str">
        <f t="shared" si="1"/>
        <v/>
      </c>
      <c r="H23" s="75"/>
      <c r="I23" s="75" t="str">
        <f t="shared" si="2"/>
        <v/>
      </c>
      <c r="J23" s="75"/>
      <c r="K23" s="75" t="str">
        <f t="shared" si="3"/>
        <v/>
      </c>
      <c r="L23" s="75"/>
      <c r="M23" s="75" t="str">
        <f t="shared" si="4"/>
        <v/>
      </c>
      <c r="N23" s="53"/>
      <c r="O23" s="75" t="str">
        <f t="shared" si="5"/>
        <v/>
      </c>
      <c r="P23" s="75"/>
      <c r="Q23" s="75" t="str">
        <f t="shared" si="6"/>
        <v/>
      </c>
      <c r="R23" s="75"/>
      <c r="S23" s="75" t="str">
        <f t="shared" si="7"/>
        <v/>
      </c>
      <c r="T23" s="75"/>
      <c r="U23" s="75" t="str">
        <f t="shared" si="8"/>
        <v/>
      </c>
      <c r="V23" s="75"/>
      <c r="W23" s="75" t="str">
        <f t="shared" si="9"/>
        <v/>
      </c>
      <c r="X23" s="53"/>
      <c r="Y23" s="59" t="str">
        <f t="shared" si="10"/>
        <v/>
      </c>
      <c r="Z23" s="75"/>
      <c r="AA23" s="75" t="str">
        <f t="shared" si="11"/>
        <v/>
      </c>
      <c r="AB23" s="75"/>
      <c r="AC23" s="75" t="str">
        <f t="shared" si="12"/>
        <v/>
      </c>
      <c r="AD23" s="75"/>
      <c r="AE23" s="75" t="str">
        <f t="shared" si="13"/>
        <v/>
      </c>
      <c r="AF23" s="75"/>
      <c r="AG23" s="59" t="str">
        <f t="shared" si="14"/>
        <v/>
      </c>
      <c r="AH23" s="58"/>
      <c r="AI23" s="59" t="str">
        <f t="shared" si="15"/>
        <v/>
      </c>
      <c r="AJ23" s="59"/>
      <c r="AK23" s="59" t="str">
        <f t="shared" si="16"/>
        <v/>
      </c>
      <c r="AL23" s="59"/>
      <c r="AM23" s="59" t="str">
        <f t="shared" si="17"/>
        <v/>
      </c>
      <c r="AN23" s="59"/>
      <c r="AO23" s="59" t="str">
        <f t="shared" si="18"/>
        <v/>
      </c>
      <c r="AP23" s="59"/>
      <c r="AQ23" s="59" t="str">
        <f t="shared" si="19"/>
        <v/>
      </c>
      <c r="AR23" s="53"/>
      <c r="AS23" s="75" t="str">
        <f t="shared" si="20"/>
        <v/>
      </c>
      <c r="AT23" s="75"/>
      <c r="AU23" s="75" t="str">
        <f t="shared" si="21"/>
        <v/>
      </c>
      <c r="AV23" s="75"/>
      <c r="AW23" s="75" t="str">
        <f t="shared" si="22"/>
        <v/>
      </c>
      <c r="AX23" s="75"/>
      <c r="AY23" s="75" t="str">
        <f t="shared" si="23"/>
        <v/>
      </c>
      <c r="AZ23" s="75"/>
      <c r="BA23" s="75" t="str">
        <f t="shared" si="24"/>
        <v/>
      </c>
      <c r="BB23" s="53"/>
      <c r="BC23" s="75" t="str">
        <f t="shared" si="25"/>
        <v/>
      </c>
      <c r="BD23" s="75"/>
      <c r="BE23" s="75" t="str">
        <f t="shared" si="26"/>
        <v/>
      </c>
      <c r="BF23" s="75"/>
      <c r="BG23" s="75" t="str">
        <f t="shared" si="27"/>
        <v/>
      </c>
      <c r="BH23" s="75"/>
      <c r="BI23" s="75" t="str">
        <f t="shared" si="28"/>
        <v/>
      </c>
      <c r="BJ23" s="75"/>
      <c r="BK23" s="75" t="str">
        <f t="shared" si="29"/>
        <v/>
      </c>
      <c r="BL23" s="53"/>
      <c r="BM23" s="75" t="str">
        <f t="shared" si="30"/>
        <v/>
      </c>
      <c r="BN23" s="75"/>
      <c r="BO23" s="75" t="str">
        <f t="shared" si="31"/>
        <v/>
      </c>
      <c r="BP23" s="75"/>
      <c r="BQ23" s="75" t="str">
        <f t="shared" si="32"/>
        <v/>
      </c>
      <c r="BR23" s="75"/>
      <c r="BS23" s="75" t="str">
        <f t="shared" si="33"/>
        <v/>
      </c>
      <c r="BT23" s="75"/>
      <c r="BU23" s="76" t="str">
        <f t="shared" si="34"/>
        <v/>
      </c>
      <c r="BV23" s="53">
        <v>172000</v>
      </c>
      <c r="BW23" s="75" t="str">
        <f t="shared" si="35"/>
        <v/>
      </c>
      <c r="BX23" s="75"/>
      <c r="BY23" s="75" t="str">
        <f t="shared" si="36"/>
        <v/>
      </c>
      <c r="BZ23" s="75"/>
      <c r="CA23" s="75" t="str">
        <f t="shared" si="37"/>
        <v/>
      </c>
      <c r="CB23" s="75"/>
      <c r="CC23" s="59" t="str">
        <f t="shared" si="38"/>
        <v/>
      </c>
      <c r="CD23" s="59"/>
      <c r="CE23" s="76" t="str">
        <f t="shared" si="39"/>
        <v/>
      </c>
      <c r="CF23" s="53">
        <v>172000</v>
      </c>
      <c r="CG23" s="75" t="str">
        <f t="shared" si="40"/>
        <v/>
      </c>
      <c r="CH23" s="75"/>
      <c r="CI23" s="75" t="str">
        <f t="shared" si="41"/>
        <v/>
      </c>
      <c r="CJ23" s="75"/>
      <c r="CK23" s="75" t="str">
        <f t="shared" si="42"/>
        <v/>
      </c>
      <c r="CL23" s="75"/>
      <c r="CM23" s="59" t="str">
        <f t="shared" si="43"/>
        <v/>
      </c>
      <c r="CN23" s="59"/>
      <c r="CO23" s="76" t="str">
        <f t="shared" si="44"/>
        <v/>
      </c>
      <c r="CP23" s="53">
        <v>172000</v>
      </c>
      <c r="CQ23" s="75" t="str">
        <f t="shared" si="45"/>
        <v/>
      </c>
      <c r="CR23" s="75"/>
      <c r="CS23" s="75" t="str">
        <f t="shared" si="46"/>
        <v/>
      </c>
      <c r="CT23" s="75"/>
      <c r="CU23" s="75" t="str">
        <f t="shared" si="47"/>
        <v/>
      </c>
      <c r="CV23" s="75"/>
      <c r="CW23" s="59" t="str">
        <f t="shared" si="48"/>
        <v/>
      </c>
      <c r="CX23" s="59"/>
      <c r="CY23" s="76" t="str">
        <f t="shared" si="49"/>
        <v/>
      </c>
      <c r="CZ23" s="53">
        <v>172000</v>
      </c>
      <c r="DA23" s="75" t="str" cm="1">
        <f t="array" ref="DA23">IF(TigerCurrent&gt;=$C23,"",IF(TigerDesired&gt;=$C23,CZ23,""))</f>
        <v/>
      </c>
      <c r="DB23" s="75"/>
      <c r="DC23" s="75" t="str" cm="1">
        <f t="array" ref="DC23">IF(TigerCurrent&gt;=$C23,"",IF(TigerDesired&gt;=$C23,DB23,""))</f>
        <v/>
      </c>
      <c r="DD23" s="75"/>
      <c r="DE23" s="75" t="str" cm="1">
        <f t="array" ref="DE23">IF(TigerCurrent&gt;=$C23,"",IF(TigerDesired&gt;=$C23,DD23,""))</f>
        <v/>
      </c>
      <c r="DF23" s="75"/>
      <c r="DG23" s="59" t="str" cm="1">
        <f t="array" ref="DG23">IF(TigerCurrent&gt;=$C23,"",IF(TigerDesired&gt;=$C23,DF23,""))</f>
        <v/>
      </c>
      <c r="DH23" s="59"/>
      <c r="DI23" s="76" t="str" cm="1">
        <f t="array" ref="DI23">IF(TigerCurrent&gt;=$C23,"",IF(TigerDesired&gt;=$C23,DH23,""))</f>
        <v/>
      </c>
      <c r="DJ23" s="53">
        <v>172000</v>
      </c>
      <c r="DK23" s="75" t="str">
        <f t="shared" si="50"/>
        <v/>
      </c>
      <c r="DL23" s="75"/>
      <c r="DM23" s="75" t="str">
        <f t="shared" si="51"/>
        <v/>
      </c>
      <c r="DN23" s="75"/>
      <c r="DO23" s="75" t="str">
        <f t="shared" si="52"/>
        <v/>
      </c>
      <c r="DP23" s="75"/>
      <c r="DQ23" s="59" t="str">
        <f t="shared" si="53"/>
        <v/>
      </c>
      <c r="DR23" s="59"/>
      <c r="DS23" s="76" t="str">
        <f t="shared" si="54"/>
        <v/>
      </c>
      <c r="DT23" s="53">
        <v>172000</v>
      </c>
      <c r="DU23" s="75" t="str">
        <f t="shared" si="55"/>
        <v/>
      </c>
      <c r="DV23" s="75"/>
      <c r="DW23" s="75" t="str">
        <f t="shared" si="56"/>
        <v/>
      </c>
      <c r="DX23" s="75"/>
      <c r="DY23" s="75" t="str">
        <f t="shared" si="57"/>
        <v/>
      </c>
      <c r="DZ23" s="75"/>
      <c r="EA23" s="59" t="str">
        <f t="shared" si="58"/>
        <v/>
      </c>
      <c r="EB23" s="59"/>
      <c r="EC23" s="76" t="str">
        <f t="shared" si="59"/>
        <v/>
      </c>
      <c r="ED23" s="53">
        <v>172000</v>
      </c>
      <c r="EE23" s="75" t="str">
        <f t="shared" si="60"/>
        <v/>
      </c>
      <c r="EF23" s="75"/>
      <c r="EG23" s="75" t="str">
        <f t="shared" si="61"/>
        <v/>
      </c>
      <c r="EH23" s="75"/>
      <c r="EI23" s="75" t="str">
        <f t="shared" si="62"/>
        <v/>
      </c>
      <c r="EJ23" s="75"/>
      <c r="EK23" s="59" t="str">
        <f t="shared" si="63"/>
        <v/>
      </c>
      <c r="EL23" s="59"/>
      <c r="EM23" s="76" t="str">
        <f t="shared" si="64"/>
        <v/>
      </c>
      <c r="EN23" s="53">
        <v>172000</v>
      </c>
      <c r="EO23" s="75" t="str">
        <f t="shared" si="65"/>
        <v/>
      </c>
      <c r="EP23" s="75"/>
      <c r="EQ23" s="75" t="str">
        <f t="shared" si="66"/>
        <v/>
      </c>
      <c r="ER23" s="75"/>
      <c r="ES23" s="75" t="str">
        <f t="shared" si="67"/>
        <v/>
      </c>
      <c r="ET23" s="75"/>
      <c r="EU23" s="59" t="str">
        <f t="shared" si="68"/>
        <v/>
      </c>
      <c r="EV23" s="59"/>
      <c r="EW23" s="76" t="str">
        <f t="shared" si="69"/>
        <v/>
      </c>
    </row>
    <row r="24" spans="3:153" x14ac:dyDescent="0.3">
      <c r="C24" s="9">
        <v>90.1</v>
      </c>
      <c r="D24" s="53"/>
      <c r="E24" s="75" t="str">
        <f t="shared" si="0"/>
        <v/>
      </c>
      <c r="F24" s="75"/>
      <c r="G24" s="75" t="str">
        <f t="shared" si="1"/>
        <v/>
      </c>
      <c r="H24" s="75"/>
      <c r="I24" s="75" t="str">
        <f t="shared" si="2"/>
        <v/>
      </c>
      <c r="J24" s="75"/>
      <c r="K24" s="75" t="str">
        <f t="shared" si="3"/>
        <v/>
      </c>
      <c r="L24" s="75">
        <v>14500</v>
      </c>
      <c r="M24" s="75" t="str">
        <f t="shared" si="4"/>
        <v/>
      </c>
      <c r="N24" s="53"/>
      <c r="O24" s="75" t="str">
        <f t="shared" si="5"/>
        <v/>
      </c>
      <c r="P24" s="75"/>
      <c r="Q24" s="75" t="str">
        <f t="shared" si="6"/>
        <v/>
      </c>
      <c r="R24" s="75"/>
      <c r="S24" s="75" t="str">
        <f t="shared" si="7"/>
        <v/>
      </c>
      <c r="T24" s="75"/>
      <c r="U24" s="75" t="str">
        <f t="shared" si="8"/>
        <v/>
      </c>
      <c r="V24" s="75">
        <v>14500</v>
      </c>
      <c r="W24" s="75" t="str">
        <f t="shared" si="9"/>
        <v/>
      </c>
      <c r="X24" s="53"/>
      <c r="Y24" s="59" t="str">
        <f t="shared" si="10"/>
        <v/>
      </c>
      <c r="Z24" s="75"/>
      <c r="AA24" s="75" t="str">
        <f t="shared" si="11"/>
        <v/>
      </c>
      <c r="AB24" s="75"/>
      <c r="AC24" s="75" t="str">
        <f t="shared" si="12"/>
        <v/>
      </c>
      <c r="AD24" s="75"/>
      <c r="AE24" s="75" t="str">
        <f t="shared" si="13"/>
        <v/>
      </c>
      <c r="AF24" s="75">
        <v>14500</v>
      </c>
      <c r="AG24" s="59" t="str">
        <f t="shared" si="14"/>
        <v/>
      </c>
      <c r="AH24" s="58"/>
      <c r="AI24" s="59" t="str">
        <f t="shared" si="15"/>
        <v/>
      </c>
      <c r="AJ24" s="59"/>
      <c r="AK24" s="59" t="str">
        <f t="shared" si="16"/>
        <v/>
      </c>
      <c r="AL24" s="59"/>
      <c r="AM24" s="59" t="str">
        <f t="shared" si="17"/>
        <v/>
      </c>
      <c r="AN24" s="59"/>
      <c r="AO24" s="59" t="str">
        <f t="shared" si="18"/>
        <v/>
      </c>
      <c r="AP24" s="59">
        <v>14500</v>
      </c>
      <c r="AQ24" s="59" t="str">
        <f t="shared" si="19"/>
        <v/>
      </c>
      <c r="AR24" s="53"/>
      <c r="AS24" s="75" t="str">
        <f t="shared" si="20"/>
        <v/>
      </c>
      <c r="AT24" s="75"/>
      <c r="AU24" s="75" t="str">
        <f t="shared" si="21"/>
        <v/>
      </c>
      <c r="AV24" s="75"/>
      <c r="AW24" s="75" t="str">
        <f t="shared" si="22"/>
        <v/>
      </c>
      <c r="AX24" s="75"/>
      <c r="AY24" s="75" t="str">
        <f t="shared" si="23"/>
        <v/>
      </c>
      <c r="AZ24" s="75">
        <v>14500</v>
      </c>
      <c r="BA24" s="75" t="str">
        <f t="shared" si="24"/>
        <v/>
      </c>
      <c r="BB24" s="53"/>
      <c r="BC24" s="75" t="str">
        <f t="shared" si="25"/>
        <v/>
      </c>
      <c r="BD24" s="75"/>
      <c r="BE24" s="75" t="str">
        <f t="shared" si="26"/>
        <v/>
      </c>
      <c r="BF24" s="75"/>
      <c r="BG24" s="75" t="str">
        <f t="shared" si="27"/>
        <v/>
      </c>
      <c r="BH24" s="75"/>
      <c r="BI24" s="75" t="str">
        <f t="shared" si="28"/>
        <v/>
      </c>
      <c r="BJ24" s="75">
        <v>14500</v>
      </c>
      <c r="BK24" s="75" t="str">
        <f t="shared" si="29"/>
        <v/>
      </c>
      <c r="BL24" s="53"/>
      <c r="BM24" s="75" t="str">
        <f t="shared" si="30"/>
        <v/>
      </c>
      <c r="BN24" s="75"/>
      <c r="BO24" s="75" t="str">
        <f t="shared" si="31"/>
        <v/>
      </c>
      <c r="BP24" s="75"/>
      <c r="BQ24" s="75" t="str">
        <f t="shared" si="32"/>
        <v/>
      </c>
      <c r="BR24" s="75"/>
      <c r="BS24" s="75" t="str">
        <f t="shared" si="33"/>
        <v/>
      </c>
      <c r="BT24" s="75">
        <v>14500</v>
      </c>
      <c r="BU24" s="76" t="str">
        <f t="shared" si="34"/>
        <v/>
      </c>
      <c r="BV24" s="53"/>
      <c r="BW24" s="75" t="str">
        <f t="shared" si="35"/>
        <v/>
      </c>
      <c r="BX24" s="75">
        <v>585</v>
      </c>
      <c r="BY24" s="75" t="str">
        <f t="shared" si="36"/>
        <v/>
      </c>
      <c r="BZ24" s="75">
        <v>115</v>
      </c>
      <c r="CA24" s="75" t="str">
        <f t="shared" si="37"/>
        <v/>
      </c>
      <c r="CB24" s="75">
        <v>80</v>
      </c>
      <c r="CC24" s="59" t="str">
        <f t="shared" si="38"/>
        <v/>
      </c>
      <c r="CD24" s="59">
        <v>14500</v>
      </c>
      <c r="CE24" s="76" t="str">
        <f t="shared" si="39"/>
        <v/>
      </c>
      <c r="CF24" s="53"/>
      <c r="CG24" s="75" t="str">
        <f t="shared" si="40"/>
        <v/>
      </c>
      <c r="CH24" s="75">
        <v>585</v>
      </c>
      <c r="CI24" s="75" t="str">
        <f t="shared" si="41"/>
        <v/>
      </c>
      <c r="CJ24" s="75">
        <v>115</v>
      </c>
      <c r="CK24" s="75" t="str">
        <f t="shared" si="42"/>
        <v/>
      </c>
      <c r="CL24" s="75">
        <v>80</v>
      </c>
      <c r="CM24" s="59" t="str">
        <f t="shared" si="43"/>
        <v/>
      </c>
      <c r="CN24" s="59">
        <v>14500</v>
      </c>
      <c r="CO24" s="76" t="str">
        <f t="shared" si="44"/>
        <v/>
      </c>
      <c r="CP24" s="53"/>
      <c r="CQ24" s="75" t="str">
        <f t="shared" si="45"/>
        <v/>
      </c>
      <c r="CR24" s="75">
        <v>585</v>
      </c>
      <c r="CS24" s="75" t="str">
        <f t="shared" si="46"/>
        <v/>
      </c>
      <c r="CT24" s="75">
        <v>115</v>
      </c>
      <c r="CU24" s="75" t="str">
        <f t="shared" si="47"/>
        <v/>
      </c>
      <c r="CV24" s="75">
        <v>80</v>
      </c>
      <c r="CW24" s="59" t="str">
        <f t="shared" si="48"/>
        <v/>
      </c>
      <c r="CX24" s="59">
        <v>14500</v>
      </c>
      <c r="CY24" s="76" t="str">
        <f t="shared" si="49"/>
        <v/>
      </c>
      <c r="CZ24" s="53"/>
      <c r="DA24" s="75" t="str" cm="1">
        <f t="array" ref="DA24">IF(TigerCurrent&gt;=$C24,"",IF(TigerDesired&gt;=$C24,CZ24,""))</f>
        <v/>
      </c>
      <c r="DB24" s="75">
        <v>585</v>
      </c>
      <c r="DC24" s="75" t="str" cm="1">
        <f t="array" ref="DC24">IF(TigerCurrent&gt;=$C24,"",IF(TigerDesired&gt;=$C24,DB24,""))</f>
        <v/>
      </c>
      <c r="DD24" s="75">
        <v>115</v>
      </c>
      <c r="DE24" s="75" t="str" cm="1">
        <f t="array" ref="DE24">IF(TigerCurrent&gt;=$C24,"",IF(TigerDesired&gt;=$C24,DD24,""))</f>
        <v/>
      </c>
      <c r="DF24" s="75">
        <v>80</v>
      </c>
      <c r="DG24" s="59" t="str" cm="1">
        <f t="array" ref="DG24">IF(TigerCurrent&gt;=$C24,"",IF(TigerDesired&gt;=$C24,DF24,""))</f>
        <v/>
      </c>
      <c r="DH24" s="59">
        <v>14500</v>
      </c>
      <c r="DI24" s="76" t="str" cm="1">
        <f t="array" ref="DI24">IF(TigerCurrent&gt;=$C24,"",IF(TigerDesired&gt;=$C24,DH24,""))</f>
        <v/>
      </c>
      <c r="DJ24" s="53"/>
      <c r="DK24" s="75" t="str">
        <f t="shared" si="50"/>
        <v/>
      </c>
      <c r="DL24" s="75">
        <v>585</v>
      </c>
      <c r="DM24" s="75" t="str">
        <f t="shared" si="51"/>
        <v/>
      </c>
      <c r="DN24" s="75">
        <v>115</v>
      </c>
      <c r="DO24" s="75" t="str">
        <f t="shared" si="52"/>
        <v/>
      </c>
      <c r="DP24" s="75">
        <v>80</v>
      </c>
      <c r="DQ24" s="59" t="str">
        <f t="shared" si="53"/>
        <v/>
      </c>
      <c r="DR24" s="59">
        <v>14500</v>
      </c>
      <c r="DS24" s="76" t="str">
        <f t="shared" si="54"/>
        <v/>
      </c>
      <c r="DT24" s="53"/>
      <c r="DU24" s="75" t="str">
        <f t="shared" si="55"/>
        <v/>
      </c>
      <c r="DV24" s="75">
        <v>585</v>
      </c>
      <c r="DW24" s="75" t="str">
        <f t="shared" si="56"/>
        <v/>
      </c>
      <c r="DX24" s="75">
        <v>115</v>
      </c>
      <c r="DY24" s="75" t="str">
        <f t="shared" si="57"/>
        <v/>
      </c>
      <c r="DZ24" s="75">
        <v>80</v>
      </c>
      <c r="EA24" s="59" t="str">
        <f t="shared" si="58"/>
        <v/>
      </c>
      <c r="EB24" s="59">
        <v>14500</v>
      </c>
      <c r="EC24" s="76" t="str">
        <f t="shared" si="59"/>
        <v/>
      </c>
      <c r="ED24" s="53"/>
      <c r="EE24" s="75" t="str">
        <f t="shared" si="60"/>
        <v/>
      </c>
      <c r="EF24" s="75">
        <v>585</v>
      </c>
      <c r="EG24" s="75" t="str">
        <f t="shared" si="61"/>
        <v/>
      </c>
      <c r="EH24" s="75">
        <v>115</v>
      </c>
      <c r="EI24" s="75" t="str">
        <f t="shared" si="62"/>
        <v/>
      </c>
      <c r="EJ24" s="75">
        <v>80</v>
      </c>
      <c r="EK24" s="59" t="str">
        <f t="shared" si="63"/>
        <v/>
      </c>
      <c r="EL24" s="59">
        <v>14500</v>
      </c>
      <c r="EM24" s="76" t="str">
        <f t="shared" si="64"/>
        <v/>
      </c>
      <c r="EN24" s="53"/>
      <c r="EO24" s="75" t="str">
        <f t="shared" si="65"/>
        <v/>
      </c>
      <c r="EP24" s="75">
        <v>585</v>
      </c>
      <c r="EQ24" s="75" t="str">
        <f t="shared" si="66"/>
        <v/>
      </c>
      <c r="ER24" s="75">
        <v>115</v>
      </c>
      <c r="ES24" s="75" t="str">
        <f t="shared" si="67"/>
        <v/>
      </c>
      <c r="ET24" s="75">
        <v>80</v>
      </c>
      <c r="EU24" s="59" t="str">
        <f t="shared" si="68"/>
        <v/>
      </c>
      <c r="EV24" s="59">
        <v>14500</v>
      </c>
      <c r="EW24" s="76" t="str">
        <f t="shared" si="69"/>
        <v/>
      </c>
    </row>
    <row r="25" spans="3:153" x14ac:dyDescent="0.3">
      <c r="C25" s="9">
        <v>100</v>
      </c>
      <c r="D25" s="53"/>
      <c r="E25" s="75" t="str">
        <f t="shared" si="0"/>
        <v/>
      </c>
      <c r="F25" s="75"/>
      <c r="G25" s="75" t="str">
        <f t="shared" si="1"/>
        <v/>
      </c>
      <c r="H25" s="75"/>
      <c r="I25" s="75" t="str">
        <f t="shared" si="2"/>
        <v/>
      </c>
      <c r="J25" s="75"/>
      <c r="K25" s="75" t="str">
        <f t="shared" si="3"/>
        <v/>
      </c>
      <c r="L25" s="75"/>
      <c r="M25" s="75" t="str">
        <f t="shared" si="4"/>
        <v/>
      </c>
      <c r="N25" s="53"/>
      <c r="O25" s="75" t="str">
        <f t="shared" si="5"/>
        <v/>
      </c>
      <c r="P25" s="75"/>
      <c r="Q25" s="75" t="str">
        <f t="shared" si="6"/>
        <v/>
      </c>
      <c r="R25" s="75"/>
      <c r="S25" s="75" t="str">
        <f t="shared" si="7"/>
        <v/>
      </c>
      <c r="T25" s="75"/>
      <c r="U25" s="75" t="str">
        <f t="shared" si="8"/>
        <v/>
      </c>
      <c r="V25" s="75"/>
      <c r="W25" s="75" t="str">
        <f t="shared" si="9"/>
        <v/>
      </c>
      <c r="X25" s="53"/>
      <c r="Y25" s="59" t="str">
        <f t="shared" si="10"/>
        <v/>
      </c>
      <c r="Z25" s="75"/>
      <c r="AA25" s="75" t="str">
        <f t="shared" si="11"/>
        <v/>
      </c>
      <c r="AB25" s="75"/>
      <c r="AC25" s="75" t="str">
        <f t="shared" si="12"/>
        <v/>
      </c>
      <c r="AD25" s="75"/>
      <c r="AE25" s="75" t="str">
        <f t="shared" si="13"/>
        <v/>
      </c>
      <c r="AF25" s="75"/>
      <c r="AG25" s="59" t="str">
        <f t="shared" si="14"/>
        <v/>
      </c>
      <c r="AH25" s="58"/>
      <c r="AI25" s="59" t="str">
        <f t="shared" si="15"/>
        <v/>
      </c>
      <c r="AJ25" s="59"/>
      <c r="AK25" s="59" t="str">
        <f t="shared" si="16"/>
        <v/>
      </c>
      <c r="AL25" s="59"/>
      <c r="AM25" s="59" t="str">
        <f t="shared" si="17"/>
        <v/>
      </c>
      <c r="AN25" s="59"/>
      <c r="AO25" s="59" t="str">
        <f t="shared" si="18"/>
        <v/>
      </c>
      <c r="AP25" s="59"/>
      <c r="AQ25" s="59" t="str">
        <f t="shared" si="19"/>
        <v/>
      </c>
      <c r="AR25" s="53"/>
      <c r="AS25" s="75" t="str">
        <f t="shared" si="20"/>
        <v/>
      </c>
      <c r="AT25" s="75"/>
      <c r="AU25" s="75" t="str">
        <f t="shared" si="21"/>
        <v/>
      </c>
      <c r="AV25" s="75"/>
      <c r="AW25" s="75" t="str">
        <f t="shared" si="22"/>
        <v/>
      </c>
      <c r="AX25" s="75"/>
      <c r="AY25" s="75" t="str">
        <f t="shared" si="23"/>
        <v/>
      </c>
      <c r="AZ25" s="75"/>
      <c r="BA25" s="75" t="str">
        <f t="shared" si="24"/>
        <v/>
      </c>
      <c r="BB25" s="53"/>
      <c r="BC25" s="75" t="str">
        <f t="shared" si="25"/>
        <v/>
      </c>
      <c r="BD25" s="75"/>
      <c r="BE25" s="75" t="str">
        <f t="shared" si="26"/>
        <v/>
      </c>
      <c r="BF25" s="75"/>
      <c r="BG25" s="75" t="str">
        <f t="shared" si="27"/>
        <v/>
      </c>
      <c r="BH25" s="75"/>
      <c r="BI25" s="75" t="str">
        <f t="shared" si="28"/>
        <v/>
      </c>
      <c r="BJ25" s="75"/>
      <c r="BK25" s="75" t="str">
        <f t="shared" si="29"/>
        <v/>
      </c>
      <c r="BL25" s="53"/>
      <c r="BM25" s="75" t="str">
        <f t="shared" si="30"/>
        <v/>
      </c>
      <c r="BN25" s="75"/>
      <c r="BO25" s="75" t="str">
        <f t="shared" si="31"/>
        <v/>
      </c>
      <c r="BP25" s="75"/>
      <c r="BQ25" s="75" t="str">
        <f t="shared" si="32"/>
        <v/>
      </c>
      <c r="BR25" s="75"/>
      <c r="BS25" s="75" t="str">
        <f t="shared" si="33"/>
        <v/>
      </c>
      <c r="BT25" s="75"/>
      <c r="BU25" s="76" t="str">
        <f t="shared" si="34"/>
        <v/>
      </c>
      <c r="BV25" s="53">
        <v>212100</v>
      </c>
      <c r="BW25" s="75" t="str">
        <f t="shared" si="35"/>
        <v/>
      </c>
      <c r="BX25" s="75"/>
      <c r="BY25" s="75" t="str">
        <f t="shared" si="36"/>
        <v/>
      </c>
      <c r="BZ25" s="75"/>
      <c r="CA25" s="75" t="str">
        <f t="shared" si="37"/>
        <v/>
      </c>
      <c r="CB25" s="75"/>
      <c r="CC25" s="59" t="str">
        <f t="shared" si="38"/>
        <v/>
      </c>
      <c r="CD25" s="59"/>
      <c r="CE25" s="76" t="str">
        <f t="shared" si="39"/>
        <v/>
      </c>
      <c r="CF25" s="53">
        <v>212100</v>
      </c>
      <c r="CG25" s="75" t="str">
        <f t="shared" si="40"/>
        <v/>
      </c>
      <c r="CH25" s="75"/>
      <c r="CI25" s="75" t="str">
        <f t="shared" si="41"/>
        <v/>
      </c>
      <c r="CJ25" s="75"/>
      <c r="CK25" s="75" t="str">
        <f t="shared" si="42"/>
        <v/>
      </c>
      <c r="CL25" s="75"/>
      <c r="CM25" s="59" t="str">
        <f t="shared" si="43"/>
        <v/>
      </c>
      <c r="CN25" s="59"/>
      <c r="CO25" s="76" t="str">
        <f t="shared" si="44"/>
        <v/>
      </c>
      <c r="CP25" s="53">
        <v>212100</v>
      </c>
      <c r="CQ25" s="75" t="str">
        <f t="shared" si="45"/>
        <v/>
      </c>
      <c r="CR25" s="75"/>
      <c r="CS25" s="75" t="str">
        <f t="shared" si="46"/>
        <v/>
      </c>
      <c r="CT25" s="75"/>
      <c r="CU25" s="75" t="str">
        <f t="shared" si="47"/>
        <v/>
      </c>
      <c r="CV25" s="75"/>
      <c r="CW25" s="59" t="str">
        <f t="shared" si="48"/>
        <v/>
      </c>
      <c r="CX25" s="59"/>
      <c r="CY25" s="76" t="str">
        <f t="shared" si="49"/>
        <v/>
      </c>
      <c r="CZ25" s="53">
        <v>212100</v>
      </c>
      <c r="DA25" s="75" t="str" cm="1">
        <f t="array" ref="DA25">IF(TigerCurrent&gt;=$C25,"",IF(TigerDesired&gt;=$C25,CZ25,""))</f>
        <v/>
      </c>
      <c r="DB25" s="75"/>
      <c r="DC25" s="75" t="str" cm="1">
        <f t="array" ref="DC25">IF(TigerCurrent&gt;=$C25,"",IF(TigerDesired&gt;=$C25,DB25,""))</f>
        <v/>
      </c>
      <c r="DD25" s="75"/>
      <c r="DE25" s="75" t="str" cm="1">
        <f t="array" ref="DE25">IF(TigerCurrent&gt;=$C25,"",IF(TigerDesired&gt;=$C25,DD25,""))</f>
        <v/>
      </c>
      <c r="DF25" s="75"/>
      <c r="DG25" s="59" t="str" cm="1">
        <f t="array" ref="DG25">IF(TigerCurrent&gt;=$C25,"",IF(TigerDesired&gt;=$C25,DF25,""))</f>
        <v/>
      </c>
      <c r="DH25" s="59"/>
      <c r="DI25" s="76" t="str" cm="1">
        <f t="array" ref="DI25">IF(TigerCurrent&gt;=$C25,"",IF(TigerDesired&gt;=$C25,DH25,""))</f>
        <v/>
      </c>
      <c r="DJ25" s="53">
        <v>212100</v>
      </c>
      <c r="DK25" s="75" t="str">
        <f t="shared" si="50"/>
        <v/>
      </c>
      <c r="DL25" s="75"/>
      <c r="DM25" s="75" t="str">
        <f t="shared" si="51"/>
        <v/>
      </c>
      <c r="DN25" s="75"/>
      <c r="DO25" s="75" t="str">
        <f t="shared" si="52"/>
        <v/>
      </c>
      <c r="DP25" s="75"/>
      <c r="DQ25" s="59" t="str">
        <f t="shared" si="53"/>
        <v/>
      </c>
      <c r="DR25" s="59"/>
      <c r="DS25" s="76" t="str">
        <f t="shared" si="54"/>
        <v/>
      </c>
      <c r="DT25" s="53">
        <v>212100</v>
      </c>
      <c r="DU25" s="75" t="str">
        <f t="shared" si="55"/>
        <v/>
      </c>
      <c r="DV25" s="75"/>
      <c r="DW25" s="75" t="str">
        <f t="shared" si="56"/>
        <v/>
      </c>
      <c r="DX25" s="75"/>
      <c r="DY25" s="75" t="str">
        <f t="shared" si="57"/>
        <v/>
      </c>
      <c r="DZ25" s="75"/>
      <c r="EA25" s="59" t="str">
        <f t="shared" si="58"/>
        <v/>
      </c>
      <c r="EB25" s="59"/>
      <c r="EC25" s="76" t="str">
        <f t="shared" si="59"/>
        <v/>
      </c>
      <c r="ED25" s="53">
        <v>212100</v>
      </c>
      <c r="EE25" s="75" t="str">
        <f t="shared" si="60"/>
        <v/>
      </c>
      <c r="EF25" s="75"/>
      <c r="EG25" s="75" t="str">
        <f t="shared" si="61"/>
        <v/>
      </c>
      <c r="EH25" s="75"/>
      <c r="EI25" s="75" t="str">
        <f t="shared" si="62"/>
        <v/>
      </c>
      <c r="EJ25" s="75"/>
      <c r="EK25" s="59" t="str">
        <f t="shared" si="63"/>
        <v/>
      </c>
      <c r="EL25" s="59"/>
      <c r="EM25" s="76" t="str">
        <f t="shared" si="64"/>
        <v/>
      </c>
      <c r="EN25" s="53">
        <v>212100</v>
      </c>
      <c r="EO25" s="75" t="str">
        <f t="shared" si="65"/>
        <v/>
      </c>
      <c r="EP25" s="75"/>
      <c r="EQ25" s="75" t="str">
        <f t="shared" si="66"/>
        <v/>
      </c>
      <c r="ER25" s="75"/>
      <c r="ES25" s="75" t="str">
        <f t="shared" si="67"/>
        <v/>
      </c>
      <c r="ET25" s="75"/>
      <c r="EU25" s="59" t="str">
        <f t="shared" si="68"/>
        <v/>
      </c>
      <c r="EV25" s="59"/>
      <c r="EW25" s="76" t="str">
        <f t="shared" si="69"/>
        <v/>
      </c>
    </row>
    <row r="26" spans="3:153" x14ac:dyDescent="0.3">
      <c r="C26" s="9">
        <v>100.1</v>
      </c>
      <c r="D26" s="54"/>
      <c r="E26" s="78" t="str">
        <f t="shared" si="0"/>
        <v/>
      </c>
      <c r="F26" s="78"/>
      <c r="G26" s="78" t="str">
        <f t="shared" si="1"/>
        <v/>
      </c>
      <c r="H26" s="78"/>
      <c r="I26" s="78" t="str">
        <f t="shared" si="2"/>
        <v/>
      </c>
      <c r="J26" s="78"/>
      <c r="K26" s="78" t="str">
        <f t="shared" si="3"/>
        <v/>
      </c>
      <c r="L26" s="78">
        <v>17500</v>
      </c>
      <c r="M26" s="78" t="str">
        <f t="shared" si="4"/>
        <v/>
      </c>
      <c r="N26" s="54"/>
      <c r="O26" s="78" t="str">
        <f t="shared" si="5"/>
        <v/>
      </c>
      <c r="P26" s="78"/>
      <c r="Q26" s="78" t="str">
        <f t="shared" si="6"/>
        <v/>
      </c>
      <c r="R26" s="78"/>
      <c r="S26" s="78" t="str">
        <f t="shared" si="7"/>
        <v/>
      </c>
      <c r="T26" s="78"/>
      <c r="U26" s="78" t="str">
        <f t="shared" si="8"/>
        <v/>
      </c>
      <c r="V26" s="78">
        <v>17500</v>
      </c>
      <c r="W26" s="78" t="str">
        <f t="shared" si="9"/>
        <v/>
      </c>
      <c r="X26" s="54"/>
      <c r="Y26" s="61" t="str">
        <f t="shared" si="10"/>
        <v/>
      </c>
      <c r="Z26" s="78"/>
      <c r="AA26" s="78" t="str">
        <f t="shared" si="11"/>
        <v/>
      </c>
      <c r="AB26" s="78"/>
      <c r="AC26" s="78" t="str">
        <f t="shared" si="12"/>
        <v/>
      </c>
      <c r="AD26" s="78"/>
      <c r="AE26" s="78" t="str">
        <f t="shared" si="13"/>
        <v/>
      </c>
      <c r="AF26" s="78">
        <v>17500</v>
      </c>
      <c r="AG26" s="61" t="str">
        <f t="shared" si="14"/>
        <v/>
      </c>
      <c r="AH26" s="60"/>
      <c r="AI26" s="61" t="str">
        <f t="shared" si="15"/>
        <v/>
      </c>
      <c r="AJ26" s="61"/>
      <c r="AK26" s="61" t="str">
        <f t="shared" si="16"/>
        <v/>
      </c>
      <c r="AL26" s="61"/>
      <c r="AM26" s="61" t="str">
        <f t="shared" si="17"/>
        <v/>
      </c>
      <c r="AN26" s="61"/>
      <c r="AO26" s="61" t="str">
        <f t="shared" si="18"/>
        <v/>
      </c>
      <c r="AP26" s="61">
        <v>17500</v>
      </c>
      <c r="AQ26" s="61" t="str">
        <f t="shared" si="19"/>
        <v/>
      </c>
      <c r="AR26" s="54"/>
      <c r="AS26" s="78" t="str">
        <f t="shared" si="20"/>
        <v/>
      </c>
      <c r="AT26" s="78"/>
      <c r="AU26" s="78" t="str">
        <f t="shared" si="21"/>
        <v/>
      </c>
      <c r="AV26" s="78"/>
      <c r="AW26" s="78" t="str">
        <f t="shared" si="22"/>
        <v/>
      </c>
      <c r="AX26" s="78"/>
      <c r="AY26" s="78" t="str">
        <f t="shared" si="23"/>
        <v/>
      </c>
      <c r="AZ26" s="78">
        <v>17500</v>
      </c>
      <c r="BA26" s="78" t="str">
        <f t="shared" si="24"/>
        <v/>
      </c>
      <c r="BB26" s="54"/>
      <c r="BC26" s="78" t="str">
        <f t="shared" si="25"/>
        <v/>
      </c>
      <c r="BD26" s="78"/>
      <c r="BE26" s="78" t="str">
        <f t="shared" si="26"/>
        <v/>
      </c>
      <c r="BF26" s="78"/>
      <c r="BG26" s="78" t="str">
        <f t="shared" si="27"/>
        <v/>
      </c>
      <c r="BH26" s="78"/>
      <c r="BI26" s="78" t="str">
        <f t="shared" si="28"/>
        <v/>
      </c>
      <c r="BJ26" s="78">
        <v>17500</v>
      </c>
      <c r="BK26" s="78" t="str">
        <f t="shared" si="29"/>
        <v/>
      </c>
      <c r="BL26" s="54"/>
      <c r="BM26" s="78" t="str">
        <f t="shared" si="30"/>
        <v/>
      </c>
      <c r="BN26" s="78"/>
      <c r="BO26" s="78" t="str">
        <f t="shared" si="31"/>
        <v/>
      </c>
      <c r="BP26" s="78"/>
      <c r="BQ26" s="78" t="str">
        <f t="shared" si="32"/>
        <v/>
      </c>
      <c r="BR26" s="78"/>
      <c r="BS26" s="78" t="str">
        <f t="shared" si="33"/>
        <v/>
      </c>
      <c r="BT26" s="78">
        <v>17500</v>
      </c>
      <c r="BU26" s="77" t="str">
        <f t="shared" si="34"/>
        <v/>
      </c>
      <c r="BV26" s="54"/>
      <c r="BW26" s="78" t="str">
        <f t="shared" si="35"/>
        <v/>
      </c>
      <c r="BX26" s="78">
        <v>730</v>
      </c>
      <c r="BY26" s="78" t="str">
        <f t="shared" si="36"/>
        <v/>
      </c>
      <c r="BZ26" s="78">
        <v>135</v>
      </c>
      <c r="CA26" s="78" t="str">
        <f t="shared" si="37"/>
        <v/>
      </c>
      <c r="CB26" s="78">
        <v>100</v>
      </c>
      <c r="CC26" s="61" t="str">
        <f t="shared" si="38"/>
        <v/>
      </c>
      <c r="CD26" s="61">
        <v>17500</v>
      </c>
      <c r="CE26" s="77" t="str">
        <f t="shared" si="39"/>
        <v/>
      </c>
      <c r="CF26" s="54"/>
      <c r="CG26" s="78" t="str">
        <f t="shared" si="40"/>
        <v/>
      </c>
      <c r="CH26" s="78">
        <v>730</v>
      </c>
      <c r="CI26" s="78" t="str">
        <f t="shared" si="41"/>
        <v/>
      </c>
      <c r="CJ26" s="78">
        <v>135</v>
      </c>
      <c r="CK26" s="78" t="str">
        <f t="shared" si="42"/>
        <v/>
      </c>
      <c r="CL26" s="78">
        <v>100</v>
      </c>
      <c r="CM26" s="61" t="str">
        <f t="shared" si="43"/>
        <v/>
      </c>
      <c r="CN26" s="61">
        <v>17500</v>
      </c>
      <c r="CO26" s="77" t="str">
        <f t="shared" si="44"/>
        <v/>
      </c>
      <c r="CP26" s="54"/>
      <c r="CQ26" s="78" t="str">
        <f t="shared" si="45"/>
        <v/>
      </c>
      <c r="CR26" s="78">
        <v>730</v>
      </c>
      <c r="CS26" s="78" t="str">
        <f t="shared" si="46"/>
        <v/>
      </c>
      <c r="CT26" s="78">
        <v>135</v>
      </c>
      <c r="CU26" s="78" t="str">
        <f t="shared" si="47"/>
        <v/>
      </c>
      <c r="CV26" s="78">
        <v>100</v>
      </c>
      <c r="CW26" s="61" t="str">
        <f t="shared" si="48"/>
        <v/>
      </c>
      <c r="CX26" s="61">
        <v>17500</v>
      </c>
      <c r="CY26" s="77" t="str">
        <f t="shared" si="49"/>
        <v/>
      </c>
      <c r="CZ26" s="54"/>
      <c r="DA26" s="78" t="str" cm="1">
        <f t="array" ref="DA26">IF(TigerCurrent&gt;=$C26,"",IF(TigerDesired&gt;=$C26,CZ26,""))</f>
        <v/>
      </c>
      <c r="DB26" s="78">
        <v>730</v>
      </c>
      <c r="DC26" s="78" t="str" cm="1">
        <f t="array" ref="DC26">IF(TigerCurrent&gt;=$C26,"",IF(TigerDesired&gt;=$C26,DB26,""))</f>
        <v/>
      </c>
      <c r="DD26" s="78">
        <v>135</v>
      </c>
      <c r="DE26" s="78" t="str" cm="1">
        <f t="array" ref="DE26">IF(TigerCurrent&gt;=$C26,"",IF(TigerDesired&gt;=$C26,DD26,""))</f>
        <v/>
      </c>
      <c r="DF26" s="78">
        <v>100</v>
      </c>
      <c r="DG26" s="61" t="str" cm="1">
        <f t="array" ref="DG26">IF(TigerCurrent&gt;=$C26,"",IF(TigerDesired&gt;=$C26,DF26,""))</f>
        <v/>
      </c>
      <c r="DH26" s="61">
        <v>17500</v>
      </c>
      <c r="DI26" s="77" t="str" cm="1">
        <f t="array" ref="DI26">IF(TigerCurrent&gt;=$C26,"",IF(TigerDesired&gt;=$C26,DH26,""))</f>
        <v/>
      </c>
      <c r="DJ26" s="54"/>
      <c r="DK26" s="78" t="str">
        <f t="shared" si="50"/>
        <v/>
      </c>
      <c r="DL26" s="78">
        <v>730</v>
      </c>
      <c r="DM26" s="78" t="str">
        <f t="shared" si="51"/>
        <v/>
      </c>
      <c r="DN26" s="78">
        <v>135</v>
      </c>
      <c r="DO26" s="78" t="str">
        <f t="shared" si="52"/>
        <v/>
      </c>
      <c r="DP26" s="78">
        <v>100</v>
      </c>
      <c r="DQ26" s="61" t="str">
        <f t="shared" si="53"/>
        <v/>
      </c>
      <c r="DR26" s="61">
        <v>17500</v>
      </c>
      <c r="DS26" s="77" t="str">
        <f t="shared" si="54"/>
        <v/>
      </c>
      <c r="DT26" s="54"/>
      <c r="DU26" s="78" t="str">
        <f t="shared" si="55"/>
        <v/>
      </c>
      <c r="DV26" s="78">
        <v>730</v>
      </c>
      <c r="DW26" s="78" t="str">
        <f t="shared" si="56"/>
        <v/>
      </c>
      <c r="DX26" s="78">
        <v>135</v>
      </c>
      <c r="DY26" s="78" t="str">
        <f t="shared" si="57"/>
        <v/>
      </c>
      <c r="DZ26" s="78">
        <v>100</v>
      </c>
      <c r="EA26" s="61" t="str">
        <f t="shared" si="58"/>
        <v/>
      </c>
      <c r="EB26" s="61">
        <v>17500</v>
      </c>
      <c r="EC26" s="77" t="str">
        <f t="shared" si="59"/>
        <v/>
      </c>
      <c r="ED26" s="54"/>
      <c r="EE26" s="78" t="str">
        <f t="shared" si="60"/>
        <v/>
      </c>
      <c r="EF26" s="78">
        <v>730</v>
      </c>
      <c r="EG26" s="78" t="str">
        <f t="shared" si="61"/>
        <v/>
      </c>
      <c r="EH26" s="78">
        <v>135</v>
      </c>
      <c r="EI26" s="78" t="str">
        <f t="shared" si="62"/>
        <v/>
      </c>
      <c r="EJ26" s="78">
        <v>100</v>
      </c>
      <c r="EK26" s="61" t="str">
        <f t="shared" si="63"/>
        <v/>
      </c>
      <c r="EL26" s="61">
        <v>17500</v>
      </c>
      <c r="EM26" s="77" t="str">
        <f t="shared" si="64"/>
        <v/>
      </c>
      <c r="EN26" s="54"/>
      <c r="EO26" s="78" t="str">
        <f t="shared" si="65"/>
        <v/>
      </c>
      <c r="EP26" s="78">
        <v>730</v>
      </c>
      <c r="EQ26" s="78" t="str">
        <f t="shared" si="66"/>
        <v/>
      </c>
      <c r="ER26" s="78">
        <v>135</v>
      </c>
      <c r="ES26" s="78" t="str">
        <f t="shared" si="67"/>
        <v/>
      </c>
      <c r="ET26" s="78">
        <v>100</v>
      </c>
      <c r="EU26" s="61" t="str">
        <f t="shared" si="68"/>
        <v/>
      </c>
      <c r="EV26" s="61">
        <v>17500</v>
      </c>
      <c r="EW26" s="77" t="str">
        <f t="shared" si="69"/>
        <v/>
      </c>
    </row>
    <row r="27" spans="3:153" x14ac:dyDescent="0.3">
      <c r="C27" s="1"/>
      <c r="D27" s="1"/>
      <c r="E27" s="6">
        <f>SUM(E7:E26)</f>
        <v>0</v>
      </c>
      <c r="F27" s="1"/>
      <c r="G27" s="6">
        <f>SUM(G7:G26)</f>
        <v>0</v>
      </c>
      <c r="H27" s="6"/>
      <c r="I27" s="6">
        <f>SUM(I7:I26)</f>
        <v>0</v>
      </c>
      <c r="J27" s="1"/>
      <c r="K27" s="6">
        <f>SUM(K7:K26)</f>
        <v>0</v>
      </c>
      <c r="L27" s="6"/>
      <c r="M27" s="6">
        <f>SUM(M7:M26)</f>
        <v>0</v>
      </c>
      <c r="N27" s="1"/>
      <c r="O27" s="6">
        <f>SUM(O7:O26)</f>
        <v>0</v>
      </c>
      <c r="P27" s="1"/>
      <c r="Q27" s="6">
        <f>SUM(Q7:Q26)</f>
        <v>0</v>
      </c>
      <c r="R27" s="1"/>
      <c r="S27" s="6">
        <f>SUM(S7:S26)</f>
        <v>0</v>
      </c>
      <c r="T27" s="1"/>
      <c r="U27" s="6">
        <f>SUM(U7:U26)</f>
        <v>0</v>
      </c>
      <c r="V27" s="6"/>
      <c r="W27" s="6">
        <f>SUM(W7:W26)</f>
        <v>0</v>
      </c>
      <c r="X27" s="1"/>
      <c r="Y27" s="6">
        <f>SUM(Y7:Y26)</f>
        <v>0</v>
      </c>
      <c r="Z27" s="1"/>
      <c r="AA27" s="6">
        <f>SUM(AA7:AA26)</f>
        <v>0</v>
      </c>
      <c r="AB27" s="1"/>
      <c r="AC27" s="6">
        <f>SUM(AC7:AC26)</f>
        <v>0</v>
      </c>
      <c r="AD27" s="1"/>
      <c r="AE27" s="6">
        <f>SUM(AE7:AE26)</f>
        <v>0</v>
      </c>
      <c r="AF27" s="6"/>
      <c r="AG27" s="6">
        <f>SUM(AG7:AG26)</f>
        <v>0</v>
      </c>
      <c r="AH27" s="1"/>
      <c r="AI27" s="6">
        <f>SUM(AI7:AI26)</f>
        <v>0</v>
      </c>
      <c r="AJ27" s="1"/>
      <c r="AK27" s="6">
        <f>SUM(AK7:AK26)</f>
        <v>0</v>
      </c>
      <c r="AL27" s="1"/>
      <c r="AM27" s="6">
        <f>SUM(AM7:AM26)</f>
        <v>0</v>
      </c>
      <c r="AN27" s="1"/>
      <c r="AO27" s="6">
        <f>SUM(AO7:AO26)</f>
        <v>0</v>
      </c>
      <c r="AP27" s="6"/>
      <c r="AQ27" s="6">
        <f>SUM(AQ7:AQ26)</f>
        <v>0</v>
      </c>
      <c r="AR27" s="1"/>
      <c r="AS27" s="6">
        <f>SUM(AS7:AS26)</f>
        <v>0</v>
      </c>
      <c r="AT27" s="1"/>
      <c r="AU27" s="6">
        <f>SUM(AU7:AU26)</f>
        <v>0</v>
      </c>
      <c r="AV27" s="1"/>
      <c r="AW27" s="6">
        <f>SUM(AW7:AW26)</f>
        <v>0</v>
      </c>
      <c r="AX27" s="1"/>
      <c r="AY27" s="6">
        <f>SUM(AY7:AY26)</f>
        <v>0</v>
      </c>
      <c r="AZ27" s="6"/>
      <c r="BA27" s="6">
        <f>SUM(BA7:BA26)</f>
        <v>0</v>
      </c>
      <c r="BB27" s="1"/>
      <c r="BC27" s="6">
        <f>SUM(BC7:BC26)</f>
        <v>0</v>
      </c>
      <c r="BD27" s="1"/>
      <c r="BE27" s="6">
        <f>SUM(BE7:BE26)</f>
        <v>0</v>
      </c>
      <c r="BF27" s="1"/>
      <c r="BG27" s="6">
        <f>SUM(BG7:BG26)</f>
        <v>0</v>
      </c>
      <c r="BH27" s="1"/>
      <c r="BI27" s="6">
        <f>SUM(BI7:BI26)</f>
        <v>0</v>
      </c>
      <c r="BJ27" s="6"/>
      <c r="BK27" s="6">
        <f>SUM(BK7:BK26)</f>
        <v>0</v>
      </c>
      <c r="BL27" s="1"/>
      <c r="BM27" s="6">
        <f>SUM(BM7:BM26)</f>
        <v>0</v>
      </c>
      <c r="BN27" s="1"/>
      <c r="BO27" s="6">
        <f>SUM(BO7:BO26)</f>
        <v>0</v>
      </c>
      <c r="BP27" s="1"/>
      <c r="BQ27" s="6">
        <f>SUM(BQ7:BQ26)</f>
        <v>0</v>
      </c>
      <c r="BR27" s="1"/>
      <c r="BS27" s="6">
        <f>SUM(BS7:BS26)</f>
        <v>0</v>
      </c>
      <c r="BT27" s="6"/>
      <c r="BU27" s="6">
        <f>SUM(BU7:BU26)</f>
        <v>0</v>
      </c>
      <c r="BV27" s="1"/>
      <c r="BW27" s="6">
        <f>SUM(BW7:BW26)</f>
        <v>0</v>
      </c>
      <c r="BX27" s="1"/>
      <c r="BY27" s="6">
        <f>SUM(BY7:BY26)</f>
        <v>0</v>
      </c>
      <c r="BZ27" s="1"/>
      <c r="CA27" s="6">
        <f>SUM(CA7:CA26)</f>
        <v>0</v>
      </c>
      <c r="CB27" s="1"/>
      <c r="CC27" s="6">
        <f>SUM(CC7:CC26)</f>
        <v>0</v>
      </c>
      <c r="CD27" s="1"/>
      <c r="CE27" s="6">
        <f>SUM(CE7:CE26)</f>
        <v>0</v>
      </c>
      <c r="CF27" s="1"/>
      <c r="CG27" s="6">
        <f>SUM(CG7:CG26)</f>
        <v>0</v>
      </c>
      <c r="CH27" s="1"/>
      <c r="CI27" s="6">
        <f>SUM(CI7:CI26)</f>
        <v>0</v>
      </c>
      <c r="CJ27" s="1"/>
      <c r="CK27" s="6">
        <f>SUM(CK7:CK26)</f>
        <v>0</v>
      </c>
      <c r="CL27" s="1"/>
      <c r="CM27" s="6">
        <f>SUM(CM7:CM26)</f>
        <v>0</v>
      </c>
      <c r="CN27" s="1"/>
      <c r="CO27" s="6">
        <f>SUM(CO7:CO26)</f>
        <v>0</v>
      </c>
      <c r="CP27" s="1"/>
      <c r="CQ27" s="6">
        <f>SUM(CQ7:CQ26)</f>
        <v>0</v>
      </c>
      <c r="CR27" s="1"/>
      <c r="CS27" s="6">
        <f>SUM(CS7:CS26)</f>
        <v>0</v>
      </c>
      <c r="CT27" s="1"/>
      <c r="CU27" s="6">
        <f>SUM(CU7:CU26)</f>
        <v>0</v>
      </c>
      <c r="CV27" s="1"/>
      <c r="CW27" s="6">
        <f>SUM(CW7:CW26)</f>
        <v>0</v>
      </c>
      <c r="CX27" s="1"/>
      <c r="CY27" s="6">
        <f>SUM(CY7:CY26)</f>
        <v>0</v>
      </c>
      <c r="CZ27" s="1"/>
      <c r="DA27" s="6">
        <f>SUM(DA7:DA26)</f>
        <v>0</v>
      </c>
      <c r="DB27" s="1"/>
      <c r="DC27" s="6">
        <f>SUM(DC7:DC26)</f>
        <v>0</v>
      </c>
      <c r="DD27" s="1"/>
      <c r="DE27" s="6">
        <f>SUM(DE7:DE26)</f>
        <v>0</v>
      </c>
      <c r="DF27" s="1"/>
      <c r="DG27" s="6">
        <f>SUM(DG7:DG26)</f>
        <v>0</v>
      </c>
      <c r="DH27" s="1"/>
      <c r="DI27" s="6">
        <f>SUM(DI7:DI26)</f>
        <v>0</v>
      </c>
      <c r="DJ27" s="1"/>
      <c r="DK27" s="6">
        <f>SUM(DK7:DK26)</f>
        <v>0</v>
      </c>
      <c r="DL27" s="1"/>
      <c r="DM27" s="6">
        <f>SUM(DM7:DM26)</f>
        <v>0</v>
      </c>
      <c r="DN27" s="1"/>
      <c r="DO27" s="6">
        <f>SUM(DO7:DO26)</f>
        <v>0</v>
      </c>
      <c r="DP27" s="1"/>
      <c r="DQ27" s="6">
        <f>SUM(DQ7:DQ26)</f>
        <v>0</v>
      </c>
      <c r="DR27" s="1"/>
      <c r="DS27" s="6">
        <f>SUM(DS7:DS26)</f>
        <v>0</v>
      </c>
      <c r="DT27" s="1"/>
      <c r="DU27" s="6">
        <f>SUM(DU7:DU26)</f>
        <v>0</v>
      </c>
      <c r="DV27" s="1"/>
      <c r="DW27" s="6">
        <f>SUM(DW7:DW26)</f>
        <v>0</v>
      </c>
      <c r="DX27" s="1"/>
      <c r="DY27" s="6">
        <f>SUM(DY7:DY26)</f>
        <v>0</v>
      </c>
      <c r="DZ27" s="1"/>
      <c r="EA27" s="6">
        <f>SUM(EA7:EA26)</f>
        <v>0</v>
      </c>
      <c r="EB27" s="1"/>
      <c r="EC27" s="6">
        <f>SUM(EC7:EC26)</f>
        <v>0</v>
      </c>
      <c r="ED27" s="1"/>
      <c r="EE27" s="6">
        <f>SUM(EE7:EE26)</f>
        <v>0</v>
      </c>
      <c r="EF27" s="1"/>
      <c r="EG27" s="6">
        <f>SUM(EG7:EG26)</f>
        <v>0</v>
      </c>
      <c r="EH27" s="1"/>
      <c r="EI27" s="6">
        <f>SUM(EI7:EI26)</f>
        <v>0</v>
      </c>
      <c r="EJ27" s="1"/>
      <c r="EK27" s="6">
        <f>SUM(EK7:EK26)</f>
        <v>0</v>
      </c>
      <c r="EL27" s="1"/>
      <c r="EM27" s="6">
        <f>SUM(EM7:EM26)</f>
        <v>0</v>
      </c>
      <c r="EN27" s="1"/>
      <c r="EO27" s="6">
        <f>SUM(EO7:EO26)</f>
        <v>0</v>
      </c>
      <c r="EP27" s="1"/>
      <c r="EQ27" s="6">
        <f>SUM(EQ7:EQ26)</f>
        <v>0</v>
      </c>
      <c r="ER27" s="1"/>
      <c r="ES27" s="6">
        <f>SUM(ES7:ES26)</f>
        <v>0</v>
      </c>
      <c r="ET27" s="1"/>
      <c r="EU27" s="6">
        <f>SUM(EU7:EU26)</f>
        <v>0</v>
      </c>
      <c r="EV27" s="1"/>
      <c r="EW27" s="6">
        <f>SUM(EW7:EW26)</f>
        <v>0</v>
      </c>
    </row>
  </sheetData>
  <sheetProtection sheet="1" objects="1" scenarios="1"/>
  <mergeCells count="104">
    <mergeCell ref="EV6:EW6"/>
    <mergeCell ref="EN4:EW4"/>
    <mergeCell ref="EN5:EO5"/>
    <mergeCell ref="EP5:EQ5"/>
    <mergeCell ref="ER5:ES5"/>
    <mergeCell ref="ET5:EU5"/>
    <mergeCell ref="EV5:EW5"/>
    <mergeCell ref="DR6:DS6"/>
    <mergeCell ref="DJ4:DS4"/>
    <mergeCell ref="DJ5:DK5"/>
    <mergeCell ref="DL5:DM5"/>
    <mergeCell ref="DN5:DO5"/>
    <mergeCell ref="DP5:DQ5"/>
    <mergeCell ref="DR5:DS5"/>
    <mergeCell ref="EB6:EC6"/>
    <mergeCell ref="ED4:EM4"/>
    <mergeCell ref="ED5:EE5"/>
    <mergeCell ref="EF5:EG5"/>
    <mergeCell ref="EH5:EI5"/>
    <mergeCell ref="EJ5:EK5"/>
    <mergeCell ref="EL5:EM5"/>
    <mergeCell ref="EL6:EM6"/>
    <mergeCell ref="DT4:EC4"/>
    <mergeCell ref="DT5:DU5"/>
    <mergeCell ref="CX6:CY6"/>
    <mergeCell ref="DH6:DI6"/>
    <mergeCell ref="CP4:CY4"/>
    <mergeCell ref="CZ4:DI4"/>
    <mergeCell ref="CP5:CQ5"/>
    <mergeCell ref="CR5:CS5"/>
    <mergeCell ref="CT5:CU5"/>
    <mergeCell ref="CV5:CW5"/>
    <mergeCell ref="CX5:CY5"/>
    <mergeCell ref="CZ5:DA5"/>
    <mergeCell ref="DB5:DC5"/>
    <mergeCell ref="DD5:DE5"/>
    <mergeCell ref="DF5:DG5"/>
    <mergeCell ref="DH5:DI5"/>
    <mergeCell ref="CN6:CO6"/>
    <mergeCell ref="CF4:CO4"/>
    <mergeCell ref="CF5:CG5"/>
    <mergeCell ref="CH5:CI5"/>
    <mergeCell ref="CJ5:CK5"/>
    <mergeCell ref="CL5:CM5"/>
    <mergeCell ref="CN5:CO5"/>
    <mergeCell ref="CB5:CC5"/>
    <mergeCell ref="CD5:CE5"/>
    <mergeCell ref="L6:M6"/>
    <mergeCell ref="V6:W6"/>
    <mergeCell ref="AP6:AQ6"/>
    <mergeCell ref="AZ6:BA6"/>
    <mergeCell ref="BJ6:BK6"/>
    <mergeCell ref="BT6:BU6"/>
    <mergeCell ref="CD6:CE6"/>
    <mergeCell ref="BP5:BQ5"/>
    <mergeCell ref="BR5:BS5"/>
    <mergeCell ref="BT5:BU5"/>
    <mergeCell ref="BV5:BW5"/>
    <mergeCell ref="BX5:BY5"/>
    <mergeCell ref="BZ5:CA5"/>
    <mergeCell ref="BD5:BE5"/>
    <mergeCell ref="BF5:BG5"/>
    <mergeCell ref="BH5:BI5"/>
    <mergeCell ref="BJ5:BK5"/>
    <mergeCell ref="BL5:BM5"/>
    <mergeCell ref="BN5:BO5"/>
    <mergeCell ref="BB5:BC5"/>
    <mergeCell ref="AF5:AG5"/>
    <mergeCell ref="AH5:AI5"/>
    <mergeCell ref="AJ5:AK5"/>
    <mergeCell ref="AL5:AM5"/>
    <mergeCell ref="AV5:AW5"/>
    <mergeCell ref="AX5:AY5"/>
    <mergeCell ref="AZ5:BA5"/>
    <mergeCell ref="AR4:BA4"/>
    <mergeCell ref="T5:U5"/>
    <mergeCell ref="V5:W5"/>
    <mergeCell ref="X5:Y5"/>
    <mergeCell ref="Z5:AA5"/>
    <mergeCell ref="AB5:AC5"/>
    <mergeCell ref="DV5:DW5"/>
    <mergeCell ref="DX5:DY5"/>
    <mergeCell ref="DZ5:EA5"/>
    <mergeCell ref="EB5:EC5"/>
    <mergeCell ref="BB4:BK4"/>
    <mergeCell ref="AD5:AE5"/>
    <mergeCell ref="BL4:BU4"/>
    <mergeCell ref="BV4:CE4"/>
    <mergeCell ref="D5:E5"/>
    <mergeCell ref="F5:G5"/>
    <mergeCell ref="H5:I5"/>
    <mergeCell ref="J5:K5"/>
    <mergeCell ref="L5:M5"/>
    <mergeCell ref="N5:O5"/>
    <mergeCell ref="P5:Q5"/>
    <mergeCell ref="R5:S5"/>
    <mergeCell ref="D4:M4"/>
    <mergeCell ref="N4:W4"/>
    <mergeCell ref="X4:AG4"/>
    <mergeCell ref="AH4:AQ4"/>
    <mergeCell ref="AN5:AO5"/>
    <mergeCell ref="AP5:AQ5"/>
    <mergeCell ref="AR5:AS5"/>
    <mergeCell ref="AT5:AU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28EDF-B7F2-4323-9E23-CF10B58BECEB}">
  <sheetPr codeName="Sheet25"/>
  <dimension ref="A1:AA61"/>
  <sheetViews>
    <sheetView workbookViewId="0">
      <selection activeCell="H30" sqref="H30:I30"/>
    </sheetView>
  </sheetViews>
  <sheetFormatPr baseColWidth="10" defaultColWidth="8.88671875" defaultRowHeight="14.4" x14ac:dyDescent="0.3"/>
  <cols>
    <col min="4" max="6" width="9.88671875" bestFit="1" customWidth="1"/>
  </cols>
  <sheetData>
    <row r="1" spans="1:18" x14ac:dyDescent="0.3">
      <c r="A1" s="423" t="s">
        <v>549</v>
      </c>
      <c r="B1" s="424"/>
      <c r="C1" s="424"/>
      <c r="D1" s="424"/>
      <c r="E1" s="424"/>
      <c r="F1" s="424"/>
      <c r="G1" s="424"/>
      <c r="H1" s="424"/>
      <c r="I1" s="424"/>
      <c r="J1" s="424"/>
      <c r="K1" s="424"/>
      <c r="L1" s="424"/>
      <c r="M1" s="424"/>
      <c r="N1" s="424"/>
      <c r="O1" s="424"/>
      <c r="P1" s="424"/>
      <c r="Q1" s="424"/>
      <c r="R1" s="424"/>
    </row>
    <row r="2" spans="1:18" x14ac:dyDescent="0.3">
      <c r="A2" s="423"/>
      <c r="B2" s="424"/>
      <c r="C2" s="424"/>
      <c r="D2" s="424"/>
      <c r="E2" s="424"/>
      <c r="F2" s="424"/>
      <c r="G2" s="424"/>
      <c r="H2" s="424"/>
      <c r="I2" s="424"/>
      <c r="J2" s="424"/>
      <c r="K2" s="424"/>
      <c r="L2" s="424"/>
      <c r="M2" s="424"/>
      <c r="N2" s="424"/>
      <c r="O2" s="424"/>
      <c r="P2" s="424"/>
      <c r="Q2" s="424"/>
      <c r="R2" s="424"/>
    </row>
    <row r="3" spans="1:18" x14ac:dyDescent="0.3">
      <c r="L3" s="8"/>
      <c r="O3" s="8"/>
      <c r="P3" s="8"/>
      <c r="Q3" s="8"/>
    </row>
    <row r="4" spans="1:18" x14ac:dyDescent="0.3">
      <c r="B4" s="402" t="s">
        <v>265</v>
      </c>
      <c r="C4" s="403"/>
      <c r="D4" s="403"/>
      <c r="E4" s="510"/>
      <c r="H4" s="406" t="s">
        <v>271</v>
      </c>
      <c r="I4" s="406"/>
      <c r="J4" s="406"/>
      <c r="K4" s="406"/>
      <c r="L4" s="406"/>
      <c r="M4" s="406"/>
      <c r="N4" s="406"/>
      <c r="O4" s="406"/>
      <c r="P4" s="406"/>
      <c r="Q4" s="406"/>
    </row>
    <row r="5" spans="1:18" x14ac:dyDescent="0.3">
      <c r="B5" s="656" t="s">
        <v>76</v>
      </c>
      <c r="C5" s="657"/>
      <c r="D5" s="658"/>
      <c r="E5" s="121">
        <v>1174</v>
      </c>
    </row>
    <row r="6" spans="1:18" x14ac:dyDescent="0.3">
      <c r="B6" s="659" t="s">
        <v>269</v>
      </c>
      <c r="C6" s="435"/>
      <c r="D6" s="660"/>
      <c r="E6" s="47" t="s">
        <v>414</v>
      </c>
      <c r="F6" s="701" t="s">
        <v>270</v>
      </c>
      <c r="G6" s="8"/>
      <c r="H6" s="406" t="str">
        <f>"To Train "&amp;TrainingCapacity&amp;" Tier "&amp;UpgradeTier&amp;" Troops"</f>
        <v>To Train 1174 Tier 11 Troops</v>
      </c>
      <c r="I6" s="406"/>
      <c r="J6" s="406"/>
      <c r="K6" s="406"/>
      <c r="L6" s="406"/>
      <c r="M6" s="406"/>
      <c r="N6" s="406"/>
      <c r="O6" s="406"/>
      <c r="P6" s="406"/>
      <c r="Q6" s="406"/>
      <c r="R6" t="s">
        <v>608</v>
      </c>
    </row>
    <row r="7" spans="1:18" x14ac:dyDescent="0.3">
      <c r="B7" s="659" t="s">
        <v>77</v>
      </c>
      <c r="C7" s="435"/>
      <c r="D7" s="660"/>
      <c r="E7" s="48">
        <v>1.7</v>
      </c>
      <c r="F7" s="701"/>
      <c r="G7" s="8"/>
      <c r="H7" s="597" t="s">
        <v>33</v>
      </c>
      <c r="I7" s="691"/>
      <c r="J7" s="597" t="s">
        <v>0</v>
      </c>
      <c r="K7" s="691"/>
      <c r="L7" s="597" t="s">
        <v>1</v>
      </c>
      <c r="M7" s="691"/>
      <c r="N7" s="597" t="s">
        <v>2</v>
      </c>
      <c r="O7" s="691"/>
      <c r="P7" s="597" t="s">
        <v>3</v>
      </c>
      <c r="Q7" s="598"/>
    </row>
    <row r="8" spans="1:18" x14ac:dyDescent="0.3">
      <c r="B8" s="659" t="s">
        <v>266</v>
      </c>
      <c r="C8" s="435"/>
      <c r="D8" s="660"/>
      <c r="E8" s="47" t="s">
        <v>414</v>
      </c>
      <c r="F8" s="698" t="str">
        <f>IF(MinisterEducation="Yes",IF(E9="Yes","Choose 1",""),"")</f>
        <v/>
      </c>
      <c r="G8" s="9" t="s">
        <v>162</v>
      </c>
      <c r="H8" s="656" t="str">
        <f>VLOOKUP(UpgradeTier,'Troop Data'!$K$5:$P$15,3,FALSE)&amp;"d "&amp;VLOOKUP(UpgradeTier,'Troop Data'!$K$5:$P$15,4,FALSE)&amp;":"&amp;VLOOKUP(UpgradeTier,'Troop Data'!$K$5:$P$15,5,FALSE)&amp;":"&amp;ROUNDDOWN(VLOOKUP(UpgradeTier,'Troop Data'!$K$5:$P$15,6,FALSE),0)</f>
        <v>0d 21:44:26</v>
      </c>
      <c r="I8" s="657"/>
      <c r="J8" s="684">
        <f>VLOOKUP(UpgradeTier,'Troop Data'!$K$5:$T$15,7,FALSE)</f>
        <v>8182780</v>
      </c>
      <c r="K8" s="684"/>
      <c r="L8" s="684">
        <f>VLOOKUP(UpgradeTier,'Troop Data'!$K$5:$T$15,8,FALSE)</f>
        <v>6137672</v>
      </c>
      <c r="M8" s="684"/>
      <c r="N8" s="684">
        <f>VLOOKUP(UpgradeTier,'Troop Data'!$K$5:$T$15,9,FALSE)</f>
        <v>1432280</v>
      </c>
      <c r="O8" s="684"/>
      <c r="P8" s="684">
        <f>VLOOKUP(UpgradeTier,'Troop Data'!$K$5:$T$15,10,FALSE)</f>
        <v>297022</v>
      </c>
      <c r="Q8" s="685"/>
    </row>
    <row r="9" spans="1:18" x14ac:dyDescent="0.3">
      <c r="B9" s="653" t="s">
        <v>274</v>
      </c>
      <c r="C9" s="654"/>
      <c r="D9" s="655"/>
      <c r="E9" s="47" t="s">
        <v>414</v>
      </c>
      <c r="F9" s="698"/>
      <c r="G9" s="9" t="s">
        <v>163</v>
      </c>
      <c r="H9" s="659" t="str">
        <f>VLOOKUP(UpgradeTier,'Troop Data'!$K$21:$P$31,3,FALSE)&amp;"d "&amp;VLOOKUP(UpgradeTier,'Troop Data'!$K$21:$P$31,4,FALSE)&amp;":"&amp;VLOOKUP(UpgradeTier,'Troop Data'!$K$21:$P$31,5,FALSE)&amp;":"&amp;ROUNDDOWN(VLOOKUP(UpgradeTier,'Troop Data'!$K$21:$P$31,6,FALSE),0)</f>
        <v>0d 21:44:26</v>
      </c>
      <c r="I9" s="435"/>
      <c r="J9" s="681">
        <f>VLOOKUP(UpgradeTier,'Troop Data'!$K$21:$T$31,7,FALSE)</f>
        <v>7160226</v>
      </c>
      <c r="K9" s="681"/>
      <c r="L9" s="681">
        <f>VLOOKUP(UpgradeTier,'Troop Data'!$K$21:$T$31,8,FALSE)</f>
        <v>6751674</v>
      </c>
      <c r="M9" s="681"/>
      <c r="N9" s="681">
        <f>VLOOKUP(UpgradeTier,'Troop Data'!$K$21:$T$31,9,FALSE)</f>
        <v>1391190</v>
      </c>
      <c r="O9" s="681"/>
      <c r="P9" s="677">
        <f>VLOOKUP(UpgradeTier,'Troop Data'!$K$21:$T$31,10,FALSE)</f>
        <v>318154</v>
      </c>
      <c r="Q9" s="677"/>
    </row>
    <row r="10" spans="1:18" x14ac:dyDescent="0.3">
      <c r="B10" s="393" t="s">
        <v>605</v>
      </c>
      <c r="C10" s="451"/>
      <c r="D10" s="394"/>
      <c r="E10" s="199">
        <v>11</v>
      </c>
      <c r="G10" s="9" t="s">
        <v>164</v>
      </c>
      <c r="H10" s="653" t="str">
        <f>VLOOKUP(UpgradeTier,'Troop Data'!$K$37:$P$47,3,FALSE)&amp;"d "&amp;VLOOKUP(UpgradeTier,'Troop Data'!$K$37:$P$47,4,FALSE)&amp;":"&amp;VLOOKUP(UpgradeTier,'Troop Data'!$K$37:$P$47,5,FALSE)&amp;":"&amp;ROUNDDOWN(VLOOKUP(UpgradeTier,'Troop Data'!$K$37:$P$47,6,FALSE),0)</f>
        <v>0d 21:44:26</v>
      </c>
      <c r="I10" s="654"/>
      <c r="J10" s="688">
        <f>VLOOKUP(UpgradeTier,'Troop Data'!$K$37:$T$47,7,FALSE)</f>
        <v>5115118</v>
      </c>
      <c r="K10" s="688"/>
      <c r="L10" s="688">
        <f>VLOOKUP(UpgradeTier,'Troop Data'!$K$37:$T$47,8,FALSE)</f>
        <v>7569952</v>
      </c>
      <c r="M10" s="688"/>
      <c r="N10" s="688">
        <f>VLOOKUP(UpgradeTier,'Troop Data'!$K$37:$T$47,9,FALSE)</f>
        <v>1269094</v>
      </c>
      <c r="O10" s="688"/>
      <c r="P10" s="688">
        <f>VLOOKUP(UpgradeTier,'Troop Data'!$K$37:$T$47,10,FALSE)</f>
        <v>409726</v>
      </c>
      <c r="Q10" s="689"/>
    </row>
    <row r="11" spans="1:18" x14ac:dyDescent="0.3">
      <c r="B11" s="692" t="s">
        <v>914</v>
      </c>
      <c r="C11" s="692"/>
      <c r="D11" s="692"/>
      <c r="E11" s="692"/>
      <c r="G11" s="9" t="s">
        <v>267</v>
      </c>
      <c r="H11" s="653" t="str">
        <f>'Troop Data'!M50&amp;"d "&amp;'Troop Data'!N50&amp;":"&amp;'Troop Data'!O50&amp;":"&amp;'Troop Data'!P50</f>
        <v>2d 17:13:19</v>
      </c>
      <c r="I11" s="654"/>
      <c r="J11" s="688">
        <f>SUM(J8:J10)</f>
        <v>20458124</v>
      </c>
      <c r="K11" s="688"/>
      <c r="L11" s="688">
        <f>SUM(L8:L10)</f>
        <v>20459298</v>
      </c>
      <c r="M11" s="688"/>
      <c r="N11" s="688">
        <f>SUM(N8:N10)</f>
        <v>4092564</v>
      </c>
      <c r="O11" s="688"/>
      <c r="P11" s="688">
        <f>SUM(P8:P10)</f>
        <v>1024902</v>
      </c>
      <c r="Q11" s="689"/>
    </row>
    <row r="12" spans="1:18" x14ac:dyDescent="0.3">
      <c r="B12" s="461"/>
      <c r="C12" s="461"/>
      <c r="D12" s="461"/>
      <c r="E12" s="461"/>
      <c r="G12" s="11" t="s">
        <v>355</v>
      </c>
      <c r="H12" s="500">
        <f>'Troop Data'!L50/60*30</f>
        <v>117399.99999999999</v>
      </c>
      <c r="I12" s="502"/>
      <c r="J12" s="3" t="s">
        <v>611</v>
      </c>
      <c r="L12" s="500">
        <f>VLOOKUP(UpgradeTier,B42:C52,2,FALSE)*E5*3</f>
        <v>264150</v>
      </c>
      <c r="M12" s="502"/>
      <c r="N12" s="3" t="s">
        <v>612</v>
      </c>
    </row>
    <row r="14" spans="1:18" x14ac:dyDescent="0.3">
      <c r="B14" s="393" t="s">
        <v>167</v>
      </c>
      <c r="C14" s="451"/>
      <c r="D14" s="394"/>
      <c r="E14" s="199">
        <v>10</v>
      </c>
      <c r="G14" s="8"/>
      <c r="H14" s="693" t="str">
        <f>"To Upgrade "&amp;VLOOKUP(BaseTier,'Troop Data'!V5:W15,2,FALSE)&amp;" Tier "&amp;BaseTier&amp;" Troops to Tier "&amp;UpgradeTier</f>
        <v>To Upgrade 7548 Tier 10 Troops to Tier 11</v>
      </c>
      <c r="I14" s="693"/>
      <c r="J14" s="693"/>
      <c r="K14" s="693"/>
      <c r="L14" s="693"/>
      <c r="M14" s="693"/>
      <c r="N14" s="693"/>
      <c r="O14" s="693"/>
      <c r="P14" s="693"/>
      <c r="Q14" s="693"/>
      <c r="R14" t="s">
        <v>609</v>
      </c>
    </row>
    <row r="15" spans="1:18" x14ac:dyDescent="0.3">
      <c r="G15" s="8"/>
      <c r="H15" s="597" t="s">
        <v>33</v>
      </c>
      <c r="I15" s="691"/>
      <c r="J15" s="597" t="s">
        <v>0</v>
      </c>
      <c r="K15" s="691"/>
      <c r="L15" s="597" t="s">
        <v>1</v>
      </c>
      <c r="M15" s="691"/>
      <c r="N15" s="597" t="s">
        <v>2</v>
      </c>
      <c r="O15" s="691"/>
      <c r="P15" s="597" t="s">
        <v>3</v>
      </c>
      <c r="Q15" s="598"/>
    </row>
    <row r="16" spans="1:18" x14ac:dyDescent="0.3">
      <c r="G16" s="9" t="s">
        <v>162</v>
      </c>
      <c r="H16" s="656" t="str">
        <f>VLOOKUP(BaseTier,'Troop Data'!$V$5:$AF$15,4,FALSE)&amp;"d "&amp;VLOOKUP(BaseTier,'Troop Data'!$V$5:$AF$15,5,FALSE)&amp;":"&amp;VLOOKUP(BaseTier,'Troop Data'!$V$5:$AF$15,6,FALSE)&amp;":"&amp;VLOOKUP(BaseTier,'Troop Data'!$V$5:$AF$15,7,FALSE)</f>
        <v>0d 21:44:35</v>
      </c>
      <c r="I16" s="657"/>
      <c r="J16" s="684">
        <f>VLOOKUP(BaseTier,'Troop Data'!$V$5:$AF$15,8,FALSE)</f>
        <v>31565736</v>
      </c>
      <c r="K16" s="684"/>
      <c r="L16" s="684">
        <f>VLOOKUP(BaseTier,'Troop Data'!$V$5:$AF$15,9,FALSE)</f>
        <v>23678076</v>
      </c>
      <c r="M16" s="684"/>
      <c r="N16" s="684">
        <f>VLOOKUP(BaseTier,'Troop Data'!$V$5:$AF$15,10,FALSE)</f>
        <v>5525136</v>
      </c>
      <c r="O16" s="684"/>
      <c r="P16" s="685">
        <f>VLOOKUP(BaseTier,'Troop Data'!$V$5:$AF$15,11,FALSE)</f>
        <v>1139748</v>
      </c>
      <c r="Q16" s="685"/>
    </row>
    <row r="17" spans="2:19" x14ac:dyDescent="0.3">
      <c r="G17" s="9" t="s">
        <v>163</v>
      </c>
      <c r="H17" s="659" t="str">
        <f>VLOOKUP(BaseTier,'Troop Data'!$V$21:$AF$31,4,FALSE)&amp;"d "&amp;VLOOKUP(BaseTier,'Troop Data'!$V$21:$AF$31,5,FALSE)&amp;":"&amp;VLOOKUP(BaseTier,'Troop Data'!$V$21:$AF$31,6,FALSE)&amp;":"&amp;VLOOKUP(BaseTier,'Troop Data'!$V$21:$AF$31,7,FALSE)</f>
        <v>0d 21:44:35</v>
      </c>
      <c r="I17" s="435"/>
      <c r="J17" s="681">
        <f>VLOOKUP(BaseTier,'Troop Data'!$V$21:$AF$31,8,FALSE)</f>
        <v>27618132</v>
      </c>
      <c r="K17" s="681"/>
      <c r="L17" s="681">
        <f>VLOOKUP(BaseTier,'Troop Data'!$V$21:$AF$31,9,FALSE)</f>
        <v>26040600</v>
      </c>
      <c r="M17" s="681"/>
      <c r="N17" s="681">
        <f>VLOOKUP(BaseTier,'Troop Data'!$V$21:$AF$31,10,FALSE)</f>
        <v>5366628</v>
      </c>
      <c r="O17" s="681"/>
      <c r="P17" s="677">
        <f>VLOOKUP(BaseTier,'Troop Data'!$V$21:$AF$31,11,FALSE)</f>
        <v>1222776</v>
      </c>
      <c r="Q17" s="677"/>
    </row>
    <row r="18" spans="2:19" x14ac:dyDescent="0.3">
      <c r="G18" s="9" t="s">
        <v>164</v>
      </c>
      <c r="H18" s="653" t="str">
        <f>VLOOKUP(BaseTier,'Troop Data'!$V$37:$AF$47,4,FALSE)&amp;"d "&amp;VLOOKUP(BaseTier,'Troop Data'!$V$37:$AF$47,5,FALSE)&amp;":"&amp;VLOOKUP(BaseTier,'Troop Data'!$V$37:$AF$47,6,FALSE)&amp;":"&amp;VLOOKUP(BaseTier,'Troop Data'!$V$37:$AF$47,7,FALSE)</f>
        <v>0d 21:44:35</v>
      </c>
      <c r="I18" s="654"/>
      <c r="J18" s="688">
        <f>VLOOKUP(BaseTier,'Troop Data'!$V$37:$AF$47,8,FALSE)</f>
        <v>31565736</v>
      </c>
      <c r="K18" s="688"/>
      <c r="L18" s="688">
        <f>VLOOKUP(BaseTier,'Troop Data'!$V$37:$AF$47,9,FALSE)</f>
        <v>23678076</v>
      </c>
      <c r="M18" s="688"/>
      <c r="N18" s="688">
        <f>VLOOKUP(BaseTier,'Troop Data'!$V$37:$AF$47,10,FALSE)</f>
        <v>5525136</v>
      </c>
      <c r="O18" s="688"/>
      <c r="P18" s="688">
        <f>VLOOKUP(BaseTier,'Troop Data'!$V$37:$AF$47,11,FALSE)</f>
        <v>1139748</v>
      </c>
      <c r="Q18" s="689"/>
    </row>
    <row r="19" spans="2:19" x14ac:dyDescent="0.3">
      <c r="G19" s="9" t="s">
        <v>267</v>
      </c>
      <c r="H19" s="653" t="str">
        <f>'Troop Data'!Y50&amp;"d "&amp;'Troop Data'!Z50&amp;":"&amp;'Troop Data'!AA50&amp;":"&amp;'Troop Data'!AB50</f>
        <v>2d 17:13:46</v>
      </c>
      <c r="I19" s="654"/>
      <c r="J19" s="688">
        <f>SUM(J16:J18)</f>
        <v>90749604</v>
      </c>
      <c r="K19" s="688"/>
      <c r="L19" s="688">
        <f>SUM(L16:L18)</f>
        <v>73396752</v>
      </c>
      <c r="M19" s="688"/>
      <c r="N19" s="688">
        <f>SUM(N16:N18)</f>
        <v>16416900</v>
      </c>
      <c r="O19" s="688"/>
      <c r="P19" s="688">
        <f>SUM(P16:P18)</f>
        <v>3502272</v>
      </c>
      <c r="Q19" s="689"/>
    </row>
    <row r="20" spans="2:19" x14ac:dyDescent="0.3">
      <c r="G20" s="11" t="s">
        <v>355</v>
      </c>
      <c r="H20" s="500">
        <f>'Troop Data'!X50/60*30</f>
        <v>117413.3333333333</v>
      </c>
      <c r="I20" s="502"/>
      <c r="J20" s="3" t="s">
        <v>611</v>
      </c>
      <c r="L20" s="500">
        <f>(VLOOKUP(UpgradeTier,B42:C52,2,FALSE)-VLOOKUP(BaseTier,B42:C52,2,FALSE))*(VLOOKUP(BaseTier,'Troop Data'!V5:W15,2,FALSE)*3)</f>
        <v>339660</v>
      </c>
      <c r="M20" s="502"/>
      <c r="N20" s="3" t="s">
        <v>612</v>
      </c>
    </row>
    <row r="22" spans="2:19" x14ac:dyDescent="0.3">
      <c r="B22" s="402" t="s">
        <v>169</v>
      </c>
      <c r="C22" s="403"/>
      <c r="D22" s="403"/>
      <c r="E22" s="510"/>
      <c r="H22" s="406" t="s">
        <v>272</v>
      </c>
      <c r="I22" s="406"/>
      <c r="J22" s="406"/>
      <c r="K22" s="406"/>
      <c r="L22" s="406"/>
      <c r="M22" s="406"/>
      <c r="N22" s="406"/>
      <c r="O22" s="406"/>
      <c r="P22" s="406"/>
      <c r="Q22" s="406"/>
    </row>
    <row r="23" spans="2:19" x14ac:dyDescent="0.3">
      <c r="B23" s="404" t="s">
        <v>66</v>
      </c>
      <c r="C23" s="405"/>
      <c r="D23" s="671">
        <v>45000</v>
      </c>
      <c r="E23" s="672"/>
    </row>
    <row r="24" spans="2:19" x14ac:dyDescent="0.3">
      <c r="G24" s="8"/>
      <c r="H24" s="406" t="str">
        <f>"To Train "&amp;TrainQuantity&amp;" of each Tier "&amp;UpgradeTier&amp;" Troop"</f>
        <v>To Train 45000 of each Tier 11 Troop</v>
      </c>
      <c r="I24" s="406"/>
      <c r="J24" s="406"/>
      <c r="K24" s="406"/>
      <c r="L24" s="406"/>
      <c r="M24" s="406"/>
      <c r="N24" s="406"/>
      <c r="O24" s="406"/>
      <c r="P24" s="406"/>
      <c r="Q24" s="406"/>
      <c r="R24" t="s">
        <v>610</v>
      </c>
    </row>
    <row r="25" spans="2:19" x14ac:dyDescent="0.3">
      <c r="G25" s="8"/>
      <c r="H25" s="597" t="s">
        <v>33</v>
      </c>
      <c r="I25" s="691"/>
      <c r="J25" s="597" t="s">
        <v>0</v>
      </c>
      <c r="K25" s="691"/>
      <c r="L25" s="597" t="s">
        <v>1</v>
      </c>
      <c r="M25" s="691"/>
      <c r="N25" s="597" t="s">
        <v>2</v>
      </c>
      <c r="O25" s="691"/>
      <c r="P25" s="597" t="s">
        <v>3</v>
      </c>
      <c r="Q25" s="598"/>
    </row>
    <row r="26" spans="2:19" x14ac:dyDescent="0.3">
      <c r="G26" s="9" t="s">
        <v>162</v>
      </c>
      <c r="H26" s="472" t="str">
        <f>VLOOKUP(UpgradeTier,'Troop Data'!$AH$5:$AR$15,4,FALSE)&amp;"d "&amp;VLOOKUP(UpgradeTier,'Troop Data'!$AH$5:$AR$15,5,FALSE)&amp;":"&amp;VLOOKUP(UpgradeTier,'Troop Data'!$AH$5:$AR$15,6,FALSE)&amp;":"&amp;ROUNDDOWN(VLOOKUP(UpgradeTier,'Troop Data'!$AH$5:$AR$15,7,FALSE),0)</f>
        <v>34d 17:20:0</v>
      </c>
      <c r="I26" s="702"/>
      <c r="J26" s="684">
        <f>VLOOKUP(UpgradeTier,'Troop Data'!$K$5:$T$15,7,FALSE)/TrainingCapacity*TrainQuantity</f>
        <v>313650000</v>
      </c>
      <c r="K26" s="684"/>
      <c r="L26" s="684">
        <f>VLOOKUP(UpgradeTier,'Troop Data'!$K$5:$T$15,8,FALSE)/TrainingCapacity*TrainQuantity</f>
        <v>235260000</v>
      </c>
      <c r="M26" s="684"/>
      <c r="N26" s="684">
        <f>VLOOKUP(UpgradeTier,'Troop Data'!$K$5:$T$15,9,FALSE)/TrainingCapacity*TrainQuantity</f>
        <v>54900000</v>
      </c>
      <c r="O26" s="684"/>
      <c r="P26" s="684">
        <f>VLOOKUP(UpgradeTier,'Troop Data'!$K$5:$T$15,10,FALSE)/TrainingCapacity*TrainQuantity</f>
        <v>11385000</v>
      </c>
      <c r="Q26" s="685"/>
    </row>
    <row r="27" spans="2:19" x14ac:dyDescent="0.3">
      <c r="B27" s="402" t="s">
        <v>217</v>
      </c>
      <c r="C27" s="403"/>
      <c r="D27" s="403"/>
      <c r="E27" s="510"/>
      <c r="G27" s="9" t="s">
        <v>163</v>
      </c>
      <c r="H27" s="463" t="str">
        <f>VLOOKUP(UpgradeTier,'Troop Data'!$AH$21:$AR$31,4,FALSE)&amp;"d "&amp;VLOOKUP(UpgradeTier,'Troop Data'!$AH$21:$AR$31,5,FALSE)&amp;":"&amp;VLOOKUP(UpgradeTier,'Troop Data'!$AH$21:$AR$31,6,FALSE)&amp;":"&amp;ROUNDDOWN(VLOOKUP(UpgradeTier,'Troop Data'!$AH$21:$AR$31,7,FALSE),0)</f>
        <v>34d 17:20:0</v>
      </c>
      <c r="I27" s="690"/>
      <c r="J27" s="681">
        <f>VLOOKUP(UpgradeTier,'Troop Data'!$K$21:$T$31,7,FALSE)/TrainingCapacity*TrainQuantity</f>
        <v>274455000</v>
      </c>
      <c r="K27" s="681"/>
      <c r="L27" s="681">
        <f>VLOOKUP(UpgradeTier,'Troop Data'!$K$21:$T$31,8,FALSE)/TrainingCapacity*TrainQuantity</f>
        <v>258795000</v>
      </c>
      <c r="M27" s="681"/>
      <c r="N27" s="681">
        <f>VLOOKUP(UpgradeTier,'Troop Data'!$K$21:$T$31,9,FALSE)/TrainingCapacity*TrainQuantity</f>
        <v>53325000</v>
      </c>
      <c r="O27" s="681"/>
      <c r="P27" s="677">
        <f>VLOOKUP(UpgradeTier,'Troop Data'!$K$21:$T$31,10,FALSE)/TrainingCapacity*TrainQuantity</f>
        <v>12195000</v>
      </c>
      <c r="Q27" s="677"/>
      <c r="S27" s="3" t="s">
        <v>678</v>
      </c>
    </row>
    <row r="28" spans="2:19" x14ac:dyDescent="0.3">
      <c r="B28" s="389" t="s">
        <v>550</v>
      </c>
      <c r="C28" s="450"/>
      <c r="D28" s="450"/>
      <c r="E28" s="390"/>
      <c r="G28" s="9" t="s">
        <v>164</v>
      </c>
      <c r="H28" s="455" t="str">
        <f>VLOOKUP(UpgradeTier,'Troop Data'!$AH$37:$AR$47,4,FALSE)&amp;"d "&amp;VLOOKUP(UpgradeTier,'Troop Data'!$AH$37:$AR$47,5,FALSE)&amp;":"&amp;VLOOKUP(UpgradeTier,'Troop Data'!$AH$37:$AR$47,6,FALSE)&amp;":"&amp;ROUNDDOWN(VLOOKUP(UpgradeTier,'Troop Data'!$AH$37:$AR$47,7,FALSE),0)</f>
        <v>34d 17:20:0</v>
      </c>
      <c r="I28" s="694"/>
      <c r="J28" s="688">
        <f>VLOOKUP(UpgradeTier,'Troop Data'!$K$37:$T$47,7,FALSE)/TrainingCapacity*TrainQuantity</f>
        <v>196065000</v>
      </c>
      <c r="K28" s="688"/>
      <c r="L28" s="688">
        <f>VLOOKUP(UpgradeTier,'Troop Data'!$K$37:$T$47,8,FALSE)/TrainingCapacity*TrainQuantity</f>
        <v>290160000</v>
      </c>
      <c r="M28" s="688"/>
      <c r="N28" s="688">
        <f>VLOOKUP(UpgradeTier,'Troop Data'!$K$37:$T$47,9,FALSE)/TrainingCapacity*TrainQuantity</f>
        <v>48645000</v>
      </c>
      <c r="O28" s="688"/>
      <c r="P28" s="688">
        <f>VLOOKUP(UpgradeTier,'Troop Data'!$K$37:$T$47,10,FALSE)/TrainingCapacity*TrainQuantity</f>
        <v>15705000</v>
      </c>
      <c r="Q28" s="689"/>
    </row>
    <row r="29" spans="2:19" x14ac:dyDescent="0.3">
      <c r="B29" s="695">
        <v>120000</v>
      </c>
      <c r="C29" s="696"/>
      <c r="D29" s="696"/>
      <c r="E29" s="697"/>
      <c r="G29" s="9" t="s">
        <v>267</v>
      </c>
      <c r="H29" s="455" t="str">
        <f>'Troop Data'!AK50&amp;"d "&amp;'Troop Data'!AL50&amp;":"&amp;'Troop Data'!AM50&amp;":"&amp;'Troop Data'!AN50</f>
        <v>104d 4:0:0</v>
      </c>
      <c r="I29" s="694"/>
      <c r="J29" s="688">
        <f>SUM(J26:J28)</f>
        <v>784170000</v>
      </c>
      <c r="K29" s="688"/>
      <c r="L29" s="688">
        <f>SUM(L26:L28)</f>
        <v>784215000</v>
      </c>
      <c r="M29" s="688"/>
      <c r="N29" s="688">
        <f>SUM(N26:N28)</f>
        <v>156870000</v>
      </c>
      <c r="O29" s="688"/>
      <c r="P29" s="688">
        <f>SUM(P26:P28)</f>
        <v>39285000</v>
      </c>
      <c r="Q29" s="689"/>
    </row>
    <row r="30" spans="2:19" x14ac:dyDescent="0.3">
      <c r="B30" s="389" t="s">
        <v>277</v>
      </c>
      <c r="C30" s="450"/>
      <c r="D30" s="450"/>
      <c r="E30" s="390"/>
      <c r="G30" s="11" t="s">
        <v>355</v>
      </c>
      <c r="H30" s="500">
        <f>'Troop Data'!AJ50/60*30</f>
        <v>4500000</v>
      </c>
      <c r="I30" s="502"/>
      <c r="J30" s="3" t="s">
        <v>611</v>
      </c>
      <c r="L30" s="500">
        <f>VLOOKUP(UpgradeTier,B42:C52,2,FALSE)*TrainQuantity*3</f>
        <v>10125000</v>
      </c>
      <c r="M30" s="502"/>
      <c r="N30" s="3" t="s">
        <v>612</v>
      </c>
    </row>
    <row r="31" spans="2:19" x14ac:dyDescent="0.3">
      <c r="B31" s="404" t="str">
        <f>Lists!A108&amp;"d "&amp;Lists!A109&amp;":"&amp;Lists!A110&amp;":"&amp;Lists!A111</f>
        <v>83d 8:0:0</v>
      </c>
      <c r="C31" s="486"/>
      <c r="D31" s="486"/>
      <c r="E31" s="405"/>
    </row>
    <row r="32" spans="2:19" x14ac:dyDescent="0.3">
      <c r="B32" s="595" t="s">
        <v>273</v>
      </c>
      <c r="C32" s="519"/>
      <c r="D32" s="519"/>
      <c r="E32" s="596"/>
      <c r="G32" s="8"/>
      <c r="H32" s="693" t="str">
        <f>"To Upgrade "&amp;TrainQuantity&amp;" Tier "&amp;BaseTier&amp;" Troops to Tier "&amp;UpgradeTier</f>
        <v>To Upgrade 45000 Tier 10 Troops to Tier 11</v>
      </c>
      <c r="I32" s="693"/>
      <c r="J32" s="693"/>
      <c r="K32" s="693"/>
      <c r="L32" s="693"/>
      <c r="M32" s="693"/>
      <c r="N32" s="693"/>
      <c r="O32" s="693"/>
      <c r="P32" s="693"/>
      <c r="Q32" s="693"/>
    </row>
    <row r="33" spans="2:27" x14ac:dyDescent="0.3">
      <c r="B33" s="404" t="e">
        <f>Lists!A80&amp;"d "&amp;Lists!A81&amp;":"&amp;Lists!A82&amp;":"&amp;Lists!A83</f>
        <v>#N/A</v>
      </c>
      <c r="C33" s="486"/>
      <c r="D33" s="486"/>
      <c r="E33" s="405"/>
      <c r="G33" s="8"/>
      <c r="H33" s="597" t="s">
        <v>33</v>
      </c>
      <c r="I33" s="691"/>
      <c r="J33" s="597" t="s">
        <v>0</v>
      </c>
      <c r="K33" s="691"/>
      <c r="L33" s="597" t="s">
        <v>1</v>
      </c>
      <c r="M33" s="691"/>
      <c r="N33" s="597" t="s">
        <v>2</v>
      </c>
      <c r="O33" s="691"/>
      <c r="P33" s="597" t="s">
        <v>3</v>
      </c>
      <c r="Q33" s="598"/>
    </row>
    <row r="34" spans="2:27" x14ac:dyDescent="0.3">
      <c r="B34" s="389" t="s">
        <v>554</v>
      </c>
      <c r="C34" s="450"/>
      <c r="D34" s="450"/>
      <c r="E34" s="390"/>
      <c r="G34" s="9" t="s">
        <v>162</v>
      </c>
      <c r="H34" s="656" t="str">
        <f>VLOOKUP(BaseTier,'Troop Data'!$AT$5:$BD$15,4,FALSE)&amp;"d "&amp;VLOOKUP(BaseTier,'Troop Data'!$AT$5:$BD$15,5,FALSE)&amp;":"&amp;VLOOKUP(BaseTier,'Troop Data'!$AT$5:$BD$15,6,FALSE)&amp;":"&amp;VLOOKUP(BaseTier,'Troop Data'!$AT$5:$AZ$15,7,FALSE)</f>
        <v>5d 9:37:46</v>
      </c>
      <c r="I34" s="657"/>
      <c r="J34" s="684">
        <f>VLOOKUP(BaseTier,'Troop Data'!$V$5:$AF$15,8,FALSE)/VLOOKUP(BaseTier,'Troop Data'!$V$4:$W$15,2,FALSE)*TrainQuantity</f>
        <v>188190000</v>
      </c>
      <c r="K34" s="684"/>
      <c r="L34" s="684">
        <f>VLOOKUP(BaseTier,'Troop Data'!$V$5:$AF$15,9,FALSE)/VLOOKUP(BaseTier,'Troop Data'!$V$4:$W$15,2,FALSE)*TrainQuantity</f>
        <v>141165000</v>
      </c>
      <c r="M34" s="684"/>
      <c r="N34" s="684">
        <f>VLOOKUP(BaseTier,'Troop Data'!$V$5:$AF$15,10,FALSE)/VLOOKUP(BaseTier,'Troop Data'!$V$4:$W$15,2,FALSE)*TrainQuantity</f>
        <v>32940000</v>
      </c>
      <c r="O34" s="684"/>
      <c r="P34" s="684">
        <f>VLOOKUP(BaseTier,'Troop Data'!$V$5:$AF$15,11,FALSE)/VLOOKUP(BaseTier,'Troop Data'!$V$4:$W$15,2,FALSE)*TrainQuantity</f>
        <v>6795000</v>
      </c>
      <c r="Q34" s="685"/>
    </row>
    <row r="35" spans="2:27" x14ac:dyDescent="0.3">
      <c r="B35" s="404" t="e">
        <f>Lists!A87&amp;"d "&amp;Lists!A88&amp;":"&amp;Lists!A89&amp;":"&amp;Lists!A90</f>
        <v>#N/A</v>
      </c>
      <c r="C35" s="486"/>
      <c r="D35" s="486"/>
      <c r="E35" s="405"/>
      <c r="G35" s="9" t="s">
        <v>163</v>
      </c>
      <c r="H35" s="659" t="str">
        <f>VLOOKUP(BaseTier,'Troop Data'!$AT$21:$BD$31,4,FALSE)&amp;"d "&amp;VLOOKUP(BaseTier,'Troop Data'!$AT$21:$BD$31,5,FALSE)&amp;":"&amp;VLOOKUP(BaseTier,'Troop Data'!$AT$21:$BD$31,6,FALSE)&amp;":"&amp;VLOOKUP(BaseTier,'Troop Data'!$AT$21:$AZ$31,7,FALSE)</f>
        <v>5d 9:37:46</v>
      </c>
      <c r="I35" s="435"/>
      <c r="J35" s="681">
        <f>VLOOKUP(BaseTier,'Troop Data'!$V$21:$AF$31,8,FALSE)/VLOOKUP(BaseTier,'Troop Data'!$V$21:$W$31,2,FALSE)*TrainQuantity</f>
        <v>164655000</v>
      </c>
      <c r="K35" s="681"/>
      <c r="L35" s="681">
        <f>VLOOKUP(BaseTier,'Troop Data'!$V$21:$AF$31,9,FALSE)/VLOOKUP(BaseTier,'Troop Data'!$V$21:$W$31,2,FALSE)*TrainQuantity</f>
        <v>155250000</v>
      </c>
      <c r="M35" s="681"/>
      <c r="N35" s="681">
        <f>VLOOKUP(BaseTier,'Troop Data'!$V$21:$AF$31,10,FALSE)/VLOOKUP(BaseTier,'Troop Data'!$V$21:$W$31,2,FALSE)*TrainQuantity</f>
        <v>31995000</v>
      </c>
      <c r="O35" s="681"/>
      <c r="P35" s="677">
        <f>VLOOKUP(BaseTier,'Troop Data'!$V$21:$AF$31,11,FALSE)/VLOOKUP(BaseTier,'Troop Data'!$V$21:$W$31,2,FALSE)*TrainQuantity</f>
        <v>7290000</v>
      </c>
      <c r="Q35" s="677"/>
    </row>
    <row r="36" spans="2:27" x14ac:dyDescent="0.3">
      <c r="B36" s="389" t="s">
        <v>606</v>
      </c>
      <c r="C36" s="450"/>
      <c r="D36" s="450"/>
      <c r="E36" s="390"/>
      <c r="G36" s="9" t="s">
        <v>164</v>
      </c>
      <c r="H36" s="653" t="str">
        <f>VLOOKUP(BaseTier,'Troop Data'!$AT$37:$BD$47,4,FALSE)&amp;"d "&amp;VLOOKUP(BaseTier,'Troop Data'!$AT$37:$BD$47,5,FALSE)&amp;":"&amp;VLOOKUP(BaseTier,'Troop Data'!$AT$37:$BD$47,6,FALSE)&amp;":"&amp;VLOOKUP(BaseTier,'Troop Data'!$AT$37:$AZ$47,7,FALSE)</f>
        <v>5d 9:37:46</v>
      </c>
      <c r="I36" s="654"/>
      <c r="J36" s="688">
        <f>VLOOKUP(BaseTier,'Troop Data'!$V$37:$AF$47,8,FALSE)/VLOOKUP(BaseTier,'Troop Data'!$V$37:$W$47,2,FALSE)*TrainQuantity</f>
        <v>188190000</v>
      </c>
      <c r="K36" s="688"/>
      <c r="L36" s="688">
        <f>VLOOKUP(BaseTier,'Troop Data'!$V$37:$AF$47,9,FALSE)/VLOOKUP(BaseTier,'Troop Data'!$V$37:$W$47,2,FALSE)*TrainQuantity</f>
        <v>141165000</v>
      </c>
      <c r="M36" s="688"/>
      <c r="N36" s="688">
        <f>VLOOKUP(BaseTier,'Troop Data'!$V$37:$AF$47,10,FALSE)/VLOOKUP(BaseTier,'Troop Data'!$V$37:$W$47,2,FALSE)*TrainQuantity</f>
        <v>32940000</v>
      </c>
      <c r="O36" s="688"/>
      <c r="P36" s="688">
        <f>VLOOKUP(BaseTier,'Troop Data'!$V$37:$AF$47,11,FALSE)/VLOOKUP(BaseTier,'Troop Data'!$V$37:$W$47,2,FALSE)*TrainQuantity</f>
        <v>6795000</v>
      </c>
      <c r="Q36" s="689"/>
    </row>
    <row r="37" spans="2:27" x14ac:dyDescent="0.3">
      <c r="B37" s="393" t="e">
        <f>Lists!A94&amp;"d "&amp;Lists!A95&amp;":"&amp;Lists!A96&amp;":"&amp;Lists!A97</f>
        <v>#N/A</v>
      </c>
      <c r="C37" s="451"/>
      <c r="D37" s="451"/>
      <c r="E37" s="394"/>
      <c r="G37" s="9" t="s">
        <v>267</v>
      </c>
      <c r="H37" s="653" t="str">
        <f>'Troop Data'!AW50&amp;"d "&amp;'Troop Data'!AX50&amp;":"&amp;'Troop Data'!AY50&amp;":"&amp;'Troop Data'!AZ50</f>
        <v>16d 4:53:19</v>
      </c>
      <c r="I37" s="654"/>
      <c r="J37" s="688">
        <f>SUM(J34:J36)</f>
        <v>541035000</v>
      </c>
      <c r="K37" s="688"/>
      <c r="L37" s="688">
        <f>SUM(L34:L36)</f>
        <v>437580000</v>
      </c>
      <c r="M37" s="688"/>
      <c r="N37" s="688">
        <f>SUM(N34:N36)</f>
        <v>97875000</v>
      </c>
      <c r="O37" s="688"/>
      <c r="P37" s="688">
        <f>SUM(P34:P36)</f>
        <v>20880000</v>
      </c>
      <c r="Q37" s="689"/>
    </row>
    <row r="38" spans="2:27" x14ac:dyDescent="0.3">
      <c r="G38" s="11" t="s">
        <v>355</v>
      </c>
      <c r="H38" s="500">
        <f>'Troop Data'!AV50/60*30</f>
        <v>699999.99999999977</v>
      </c>
      <c r="I38" s="502"/>
      <c r="J38" s="3" t="s">
        <v>611</v>
      </c>
      <c r="L38" s="500">
        <f>(VLOOKUP(UpgradeTier,B42:C52,2,FALSE)-VLOOKUP(BaseTier,B42:C52,2,FALSE))*TrainQuantity*3</f>
        <v>2025000</v>
      </c>
      <c r="M38" s="502"/>
      <c r="N38" s="3" t="s">
        <v>612</v>
      </c>
    </row>
    <row r="40" spans="2:27" x14ac:dyDescent="0.3">
      <c r="B40" s="426" t="s">
        <v>173</v>
      </c>
      <c r="C40" s="426"/>
      <c r="D40" s="426"/>
      <c r="E40" s="426"/>
      <c r="F40" s="426"/>
      <c r="G40" s="426"/>
      <c r="H40" s="426"/>
      <c r="I40" s="426"/>
      <c r="J40" s="426" t="str">
        <f>"To Upgrade All Existing Troops To Tier "&amp;UpgradeTier</f>
        <v>To Upgrade All Existing Troops To Tier 11</v>
      </c>
      <c r="K40" s="426"/>
      <c r="L40" s="426"/>
      <c r="M40" s="426"/>
      <c r="N40" s="426"/>
      <c r="O40" s="426"/>
      <c r="P40" s="426"/>
      <c r="Q40" s="426"/>
      <c r="R40" s="426"/>
      <c r="S40" s="426"/>
      <c r="T40" s="426"/>
      <c r="U40" s="426"/>
      <c r="W40" s="426" t="s">
        <v>715</v>
      </c>
      <c r="X40" s="426"/>
      <c r="Y40" s="426"/>
      <c r="Z40" s="426"/>
      <c r="AA40" s="426"/>
    </row>
    <row r="41" spans="2:27" x14ac:dyDescent="0.3">
      <c r="B41" s="14" t="s">
        <v>174</v>
      </c>
      <c r="C41" s="14" t="s">
        <v>78</v>
      </c>
      <c r="D41" s="389" t="s">
        <v>162</v>
      </c>
      <c r="E41" s="390"/>
      <c r="F41" s="389" t="s">
        <v>163</v>
      </c>
      <c r="G41" s="390"/>
      <c r="H41" s="686" t="s">
        <v>164</v>
      </c>
      <c r="I41" s="687"/>
      <c r="J41" s="389" t="s">
        <v>355</v>
      </c>
      <c r="K41" s="390"/>
      <c r="L41" s="376" t="s">
        <v>33</v>
      </c>
      <c r="M41" s="376"/>
      <c r="N41" s="376" t="s">
        <v>0</v>
      </c>
      <c r="O41" s="376"/>
      <c r="P41" s="376" t="s">
        <v>1</v>
      </c>
      <c r="Q41" s="376"/>
      <c r="R41" s="376" t="s">
        <v>2</v>
      </c>
      <c r="S41" s="376"/>
      <c r="T41" s="376" t="s">
        <v>3</v>
      </c>
      <c r="U41" s="376"/>
      <c r="W41" s="14" t="s">
        <v>704</v>
      </c>
      <c r="X41" s="14" t="s">
        <v>78</v>
      </c>
      <c r="Y41" s="14" t="s">
        <v>18</v>
      </c>
      <c r="Z41" s="14" t="s">
        <v>78</v>
      </c>
      <c r="AA41" s="14" t="s">
        <v>716</v>
      </c>
    </row>
    <row r="42" spans="2:27" x14ac:dyDescent="0.3">
      <c r="B42" s="211">
        <v>1</v>
      </c>
      <c r="C42" s="144">
        <v>3</v>
      </c>
      <c r="D42" s="671"/>
      <c r="E42" s="672"/>
      <c r="F42" s="671"/>
      <c r="G42" s="672"/>
      <c r="H42" s="671"/>
      <c r="I42" s="672"/>
      <c r="J42" s="429">
        <f t="shared" ref="J42:J52" si="0">SUM($D42:$H42)*(VLOOKUP(UpgradeTier,$B$42:$C$52,2,FALSE)-VLOOKUP($B42,$B$42:$C$52,2,FALSE))</f>
        <v>0</v>
      </c>
      <c r="K42" s="430"/>
      <c r="L42" s="472" t="str">
        <f>IF(UpgradeTier&gt;B42,IF(D42&gt;0,'Troop Data'!BI53&amp;"d "&amp;'Troop Data'!BJ53&amp;":"&amp;'Troop Data'!BK53&amp;":"&amp;'Troop Data'!BL53,"-"),"-")</f>
        <v>-</v>
      </c>
      <c r="M42" s="473"/>
      <c r="N42" s="684">
        <f>'Troop Data'!BM53</f>
        <v>0</v>
      </c>
      <c r="O42" s="685"/>
      <c r="P42" s="684">
        <f>'Troop Data'!BN53</f>
        <v>0</v>
      </c>
      <c r="Q42" s="685"/>
      <c r="R42" s="684">
        <f>'Troop Data'!BO53</f>
        <v>0</v>
      </c>
      <c r="S42" s="685"/>
      <c r="T42" s="684">
        <f>'Troop Data'!BP53</f>
        <v>0</v>
      </c>
      <c r="U42" s="685"/>
      <c r="W42" s="20" t="s">
        <v>705</v>
      </c>
      <c r="X42" s="143">
        <v>3</v>
      </c>
      <c r="Y42" s="143">
        <v>47</v>
      </c>
      <c r="Z42" s="143">
        <f>$X$51-X42</f>
        <v>57</v>
      </c>
      <c r="AA42" s="25">
        <f t="shared" ref="AA42:AA50" si="1">Z42/Y42</f>
        <v>1.2127659574468086</v>
      </c>
    </row>
    <row r="43" spans="2:27" x14ac:dyDescent="0.3">
      <c r="B43" s="213">
        <v>2</v>
      </c>
      <c r="C43" s="21">
        <v>4</v>
      </c>
      <c r="D43" s="671"/>
      <c r="E43" s="672"/>
      <c r="F43" s="671"/>
      <c r="G43" s="672"/>
      <c r="H43" s="671"/>
      <c r="I43" s="672"/>
      <c r="J43" s="431">
        <f t="shared" si="0"/>
        <v>0</v>
      </c>
      <c r="K43" s="432"/>
      <c r="L43" s="463" t="str">
        <f>IF(UpgradeTier&gt;B43,IF(D43&gt;0,'Troop Data'!BI54&amp;"d "&amp;'Troop Data'!BJ54&amp;":"&amp;'Troop Data'!BK54&amp;":"&amp;'Troop Data'!BL54,"-"),"-")</f>
        <v>-</v>
      </c>
      <c r="M43" s="464"/>
      <c r="N43" s="681">
        <f>'Troop Data'!BM54</f>
        <v>0</v>
      </c>
      <c r="O43" s="677"/>
      <c r="P43" s="681">
        <f>'Troop Data'!BN54</f>
        <v>0</v>
      </c>
      <c r="Q43" s="677"/>
      <c r="R43" s="681">
        <f>'Troop Data'!BO54</f>
        <v>0</v>
      </c>
      <c r="S43" s="677"/>
      <c r="T43" s="677">
        <f>'Troop Data'!BP54</f>
        <v>0</v>
      </c>
      <c r="U43" s="677"/>
      <c r="W43" s="15" t="s">
        <v>706</v>
      </c>
      <c r="X43" s="1">
        <v>4</v>
      </c>
      <c r="Y43" s="1">
        <v>45</v>
      </c>
      <c r="Z43" s="1">
        <f t="shared" ref="Z43:Z50" si="2">$X$51-X43</f>
        <v>56</v>
      </c>
      <c r="AA43" s="19">
        <f t="shared" si="1"/>
        <v>1.2444444444444445</v>
      </c>
    </row>
    <row r="44" spans="2:27" x14ac:dyDescent="0.3">
      <c r="B44" s="213">
        <v>3</v>
      </c>
      <c r="C44" s="21">
        <v>5</v>
      </c>
      <c r="D44" s="671"/>
      <c r="E44" s="672"/>
      <c r="F44" s="671"/>
      <c r="G44" s="672"/>
      <c r="H44" s="671"/>
      <c r="I44" s="672"/>
      <c r="J44" s="431">
        <f t="shared" si="0"/>
        <v>0</v>
      </c>
      <c r="K44" s="432"/>
      <c r="L44" s="463" t="str">
        <f>IF(UpgradeTier&gt;B44,IF(D44&gt;0,'Troop Data'!BI55&amp;"d "&amp;'Troop Data'!BJ55&amp;":"&amp;'Troop Data'!BK55&amp;":"&amp;'Troop Data'!BL55,"-"),"-")</f>
        <v>-</v>
      </c>
      <c r="M44" s="464"/>
      <c r="N44" s="681">
        <f>'Troop Data'!BM55</f>
        <v>0</v>
      </c>
      <c r="O44" s="677"/>
      <c r="P44" s="681">
        <f>'Troop Data'!BN55</f>
        <v>0</v>
      </c>
      <c r="Q44" s="677"/>
      <c r="R44" s="681">
        <f>'Troop Data'!BO55</f>
        <v>0</v>
      </c>
      <c r="S44" s="677"/>
      <c r="T44" s="677">
        <f>'Troop Data'!BP55</f>
        <v>0</v>
      </c>
      <c r="U44" s="677"/>
      <c r="W44" s="15" t="s">
        <v>707</v>
      </c>
      <c r="X44" s="1">
        <v>5</v>
      </c>
      <c r="Y44" s="1">
        <v>43</v>
      </c>
      <c r="Z44" s="1">
        <f t="shared" si="2"/>
        <v>55</v>
      </c>
      <c r="AA44" s="19">
        <f t="shared" si="1"/>
        <v>1.2790697674418605</v>
      </c>
    </row>
    <row r="45" spans="2:27" x14ac:dyDescent="0.3">
      <c r="B45" s="213">
        <v>4</v>
      </c>
      <c r="C45" s="21">
        <v>8</v>
      </c>
      <c r="D45" s="671"/>
      <c r="E45" s="672"/>
      <c r="F45" s="671"/>
      <c r="G45" s="672"/>
      <c r="H45" s="671"/>
      <c r="I45" s="672"/>
      <c r="J45" s="431">
        <f t="shared" si="0"/>
        <v>0</v>
      </c>
      <c r="K45" s="432"/>
      <c r="L45" s="463" t="str">
        <f>IF(UpgradeTier&gt;B45,IF(D45&gt;0,'Troop Data'!BI56&amp;"d "&amp;'Troop Data'!BJ56&amp;":"&amp;'Troop Data'!BK56&amp;":"&amp;'Troop Data'!BL56,"-"),"-")</f>
        <v>-</v>
      </c>
      <c r="M45" s="464"/>
      <c r="N45" s="681">
        <f>'Troop Data'!BM56</f>
        <v>0</v>
      </c>
      <c r="O45" s="677"/>
      <c r="P45" s="681">
        <f>'Troop Data'!BN56</f>
        <v>0</v>
      </c>
      <c r="Q45" s="677"/>
      <c r="R45" s="681">
        <f>'Troop Data'!BO56</f>
        <v>0</v>
      </c>
      <c r="S45" s="677"/>
      <c r="T45" s="677">
        <f>'Troop Data'!BP56</f>
        <v>0</v>
      </c>
      <c r="U45" s="677"/>
      <c r="W45" s="15" t="s">
        <v>708</v>
      </c>
      <c r="X45" s="1">
        <v>8</v>
      </c>
      <c r="Y45" s="1">
        <v>40</v>
      </c>
      <c r="Z45" s="1">
        <f t="shared" si="2"/>
        <v>52</v>
      </c>
      <c r="AA45" s="19">
        <f t="shared" si="1"/>
        <v>1.3</v>
      </c>
    </row>
    <row r="46" spans="2:27" x14ac:dyDescent="0.3">
      <c r="B46" s="213">
        <v>5</v>
      </c>
      <c r="C46" s="21">
        <v>12</v>
      </c>
      <c r="D46" s="671"/>
      <c r="E46" s="672"/>
      <c r="F46" s="671"/>
      <c r="G46" s="672"/>
      <c r="H46" s="671"/>
      <c r="I46" s="672"/>
      <c r="J46" s="431">
        <f t="shared" si="0"/>
        <v>0</v>
      </c>
      <c r="K46" s="432"/>
      <c r="L46" s="463" t="str">
        <f>IF(UpgradeTier&gt;B46,IF(D46&gt;0,'Troop Data'!BI57&amp;"d "&amp;'Troop Data'!BJ57&amp;":"&amp;'Troop Data'!BK57&amp;":"&amp;'Troop Data'!BL57,"-"),"-")</f>
        <v>-</v>
      </c>
      <c r="M46" s="464"/>
      <c r="N46" s="681">
        <f>'Troop Data'!BM57</f>
        <v>0</v>
      </c>
      <c r="O46" s="677"/>
      <c r="P46" s="681">
        <f>'Troop Data'!BN57</f>
        <v>0</v>
      </c>
      <c r="Q46" s="677"/>
      <c r="R46" s="681">
        <f>'Troop Data'!BO57</f>
        <v>0</v>
      </c>
      <c r="S46" s="677"/>
      <c r="T46" s="677">
        <f>'Troop Data'!BP57</f>
        <v>0</v>
      </c>
      <c r="U46" s="677"/>
      <c r="W46" s="15" t="s">
        <v>709</v>
      </c>
      <c r="X46" s="1">
        <v>12</v>
      </c>
      <c r="Y46" s="1">
        <v>36</v>
      </c>
      <c r="Z46" s="1">
        <f t="shared" si="2"/>
        <v>48</v>
      </c>
      <c r="AA46" s="19">
        <f t="shared" si="1"/>
        <v>1.3333333333333333</v>
      </c>
    </row>
    <row r="47" spans="2:27" x14ac:dyDescent="0.3">
      <c r="B47" s="213">
        <v>6</v>
      </c>
      <c r="C47" s="21">
        <v>18</v>
      </c>
      <c r="D47" s="671"/>
      <c r="E47" s="672"/>
      <c r="F47" s="671"/>
      <c r="G47" s="672"/>
      <c r="H47" s="671"/>
      <c r="I47" s="672"/>
      <c r="J47" s="431">
        <f t="shared" si="0"/>
        <v>0</v>
      </c>
      <c r="K47" s="432"/>
      <c r="L47" s="463" t="str">
        <f>IF(UpgradeTier&gt;B47,IF(D47&gt;0,'Troop Data'!BI58&amp;"d "&amp;'Troop Data'!BJ58&amp;":"&amp;'Troop Data'!BK58&amp;":"&amp;'Troop Data'!BL58,"-"),"-")</f>
        <v>-</v>
      </c>
      <c r="M47" s="464"/>
      <c r="N47" s="681">
        <f>'Troop Data'!BM58</f>
        <v>0</v>
      </c>
      <c r="O47" s="677"/>
      <c r="P47" s="681">
        <f>'Troop Data'!BN58</f>
        <v>0</v>
      </c>
      <c r="Q47" s="677"/>
      <c r="R47" s="681">
        <f>'Troop Data'!BO58</f>
        <v>0</v>
      </c>
      <c r="S47" s="677"/>
      <c r="T47" s="677">
        <f>'Troop Data'!BP58</f>
        <v>0</v>
      </c>
      <c r="U47" s="677"/>
      <c r="V47" s="8"/>
      <c r="W47" s="15" t="s">
        <v>710</v>
      </c>
      <c r="X47" s="1">
        <v>18</v>
      </c>
      <c r="Y47" s="1">
        <v>31</v>
      </c>
      <c r="Z47" s="1">
        <f t="shared" si="2"/>
        <v>42</v>
      </c>
      <c r="AA47" s="19">
        <f t="shared" si="1"/>
        <v>1.3548387096774193</v>
      </c>
    </row>
    <row r="48" spans="2:27" x14ac:dyDescent="0.3">
      <c r="B48" s="213">
        <v>7</v>
      </c>
      <c r="C48" s="21">
        <v>25</v>
      </c>
      <c r="D48" s="671"/>
      <c r="E48" s="672"/>
      <c r="F48" s="671"/>
      <c r="G48" s="672"/>
      <c r="H48" s="671"/>
      <c r="I48" s="672"/>
      <c r="J48" s="431">
        <f t="shared" si="0"/>
        <v>0</v>
      </c>
      <c r="K48" s="432"/>
      <c r="L48" s="463" t="str">
        <f>IF(UpgradeTier&gt;B48,IF(D48&gt;0,'Troop Data'!BI59&amp;"d "&amp;'Troop Data'!BJ59&amp;":"&amp;'Troop Data'!BK59&amp;":"&amp;'Troop Data'!BL59,"-"),"-")</f>
        <v>-</v>
      </c>
      <c r="M48" s="464"/>
      <c r="N48" s="681">
        <f>'Troop Data'!BM59</f>
        <v>0</v>
      </c>
      <c r="O48" s="677"/>
      <c r="P48" s="681">
        <f>'Troop Data'!BN59</f>
        <v>0</v>
      </c>
      <c r="Q48" s="677"/>
      <c r="R48" s="681">
        <f>'Troop Data'!BO59</f>
        <v>0</v>
      </c>
      <c r="S48" s="677"/>
      <c r="T48" s="677">
        <f>'Troop Data'!BP59</f>
        <v>0</v>
      </c>
      <c r="U48" s="677"/>
      <c r="W48" s="15" t="s">
        <v>711</v>
      </c>
      <c r="X48" s="1">
        <v>25</v>
      </c>
      <c r="Y48" s="1">
        <v>23</v>
      </c>
      <c r="Z48" s="1">
        <f t="shared" si="2"/>
        <v>35</v>
      </c>
      <c r="AA48" s="19">
        <f t="shared" si="1"/>
        <v>1.5217391304347827</v>
      </c>
    </row>
    <row r="49" spans="1:27" x14ac:dyDescent="0.3">
      <c r="B49" s="213">
        <v>8</v>
      </c>
      <c r="C49" s="21">
        <v>35</v>
      </c>
      <c r="D49" s="671"/>
      <c r="E49" s="672"/>
      <c r="F49" s="671"/>
      <c r="G49" s="672"/>
      <c r="H49" s="671"/>
      <c r="I49" s="672"/>
      <c r="J49" s="431">
        <f t="shared" si="0"/>
        <v>0</v>
      </c>
      <c r="K49" s="432"/>
      <c r="L49" s="463" t="str">
        <f>IF(UpgradeTier&gt;B49,IF(D49&gt;0,'Troop Data'!BI60&amp;"d "&amp;'Troop Data'!BJ60&amp;":"&amp;'Troop Data'!BK60&amp;":"&amp;'Troop Data'!BL60,"-"),"-")</f>
        <v>-</v>
      </c>
      <c r="M49" s="464"/>
      <c r="N49" s="681">
        <f>'Troop Data'!BM60</f>
        <v>0</v>
      </c>
      <c r="O49" s="677"/>
      <c r="P49" s="681">
        <f>'Troop Data'!BN60</f>
        <v>0</v>
      </c>
      <c r="Q49" s="677"/>
      <c r="R49" s="681">
        <f>'Troop Data'!BO60</f>
        <v>0</v>
      </c>
      <c r="S49" s="677"/>
      <c r="T49" s="677">
        <f>'Troop Data'!BP60</f>
        <v>0</v>
      </c>
      <c r="U49" s="677"/>
      <c r="W49" s="15" t="s">
        <v>712</v>
      </c>
      <c r="X49" s="1">
        <v>35</v>
      </c>
      <c r="Y49" s="1">
        <v>13</v>
      </c>
      <c r="Z49" s="1">
        <f t="shared" si="2"/>
        <v>25</v>
      </c>
      <c r="AA49" s="19">
        <f t="shared" si="1"/>
        <v>1.9230769230769231</v>
      </c>
    </row>
    <row r="50" spans="1:27" x14ac:dyDescent="0.3">
      <c r="B50" s="213">
        <v>9</v>
      </c>
      <c r="C50" s="21">
        <v>45</v>
      </c>
      <c r="D50" s="671"/>
      <c r="E50" s="672"/>
      <c r="F50" s="671"/>
      <c r="G50" s="672"/>
      <c r="H50" s="671"/>
      <c r="I50" s="672"/>
      <c r="J50" s="431">
        <f t="shared" si="0"/>
        <v>0</v>
      </c>
      <c r="K50" s="432"/>
      <c r="L50" s="463" t="str">
        <f>IF(UpgradeTier&gt;B50,IF(D50&gt;0,'Troop Data'!BI61&amp;"d "&amp;'Troop Data'!BJ61&amp;":"&amp;'Troop Data'!BK61&amp;":"&amp;'Troop Data'!BL61,"-"),"-")</f>
        <v>-</v>
      </c>
      <c r="M50" s="464"/>
      <c r="N50" s="681">
        <f>'Troop Data'!BM61</f>
        <v>0</v>
      </c>
      <c r="O50" s="677"/>
      <c r="P50" s="681">
        <f>'Troop Data'!BN61</f>
        <v>0</v>
      </c>
      <c r="Q50" s="677"/>
      <c r="R50" s="681">
        <f>'Troop Data'!BO61</f>
        <v>0</v>
      </c>
      <c r="S50" s="677"/>
      <c r="T50" s="677">
        <f>'Troop Data'!BP61</f>
        <v>0</v>
      </c>
      <c r="U50" s="677"/>
      <c r="W50" s="15" t="s">
        <v>713</v>
      </c>
      <c r="X50" s="1">
        <v>45</v>
      </c>
      <c r="Y50" s="1">
        <v>7</v>
      </c>
      <c r="Z50" s="1">
        <f t="shared" si="2"/>
        <v>15</v>
      </c>
      <c r="AA50" s="19">
        <f t="shared" si="1"/>
        <v>2.1428571428571428</v>
      </c>
    </row>
    <row r="51" spans="1:27" x14ac:dyDescent="0.3">
      <c r="B51" s="213">
        <v>10</v>
      </c>
      <c r="C51" s="21">
        <v>60</v>
      </c>
      <c r="D51" s="671">
        <v>45000</v>
      </c>
      <c r="E51" s="672"/>
      <c r="F51" s="671">
        <v>45000</v>
      </c>
      <c r="G51" s="672"/>
      <c r="H51" s="675">
        <v>45000</v>
      </c>
      <c r="I51" s="676"/>
      <c r="J51" s="431">
        <f t="shared" si="0"/>
        <v>2025000</v>
      </c>
      <c r="K51" s="432"/>
      <c r="L51" s="463" t="str">
        <f>IF(UpgradeTier&gt;B51,IF(D51&gt;0,'Troop Data'!BI62&amp;"d "&amp;'Troop Data'!BJ62&amp;":"&amp;'Troop Data'!BK62&amp;":"&amp;'Troop Data'!BL62,"-"),"-")</f>
        <v>16d 4:53:19</v>
      </c>
      <c r="M51" s="464"/>
      <c r="N51" s="681">
        <f>'Troop Data'!BM62</f>
        <v>470475000</v>
      </c>
      <c r="O51" s="677"/>
      <c r="P51" s="681">
        <f>'Troop Data'!BN62</f>
        <v>470520000</v>
      </c>
      <c r="Q51" s="677"/>
      <c r="R51" s="681">
        <f>'Troop Data'!BO62</f>
        <v>94095000</v>
      </c>
      <c r="S51" s="677"/>
      <c r="T51" s="677">
        <f>'Troop Data'!BP62</f>
        <v>23490000</v>
      </c>
      <c r="U51" s="677"/>
      <c r="W51" s="17" t="s">
        <v>714</v>
      </c>
      <c r="X51" s="145">
        <v>60</v>
      </c>
      <c r="Y51" s="404" t="s">
        <v>717</v>
      </c>
      <c r="Z51" s="405"/>
      <c r="AA51" s="94">
        <f>X51/54</f>
        <v>1.1111111111111112</v>
      </c>
    </row>
    <row r="52" spans="1:27" x14ac:dyDescent="0.3">
      <c r="B52" s="210">
        <v>11</v>
      </c>
      <c r="C52" s="22">
        <v>75</v>
      </c>
      <c r="D52" s="671">
        <v>1000000</v>
      </c>
      <c r="E52" s="672"/>
      <c r="F52" s="671">
        <v>950000</v>
      </c>
      <c r="G52" s="672"/>
      <c r="H52" s="671">
        <v>1100000</v>
      </c>
      <c r="I52" s="672"/>
      <c r="J52" s="433">
        <f t="shared" si="0"/>
        <v>0</v>
      </c>
      <c r="K52" s="434"/>
      <c r="L52" s="463" t="str">
        <f>IF(UpgradeTier&gt;B52,IF(D52&gt;0,'Troop Data'!BI63&amp;"d "&amp;'Troop Data'!BJ63&amp;":"&amp;'Troop Data'!BK63&amp;":"&amp;'Troop Data'!BL63,"-"),"-")</f>
        <v>-</v>
      </c>
      <c r="M52" s="464"/>
      <c r="N52" s="681" t="str">
        <f>'Troop Data'!BM63</f>
        <v>-</v>
      </c>
      <c r="O52" s="677"/>
      <c r="P52" s="681" t="str">
        <f>'Troop Data'!BN63</f>
        <v>-</v>
      </c>
      <c r="Q52" s="677"/>
      <c r="R52" s="681" t="str">
        <f>'Troop Data'!BO63</f>
        <v>-</v>
      </c>
      <c r="S52" s="677"/>
      <c r="T52" s="681" t="str">
        <f>'Troop Data'!BP63</f>
        <v>-</v>
      </c>
      <c r="U52" s="677"/>
      <c r="W52" s="1"/>
      <c r="X52" s="1"/>
    </row>
    <row r="53" spans="1:27" x14ac:dyDescent="0.3">
      <c r="C53" s="200" t="str">
        <f>"Total T"&amp;UpgradeTier&amp;"'s"</f>
        <v>Total T11's</v>
      </c>
      <c r="D53" s="673">
        <f>SUM(D42:D52)</f>
        <v>1045000</v>
      </c>
      <c r="E53" s="674"/>
      <c r="F53" s="673">
        <f>SUM(F42:F52)</f>
        <v>995000</v>
      </c>
      <c r="G53" s="674"/>
      <c r="H53" s="673">
        <f>SUM(H42:H52)</f>
        <v>1145000</v>
      </c>
      <c r="I53" s="674"/>
      <c r="J53" s="703"/>
      <c r="K53" s="704"/>
      <c r="L53" s="455" t="str">
        <f>'Troop Data'!BI64&amp;"d "&amp;'Troop Data'!BJ64&amp;":"&amp;'Troop Data'!BK64&amp;":"&amp;'Troop Data'!BL64</f>
        <v>16d 4:53:19</v>
      </c>
      <c r="M53" s="456"/>
      <c r="N53" s="680">
        <f>SUM(N42:N52)</f>
        <v>470475000</v>
      </c>
      <c r="O53" s="434"/>
      <c r="P53" s="680">
        <f>SUM(P42:P52)</f>
        <v>470520000</v>
      </c>
      <c r="Q53" s="434"/>
      <c r="R53" s="680">
        <f>SUM(R42:R52)</f>
        <v>94095000</v>
      </c>
      <c r="S53" s="434"/>
      <c r="T53" s="680">
        <f>SUM(T42:T52)</f>
        <v>23490000</v>
      </c>
      <c r="U53" s="434"/>
    </row>
    <row r="54" spans="1:27" x14ac:dyDescent="0.3">
      <c r="A54" s="8"/>
      <c r="I54" s="11" t="s">
        <v>613</v>
      </c>
      <c r="J54" s="699">
        <f>SUM(J42:K52)</f>
        <v>2025000</v>
      </c>
      <c r="K54" s="700"/>
      <c r="L54" s="682">
        <f>'Troop Data'!BH64/60*30</f>
        <v>699999.99999999977</v>
      </c>
      <c r="M54" s="683"/>
      <c r="N54" s="51" t="s">
        <v>614</v>
      </c>
      <c r="O54" s="8"/>
      <c r="P54" s="8"/>
      <c r="Q54" s="8"/>
      <c r="R54" s="8"/>
      <c r="S54" s="8"/>
      <c r="T54" s="8"/>
      <c r="U54" s="8"/>
    </row>
    <row r="55" spans="1:27" x14ac:dyDescent="0.3">
      <c r="A55" s="8"/>
      <c r="C55" s="209" t="s">
        <v>680</v>
      </c>
      <c r="D55" s="209" t="s">
        <v>681</v>
      </c>
      <c r="E55" s="209" t="s">
        <v>682</v>
      </c>
      <c r="G55" s="8"/>
      <c r="H55" s="8"/>
      <c r="I55" s="8"/>
      <c r="J55" s="8"/>
      <c r="K55" s="8"/>
      <c r="L55" s="8"/>
      <c r="M55" s="8"/>
      <c r="N55" s="8"/>
      <c r="O55" s="8"/>
      <c r="P55" s="8"/>
      <c r="Q55" s="8"/>
      <c r="R55" s="8"/>
    </row>
    <row r="56" spans="1:27" x14ac:dyDescent="0.3">
      <c r="A56" s="8"/>
      <c r="B56" s="11" t="s">
        <v>679</v>
      </c>
      <c r="C56" s="87">
        <f>LARGE($D$53:$I$53,1)-D53</f>
        <v>100000</v>
      </c>
      <c r="D56" s="87">
        <f>LARGE($D$53:$I$53,1)-F53</f>
        <v>150000</v>
      </c>
      <c r="E56" s="87">
        <f>LARGE($D$53:$I$53,1)-H53</f>
        <v>0</v>
      </c>
      <c r="G56" s="8"/>
      <c r="H56" s="426" t="s">
        <v>181</v>
      </c>
      <c r="I56" s="426"/>
      <c r="J56" s="426"/>
      <c r="K56" s="426"/>
      <c r="L56" s="426"/>
      <c r="M56" s="426"/>
      <c r="N56" s="426"/>
      <c r="O56" s="426"/>
    </row>
    <row r="57" spans="1:27" x14ac:dyDescent="0.3">
      <c r="A57" s="8"/>
      <c r="F57" s="8"/>
      <c r="G57" s="8"/>
      <c r="H57" s="389" t="s">
        <v>0</v>
      </c>
      <c r="I57" s="390"/>
      <c r="J57" s="389" t="s">
        <v>1</v>
      </c>
      <c r="K57" s="390"/>
      <c r="L57" s="389" t="s">
        <v>2</v>
      </c>
      <c r="M57" s="390"/>
      <c r="N57" s="389" t="s">
        <v>3</v>
      </c>
      <c r="O57" s="390"/>
    </row>
    <row r="58" spans="1:27" x14ac:dyDescent="0.3">
      <c r="A58" s="8"/>
      <c r="B58" s="8"/>
      <c r="G58" s="9" t="s">
        <v>30</v>
      </c>
      <c r="H58" s="452">
        <f>N53</f>
        <v>470475000</v>
      </c>
      <c r="I58" s="453"/>
      <c r="J58" s="678">
        <f>P53</f>
        <v>470520000</v>
      </c>
      <c r="K58" s="453"/>
      <c r="L58" s="678">
        <f>R53</f>
        <v>94095000</v>
      </c>
      <c r="M58" s="453"/>
      <c r="N58" s="678">
        <f>T53</f>
        <v>23490000</v>
      </c>
      <c r="O58" s="453"/>
    </row>
    <row r="59" spans="1:27" x14ac:dyDescent="0.3">
      <c r="A59" s="8"/>
      <c r="B59" s="8"/>
      <c r="G59" s="9" t="s">
        <v>604</v>
      </c>
      <c r="H59" s="436">
        <f>Construction!H6-Construction!V41</f>
        <v>3461500000</v>
      </c>
      <c r="I59" s="392"/>
      <c r="J59" s="391">
        <f>Construction!J6-Construction!V42</f>
        <v>3461500000</v>
      </c>
      <c r="K59" s="392"/>
      <c r="L59" s="391">
        <f>Construction!L6-Construction!V43</f>
        <v>687625000</v>
      </c>
      <c r="M59" s="392"/>
      <c r="N59" s="391">
        <f>Construction!N6-Construction!V44</f>
        <v>422650000</v>
      </c>
      <c r="O59" s="392"/>
    </row>
    <row r="60" spans="1:27" x14ac:dyDescent="0.3">
      <c r="A60" s="8"/>
      <c r="B60" s="10"/>
      <c r="G60" s="9" t="s">
        <v>32</v>
      </c>
      <c r="H60" s="465" t="str">
        <f>IF(H58-H59&lt;1,"-",H58-H59)</f>
        <v>-</v>
      </c>
      <c r="I60" s="466"/>
      <c r="J60" s="679" t="str">
        <f>IF(J58-J59&lt;1,"-",J58-J59)</f>
        <v>-</v>
      </c>
      <c r="K60" s="466"/>
      <c r="L60" s="679" t="str">
        <f>IF(L58-L59&lt;1,"-",L58-L59)</f>
        <v>-</v>
      </c>
      <c r="M60" s="466"/>
      <c r="N60" s="679" t="str">
        <f>IF(N58-N59&lt;1,"-",N58-N59)</f>
        <v>-</v>
      </c>
      <c r="O60" s="466"/>
    </row>
    <row r="61" spans="1:27" x14ac:dyDescent="0.3">
      <c r="A61" s="8"/>
      <c r="B61" s="10"/>
      <c r="G61" s="8"/>
      <c r="H61" s="404" t="s">
        <v>182</v>
      </c>
      <c r="I61" s="486"/>
      <c r="J61" s="486"/>
      <c r="K61" s="486"/>
      <c r="L61" s="486"/>
      <c r="M61" s="486"/>
      <c r="N61" s="486"/>
      <c r="O61" s="405"/>
    </row>
  </sheetData>
  <sheetProtection sheet="1" objects="1" scenarios="1" formatColumns="0"/>
  <mergeCells count="281">
    <mergeCell ref="J54:K54"/>
    <mergeCell ref="B5:D5"/>
    <mergeCell ref="H36:I36"/>
    <mergeCell ref="H7:I7"/>
    <mergeCell ref="H8:I8"/>
    <mergeCell ref="H9:I9"/>
    <mergeCell ref="B14:D14"/>
    <mergeCell ref="H20:I20"/>
    <mergeCell ref="B10:D10"/>
    <mergeCell ref="H15:I15"/>
    <mergeCell ref="J15:K15"/>
    <mergeCell ref="J8:K8"/>
    <mergeCell ref="B23:C23"/>
    <mergeCell ref="B27:E27"/>
    <mergeCell ref="H29:I29"/>
    <mergeCell ref="J29:K29"/>
    <mergeCell ref="B32:E32"/>
    <mergeCell ref="H17:I17"/>
    <mergeCell ref="J17:K17"/>
    <mergeCell ref="F6:F7"/>
    <mergeCell ref="B30:E30"/>
    <mergeCell ref="H26:I26"/>
    <mergeCell ref="J11:K11"/>
    <mergeCell ref="J53:K53"/>
    <mergeCell ref="H4:Q4"/>
    <mergeCell ref="H10:I10"/>
    <mergeCell ref="H11:I11"/>
    <mergeCell ref="P26:Q26"/>
    <mergeCell ref="J52:K52"/>
    <mergeCell ref="N48:O48"/>
    <mergeCell ref="N47:O47"/>
    <mergeCell ref="L47:M47"/>
    <mergeCell ref="L48:M48"/>
    <mergeCell ref="L46:M46"/>
    <mergeCell ref="N33:O33"/>
    <mergeCell ref="N34:O34"/>
    <mergeCell ref="L38:M38"/>
    <mergeCell ref="J25:K25"/>
    <mergeCell ref="L25:M25"/>
    <mergeCell ref="N25:O25"/>
    <mergeCell ref="P15:Q15"/>
    <mergeCell ref="H19:I19"/>
    <mergeCell ref="J19:K19"/>
    <mergeCell ref="J50:K50"/>
    <mergeCell ref="L12:M12"/>
    <mergeCell ref="L20:M20"/>
    <mergeCell ref="P25:Q25"/>
    <mergeCell ref="L17:M17"/>
    <mergeCell ref="J51:K51"/>
    <mergeCell ref="H37:I37"/>
    <mergeCell ref="J37:K37"/>
    <mergeCell ref="L37:M37"/>
    <mergeCell ref="L45:M45"/>
    <mergeCell ref="P44:Q44"/>
    <mergeCell ref="P45:Q45"/>
    <mergeCell ref="L26:M26"/>
    <mergeCell ref="H24:Q24"/>
    <mergeCell ref="P27:Q27"/>
    <mergeCell ref="J26:K26"/>
    <mergeCell ref="N28:O28"/>
    <mergeCell ref="H32:Q32"/>
    <mergeCell ref="N35:O35"/>
    <mergeCell ref="H33:I33"/>
    <mergeCell ref="J33:K33"/>
    <mergeCell ref="L30:M30"/>
    <mergeCell ref="H30:I30"/>
    <mergeCell ref="H46:I46"/>
    <mergeCell ref="H45:I45"/>
    <mergeCell ref="H44:I44"/>
    <mergeCell ref="N45:O45"/>
    <mergeCell ref="N42:O42"/>
    <mergeCell ref="N41:O41"/>
    <mergeCell ref="L53:M53"/>
    <mergeCell ref="N53:O53"/>
    <mergeCell ref="N52:O52"/>
    <mergeCell ref="N51:O51"/>
    <mergeCell ref="N50:O50"/>
    <mergeCell ref="N49:O49"/>
    <mergeCell ref="L49:M49"/>
    <mergeCell ref="L50:M50"/>
    <mergeCell ref="L51:M51"/>
    <mergeCell ref="L52:M52"/>
    <mergeCell ref="A1:R2"/>
    <mergeCell ref="B28:E28"/>
    <mergeCell ref="B29:E29"/>
    <mergeCell ref="B33:E33"/>
    <mergeCell ref="B34:E34"/>
    <mergeCell ref="B36:E36"/>
    <mergeCell ref="J36:K36"/>
    <mergeCell ref="B4:E4"/>
    <mergeCell ref="H6:Q6"/>
    <mergeCell ref="N9:O9"/>
    <mergeCell ref="P16:Q16"/>
    <mergeCell ref="N10:O10"/>
    <mergeCell ref="N11:O11"/>
    <mergeCell ref="B6:D6"/>
    <mergeCell ref="B8:D8"/>
    <mergeCell ref="B7:D7"/>
    <mergeCell ref="P18:Q18"/>
    <mergeCell ref="L15:M15"/>
    <mergeCell ref="N29:O29"/>
    <mergeCell ref="L29:M29"/>
    <mergeCell ref="P17:Q17"/>
    <mergeCell ref="L8:M8"/>
    <mergeCell ref="F8:F9"/>
    <mergeCell ref="N8:O8"/>
    <mergeCell ref="P19:Q19"/>
    <mergeCell ref="H22:Q22"/>
    <mergeCell ref="P28:Q28"/>
    <mergeCell ref="P29:Q29"/>
    <mergeCell ref="H28:I28"/>
    <mergeCell ref="J28:K28"/>
    <mergeCell ref="L28:M28"/>
    <mergeCell ref="N19:O19"/>
    <mergeCell ref="L19:M19"/>
    <mergeCell ref="P7:Q7"/>
    <mergeCell ref="N7:O7"/>
    <mergeCell ref="H12:I12"/>
    <mergeCell ref="H14:Q14"/>
    <mergeCell ref="P8:Q8"/>
    <mergeCell ref="P9:Q9"/>
    <mergeCell ref="P10:Q10"/>
    <mergeCell ref="P11:Q11"/>
    <mergeCell ref="L7:M7"/>
    <mergeCell ref="J7:K7"/>
    <mergeCell ref="J9:K9"/>
    <mergeCell ref="J10:K10"/>
    <mergeCell ref="P41:Q41"/>
    <mergeCell ref="P43:Q43"/>
    <mergeCell ref="P33:Q33"/>
    <mergeCell ref="P34:Q34"/>
    <mergeCell ref="P35:Q35"/>
    <mergeCell ref="L33:M33"/>
    <mergeCell ref="D23:E23"/>
    <mergeCell ref="N26:O26"/>
    <mergeCell ref="B22:E22"/>
    <mergeCell ref="B31:E31"/>
    <mergeCell ref="B37:E37"/>
    <mergeCell ref="N36:O36"/>
    <mergeCell ref="P36:Q36"/>
    <mergeCell ref="H34:I34"/>
    <mergeCell ref="B35:E35"/>
    <mergeCell ref="H35:I35"/>
    <mergeCell ref="J35:K35"/>
    <mergeCell ref="L35:M35"/>
    <mergeCell ref="B9:D9"/>
    <mergeCell ref="H18:I18"/>
    <mergeCell ref="J18:K18"/>
    <mergeCell ref="L18:M18"/>
    <mergeCell ref="N18:O18"/>
    <mergeCell ref="L27:M27"/>
    <mergeCell ref="N27:O27"/>
    <mergeCell ref="H27:I27"/>
    <mergeCell ref="J27:K27"/>
    <mergeCell ref="N17:O17"/>
    <mergeCell ref="N15:O15"/>
    <mergeCell ref="H25:I25"/>
    <mergeCell ref="H16:I16"/>
    <mergeCell ref="B11:E12"/>
    <mergeCell ref="L10:M10"/>
    <mergeCell ref="L9:M9"/>
    <mergeCell ref="L11:M11"/>
    <mergeCell ref="J16:K16"/>
    <mergeCell ref="L16:M16"/>
    <mergeCell ref="N16:O16"/>
    <mergeCell ref="T41:U41"/>
    <mergeCell ref="T42:U42"/>
    <mergeCell ref="T43:U43"/>
    <mergeCell ref="H43:I43"/>
    <mergeCell ref="H42:I42"/>
    <mergeCell ref="H41:I41"/>
    <mergeCell ref="R41:S41"/>
    <mergeCell ref="J34:K34"/>
    <mergeCell ref="T44:U44"/>
    <mergeCell ref="H38:I38"/>
    <mergeCell ref="R44:S44"/>
    <mergeCell ref="L41:M41"/>
    <mergeCell ref="L43:M43"/>
    <mergeCell ref="L44:M44"/>
    <mergeCell ref="N44:O44"/>
    <mergeCell ref="L36:M36"/>
    <mergeCell ref="L34:M34"/>
    <mergeCell ref="N43:O43"/>
    <mergeCell ref="L42:M42"/>
    <mergeCell ref="N37:O37"/>
    <mergeCell ref="R43:S43"/>
    <mergeCell ref="R42:S42"/>
    <mergeCell ref="P37:Q37"/>
    <mergeCell ref="P42:Q42"/>
    <mergeCell ref="N60:O60"/>
    <mergeCell ref="N57:O57"/>
    <mergeCell ref="N46:O46"/>
    <mergeCell ref="T49:U49"/>
    <mergeCell ref="T50:U50"/>
    <mergeCell ref="T51:U51"/>
    <mergeCell ref="J57:K57"/>
    <mergeCell ref="J58:K58"/>
    <mergeCell ref="J59:K59"/>
    <mergeCell ref="J60:K60"/>
    <mergeCell ref="N58:O58"/>
    <mergeCell ref="N59:O59"/>
    <mergeCell ref="R48:S48"/>
    <mergeCell ref="R47:S47"/>
    <mergeCell ref="R46:S46"/>
    <mergeCell ref="T53:U53"/>
    <mergeCell ref="P46:Q46"/>
    <mergeCell ref="P47:Q47"/>
    <mergeCell ref="P48:Q48"/>
    <mergeCell ref="P50:Q50"/>
    <mergeCell ref="P51:Q51"/>
    <mergeCell ref="J49:K49"/>
    <mergeCell ref="L54:M54"/>
    <mergeCell ref="J48:K48"/>
    <mergeCell ref="H61:O61"/>
    <mergeCell ref="H56:O56"/>
    <mergeCell ref="T45:U45"/>
    <mergeCell ref="L57:M57"/>
    <mergeCell ref="L58:M58"/>
    <mergeCell ref="L59:M59"/>
    <mergeCell ref="L60:M60"/>
    <mergeCell ref="R53:S53"/>
    <mergeCell ref="R52:S52"/>
    <mergeCell ref="R45:S45"/>
    <mergeCell ref="P52:Q52"/>
    <mergeCell ref="P53:Q53"/>
    <mergeCell ref="T52:U52"/>
    <mergeCell ref="R51:S51"/>
    <mergeCell ref="R50:S50"/>
    <mergeCell ref="R49:S49"/>
    <mergeCell ref="H60:I60"/>
    <mergeCell ref="H57:I57"/>
    <mergeCell ref="H58:I58"/>
    <mergeCell ref="H59:I59"/>
    <mergeCell ref="T46:U46"/>
    <mergeCell ref="T47:U47"/>
    <mergeCell ref="T48:U48"/>
    <mergeCell ref="P49:Q49"/>
    <mergeCell ref="F47:G47"/>
    <mergeCell ref="F48:G48"/>
    <mergeCell ref="F49:G49"/>
    <mergeCell ref="D53:E53"/>
    <mergeCell ref="F53:G53"/>
    <mergeCell ref="H53:I53"/>
    <mergeCell ref="H52:I52"/>
    <mergeCell ref="H51:I51"/>
    <mergeCell ref="H50:I50"/>
    <mergeCell ref="H49:I49"/>
    <mergeCell ref="H48:I48"/>
    <mergeCell ref="F50:G50"/>
    <mergeCell ref="F51:G51"/>
    <mergeCell ref="F52:G52"/>
    <mergeCell ref="D52:E52"/>
    <mergeCell ref="D51:E51"/>
    <mergeCell ref="D50:E50"/>
    <mergeCell ref="D49:E49"/>
    <mergeCell ref="D48:E48"/>
    <mergeCell ref="H47:I47"/>
    <mergeCell ref="W40:AA40"/>
    <mergeCell ref="Y51:Z51"/>
    <mergeCell ref="D47:E47"/>
    <mergeCell ref="D46:E46"/>
    <mergeCell ref="D45:E45"/>
    <mergeCell ref="D44:E44"/>
    <mergeCell ref="D43:E43"/>
    <mergeCell ref="D42:E42"/>
    <mergeCell ref="D41:E41"/>
    <mergeCell ref="B40:I40"/>
    <mergeCell ref="J40:U40"/>
    <mergeCell ref="J41:K41"/>
    <mergeCell ref="J42:K42"/>
    <mergeCell ref="J43:K43"/>
    <mergeCell ref="J44:K44"/>
    <mergeCell ref="J45:K45"/>
    <mergeCell ref="J46:K46"/>
    <mergeCell ref="J47:K47"/>
    <mergeCell ref="F41:G41"/>
    <mergeCell ref="F42:G42"/>
    <mergeCell ref="F43:G43"/>
    <mergeCell ref="F44:G44"/>
    <mergeCell ref="F45:G45"/>
    <mergeCell ref="F46:G46"/>
  </mergeCells>
  <conditionalFormatting sqref="F8:F9">
    <cfRule type="expression" dxfId="80" priority="4">
      <formula>AND(MinisterEducation,VicePresident)</formula>
    </cfRule>
  </conditionalFormatting>
  <conditionalFormatting sqref="H59:O59">
    <cfRule type="cellIs" dxfId="79" priority="2" operator="lessThan">
      <formula>0</formula>
    </cfRule>
  </conditionalFormatting>
  <conditionalFormatting sqref="H60:O60">
    <cfRule type="cellIs" dxfId="78" priority="3" operator="lessThan">
      <formula>1</formula>
    </cfRule>
  </conditionalFormatting>
  <dataValidations count="5">
    <dataValidation allowBlank="1" showInputMessage="1" showErrorMessage="1" promptTitle="Vice President" prompt="Not As Good As Minister Of Education, But Gives 10% Buff To Training Speed" sqref="B9:D9" xr:uid="{9595D927-909E-40E4-8864-9665A770B13B}"/>
    <dataValidation allowBlank="1" showInputMessage="1" showErrorMessage="1" promptTitle="Training Capacity Buff" prompt="Tap The Arrow Under Your Avatar, Growth, Boost Training Capacity By 200% For 2 Hours" sqref="B6:D6" xr:uid="{41D9BFA2-63BA-4C02-A7A4-A4CF6936B670}"/>
    <dataValidation allowBlank="1" showInputMessage="1" showErrorMessage="1" promptTitle="Minister of Education" prompt="Adds 50% Training Speed and 200 Training Capacity" sqref="B8:D8" xr:uid="{E18C7C93-A486-46C9-A7B6-E72728E33F01}"/>
    <dataValidation allowBlank="1" showInputMessage="1" showErrorMessage="1" promptTitle="Training Speed" prompt="Tap Your Power Next To Your Avatar On The Overview Page &gt; Scroll Down To Military &gt; Enter % Here" sqref="B7:E7" xr:uid="{94901C5C-E2C8-4EBB-9242-010F87CA2226}"/>
    <dataValidation allowBlank="1" showInputMessage="1" showErrorMessage="1" promptTitle="Training Capacity" prompt="Tap Your Power Next To Your Avatar On The Overview Page &gt; Scroll Down To Military &gt; Enter # Here" sqref="B5:E5" xr:uid="{3F85DDD7-2055-49E7-A805-0D91433F10BB}"/>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56C069D3-DCEC-4987-A5C1-DDA4D45456E7}">
            <xm:f>Lists!$A$93&lt;0</xm:f>
            <x14:dxf>
              <font>
                <color rgb="FF9C0006"/>
              </font>
              <fill>
                <patternFill>
                  <bgColor rgb="FFFFC7CE"/>
                </patternFill>
              </fill>
            </x14:dxf>
          </x14:cfRule>
          <xm:sqref>B37:E37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A6D2BA7-33ED-46C8-8DAC-694C65684004}">
          <x14:formula1>
            <xm:f>Lists!$A$154:$A$156</xm:f>
          </x14:formula1>
          <xm:sqref>E8:E9 E6</xm:sqref>
        </x14:dataValidation>
        <x14:dataValidation type="list" allowBlank="1" showInputMessage="1" showErrorMessage="1" xr:uid="{54370BE0-1AD6-4E0A-B216-ADFE0DAA23BF}">
          <x14:formula1>
            <xm:f>'Troop Data'!$C$5:$C$15</xm:f>
          </x14:formula1>
          <xm:sqref>E10 E14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371C-1463-4F04-98F9-051304FB736E}">
  <sheetPr codeName="Sheet26"/>
  <dimension ref="B2:BP68"/>
  <sheetViews>
    <sheetView topLeftCell="AJ1" workbookViewId="0">
      <selection activeCell="BP57" sqref="BP57"/>
    </sheetView>
  </sheetViews>
  <sheetFormatPr baseColWidth="10" defaultColWidth="10.44140625" defaultRowHeight="14.4" x14ac:dyDescent="0.3"/>
  <cols>
    <col min="2" max="2" width="6.6640625" bestFit="1" customWidth="1"/>
    <col min="3" max="3" width="5.88671875" bestFit="1" customWidth="1"/>
    <col min="4" max="4" width="14.5546875" bestFit="1" customWidth="1"/>
    <col min="5" max="5" width="13.44140625" bestFit="1" customWidth="1"/>
    <col min="6" max="6" width="7" bestFit="1" customWidth="1"/>
    <col min="7" max="7" width="7.6640625" bestFit="1" customWidth="1"/>
    <col min="8" max="8" width="7" bestFit="1" customWidth="1"/>
    <col min="9" max="9" width="6" bestFit="1" customWidth="1"/>
    <col min="10" max="10" width="13.88671875" bestFit="1" customWidth="1"/>
    <col min="11" max="11" width="8.109375" bestFit="1" customWidth="1"/>
    <col min="12" max="12" width="10.5546875" bestFit="1" customWidth="1"/>
    <col min="13" max="13" width="6.88671875" bestFit="1" customWidth="1"/>
    <col min="14" max="14" width="7.88671875" bestFit="1" customWidth="1"/>
    <col min="15" max="15" width="9.6640625" bestFit="1" customWidth="1"/>
    <col min="16" max="16" width="10.109375" bestFit="1" customWidth="1"/>
    <col min="17" max="18" width="10.5546875" bestFit="1" customWidth="1"/>
    <col min="19" max="20" width="9" bestFit="1" customWidth="1"/>
    <col min="21" max="21" width="13.33203125" bestFit="1" customWidth="1"/>
    <col min="22" max="22" width="5.88671875" bestFit="1" customWidth="1"/>
    <col min="23" max="23" width="13.5546875" bestFit="1" customWidth="1"/>
    <col min="24" max="24" width="10.5546875" bestFit="1" customWidth="1"/>
    <col min="25" max="25" width="6.88671875" bestFit="1" customWidth="1"/>
    <col min="26" max="26" width="7.88671875" bestFit="1" customWidth="1"/>
    <col min="27" max="27" width="9.6640625" bestFit="1" customWidth="1"/>
    <col min="28" max="28" width="10.109375" bestFit="1" customWidth="1"/>
    <col min="29" max="30" width="11.5546875" bestFit="1" customWidth="1"/>
    <col min="31" max="32" width="10.5546875" bestFit="1" customWidth="1"/>
    <col min="34" max="34" width="5.88671875" bestFit="1" customWidth="1"/>
    <col min="35" max="35" width="10.109375" bestFit="1" customWidth="1"/>
    <col min="36" max="36" width="10.5546875" bestFit="1" customWidth="1"/>
    <col min="37" max="37" width="6.88671875" bestFit="1" customWidth="1"/>
    <col min="38" max="38" width="7.88671875" bestFit="1" customWidth="1"/>
    <col min="39" max="39" width="9.6640625" bestFit="1" customWidth="1"/>
    <col min="40" max="40" width="10.109375" bestFit="1" customWidth="1"/>
    <col min="41" max="42" width="12.5546875" bestFit="1" customWidth="1"/>
    <col min="43" max="44" width="11.5546875" bestFit="1" customWidth="1"/>
    <col min="46" max="46" width="5.88671875" bestFit="1" customWidth="1"/>
    <col min="47" max="47" width="13.5546875" bestFit="1" customWidth="1"/>
    <col min="48" max="48" width="10.5546875" bestFit="1" customWidth="1"/>
    <col min="49" max="49" width="9" bestFit="1" customWidth="1"/>
    <col min="50" max="50" width="7.88671875" bestFit="1" customWidth="1"/>
    <col min="51" max="51" width="9.6640625" bestFit="1" customWidth="1"/>
    <col min="52" max="52" width="10.109375" bestFit="1" customWidth="1"/>
    <col min="53" max="53" width="16.33203125" bestFit="1" customWidth="1"/>
    <col min="54" max="54" width="13.44140625" bestFit="1" customWidth="1"/>
    <col min="55" max="55" width="12.33203125" bestFit="1" customWidth="1"/>
    <col min="56" max="56" width="11.5546875" bestFit="1" customWidth="1"/>
    <col min="58" max="58" width="5.88671875" bestFit="1" customWidth="1"/>
    <col min="59" max="59" width="10.5546875" bestFit="1" customWidth="1"/>
    <col min="60" max="60" width="11.5546875" bestFit="1" customWidth="1"/>
    <col min="61" max="61" width="6.88671875" bestFit="1" customWidth="1"/>
    <col min="62" max="62" width="7.88671875" bestFit="1" customWidth="1"/>
    <col min="63" max="63" width="9.6640625" bestFit="1" customWidth="1"/>
    <col min="64" max="64" width="10.109375" bestFit="1" customWidth="1"/>
    <col min="65" max="66" width="14.33203125" bestFit="1" customWidth="1"/>
    <col min="67" max="67" width="12.5546875" bestFit="1" customWidth="1"/>
    <col min="68" max="68" width="12.33203125" bestFit="1" customWidth="1"/>
  </cols>
  <sheetData>
    <row r="2" spans="2:68" x14ac:dyDescent="0.3">
      <c r="B2" s="8"/>
      <c r="C2" s="8"/>
      <c r="D2" s="8"/>
      <c r="E2" s="8"/>
      <c r="F2" s="8"/>
      <c r="G2" s="8"/>
      <c r="H2" s="8"/>
      <c r="I2" s="8"/>
      <c r="J2" s="8"/>
      <c r="K2" s="406" t="s">
        <v>176</v>
      </c>
      <c r="L2" s="406"/>
      <c r="M2" s="406"/>
      <c r="N2" s="406"/>
      <c r="O2" s="406"/>
      <c r="P2" s="406"/>
      <c r="Q2" s="406"/>
      <c r="R2" s="406"/>
      <c r="S2" s="406"/>
      <c r="T2" s="406"/>
      <c r="U2" s="8"/>
      <c r="V2" s="406" t="s">
        <v>177</v>
      </c>
      <c r="W2" s="406"/>
      <c r="X2" s="406"/>
      <c r="Y2" s="406"/>
      <c r="Z2" s="406"/>
      <c r="AA2" s="406"/>
      <c r="AB2" s="406"/>
      <c r="AC2" s="406"/>
      <c r="AD2" s="406"/>
      <c r="AE2" s="406"/>
      <c r="AF2" s="406"/>
      <c r="AG2" s="46"/>
      <c r="AH2" s="406" t="s">
        <v>178</v>
      </c>
      <c r="AI2" s="406"/>
      <c r="AJ2" s="406"/>
      <c r="AK2" s="406"/>
      <c r="AL2" s="406"/>
      <c r="AM2" s="406"/>
      <c r="AN2" s="406"/>
      <c r="AO2" s="406"/>
      <c r="AP2" s="406"/>
      <c r="AQ2" s="406"/>
      <c r="AR2" s="406"/>
      <c r="AT2" s="406" t="s">
        <v>179</v>
      </c>
      <c r="AU2" s="406"/>
      <c r="AV2" s="406"/>
      <c r="AW2" s="406"/>
      <c r="AX2" s="406"/>
      <c r="AY2" s="406"/>
      <c r="AZ2" s="406"/>
      <c r="BA2" s="406"/>
      <c r="BB2" s="406"/>
      <c r="BC2" s="406"/>
      <c r="BD2" s="406"/>
      <c r="BF2" s="406" t="s">
        <v>180</v>
      </c>
      <c r="BG2" s="406"/>
      <c r="BH2" s="406"/>
      <c r="BI2" s="406"/>
      <c r="BJ2" s="406"/>
      <c r="BK2" s="406"/>
      <c r="BL2" s="406"/>
      <c r="BM2" s="406"/>
      <c r="BN2" s="406"/>
      <c r="BO2" s="406"/>
      <c r="BP2" s="406"/>
    </row>
    <row r="3" spans="2:68" x14ac:dyDescent="0.3">
      <c r="B3" s="706" t="s">
        <v>162</v>
      </c>
      <c r="C3" s="706"/>
      <c r="D3" s="706"/>
      <c r="E3" s="706"/>
      <c r="F3" s="706"/>
      <c r="G3" s="706"/>
      <c r="H3" s="706"/>
      <c r="I3" s="707"/>
      <c r="K3" s="708" t="str">
        <f>"To Train "&amp;TrainingCapacity&amp;" Infantry"</f>
        <v>To Train 1174 Infantry</v>
      </c>
      <c r="L3" s="709"/>
      <c r="M3" s="709"/>
      <c r="N3" s="709"/>
      <c r="O3" s="709"/>
      <c r="P3" s="709"/>
      <c r="Q3" s="709"/>
      <c r="R3" s="709"/>
      <c r="S3" s="709"/>
      <c r="T3" s="707"/>
      <c r="U3" s="8"/>
      <c r="V3" s="598" t="str">
        <f>"To Upgrade "&amp;TrainingCapacity&amp;" Infantry to Tier "&amp;UpgradeTier</f>
        <v>To Upgrade 1174 Infantry to Tier 11</v>
      </c>
      <c r="W3" s="598"/>
      <c r="X3" s="598"/>
      <c r="Y3" s="598"/>
      <c r="Z3" s="598"/>
      <c r="AA3" s="598"/>
      <c r="AB3" s="598"/>
      <c r="AC3" s="598"/>
      <c r="AD3" s="598"/>
      <c r="AE3" s="598"/>
      <c r="AF3" s="598"/>
      <c r="AH3" s="598" t="str">
        <f>"To Train "&amp;TrainQuantity&amp;" Tier "&amp;UpgradeTier&amp;" Infantry"</f>
        <v>To Train 45000 Tier 11 Infantry</v>
      </c>
      <c r="AI3" s="598"/>
      <c r="AJ3" s="598"/>
      <c r="AK3" s="598"/>
      <c r="AL3" s="598"/>
      <c r="AM3" s="598"/>
      <c r="AN3" s="598"/>
      <c r="AO3" s="598"/>
      <c r="AP3" s="598"/>
      <c r="AQ3" s="598"/>
      <c r="AR3" s="598"/>
      <c r="AT3" s="598" t="str">
        <f>"To Upgrade "&amp;TrainQuantity&amp;" Infantry to Tier "&amp;UpgradeTier</f>
        <v>To Upgrade 45000 Infantry to Tier 11</v>
      </c>
      <c r="AU3" s="598"/>
      <c r="AV3" s="598"/>
      <c r="AW3" s="598"/>
      <c r="AX3" s="598"/>
      <c r="AY3" s="598"/>
      <c r="AZ3" s="598"/>
      <c r="BA3" s="598"/>
      <c r="BB3" s="598"/>
      <c r="BC3" s="598"/>
      <c r="BD3" s="598"/>
      <c r="BF3" s="598" t="str">
        <f>"To Upgrade All Existing Infantry to Tier "&amp;UpgradeTier</f>
        <v>To Upgrade All Existing Infantry to Tier 11</v>
      </c>
      <c r="BG3" s="598"/>
      <c r="BH3" s="598"/>
      <c r="BI3" s="598"/>
      <c r="BJ3" s="598"/>
      <c r="BK3" s="598"/>
      <c r="BL3" s="598"/>
      <c r="BM3" s="598"/>
      <c r="BN3" s="598"/>
      <c r="BO3" s="598"/>
      <c r="BP3" s="598"/>
    </row>
    <row r="4" spans="2:68" x14ac:dyDescent="0.3">
      <c r="B4" s="2" t="s">
        <v>78</v>
      </c>
      <c r="C4" s="45" t="s">
        <v>75</v>
      </c>
      <c r="D4" s="45" t="s">
        <v>165</v>
      </c>
      <c r="E4" s="45" t="s">
        <v>166</v>
      </c>
      <c r="F4" s="45" t="s">
        <v>0</v>
      </c>
      <c r="G4" s="45" t="s">
        <v>1</v>
      </c>
      <c r="H4" s="45" t="s">
        <v>2</v>
      </c>
      <c r="I4" s="45" t="s">
        <v>3</v>
      </c>
      <c r="K4" s="45" t="s">
        <v>75</v>
      </c>
      <c r="L4" s="45" t="s">
        <v>161</v>
      </c>
      <c r="M4" s="45" t="s">
        <v>21</v>
      </c>
      <c r="N4" s="45" t="s">
        <v>20</v>
      </c>
      <c r="O4" s="45" t="s">
        <v>19</v>
      </c>
      <c r="P4" s="45" t="s">
        <v>18</v>
      </c>
      <c r="Q4" s="45" t="s">
        <v>0</v>
      </c>
      <c r="R4" s="45" t="s">
        <v>1</v>
      </c>
      <c r="S4" s="45" t="s">
        <v>2</v>
      </c>
      <c r="T4" s="45" t="s">
        <v>3</v>
      </c>
      <c r="V4" s="45" t="s">
        <v>75</v>
      </c>
      <c r="W4" s="45" t="s">
        <v>66</v>
      </c>
      <c r="X4" s="45" t="s">
        <v>161</v>
      </c>
      <c r="Y4" s="45" t="s">
        <v>21</v>
      </c>
      <c r="Z4" s="45" t="s">
        <v>20</v>
      </c>
      <c r="AA4" s="45" t="s">
        <v>19</v>
      </c>
      <c r="AB4" s="45" t="s">
        <v>18</v>
      </c>
      <c r="AC4" s="45" t="s">
        <v>0</v>
      </c>
      <c r="AD4" s="45" t="s">
        <v>1</v>
      </c>
      <c r="AE4" s="45" t="s">
        <v>2</v>
      </c>
      <c r="AF4" s="45" t="s">
        <v>3</v>
      </c>
      <c r="AH4" s="45" t="s">
        <v>75</v>
      </c>
      <c r="AI4" s="45" t="s">
        <v>66</v>
      </c>
      <c r="AJ4" s="45" t="s">
        <v>161</v>
      </c>
      <c r="AK4" s="45" t="s">
        <v>21</v>
      </c>
      <c r="AL4" s="45" t="s">
        <v>20</v>
      </c>
      <c r="AM4" s="45" t="s">
        <v>19</v>
      </c>
      <c r="AN4" s="45" t="s">
        <v>18</v>
      </c>
      <c r="AO4" s="45" t="s">
        <v>0</v>
      </c>
      <c r="AP4" s="45" t="s">
        <v>1</v>
      </c>
      <c r="AQ4" s="45" t="s">
        <v>2</v>
      </c>
      <c r="AR4" s="45" t="s">
        <v>3</v>
      </c>
      <c r="AT4" s="45" t="s">
        <v>75</v>
      </c>
      <c r="AU4" s="45" t="s">
        <v>66</v>
      </c>
      <c r="AV4" s="45" t="s">
        <v>161</v>
      </c>
      <c r="AW4" s="45" t="s">
        <v>21</v>
      </c>
      <c r="AX4" s="45" t="s">
        <v>20</v>
      </c>
      <c r="AY4" s="45" t="s">
        <v>19</v>
      </c>
      <c r="AZ4" s="45" t="s">
        <v>18</v>
      </c>
      <c r="BA4" s="45" t="s">
        <v>0</v>
      </c>
      <c r="BB4" s="45" t="s">
        <v>1</v>
      </c>
      <c r="BC4" s="45" t="s">
        <v>2</v>
      </c>
      <c r="BD4" s="45" t="s">
        <v>3</v>
      </c>
      <c r="BF4" s="45" t="s">
        <v>75</v>
      </c>
      <c r="BG4" s="45" t="s">
        <v>66</v>
      </c>
      <c r="BH4" s="45" t="s">
        <v>161</v>
      </c>
      <c r="BI4" s="45" t="s">
        <v>21</v>
      </c>
      <c r="BJ4" s="45" t="s">
        <v>20</v>
      </c>
      <c r="BK4" s="45" t="s">
        <v>19</v>
      </c>
      <c r="BL4" s="45" t="s">
        <v>18</v>
      </c>
      <c r="BM4" s="45" t="s">
        <v>0</v>
      </c>
      <c r="BN4" s="45" t="s">
        <v>1</v>
      </c>
      <c r="BO4" s="45" t="s">
        <v>2</v>
      </c>
      <c r="BP4" s="45" t="s">
        <v>3</v>
      </c>
    </row>
    <row r="5" spans="2:68" x14ac:dyDescent="0.3">
      <c r="B5" s="12">
        <v>3</v>
      </c>
      <c r="C5" s="29">
        <v>1</v>
      </c>
      <c r="D5" s="4">
        <v>12</v>
      </c>
      <c r="E5" s="4">
        <f t="shared" ref="E5:E15" si="0">D5/(1+TrainingSpeed)</f>
        <v>4.4444444444444438</v>
      </c>
      <c r="F5" s="4">
        <v>36</v>
      </c>
      <c r="G5" s="4">
        <v>27</v>
      </c>
      <c r="H5" s="4">
        <v>7</v>
      </c>
      <c r="I5" s="4">
        <v>2</v>
      </c>
      <c r="K5" s="29">
        <v>1</v>
      </c>
      <c r="L5" s="4">
        <f t="shared" ref="L5:L15" si="1">D5*TrainingCapacity/(1+TrainingSpeed)</f>
        <v>5217.7777777777774</v>
      </c>
      <c r="M5" s="4">
        <f>ROUNDDOWN(L5/60/60/24,0)</f>
        <v>0</v>
      </c>
      <c r="N5" s="4">
        <f>ROUNDDOWN((L5-(M5*24*60*60))/60/60,0)</f>
        <v>1</v>
      </c>
      <c r="O5" s="4">
        <f>ROUNDDOWN((L5-(M5*60*60*24)-(N5*60*60))/60,0)</f>
        <v>26</v>
      </c>
      <c r="P5" s="4">
        <f>L5-(M5*60*60*24)-(N5*60*60)-(O5*60)</f>
        <v>57.777777777777374</v>
      </c>
      <c r="Q5" s="4">
        <f t="shared" ref="Q5:Q15" si="2">TrainingCapacity*F5</f>
        <v>42264</v>
      </c>
      <c r="R5" s="4">
        <f t="shared" ref="R5:R15" si="3">TrainingCapacity*G5</f>
        <v>31698</v>
      </c>
      <c r="S5" s="4">
        <f t="shared" ref="S5:S15" si="4">TrainingCapacity*H5</f>
        <v>8218</v>
      </c>
      <c r="T5" s="4">
        <f t="shared" ref="T5:T15" si="5">TrainingCapacity*I5</f>
        <v>2348</v>
      </c>
      <c r="V5" s="29">
        <v>1</v>
      </c>
      <c r="W5" s="4">
        <f t="shared" ref="W5:W15" si="6">IF(UpgradeTier&gt;V5,ROUNDUP(VLOOKUP(UpgradeTier,$K$5:$L$15,2,FALSE)/(VLOOKUP(UpgradeTier,$C$5:$E$15,3,FALSE)-VLOOKUP(V5,$C$5:$E$15,3,FALSE)),0),"-")</f>
        <v>1258</v>
      </c>
      <c r="X5" s="4">
        <f t="shared" ref="X5:X15" si="7">IFERROR(W5*(VLOOKUP(UpgradeTier,$C$5:$E$15,3,FALSE)-E5),"-")</f>
        <v>78275.555555555547</v>
      </c>
      <c r="Y5" s="4">
        <f>IFERROR(ROUNDDOWN(X5/60/60/24,0),"-")</f>
        <v>0</v>
      </c>
      <c r="Z5" s="4">
        <f>IFERROR(ROUNDDOWN((X5-(Y5*60*60*24))/60/60,0),"-")</f>
        <v>21</v>
      </c>
      <c r="AA5" s="4">
        <f>IFERROR(ROUNDDOWN((X5-(Y5*60*60*24)-(Z5*60*60))/60,0),"-")</f>
        <v>44</v>
      </c>
      <c r="AB5" s="4">
        <f>IFERROR(ROUNDDOWN(X5-(Y5*60*60*24)-(Z5*60*60)-(AA5*60),0),"-")</f>
        <v>35</v>
      </c>
      <c r="AC5" s="4">
        <f t="shared" ref="AC5:AC15" si="8">IFERROR($W5*(VLOOKUP(UpgradeTier,$C$5:$I$15,4,FALSE)-VLOOKUP($V5,$C$5:$I$15,4,FALSE)),"-")</f>
        <v>8722972</v>
      </c>
      <c r="AD5" s="4">
        <f t="shared" ref="AD5:AD15" si="9">IFERROR($W5*(VLOOKUP(UpgradeTier,$C$5:$I$15,5,FALSE)-VLOOKUP($V5,$C$5:$I$15,5,FALSE)),"-")</f>
        <v>6542858</v>
      </c>
      <c r="AE5" s="4">
        <f t="shared" ref="AE5:AE15" si="10">IFERROR($W5*(VLOOKUP(UpgradeTier,$C$5:$I$15,6,FALSE)-VLOOKUP($V5,$C$5:$I$15,6,FALSE)),"-")</f>
        <v>1525954</v>
      </c>
      <c r="AF5" s="4">
        <f t="shared" ref="AF5:AF15" si="11">IFERROR($W5*(VLOOKUP(UpgradeTier,$C$5:$I$15,7,FALSE)-VLOOKUP($V5,$C$5:$I$15,7,FALSE)),"-")</f>
        <v>315758</v>
      </c>
      <c r="AH5" s="29">
        <v>1</v>
      </c>
      <c r="AI5" s="4">
        <f t="shared" ref="AI5:AI15" si="12">IF(TrainQuantity&gt;0,TrainQuantity,"-")</f>
        <v>45000</v>
      </c>
      <c r="AJ5" s="4">
        <f t="shared" ref="AJ5:AJ15" si="13">D5*TrainQuantity/(1+TrainingSpeed)</f>
        <v>200000</v>
      </c>
      <c r="AK5" s="4">
        <f>IFERROR(ROUNDDOWN(AJ5/60/60/24,0),"-")</f>
        <v>2</v>
      </c>
      <c r="AL5" s="4">
        <f>IFERROR(ROUNDDOWN((AJ5-(AK5*60*60*24))/60/60,0),"-")</f>
        <v>7</v>
      </c>
      <c r="AM5" s="4">
        <f>IFERROR(ROUNDDOWN((AJ5-(AK5*60*60*24)-(AL5*60*60))/60,0),"-")</f>
        <v>33</v>
      </c>
      <c r="AN5" s="4">
        <f>IFERROR(ROUNDDOWN(AJ5-(AK5*60*60*24)-(AL5*60*60)-(AM5*60),0),"-")</f>
        <v>20</v>
      </c>
      <c r="AO5" s="4">
        <f>$AI5*F5</f>
        <v>1620000</v>
      </c>
      <c r="AP5" s="4">
        <f t="shared" ref="AP5:AR15" si="14">$AI5*G5</f>
        <v>1215000</v>
      </c>
      <c r="AQ5" s="4">
        <f t="shared" si="14"/>
        <v>315000</v>
      </c>
      <c r="AR5" s="4">
        <f t="shared" si="14"/>
        <v>90000</v>
      </c>
      <c r="AT5" s="29">
        <v>1</v>
      </c>
      <c r="AU5" s="4">
        <f t="shared" ref="AU5:AU15" si="15">IF(TrainQuantity&gt;0,TrainQuantity,"-")</f>
        <v>45000</v>
      </c>
      <c r="AV5" s="4">
        <f t="shared" ref="AV5:AV15" si="16">IF(UpgradeTier&gt;$AT5,IFERROR(AU5*(VLOOKUP(UpgradeTier,$C$5:$E$15,3,FALSE)-E5),"-"),"-")</f>
        <v>2799999.9999999995</v>
      </c>
      <c r="AW5" s="4">
        <f>IFERROR(ROUNDDOWN(AV5/60/60/24,0),"-")</f>
        <v>32</v>
      </c>
      <c r="AX5" s="4">
        <f>IFERROR(ROUNDDOWN((AV5-(AW5*60*60*24))/60/60,0),"-")</f>
        <v>9</v>
      </c>
      <c r="AY5" s="4">
        <f>IFERROR(ROUNDDOWN((AV5-(AW5*60*60*24)-(AX5*60*60))/60,0),"-")</f>
        <v>46</v>
      </c>
      <c r="AZ5" s="4">
        <f>IFERROR(ROUNDDOWN(AV5-(AW5*60*60*24)-(AX5*60*60)-(AY5*60),0),"-")</f>
        <v>39</v>
      </c>
      <c r="BA5" s="4">
        <f t="shared" ref="BA5:BA15" si="17">IF(UpgradeTier&gt;$AT5,IFERROR($AU5*(VLOOKUP(UpgradeTier,$C$5:$I$15,4,FALSE)-VLOOKUP($AT5,$C$5:$I$15,4,FALSE)),"-"),"-")</f>
        <v>312030000</v>
      </c>
      <c r="BB5" s="4">
        <f t="shared" ref="BB5:BB15" si="18">IF(UpgradeTier&gt;$AT5,IFERROR($AU5*(VLOOKUP(UpgradeTier,$C$5:$I$15,5,FALSE)-VLOOKUP($AT5,$C$5:$I$15,5,FALSE)),"-"),"-")</f>
        <v>234045000</v>
      </c>
      <c r="BC5" s="4">
        <f t="shared" ref="BC5:BC15" si="19">IF(UpgradeTier&gt;$AT5,IFERROR($AU5*(VLOOKUP(UpgradeTier,$C$5:$I$15,6,FALSE)-VLOOKUP($AT5,$C$5:$I$15,6,FALSE)),"-"),"-")</f>
        <v>54585000</v>
      </c>
      <c r="BD5" s="4">
        <f t="shared" ref="BD5:BD15" si="20">IF(UpgradeTier&gt;$AT5,IFERROR($AU5*(VLOOKUP(UpgradeTier,$C$5:$I$15,7,FALSE)-VLOOKUP($AT5,$C$5:$I$15,7,FALSE)),"-"),"-")</f>
        <v>11295000</v>
      </c>
      <c r="BF5" s="29">
        <v>1</v>
      </c>
      <c r="BG5" s="4">
        <f>IFERROR(VLOOKUP(BF5,'Troop Calculator'!$B$42:$H$52,3,FALSE),"-")</f>
        <v>0</v>
      </c>
      <c r="BH5" s="4">
        <f t="shared" ref="BH5:BH15" si="21">IFERROR((VLOOKUP(UpgradeTier,C5:E15,3,FALSE)-$E5)*$BG5,"-")</f>
        <v>0</v>
      </c>
      <c r="BI5" s="4">
        <f>IFERROR(ROUNDDOWN(BH5/60/60/24,0),"-")</f>
        <v>0</v>
      </c>
      <c r="BJ5" s="4">
        <f>IFERROR(ROUNDDOWN((BH5-(BI5*60*60*24))/60/60,0),"-")</f>
        <v>0</v>
      </c>
      <c r="BK5" s="4">
        <f>IFERROR(ROUNDDOWN((BH5-(BI5*60*60*24)-(BJ5*60*60))/60,0),"-")</f>
        <v>0</v>
      </c>
      <c r="BL5" s="4">
        <f>IFERROR(ROUNDDOWN(BH5-(BI5*60*60*24)-(BJ5*60*60)-(BK5*60),0),"-")</f>
        <v>0</v>
      </c>
      <c r="BM5" s="4">
        <f t="shared" ref="BM5:BM15" si="22">IF($BG5="-","-",IFERROR($BG5*(VLOOKUP(UpgradeTier,$C$5:$I$15,4,FALSE)-VLOOKUP($BF5,$C$5:$I$15,4,FALSE)),"-"))</f>
        <v>0</v>
      </c>
      <c r="BN5" s="4">
        <f t="shared" ref="BN5:BN15" si="23">IF($BG5="-","-",IFERROR($BG5*(VLOOKUP(UpgradeTier,$C$5:$I$15,5,FALSE)-VLOOKUP($BF5,$C$5:$I$15,5,FALSE)),"-"))</f>
        <v>0</v>
      </c>
      <c r="BO5" s="4">
        <f t="shared" ref="BO5:BO15" si="24">IF($BG5="-","-",IFERROR($BG5*(VLOOKUP(UpgradeTier,$C$5:$I$15,6,FALSE)-VLOOKUP($BF5,$C$5:$I$15,6,FALSE)),"-"))</f>
        <v>0</v>
      </c>
      <c r="BP5" s="4">
        <f t="shared" ref="BP5:BP15" si="25">IF($BG5="-","-",IFERROR($BG5*(VLOOKUP(UpgradeTier,$C$5:$I$15,7,FALSE)-VLOOKUP($BF5,$C$5:$I$15,7,FALSE)),"-"))</f>
        <v>0</v>
      </c>
    </row>
    <row r="6" spans="2:68" x14ac:dyDescent="0.3">
      <c r="B6" s="12">
        <v>4</v>
      </c>
      <c r="C6" s="29">
        <v>2</v>
      </c>
      <c r="D6" s="4">
        <v>17</v>
      </c>
      <c r="E6" s="4">
        <f t="shared" si="0"/>
        <v>6.2962962962962958</v>
      </c>
      <c r="F6" s="4">
        <v>58</v>
      </c>
      <c r="G6" s="4">
        <v>44</v>
      </c>
      <c r="H6" s="4">
        <v>10</v>
      </c>
      <c r="I6" s="4">
        <v>3</v>
      </c>
      <c r="K6" s="29">
        <v>2</v>
      </c>
      <c r="L6" s="4">
        <f t="shared" si="1"/>
        <v>7391.8518518518513</v>
      </c>
      <c r="M6" s="4">
        <f t="shared" ref="M6:M15" si="26">ROUNDDOWN(L6/60/60/24,0)</f>
        <v>0</v>
      </c>
      <c r="N6" s="4">
        <f t="shared" ref="N6:N15" si="27">ROUNDDOWN((L6-(M6*24*60*60))/60/60,0)</f>
        <v>2</v>
      </c>
      <c r="O6" s="4">
        <f t="shared" ref="O6:O15" si="28">ROUNDDOWN((L6-(M6*60*60*24)-(N6*60*60))/60,0)</f>
        <v>3</v>
      </c>
      <c r="P6" s="4">
        <f t="shared" ref="P6:P15" si="29">L6-(M6*60*60*24)-(N6*60*60)-(O6*60)</f>
        <v>11.851851851851279</v>
      </c>
      <c r="Q6" s="4">
        <f t="shared" si="2"/>
        <v>68092</v>
      </c>
      <c r="R6" s="4">
        <f t="shared" si="3"/>
        <v>51656</v>
      </c>
      <c r="S6" s="4">
        <f t="shared" si="4"/>
        <v>11740</v>
      </c>
      <c r="T6" s="4">
        <f t="shared" si="5"/>
        <v>3522</v>
      </c>
      <c r="V6" s="29">
        <v>2</v>
      </c>
      <c r="W6" s="4">
        <f t="shared" si="6"/>
        <v>1297</v>
      </c>
      <c r="X6" s="4">
        <f t="shared" si="7"/>
        <v>78300.37037037035</v>
      </c>
      <c r="Y6" s="4">
        <f t="shared" ref="Y6:Y14" si="30">IFERROR(ROUNDDOWN(X6/60/60/24,0),"-")</f>
        <v>0</v>
      </c>
      <c r="Z6" s="4">
        <f t="shared" ref="Z6:Z14" si="31">IFERROR(ROUNDDOWN((X6-(Y6*60*60*24))/60/60,0),"-")</f>
        <v>21</v>
      </c>
      <c r="AA6" s="4">
        <f t="shared" ref="AA6:AA14" si="32">IFERROR(ROUNDDOWN((X6-(Y6*60*60*24)-(Z6*60*60))/60,0),"-")</f>
        <v>45</v>
      </c>
      <c r="AB6" s="4">
        <f t="shared" ref="AB6:AB14" si="33">IFERROR(ROUNDDOWN(X6-(Y6*60*60*24)-(Z6*60*60)-(AA6*60),0),"-")</f>
        <v>0</v>
      </c>
      <c r="AC6" s="4">
        <f t="shared" si="8"/>
        <v>8964864</v>
      </c>
      <c r="AD6" s="4">
        <f t="shared" si="9"/>
        <v>6723648</v>
      </c>
      <c r="AE6" s="4">
        <f t="shared" si="10"/>
        <v>1569370</v>
      </c>
      <c r="AF6" s="4">
        <f t="shared" si="11"/>
        <v>324250</v>
      </c>
      <c r="AH6" s="29">
        <v>2</v>
      </c>
      <c r="AI6" s="4">
        <f t="shared" si="12"/>
        <v>45000</v>
      </c>
      <c r="AJ6" s="4">
        <f t="shared" si="13"/>
        <v>283333.33333333331</v>
      </c>
      <c r="AK6" s="4">
        <f t="shared" ref="AK6:AK15" si="34">IFERROR(ROUNDDOWN(AJ6/60/60/24,0),"-")</f>
        <v>3</v>
      </c>
      <c r="AL6" s="4">
        <f t="shared" ref="AL6:AL15" si="35">IFERROR(ROUNDDOWN((AJ6-(AK6*60*60*24))/60/60,0),"-")</f>
        <v>6</v>
      </c>
      <c r="AM6" s="4">
        <f t="shared" ref="AM6:AM15" si="36">IFERROR(ROUNDDOWN((AJ6-(AK6*60*60*24)-(AL6*60*60))/60,0),"-")</f>
        <v>42</v>
      </c>
      <c r="AN6" s="4">
        <f t="shared" ref="AN6:AN15" si="37">IFERROR(ROUNDDOWN(AJ6-(AK6*60*60*24)-(AL6*60*60)-(AM6*60),0),"-")</f>
        <v>13</v>
      </c>
      <c r="AO6" s="4">
        <f t="shared" ref="AO6:AO15" si="38">$AI6*F6</f>
        <v>2610000</v>
      </c>
      <c r="AP6" s="4">
        <f t="shared" si="14"/>
        <v>1980000</v>
      </c>
      <c r="AQ6" s="4">
        <f t="shared" si="14"/>
        <v>450000</v>
      </c>
      <c r="AR6" s="4">
        <f t="shared" si="14"/>
        <v>135000</v>
      </c>
      <c r="AT6" s="29">
        <v>2</v>
      </c>
      <c r="AU6" s="4">
        <f t="shared" si="15"/>
        <v>45000</v>
      </c>
      <c r="AV6" s="4">
        <f t="shared" si="16"/>
        <v>2716666.666666666</v>
      </c>
      <c r="AW6" s="4">
        <f t="shared" ref="AW6:AW15" si="39">IFERROR(ROUNDDOWN(AV6/60/60/24,0),"-")</f>
        <v>31</v>
      </c>
      <c r="AX6" s="4">
        <f t="shared" ref="AX6:AX15" si="40">IFERROR(ROUNDDOWN((AV6-(AW6*60*60*24))/60/60,0),"-")</f>
        <v>10</v>
      </c>
      <c r="AY6" s="4">
        <f t="shared" ref="AY6:AY15" si="41">IFERROR(ROUNDDOWN((AV6-(AW6*60*60*24)-(AX6*60*60))/60,0),"-")</f>
        <v>37</v>
      </c>
      <c r="AZ6" s="4">
        <f t="shared" ref="AZ6:AZ15" si="42">IFERROR(ROUNDDOWN(AV6-(AW6*60*60*24)-(AX6*60*60)-(AY6*60),0),"-")</f>
        <v>46</v>
      </c>
      <c r="BA6" s="4">
        <f t="shared" si="17"/>
        <v>311040000</v>
      </c>
      <c r="BB6" s="4">
        <f t="shared" si="18"/>
        <v>233280000</v>
      </c>
      <c r="BC6" s="4">
        <f t="shared" si="19"/>
        <v>54450000</v>
      </c>
      <c r="BD6" s="4">
        <f t="shared" si="20"/>
        <v>11250000</v>
      </c>
      <c r="BF6" s="29">
        <v>2</v>
      </c>
      <c r="BG6" s="4">
        <f>IFERROR(VLOOKUP(BF6,'Troop Calculator'!$B$42:$H$52,3,FALSE),"-")</f>
        <v>0</v>
      </c>
      <c r="BH6" s="4">
        <f t="shared" si="21"/>
        <v>0</v>
      </c>
      <c r="BI6" s="4">
        <f t="shared" ref="BI6:BI16" si="43">IFERROR(ROUNDDOWN(BH6/60/60/24,0),"-")</f>
        <v>0</v>
      </c>
      <c r="BJ6" s="4">
        <f t="shared" ref="BJ6:BJ16" si="44">IFERROR(ROUNDDOWN((BH6-(BI6*60*60*24))/60/60,0),"-")</f>
        <v>0</v>
      </c>
      <c r="BK6" s="4">
        <f t="shared" ref="BK6:BK16" si="45">IFERROR(ROUNDDOWN((BH6-(BI6*60*60*24)-(BJ6*60*60))/60,0),"-")</f>
        <v>0</v>
      </c>
      <c r="BL6" s="4">
        <f t="shared" ref="BL6:BL16" si="46">IFERROR(ROUNDDOWN(BH6-(BI6*60*60*24)-(BJ6*60*60)-(BK6*60),0),"-")</f>
        <v>0</v>
      </c>
      <c r="BM6" s="4">
        <f t="shared" si="22"/>
        <v>0</v>
      </c>
      <c r="BN6" s="4">
        <f t="shared" si="23"/>
        <v>0</v>
      </c>
      <c r="BO6" s="4">
        <f t="shared" si="24"/>
        <v>0</v>
      </c>
      <c r="BP6" s="4">
        <f t="shared" si="25"/>
        <v>0</v>
      </c>
    </row>
    <row r="7" spans="2:68" x14ac:dyDescent="0.3">
      <c r="B7" s="12">
        <v>5</v>
      </c>
      <c r="C7" s="29">
        <v>3</v>
      </c>
      <c r="D7" s="4">
        <v>24</v>
      </c>
      <c r="E7" s="4">
        <f t="shared" si="0"/>
        <v>8.8888888888888875</v>
      </c>
      <c r="F7" s="4">
        <v>92</v>
      </c>
      <c r="G7" s="4">
        <v>69</v>
      </c>
      <c r="H7" s="4">
        <v>17</v>
      </c>
      <c r="I7" s="4">
        <v>4</v>
      </c>
      <c r="K7" s="29">
        <v>3</v>
      </c>
      <c r="L7" s="4">
        <f t="shared" si="1"/>
        <v>10435.555555555555</v>
      </c>
      <c r="M7" s="4">
        <f t="shared" si="26"/>
        <v>0</v>
      </c>
      <c r="N7" s="4">
        <f t="shared" si="27"/>
        <v>2</v>
      </c>
      <c r="O7" s="4">
        <f t="shared" si="28"/>
        <v>53</v>
      </c>
      <c r="P7" s="4">
        <f t="shared" si="29"/>
        <v>55.555555555554747</v>
      </c>
      <c r="Q7" s="4">
        <f t="shared" si="2"/>
        <v>108008</v>
      </c>
      <c r="R7" s="4">
        <f t="shared" si="3"/>
        <v>81006</v>
      </c>
      <c r="S7" s="4">
        <f t="shared" si="4"/>
        <v>19958</v>
      </c>
      <c r="T7" s="4">
        <f t="shared" si="5"/>
        <v>4696</v>
      </c>
      <c r="V7" s="29">
        <v>3</v>
      </c>
      <c r="W7" s="4">
        <f t="shared" si="6"/>
        <v>1355</v>
      </c>
      <c r="X7" s="4">
        <f t="shared" si="7"/>
        <v>78288.888888888876</v>
      </c>
      <c r="Y7" s="4">
        <f t="shared" si="30"/>
        <v>0</v>
      </c>
      <c r="Z7" s="4">
        <f t="shared" si="31"/>
        <v>21</v>
      </c>
      <c r="AA7" s="4">
        <f t="shared" si="32"/>
        <v>44</v>
      </c>
      <c r="AB7" s="4">
        <f t="shared" si="33"/>
        <v>48</v>
      </c>
      <c r="AC7" s="4">
        <f t="shared" si="8"/>
        <v>9319690</v>
      </c>
      <c r="AD7" s="4">
        <f t="shared" si="9"/>
        <v>6990445</v>
      </c>
      <c r="AE7" s="4">
        <f t="shared" si="10"/>
        <v>1630065</v>
      </c>
      <c r="AF7" s="4">
        <f t="shared" si="11"/>
        <v>337395</v>
      </c>
      <c r="AH7" s="29">
        <v>3</v>
      </c>
      <c r="AI7" s="4">
        <f t="shared" si="12"/>
        <v>45000</v>
      </c>
      <c r="AJ7" s="4">
        <f t="shared" si="13"/>
        <v>400000</v>
      </c>
      <c r="AK7" s="4">
        <f t="shared" si="34"/>
        <v>4</v>
      </c>
      <c r="AL7" s="4">
        <f t="shared" si="35"/>
        <v>15</v>
      </c>
      <c r="AM7" s="4">
        <f t="shared" si="36"/>
        <v>6</v>
      </c>
      <c r="AN7" s="4">
        <f t="shared" si="37"/>
        <v>40</v>
      </c>
      <c r="AO7" s="4">
        <f t="shared" si="38"/>
        <v>4140000</v>
      </c>
      <c r="AP7" s="4">
        <f t="shared" si="14"/>
        <v>3105000</v>
      </c>
      <c r="AQ7" s="4">
        <f t="shared" si="14"/>
        <v>765000</v>
      </c>
      <c r="AR7" s="4">
        <f t="shared" si="14"/>
        <v>180000</v>
      </c>
      <c r="AT7" s="29">
        <v>3</v>
      </c>
      <c r="AU7" s="4">
        <f t="shared" si="15"/>
        <v>45000</v>
      </c>
      <c r="AV7" s="4">
        <f t="shared" si="16"/>
        <v>2599999.9999999995</v>
      </c>
      <c r="AW7" s="4">
        <f t="shared" si="39"/>
        <v>30</v>
      </c>
      <c r="AX7" s="4">
        <f t="shared" si="40"/>
        <v>2</v>
      </c>
      <c r="AY7" s="4">
        <f t="shared" si="41"/>
        <v>13</v>
      </c>
      <c r="AZ7" s="4">
        <f t="shared" si="42"/>
        <v>19</v>
      </c>
      <c r="BA7" s="4">
        <f t="shared" si="17"/>
        <v>309510000</v>
      </c>
      <c r="BB7" s="4">
        <f t="shared" si="18"/>
        <v>232155000</v>
      </c>
      <c r="BC7" s="4">
        <f t="shared" si="19"/>
        <v>54135000</v>
      </c>
      <c r="BD7" s="4">
        <f t="shared" si="20"/>
        <v>11205000</v>
      </c>
      <c r="BF7" s="29">
        <v>3</v>
      </c>
      <c r="BG7" s="4">
        <f>IFERROR(VLOOKUP(BF7,'Troop Calculator'!$B$42:$H$52,3,FALSE),"-")</f>
        <v>0</v>
      </c>
      <c r="BH7" s="4">
        <f t="shared" si="21"/>
        <v>0</v>
      </c>
      <c r="BI7" s="4">
        <f t="shared" si="43"/>
        <v>0</v>
      </c>
      <c r="BJ7" s="4">
        <f t="shared" si="44"/>
        <v>0</v>
      </c>
      <c r="BK7" s="4">
        <f t="shared" si="45"/>
        <v>0</v>
      </c>
      <c r="BL7" s="4">
        <f t="shared" si="46"/>
        <v>0</v>
      </c>
      <c r="BM7" s="4">
        <f t="shared" si="22"/>
        <v>0</v>
      </c>
      <c r="BN7" s="4">
        <f t="shared" si="23"/>
        <v>0</v>
      </c>
      <c r="BO7" s="4">
        <f t="shared" si="24"/>
        <v>0</v>
      </c>
      <c r="BP7" s="4">
        <f t="shared" si="25"/>
        <v>0</v>
      </c>
    </row>
    <row r="8" spans="2:68" x14ac:dyDescent="0.3">
      <c r="B8" s="12">
        <v>8</v>
      </c>
      <c r="C8" s="29">
        <v>4</v>
      </c>
      <c r="D8" s="4">
        <v>32</v>
      </c>
      <c r="E8" s="4">
        <f t="shared" si="0"/>
        <v>11.851851851851851</v>
      </c>
      <c r="F8" s="4">
        <v>120</v>
      </c>
      <c r="G8" s="4">
        <v>90</v>
      </c>
      <c r="H8" s="4">
        <v>21</v>
      </c>
      <c r="I8" s="4">
        <v>5</v>
      </c>
      <c r="K8" s="29">
        <v>4</v>
      </c>
      <c r="L8" s="4">
        <f t="shared" si="1"/>
        <v>13914.074074074073</v>
      </c>
      <c r="M8" s="4">
        <f t="shared" si="26"/>
        <v>0</v>
      </c>
      <c r="N8" s="4">
        <f t="shared" si="27"/>
        <v>3</v>
      </c>
      <c r="O8" s="4">
        <f t="shared" si="28"/>
        <v>51</v>
      </c>
      <c r="P8" s="4">
        <f t="shared" si="29"/>
        <v>54.074074074072996</v>
      </c>
      <c r="Q8" s="4">
        <f t="shared" si="2"/>
        <v>140880</v>
      </c>
      <c r="R8" s="4">
        <f t="shared" si="3"/>
        <v>105660</v>
      </c>
      <c r="S8" s="4">
        <f t="shared" si="4"/>
        <v>24654</v>
      </c>
      <c r="T8" s="4">
        <f t="shared" si="5"/>
        <v>5870</v>
      </c>
      <c r="V8" s="29">
        <v>4</v>
      </c>
      <c r="W8" s="4">
        <f t="shared" si="6"/>
        <v>1428</v>
      </c>
      <c r="X8" s="4">
        <f t="shared" si="7"/>
        <v>78275.555555555547</v>
      </c>
      <c r="Y8" s="4">
        <f t="shared" si="30"/>
        <v>0</v>
      </c>
      <c r="Z8" s="4">
        <f t="shared" si="31"/>
        <v>21</v>
      </c>
      <c r="AA8" s="4">
        <f t="shared" si="32"/>
        <v>44</v>
      </c>
      <c r="AB8" s="4">
        <f t="shared" si="33"/>
        <v>35</v>
      </c>
      <c r="AC8" s="4">
        <f t="shared" si="8"/>
        <v>9781800</v>
      </c>
      <c r="AD8" s="4">
        <f t="shared" si="9"/>
        <v>7337064</v>
      </c>
      <c r="AE8" s="4">
        <f t="shared" si="10"/>
        <v>1712172</v>
      </c>
      <c r="AF8" s="4">
        <f t="shared" si="11"/>
        <v>354144</v>
      </c>
      <c r="AH8" s="29">
        <v>4</v>
      </c>
      <c r="AI8" s="4">
        <f t="shared" si="12"/>
        <v>45000</v>
      </c>
      <c r="AJ8" s="4">
        <f t="shared" si="13"/>
        <v>533333.33333333326</v>
      </c>
      <c r="AK8" s="4">
        <f t="shared" si="34"/>
        <v>6</v>
      </c>
      <c r="AL8" s="4">
        <f t="shared" si="35"/>
        <v>4</v>
      </c>
      <c r="AM8" s="4">
        <f t="shared" si="36"/>
        <v>8</v>
      </c>
      <c r="AN8" s="4">
        <f t="shared" si="37"/>
        <v>53</v>
      </c>
      <c r="AO8" s="4">
        <f t="shared" si="38"/>
        <v>5400000</v>
      </c>
      <c r="AP8" s="4">
        <f t="shared" si="14"/>
        <v>4050000</v>
      </c>
      <c r="AQ8" s="4">
        <f t="shared" si="14"/>
        <v>945000</v>
      </c>
      <c r="AR8" s="4">
        <f t="shared" si="14"/>
        <v>225000</v>
      </c>
      <c r="AT8" s="29">
        <v>4</v>
      </c>
      <c r="AU8" s="4">
        <f t="shared" si="15"/>
        <v>45000</v>
      </c>
      <c r="AV8" s="4">
        <f t="shared" si="16"/>
        <v>2466666.6666666665</v>
      </c>
      <c r="AW8" s="4">
        <f t="shared" si="39"/>
        <v>28</v>
      </c>
      <c r="AX8" s="4">
        <f t="shared" si="40"/>
        <v>13</v>
      </c>
      <c r="AY8" s="4">
        <f t="shared" si="41"/>
        <v>11</v>
      </c>
      <c r="AZ8" s="4">
        <f t="shared" si="42"/>
        <v>6</v>
      </c>
      <c r="BA8" s="4">
        <f t="shared" si="17"/>
        <v>308250000</v>
      </c>
      <c r="BB8" s="4">
        <f t="shared" si="18"/>
        <v>231210000</v>
      </c>
      <c r="BC8" s="4">
        <f t="shared" si="19"/>
        <v>53955000</v>
      </c>
      <c r="BD8" s="4">
        <f t="shared" si="20"/>
        <v>11160000</v>
      </c>
      <c r="BF8" s="29">
        <v>4</v>
      </c>
      <c r="BG8" s="4">
        <f>IFERROR(VLOOKUP(BF8,'Troop Calculator'!$B$42:$H$52,3,FALSE),"-")</f>
        <v>0</v>
      </c>
      <c r="BH8" s="4">
        <f t="shared" si="21"/>
        <v>0</v>
      </c>
      <c r="BI8" s="4">
        <f t="shared" si="43"/>
        <v>0</v>
      </c>
      <c r="BJ8" s="4">
        <f t="shared" si="44"/>
        <v>0</v>
      </c>
      <c r="BK8" s="4">
        <f t="shared" si="45"/>
        <v>0</v>
      </c>
      <c r="BL8" s="4">
        <f t="shared" si="46"/>
        <v>0</v>
      </c>
      <c r="BM8" s="4">
        <f t="shared" si="22"/>
        <v>0</v>
      </c>
      <c r="BN8" s="4">
        <f t="shared" si="23"/>
        <v>0</v>
      </c>
      <c r="BO8" s="4">
        <f t="shared" si="24"/>
        <v>0</v>
      </c>
      <c r="BP8" s="4">
        <f t="shared" si="25"/>
        <v>0</v>
      </c>
    </row>
    <row r="9" spans="2:68" x14ac:dyDescent="0.3">
      <c r="B9" s="12">
        <v>12</v>
      </c>
      <c r="C9" s="29">
        <v>5</v>
      </c>
      <c r="D9" s="4">
        <v>44</v>
      </c>
      <c r="E9" s="4">
        <f t="shared" si="0"/>
        <v>16.296296296296294</v>
      </c>
      <c r="F9" s="4">
        <v>156</v>
      </c>
      <c r="G9" s="4">
        <v>117</v>
      </c>
      <c r="H9" s="4">
        <v>27</v>
      </c>
      <c r="I9" s="4">
        <v>6</v>
      </c>
      <c r="K9" s="29">
        <v>5</v>
      </c>
      <c r="L9" s="4">
        <f t="shared" si="1"/>
        <v>19131.85185185185</v>
      </c>
      <c r="M9" s="4">
        <f t="shared" si="26"/>
        <v>0</v>
      </c>
      <c r="N9" s="4">
        <f t="shared" si="27"/>
        <v>5</v>
      </c>
      <c r="O9" s="4">
        <f t="shared" si="28"/>
        <v>18</v>
      </c>
      <c r="P9" s="4">
        <f t="shared" si="29"/>
        <v>51.85185185185037</v>
      </c>
      <c r="Q9" s="4">
        <f t="shared" si="2"/>
        <v>183144</v>
      </c>
      <c r="R9" s="4">
        <f t="shared" si="3"/>
        <v>137358</v>
      </c>
      <c r="S9" s="4">
        <f t="shared" si="4"/>
        <v>31698</v>
      </c>
      <c r="T9" s="4">
        <f t="shared" si="5"/>
        <v>7044</v>
      </c>
      <c r="V9" s="29">
        <v>5</v>
      </c>
      <c r="W9" s="4">
        <f t="shared" si="6"/>
        <v>1554</v>
      </c>
      <c r="X9" s="4">
        <f t="shared" si="7"/>
        <v>78275.555555555547</v>
      </c>
      <c r="Y9" s="4">
        <f t="shared" si="30"/>
        <v>0</v>
      </c>
      <c r="Z9" s="4">
        <f t="shared" si="31"/>
        <v>21</v>
      </c>
      <c r="AA9" s="4">
        <f t="shared" si="32"/>
        <v>44</v>
      </c>
      <c r="AB9" s="4">
        <f t="shared" si="33"/>
        <v>35</v>
      </c>
      <c r="AC9" s="4">
        <f t="shared" si="8"/>
        <v>10588956</v>
      </c>
      <c r="AD9" s="4">
        <f t="shared" si="9"/>
        <v>7942494</v>
      </c>
      <c r="AE9" s="4">
        <f t="shared" si="10"/>
        <v>1853922</v>
      </c>
      <c r="AF9" s="4">
        <f t="shared" si="11"/>
        <v>383838</v>
      </c>
      <c r="AH9" s="29">
        <v>5</v>
      </c>
      <c r="AI9" s="4">
        <f t="shared" si="12"/>
        <v>45000</v>
      </c>
      <c r="AJ9" s="4">
        <f t="shared" si="13"/>
        <v>733333.33333333326</v>
      </c>
      <c r="AK9" s="4">
        <f t="shared" si="34"/>
        <v>8</v>
      </c>
      <c r="AL9" s="4">
        <f t="shared" si="35"/>
        <v>11</v>
      </c>
      <c r="AM9" s="4">
        <f t="shared" si="36"/>
        <v>42</v>
      </c>
      <c r="AN9" s="4">
        <f t="shared" si="37"/>
        <v>13</v>
      </c>
      <c r="AO9" s="4">
        <f t="shared" si="38"/>
        <v>7020000</v>
      </c>
      <c r="AP9" s="4">
        <f t="shared" si="14"/>
        <v>5265000</v>
      </c>
      <c r="AQ9" s="4">
        <f t="shared" si="14"/>
        <v>1215000</v>
      </c>
      <c r="AR9" s="4">
        <f t="shared" si="14"/>
        <v>270000</v>
      </c>
      <c r="AT9" s="29">
        <v>5</v>
      </c>
      <c r="AU9" s="4">
        <f t="shared" si="15"/>
        <v>45000</v>
      </c>
      <c r="AV9" s="4">
        <f t="shared" si="16"/>
        <v>2266666.6666666665</v>
      </c>
      <c r="AW9" s="4">
        <f t="shared" si="39"/>
        <v>26</v>
      </c>
      <c r="AX9" s="4">
        <f t="shared" si="40"/>
        <v>5</v>
      </c>
      <c r="AY9" s="4">
        <f t="shared" si="41"/>
        <v>37</v>
      </c>
      <c r="AZ9" s="4">
        <f t="shared" si="42"/>
        <v>46</v>
      </c>
      <c r="BA9" s="4">
        <f t="shared" si="17"/>
        <v>306630000</v>
      </c>
      <c r="BB9" s="4">
        <f t="shared" si="18"/>
        <v>229995000</v>
      </c>
      <c r="BC9" s="4">
        <f t="shared" si="19"/>
        <v>53685000</v>
      </c>
      <c r="BD9" s="4">
        <f t="shared" si="20"/>
        <v>11115000</v>
      </c>
      <c r="BF9" s="29">
        <v>5</v>
      </c>
      <c r="BG9" s="4">
        <f>IFERROR(VLOOKUP(BF9,'Troop Calculator'!$B$42:$H$52,3,FALSE),"-")</f>
        <v>0</v>
      </c>
      <c r="BH9" s="4">
        <f t="shared" si="21"/>
        <v>0</v>
      </c>
      <c r="BI9" s="4">
        <f t="shared" si="43"/>
        <v>0</v>
      </c>
      <c r="BJ9" s="4">
        <f t="shared" si="44"/>
        <v>0</v>
      </c>
      <c r="BK9" s="4">
        <f t="shared" si="45"/>
        <v>0</v>
      </c>
      <c r="BL9" s="4">
        <f t="shared" si="46"/>
        <v>0</v>
      </c>
      <c r="BM9" s="4">
        <f t="shared" si="22"/>
        <v>0</v>
      </c>
      <c r="BN9" s="4">
        <f t="shared" si="23"/>
        <v>0</v>
      </c>
      <c r="BO9" s="4">
        <f t="shared" si="24"/>
        <v>0</v>
      </c>
      <c r="BP9" s="4">
        <f t="shared" si="25"/>
        <v>0</v>
      </c>
    </row>
    <row r="10" spans="2:68" x14ac:dyDescent="0.3">
      <c r="B10" s="12">
        <v>18</v>
      </c>
      <c r="C10" s="29">
        <v>6</v>
      </c>
      <c r="D10" s="4">
        <v>60</v>
      </c>
      <c r="E10" s="4">
        <f t="shared" si="0"/>
        <v>22.222222222222221</v>
      </c>
      <c r="F10" s="4">
        <v>186</v>
      </c>
      <c r="G10" s="4">
        <v>140</v>
      </c>
      <c r="H10" s="4">
        <v>33</v>
      </c>
      <c r="I10" s="4">
        <v>7</v>
      </c>
      <c r="K10" s="29">
        <v>6</v>
      </c>
      <c r="L10" s="4">
        <f t="shared" si="1"/>
        <v>26088.888888888887</v>
      </c>
      <c r="M10" s="4">
        <f t="shared" si="26"/>
        <v>0</v>
      </c>
      <c r="N10" s="4">
        <f t="shared" si="27"/>
        <v>7</v>
      </c>
      <c r="O10" s="4">
        <f t="shared" si="28"/>
        <v>14</v>
      </c>
      <c r="P10" s="4">
        <f t="shared" si="29"/>
        <v>48.888888888886868</v>
      </c>
      <c r="Q10" s="4">
        <f t="shared" si="2"/>
        <v>218364</v>
      </c>
      <c r="R10" s="4">
        <f t="shared" si="3"/>
        <v>164360</v>
      </c>
      <c r="S10" s="4">
        <f t="shared" si="4"/>
        <v>38742</v>
      </c>
      <c r="T10" s="4">
        <f t="shared" si="5"/>
        <v>8218</v>
      </c>
      <c r="V10" s="29">
        <v>6</v>
      </c>
      <c r="W10" s="4">
        <f t="shared" si="6"/>
        <v>1761</v>
      </c>
      <c r="X10" s="4">
        <f t="shared" si="7"/>
        <v>78266.666666666657</v>
      </c>
      <c r="Y10" s="4">
        <f t="shared" si="30"/>
        <v>0</v>
      </c>
      <c r="Z10" s="4">
        <f t="shared" si="31"/>
        <v>21</v>
      </c>
      <c r="AA10" s="4">
        <f t="shared" si="32"/>
        <v>44</v>
      </c>
      <c r="AB10" s="4">
        <f t="shared" si="33"/>
        <v>26</v>
      </c>
      <c r="AC10" s="4">
        <f t="shared" si="8"/>
        <v>11946624</v>
      </c>
      <c r="AD10" s="4">
        <f t="shared" si="9"/>
        <v>8959968</v>
      </c>
      <c r="AE10" s="4">
        <f t="shared" si="10"/>
        <v>2090307</v>
      </c>
      <c r="AF10" s="4">
        <f t="shared" si="11"/>
        <v>433206</v>
      </c>
      <c r="AH10" s="29">
        <v>6</v>
      </c>
      <c r="AI10" s="4">
        <f t="shared" si="12"/>
        <v>45000</v>
      </c>
      <c r="AJ10" s="4">
        <f t="shared" si="13"/>
        <v>999999.99999999988</v>
      </c>
      <c r="AK10" s="4">
        <f t="shared" si="34"/>
        <v>11</v>
      </c>
      <c r="AL10" s="4">
        <f t="shared" si="35"/>
        <v>13</v>
      </c>
      <c r="AM10" s="4">
        <f t="shared" si="36"/>
        <v>46</v>
      </c>
      <c r="AN10" s="4">
        <f t="shared" si="37"/>
        <v>39</v>
      </c>
      <c r="AO10" s="4">
        <f t="shared" si="38"/>
        <v>8370000</v>
      </c>
      <c r="AP10" s="4">
        <f t="shared" si="14"/>
        <v>6300000</v>
      </c>
      <c r="AQ10" s="4">
        <f t="shared" si="14"/>
        <v>1485000</v>
      </c>
      <c r="AR10" s="4">
        <f t="shared" si="14"/>
        <v>315000</v>
      </c>
      <c r="AT10" s="29">
        <v>6</v>
      </c>
      <c r="AU10" s="4">
        <f t="shared" si="15"/>
        <v>45000</v>
      </c>
      <c r="AV10" s="4">
        <f t="shared" si="16"/>
        <v>1999999.9999999995</v>
      </c>
      <c r="AW10" s="4">
        <f t="shared" si="39"/>
        <v>23</v>
      </c>
      <c r="AX10" s="4">
        <f t="shared" si="40"/>
        <v>3</v>
      </c>
      <c r="AY10" s="4">
        <f t="shared" si="41"/>
        <v>33</v>
      </c>
      <c r="AZ10" s="4">
        <f t="shared" si="42"/>
        <v>19</v>
      </c>
      <c r="BA10" s="4">
        <f t="shared" si="17"/>
        <v>305280000</v>
      </c>
      <c r="BB10" s="4">
        <f t="shared" si="18"/>
        <v>228960000</v>
      </c>
      <c r="BC10" s="4">
        <f t="shared" si="19"/>
        <v>53415000</v>
      </c>
      <c r="BD10" s="4">
        <f t="shared" si="20"/>
        <v>11070000</v>
      </c>
      <c r="BF10" s="29">
        <v>6</v>
      </c>
      <c r="BG10" s="4">
        <f>IFERROR(VLOOKUP(BF10,'Troop Calculator'!$B$42:$H$52,3,FALSE),"-")</f>
        <v>0</v>
      </c>
      <c r="BH10" s="4">
        <f t="shared" si="21"/>
        <v>0</v>
      </c>
      <c r="BI10" s="4">
        <f t="shared" si="43"/>
        <v>0</v>
      </c>
      <c r="BJ10" s="4">
        <f t="shared" si="44"/>
        <v>0</v>
      </c>
      <c r="BK10" s="4">
        <f t="shared" si="45"/>
        <v>0</v>
      </c>
      <c r="BL10" s="4">
        <f t="shared" si="46"/>
        <v>0</v>
      </c>
      <c r="BM10" s="4">
        <f t="shared" si="22"/>
        <v>0</v>
      </c>
      <c r="BN10" s="4">
        <f t="shared" si="23"/>
        <v>0</v>
      </c>
      <c r="BO10" s="4">
        <f t="shared" si="24"/>
        <v>0</v>
      </c>
      <c r="BP10" s="4">
        <f t="shared" si="25"/>
        <v>0</v>
      </c>
    </row>
    <row r="11" spans="2:68" x14ac:dyDescent="0.3">
      <c r="B11" s="12">
        <v>25</v>
      </c>
      <c r="C11" s="29">
        <v>7</v>
      </c>
      <c r="D11" s="4">
        <v>83</v>
      </c>
      <c r="E11" s="4">
        <f t="shared" si="0"/>
        <v>30.74074074074074</v>
      </c>
      <c r="F11" s="4">
        <v>279</v>
      </c>
      <c r="G11" s="4">
        <v>210</v>
      </c>
      <c r="H11" s="4">
        <v>49</v>
      </c>
      <c r="I11" s="4">
        <v>11</v>
      </c>
      <c r="K11" s="29">
        <v>7</v>
      </c>
      <c r="L11" s="4">
        <f t="shared" si="1"/>
        <v>36089.629629629628</v>
      </c>
      <c r="M11" s="4">
        <f t="shared" si="26"/>
        <v>0</v>
      </c>
      <c r="N11" s="4">
        <f t="shared" si="27"/>
        <v>10</v>
      </c>
      <c r="O11" s="4">
        <f t="shared" si="28"/>
        <v>1</v>
      </c>
      <c r="P11" s="4">
        <f t="shared" si="29"/>
        <v>29.629629629627743</v>
      </c>
      <c r="Q11" s="4">
        <f t="shared" si="2"/>
        <v>327546</v>
      </c>
      <c r="R11" s="4">
        <f t="shared" si="3"/>
        <v>246540</v>
      </c>
      <c r="S11" s="4">
        <f t="shared" si="4"/>
        <v>57526</v>
      </c>
      <c r="T11" s="4">
        <f t="shared" si="5"/>
        <v>12914</v>
      </c>
      <c r="V11" s="29">
        <v>7</v>
      </c>
      <c r="W11" s="4">
        <f t="shared" si="6"/>
        <v>2179</v>
      </c>
      <c r="X11" s="4">
        <f t="shared" si="7"/>
        <v>78282.592592592569</v>
      </c>
      <c r="Y11" s="4">
        <f t="shared" si="30"/>
        <v>0</v>
      </c>
      <c r="Z11" s="4">
        <f t="shared" si="31"/>
        <v>21</v>
      </c>
      <c r="AA11" s="4">
        <f t="shared" si="32"/>
        <v>44</v>
      </c>
      <c r="AB11" s="4">
        <f t="shared" si="33"/>
        <v>42</v>
      </c>
      <c r="AC11" s="4">
        <f t="shared" si="8"/>
        <v>14579689</v>
      </c>
      <c r="AD11" s="4">
        <f t="shared" si="9"/>
        <v>10934222</v>
      </c>
      <c r="AE11" s="4">
        <f t="shared" si="10"/>
        <v>2551609</v>
      </c>
      <c r="AF11" s="4">
        <f t="shared" si="11"/>
        <v>527318</v>
      </c>
      <c r="AH11" s="29">
        <v>7</v>
      </c>
      <c r="AI11" s="4">
        <f t="shared" si="12"/>
        <v>45000</v>
      </c>
      <c r="AJ11" s="4">
        <f t="shared" si="13"/>
        <v>1383333.3333333333</v>
      </c>
      <c r="AK11" s="4">
        <f t="shared" si="34"/>
        <v>16</v>
      </c>
      <c r="AL11" s="4">
        <f t="shared" si="35"/>
        <v>0</v>
      </c>
      <c r="AM11" s="4">
        <f t="shared" si="36"/>
        <v>15</v>
      </c>
      <c r="AN11" s="4">
        <f t="shared" si="37"/>
        <v>33</v>
      </c>
      <c r="AO11" s="4">
        <f t="shared" si="38"/>
        <v>12555000</v>
      </c>
      <c r="AP11" s="4">
        <f t="shared" si="14"/>
        <v>9450000</v>
      </c>
      <c r="AQ11" s="4">
        <f t="shared" si="14"/>
        <v>2205000</v>
      </c>
      <c r="AR11" s="4">
        <f t="shared" si="14"/>
        <v>495000</v>
      </c>
      <c r="AT11" s="29">
        <v>7</v>
      </c>
      <c r="AU11" s="4">
        <f t="shared" si="15"/>
        <v>45000</v>
      </c>
      <c r="AV11" s="4">
        <f t="shared" si="16"/>
        <v>1616666.6666666663</v>
      </c>
      <c r="AW11" s="4">
        <f t="shared" si="39"/>
        <v>18</v>
      </c>
      <c r="AX11" s="4">
        <f t="shared" si="40"/>
        <v>17</v>
      </c>
      <c r="AY11" s="4">
        <f t="shared" si="41"/>
        <v>4</v>
      </c>
      <c r="AZ11" s="4">
        <f t="shared" si="42"/>
        <v>26</v>
      </c>
      <c r="BA11" s="4">
        <f t="shared" si="17"/>
        <v>301095000</v>
      </c>
      <c r="BB11" s="4">
        <f t="shared" si="18"/>
        <v>225810000</v>
      </c>
      <c r="BC11" s="4">
        <f t="shared" si="19"/>
        <v>52695000</v>
      </c>
      <c r="BD11" s="4">
        <f t="shared" si="20"/>
        <v>10890000</v>
      </c>
      <c r="BF11" s="29">
        <v>7</v>
      </c>
      <c r="BG11" s="4">
        <f>IFERROR(VLOOKUP(BF11,'Troop Calculator'!$B$42:$H$52,3,FALSE),"-")</f>
        <v>0</v>
      </c>
      <c r="BH11" s="4">
        <f t="shared" si="21"/>
        <v>0</v>
      </c>
      <c r="BI11" s="4">
        <f t="shared" si="43"/>
        <v>0</v>
      </c>
      <c r="BJ11" s="4">
        <f t="shared" si="44"/>
        <v>0</v>
      </c>
      <c r="BK11" s="4">
        <f t="shared" si="45"/>
        <v>0</v>
      </c>
      <c r="BL11" s="4">
        <f t="shared" si="46"/>
        <v>0</v>
      </c>
      <c r="BM11" s="4">
        <f t="shared" si="22"/>
        <v>0</v>
      </c>
      <c r="BN11" s="4">
        <f t="shared" si="23"/>
        <v>0</v>
      </c>
      <c r="BO11" s="4">
        <f t="shared" si="24"/>
        <v>0</v>
      </c>
      <c r="BP11" s="4">
        <f t="shared" si="25"/>
        <v>0</v>
      </c>
    </row>
    <row r="12" spans="2:68" x14ac:dyDescent="0.3">
      <c r="B12" s="12">
        <v>35</v>
      </c>
      <c r="C12" s="29">
        <v>8</v>
      </c>
      <c r="D12" s="4">
        <v>113</v>
      </c>
      <c r="E12" s="4">
        <f t="shared" si="0"/>
        <v>41.851851851851848</v>
      </c>
      <c r="F12" s="4">
        <v>558</v>
      </c>
      <c r="G12" s="4">
        <v>419</v>
      </c>
      <c r="H12" s="4">
        <v>98</v>
      </c>
      <c r="I12" s="4">
        <v>21</v>
      </c>
      <c r="K12" s="29">
        <v>8</v>
      </c>
      <c r="L12" s="4">
        <f t="shared" si="1"/>
        <v>49134.074074074073</v>
      </c>
      <c r="M12" s="4">
        <f t="shared" si="26"/>
        <v>0</v>
      </c>
      <c r="N12" s="4">
        <f t="shared" si="27"/>
        <v>13</v>
      </c>
      <c r="O12" s="4">
        <f t="shared" si="28"/>
        <v>38</v>
      </c>
      <c r="P12" s="4">
        <f t="shared" si="29"/>
        <v>54.074074074072996</v>
      </c>
      <c r="Q12" s="4">
        <f t="shared" si="2"/>
        <v>655092</v>
      </c>
      <c r="R12" s="4">
        <f t="shared" si="3"/>
        <v>491906</v>
      </c>
      <c r="S12" s="4">
        <f t="shared" si="4"/>
        <v>115052</v>
      </c>
      <c r="T12" s="4">
        <f t="shared" si="5"/>
        <v>24654</v>
      </c>
      <c r="V12" s="29">
        <v>8</v>
      </c>
      <c r="W12" s="4">
        <f t="shared" si="6"/>
        <v>3155</v>
      </c>
      <c r="X12" s="4">
        <f t="shared" si="7"/>
        <v>78290.74074074073</v>
      </c>
      <c r="Y12" s="4">
        <f t="shared" si="30"/>
        <v>0</v>
      </c>
      <c r="Z12" s="4">
        <f t="shared" si="31"/>
        <v>21</v>
      </c>
      <c r="AA12" s="4">
        <f t="shared" si="32"/>
        <v>44</v>
      </c>
      <c r="AB12" s="4">
        <f t="shared" si="33"/>
        <v>50</v>
      </c>
      <c r="AC12" s="4">
        <f t="shared" si="8"/>
        <v>20229860</v>
      </c>
      <c r="AD12" s="4">
        <f t="shared" si="9"/>
        <v>15172395</v>
      </c>
      <c r="AE12" s="4">
        <f t="shared" si="10"/>
        <v>3539910</v>
      </c>
      <c r="AF12" s="4">
        <f t="shared" si="11"/>
        <v>731960</v>
      </c>
      <c r="AH12" s="29">
        <v>8</v>
      </c>
      <c r="AI12" s="4">
        <f t="shared" si="12"/>
        <v>45000</v>
      </c>
      <c r="AJ12" s="4">
        <f t="shared" si="13"/>
        <v>1883333.3333333333</v>
      </c>
      <c r="AK12" s="4">
        <f t="shared" si="34"/>
        <v>21</v>
      </c>
      <c r="AL12" s="4">
        <f t="shared" si="35"/>
        <v>19</v>
      </c>
      <c r="AM12" s="4">
        <f t="shared" si="36"/>
        <v>8</v>
      </c>
      <c r="AN12" s="4">
        <f t="shared" si="37"/>
        <v>53</v>
      </c>
      <c r="AO12" s="4">
        <f t="shared" si="38"/>
        <v>25110000</v>
      </c>
      <c r="AP12" s="4">
        <f t="shared" si="14"/>
        <v>18855000</v>
      </c>
      <c r="AQ12" s="4">
        <f t="shared" si="14"/>
        <v>4410000</v>
      </c>
      <c r="AR12" s="4">
        <f t="shared" si="14"/>
        <v>945000</v>
      </c>
      <c r="AT12" s="29">
        <v>8</v>
      </c>
      <c r="AU12" s="4">
        <f t="shared" si="15"/>
        <v>45000</v>
      </c>
      <c r="AV12" s="4">
        <f t="shared" si="16"/>
        <v>1116666.6666666665</v>
      </c>
      <c r="AW12" s="4">
        <f t="shared" si="39"/>
        <v>12</v>
      </c>
      <c r="AX12" s="4">
        <f t="shared" si="40"/>
        <v>22</v>
      </c>
      <c r="AY12" s="4">
        <f t="shared" si="41"/>
        <v>11</v>
      </c>
      <c r="AZ12" s="4">
        <f t="shared" si="42"/>
        <v>6</v>
      </c>
      <c r="BA12" s="4">
        <f t="shared" si="17"/>
        <v>288540000</v>
      </c>
      <c r="BB12" s="4">
        <f t="shared" si="18"/>
        <v>216405000</v>
      </c>
      <c r="BC12" s="4">
        <f t="shared" si="19"/>
        <v>50490000</v>
      </c>
      <c r="BD12" s="4">
        <f t="shared" si="20"/>
        <v>10440000</v>
      </c>
      <c r="BF12" s="29">
        <v>8</v>
      </c>
      <c r="BG12" s="4">
        <f>IFERROR(VLOOKUP(BF12,'Troop Calculator'!$B$42:$H$52,3,FALSE),"-")</f>
        <v>0</v>
      </c>
      <c r="BH12" s="4">
        <f t="shared" si="21"/>
        <v>0</v>
      </c>
      <c r="BI12" s="4">
        <f t="shared" si="43"/>
        <v>0</v>
      </c>
      <c r="BJ12" s="4">
        <f t="shared" si="44"/>
        <v>0</v>
      </c>
      <c r="BK12" s="4">
        <f t="shared" si="45"/>
        <v>0</v>
      </c>
      <c r="BL12" s="4">
        <f t="shared" si="46"/>
        <v>0</v>
      </c>
      <c r="BM12" s="4">
        <f t="shared" si="22"/>
        <v>0</v>
      </c>
      <c r="BN12" s="4">
        <f t="shared" si="23"/>
        <v>0</v>
      </c>
      <c r="BO12" s="4">
        <f t="shared" si="24"/>
        <v>0</v>
      </c>
      <c r="BP12" s="4">
        <f t="shared" si="25"/>
        <v>0</v>
      </c>
    </row>
    <row r="13" spans="2:68" x14ac:dyDescent="0.3">
      <c r="B13" s="12">
        <v>45</v>
      </c>
      <c r="C13" s="29">
        <v>9</v>
      </c>
      <c r="D13" s="4">
        <v>131</v>
      </c>
      <c r="E13" s="4">
        <f t="shared" si="0"/>
        <v>48.518518518518512</v>
      </c>
      <c r="F13" s="4">
        <v>1394</v>
      </c>
      <c r="G13" s="4">
        <v>1046</v>
      </c>
      <c r="H13" s="4">
        <v>244</v>
      </c>
      <c r="I13" s="4">
        <v>51</v>
      </c>
      <c r="K13" s="29">
        <v>9</v>
      </c>
      <c r="L13" s="4">
        <f t="shared" si="1"/>
        <v>56960.740740740737</v>
      </c>
      <c r="M13" s="4">
        <f t="shared" si="26"/>
        <v>0</v>
      </c>
      <c r="N13" s="4">
        <f t="shared" si="27"/>
        <v>15</v>
      </c>
      <c r="O13" s="4">
        <f t="shared" si="28"/>
        <v>49</v>
      </c>
      <c r="P13" s="4">
        <f t="shared" si="29"/>
        <v>20.740740740737238</v>
      </c>
      <c r="Q13" s="4">
        <f t="shared" si="2"/>
        <v>1636556</v>
      </c>
      <c r="R13" s="4">
        <f t="shared" si="3"/>
        <v>1228004</v>
      </c>
      <c r="S13" s="4">
        <f t="shared" si="4"/>
        <v>286456</v>
      </c>
      <c r="T13" s="4">
        <f t="shared" si="5"/>
        <v>59874</v>
      </c>
      <c r="V13" s="29">
        <v>9</v>
      </c>
      <c r="W13" s="4">
        <f t="shared" si="6"/>
        <v>4313</v>
      </c>
      <c r="X13" s="4">
        <f t="shared" si="7"/>
        <v>78272.962962962949</v>
      </c>
      <c r="Y13" s="4">
        <f t="shared" si="30"/>
        <v>0</v>
      </c>
      <c r="Z13" s="4">
        <f t="shared" si="31"/>
        <v>21</v>
      </c>
      <c r="AA13" s="4">
        <f t="shared" si="32"/>
        <v>44</v>
      </c>
      <c r="AB13" s="4">
        <f t="shared" si="33"/>
        <v>32</v>
      </c>
      <c r="AC13" s="4">
        <f t="shared" si="8"/>
        <v>24049288</v>
      </c>
      <c r="AD13" s="4">
        <f t="shared" si="9"/>
        <v>18036966</v>
      </c>
      <c r="AE13" s="4">
        <f t="shared" si="10"/>
        <v>4209488</v>
      </c>
      <c r="AF13" s="4">
        <f t="shared" si="11"/>
        <v>871226</v>
      </c>
      <c r="AH13" s="29">
        <v>9</v>
      </c>
      <c r="AI13" s="4">
        <f t="shared" si="12"/>
        <v>45000</v>
      </c>
      <c r="AJ13" s="4">
        <f t="shared" si="13"/>
        <v>2183333.333333333</v>
      </c>
      <c r="AK13" s="4">
        <f t="shared" si="34"/>
        <v>25</v>
      </c>
      <c r="AL13" s="4">
        <f t="shared" si="35"/>
        <v>6</v>
      </c>
      <c r="AM13" s="4">
        <f t="shared" si="36"/>
        <v>28</v>
      </c>
      <c r="AN13" s="4">
        <f t="shared" si="37"/>
        <v>53</v>
      </c>
      <c r="AO13" s="4">
        <f t="shared" si="38"/>
        <v>62730000</v>
      </c>
      <c r="AP13" s="4">
        <f t="shared" si="14"/>
        <v>47070000</v>
      </c>
      <c r="AQ13" s="4">
        <f t="shared" si="14"/>
        <v>10980000</v>
      </c>
      <c r="AR13" s="4">
        <f t="shared" si="14"/>
        <v>2295000</v>
      </c>
      <c r="AT13" s="29">
        <v>9</v>
      </c>
      <c r="AU13" s="4">
        <f t="shared" si="15"/>
        <v>45000</v>
      </c>
      <c r="AV13" s="4">
        <f t="shared" si="16"/>
        <v>816666.66666666651</v>
      </c>
      <c r="AW13" s="4">
        <f t="shared" si="39"/>
        <v>9</v>
      </c>
      <c r="AX13" s="4">
        <f t="shared" si="40"/>
        <v>10</v>
      </c>
      <c r="AY13" s="4">
        <f t="shared" si="41"/>
        <v>51</v>
      </c>
      <c r="AZ13" s="4">
        <f t="shared" si="42"/>
        <v>6</v>
      </c>
      <c r="BA13" s="4">
        <f t="shared" si="17"/>
        <v>250920000</v>
      </c>
      <c r="BB13" s="4">
        <f t="shared" si="18"/>
        <v>188190000</v>
      </c>
      <c r="BC13" s="4">
        <f t="shared" si="19"/>
        <v>43920000</v>
      </c>
      <c r="BD13" s="4">
        <f t="shared" si="20"/>
        <v>9090000</v>
      </c>
      <c r="BF13" s="29">
        <v>9</v>
      </c>
      <c r="BG13" s="4">
        <f>IFERROR(VLOOKUP(BF13,'Troop Calculator'!$B$42:$H$52,3,FALSE),"-")</f>
        <v>0</v>
      </c>
      <c r="BH13" s="4">
        <f t="shared" si="21"/>
        <v>0</v>
      </c>
      <c r="BI13" s="4">
        <f t="shared" si="43"/>
        <v>0</v>
      </c>
      <c r="BJ13" s="4">
        <f t="shared" si="44"/>
        <v>0</v>
      </c>
      <c r="BK13" s="4">
        <f t="shared" si="45"/>
        <v>0</v>
      </c>
      <c r="BL13" s="4">
        <f t="shared" si="46"/>
        <v>0</v>
      </c>
      <c r="BM13" s="4">
        <f t="shared" si="22"/>
        <v>0</v>
      </c>
      <c r="BN13" s="4">
        <f t="shared" si="23"/>
        <v>0</v>
      </c>
      <c r="BO13" s="4">
        <f t="shared" si="24"/>
        <v>0</v>
      </c>
      <c r="BP13" s="4">
        <f t="shared" si="25"/>
        <v>0</v>
      </c>
    </row>
    <row r="14" spans="2:68" x14ac:dyDescent="0.3">
      <c r="B14" s="12">
        <v>60</v>
      </c>
      <c r="C14" s="29">
        <v>10</v>
      </c>
      <c r="D14" s="4">
        <v>152</v>
      </c>
      <c r="E14" s="4">
        <f t="shared" si="0"/>
        <v>56.296296296296291</v>
      </c>
      <c r="F14" s="4">
        <v>2788</v>
      </c>
      <c r="G14" s="4">
        <v>2091</v>
      </c>
      <c r="H14" s="4">
        <v>488</v>
      </c>
      <c r="I14" s="4">
        <v>102</v>
      </c>
      <c r="K14" s="29">
        <v>10</v>
      </c>
      <c r="L14" s="4">
        <f t="shared" si="1"/>
        <v>66091.851851851854</v>
      </c>
      <c r="M14" s="4">
        <f t="shared" si="26"/>
        <v>0</v>
      </c>
      <c r="N14" s="4">
        <f t="shared" si="27"/>
        <v>18</v>
      </c>
      <c r="O14" s="4">
        <f t="shared" si="28"/>
        <v>21</v>
      </c>
      <c r="P14" s="4">
        <f t="shared" si="29"/>
        <v>31.851851851854008</v>
      </c>
      <c r="Q14" s="4">
        <f t="shared" si="2"/>
        <v>3273112</v>
      </c>
      <c r="R14" s="4">
        <f t="shared" si="3"/>
        <v>2454834</v>
      </c>
      <c r="S14" s="4">
        <f t="shared" si="4"/>
        <v>572912</v>
      </c>
      <c r="T14" s="4">
        <f t="shared" si="5"/>
        <v>119748</v>
      </c>
      <c r="V14" s="29">
        <v>10</v>
      </c>
      <c r="W14" s="4">
        <f t="shared" si="6"/>
        <v>7548</v>
      </c>
      <c r="X14" s="4">
        <f t="shared" si="7"/>
        <v>78275.555555555533</v>
      </c>
      <c r="Y14" s="4">
        <f t="shared" si="30"/>
        <v>0</v>
      </c>
      <c r="Z14" s="4">
        <f t="shared" si="31"/>
        <v>21</v>
      </c>
      <c r="AA14" s="4">
        <f t="shared" si="32"/>
        <v>44</v>
      </c>
      <c r="AB14" s="4">
        <f t="shared" si="33"/>
        <v>35</v>
      </c>
      <c r="AC14" s="4">
        <f t="shared" si="8"/>
        <v>31565736</v>
      </c>
      <c r="AD14" s="4">
        <f t="shared" si="9"/>
        <v>23678076</v>
      </c>
      <c r="AE14" s="4">
        <f t="shared" si="10"/>
        <v>5525136</v>
      </c>
      <c r="AF14" s="4">
        <f t="shared" si="11"/>
        <v>1139748</v>
      </c>
      <c r="AH14" s="29">
        <v>10</v>
      </c>
      <c r="AI14" s="4">
        <f t="shared" si="12"/>
        <v>45000</v>
      </c>
      <c r="AJ14" s="4">
        <f t="shared" si="13"/>
        <v>2533333.333333333</v>
      </c>
      <c r="AK14" s="4">
        <f t="shared" si="34"/>
        <v>29</v>
      </c>
      <c r="AL14" s="4">
        <f t="shared" si="35"/>
        <v>7</v>
      </c>
      <c r="AM14" s="4">
        <f t="shared" si="36"/>
        <v>42</v>
      </c>
      <c r="AN14" s="4">
        <f t="shared" si="37"/>
        <v>13</v>
      </c>
      <c r="AO14" s="4">
        <f t="shared" si="38"/>
        <v>125460000</v>
      </c>
      <c r="AP14" s="4">
        <f t="shared" si="14"/>
        <v>94095000</v>
      </c>
      <c r="AQ14" s="4">
        <f t="shared" si="14"/>
        <v>21960000</v>
      </c>
      <c r="AR14" s="4">
        <f t="shared" si="14"/>
        <v>4590000</v>
      </c>
      <c r="AT14" s="29">
        <v>10</v>
      </c>
      <c r="AU14" s="4">
        <f t="shared" si="15"/>
        <v>45000</v>
      </c>
      <c r="AV14" s="4">
        <f t="shared" si="16"/>
        <v>466666.66666666651</v>
      </c>
      <c r="AW14" s="4">
        <f t="shared" si="39"/>
        <v>5</v>
      </c>
      <c r="AX14" s="4">
        <f t="shared" si="40"/>
        <v>9</v>
      </c>
      <c r="AY14" s="4">
        <f t="shared" si="41"/>
        <v>37</v>
      </c>
      <c r="AZ14" s="4">
        <f t="shared" si="42"/>
        <v>46</v>
      </c>
      <c r="BA14" s="4">
        <f t="shared" si="17"/>
        <v>188190000</v>
      </c>
      <c r="BB14" s="4">
        <f t="shared" si="18"/>
        <v>141165000</v>
      </c>
      <c r="BC14" s="4">
        <f t="shared" si="19"/>
        <v>32940000</v>
      </c>
      <c r="BD14" s="4">
        <f t="shared" si="20"/>
        <v>6795000</v>
      </c>
      <c r="BF14" s="29">
        <v>10</v>
      </c>
      <c r="BG14" s="4">
        <f>IFERROR(VLOOKUP(BF14,'Troop Calculator'!$B$42:$H$52,3,FALSE),"-")</f>
        <v>45000</v>
      </c>
      <c r="BH14" s="4">
        <f t="shared" si="21"/>
        <v>466666.66666666651</v>
      </c>
      <c r="BI14" s="4">
        <f t="shared" si="43"/>
        <v>5</v>
      </c>
      <c r="BJ14" s="4">
        <f t="shared" si="44"/>
        <v>9</v>
      </c>
      <c r="BK14" s="4">
        <f t="shared" si="45"/>
        <v>37</v>
      </c>
      <c r="BL14" s="4">
        <f t="shared" si="46"/>
        <v>46</v>
      </c>
      <c r="BM14" s="4">
        <f t="shared" si="22"/>
        <v>188190000</v>
      </c>
      <c r="BN14" s="4">
        <f t="shared" si="23"/>
        <v>141165000</v>
      </c>
      <c r="BO14" s="4">
        <f t="shared" si="24"/>
        <v>32940000</v>
      </c>
      <c r="BP14" s="4">
        <f t="shared" si="25"/>
        <v>6795000</v>
      </c>
    </row>
    <row r="15" spans="2:68" x14ac:dyDescent="0.3">
      <c r="B15" s="12">
        <v>75</v>
      </c>
      <c r="C15" s="29">
        <v>11</v>
      </c>
      <c r="D15" s="4">
        <v>180</v>
      </c>
      <c r="E15" s="4">
        <f t="shared" si="0"/>
        <v>66.666666666666657</v>
      </c>
      <c r="F15" s="4">
        <v>6970</v>
      </c>
      <c r="G15" s="4">
        <v>5228</v>
      </c>
      <c r="H15" s="4">
        <v>1220</v>
      </c>
      <c r="I15" s="4">
        <v>253</v>
      </c>
      <c r="K15" s="29">
        <v>11</v>
      </c>
      <c r="L15" s="4">
        <f t="shared" si="1"/>
        <v>78266.666666666657</v>
      </c>
      <c r="M15" s="4">
        <f t="shared" si="26"/>
        <v>0</v>
      </c>
      <c r="N15" s="4">
        <f t="shared" si="27"/>
        <v>21</v>
      </c>
      <c r="O15" s="4">
        <f t="shared" si="28"/>
        <v>44</v>
      </c>
      <c r="P15" s="4">
        <f t="shared" si="29"/>
        <v>26.666666666656965</v>
      </c>
      <c r="Q15" s="4">
        <f t="shared" si="2"/>
        <v>8182780</v>
      </c>
      <c r="R15" s="4">
        <f t="shared" si="3"/>
        <v>6137672</v>
      </c>
      <c r="S15" s="4">
        <f t="shared" si="4"/>
        <v>1432280</v>
      </c>
      <c r="T15" s="4">
        <f t="shared" si="5"/>
        <v>297022</v>
      </c>
      <c r="V15" s="29">
        <v>11</v>
      </c>
      <c r="W15" s="4" t="str">
        <f t="shared" si="6"/>
        <v>-</v>
      </c>
      <c r="X15" s="4" t="str">
        <f t="shared" si="7"/>
        <v>-</v>
      </c>
      <c r="Y15" s="4" t="str">
        <f t="shared" ref="Y15:Y16" si="47">IFERROR(ROUNDDOWN(X15/60/60/24,0),"-")</f>
        <v>-</v>
      </c>
      <c r="Z15" s="4" t="str">
        <f t="shared" ref="Z15:Z16" si="48">IFERROR(ROUNDDOWN((X15-(Y15*60*60*24))/60/60,0),"-")</f>
        <v>-</v>
      </c>
      <c r="AA15" s="4" t="str">
        <f t="shared" ref="AA15:AA16" si="49">IFERROR(ROUNDDOWN((X15-(Y15*60*60*24)-(Z15*60*60))/60,0),"-")</f>
        <v>-</v>
      </c>
      <c r="AB15" s="4" t="str">
        <f t="shared" ref="AB15:AB16" si="50">IFERROR(ROUNDDOWN(X15-(Y15*60*60*24)-(Z15*60*60)-(AA15*60),0),"-")</f>
        <v>-</v>
      </c>
      <c r="AC15" s="4" t="str">
        <f t="shared" si="8"/>
        <v>-</v>
      </c>
      <c r="AD15" s="4" t="str">
        <f t="shared" si="9"/>
        <v>-</v>
      </c>
      <c r="AE15" s="4" t="str">
        <f t="shared" si="10"/>
        <v>-</v>
      </c>
      <c r="AF15" s="4" t="str">
        <f t="shared" si="11"/>
        <v>-</v>
      </c>
      <c r="AH15" s="29">
        <v>11</v>
      </c>
      <c r="AI15" s="4">
        <f t="shared" si="12"/>
        <v>45000</v>
      </c>
      <c r="AJ15" s="4">
        <f t="shared" si="13"/>
        <v>3000000</v>
      </c>
      <c r="AK15" s="4">
        <f t="shared" si="34"/>
        <v>34</v>
      </c>
      <c r="AL15" s="4">
        <f t="shared" si="35"/>
        <v>17</v>
      </c>
      <c r="AM15" s="4">
        <f t="shared" si="36"/>
        <v>20</v>
      </c>
      <c r="AN15" s="4">
        <f t="shared" si="37"/>
        <v>0</v>
      </c>
      <c r="AO15" s="4">
        <f t="shared" si="38"/>
        <v>313650000</v>
      </c>
      <c r="AP15" s="4">
        <f t="shared" si="14"/>
        <v>235260000</v>
      </c>
      <c r="AQ15" s="4">
        <f t="shared" si="14"/>
        <v>54900000</v>
      </c>
      <c r="AR15" s="4">
        <f t="shared" si="14"/>
        <v>11385000</v>
      </c>
      <c r="AT15" s="29">
        <v>11</v>
      </c>
      <c r="AU15" s="4">
        <f t="shared" si="15"/>
        <v>45000</v>
      </c>
      <c r="AV15" s="4" t="str">
        <f t="shared" si="16"/>
        <v>-</v>
      </c>
      <c r="AW15" s="4" t="str">
        <f t="shared" si="39"/>
        <v>-</v>
      </c>
      <c r="AX15" s="4" t="str">
        <f t="shared" si="40"/>
        <v>-</v>
      </c>
      <c r="AY15" s="4" t="str">
        <f t="shared" si="41"/>
        <v>-</v>
      </c>
      <c r="AZ15" s="4" t="str">
        <f t="shared" si="42"/>
        <v>-</v>
      </c>
      <c r="BA15" s="4" t="str">
        <f t="shared" si="17"/>
        <v>-</v>
      </c>
      <c r="BB15" s="4" t="str">
        <f t="shared" si="18"/>
        <v>-</v>
      </c>
      <c r="BC15" s="4" t="str">
        <f t="shared" si="19"/>
        <v>-</v>
      </c>
      <c r="BD15" s="4" t="str">
        <f t="shared" si="20"/>
        <v>-</v>
      </c>
      <c r="BF15" s="29">
        <v>11</v>
      </c>
      <c r="BG15" s="4">
        <f>IFERROR(VLOOKUP(BF15,'Troop Calculator'!$B$42:$H$52,3,FALSE),"-")</f>
        <v>1000000</v>
      </c>
      <c r="BH15" s="4">
        <f t="shared" si="21"/>
        <v>0</v>
      </c>
      <c r="BI15" s="4">
        <f t="shared" si="43"/>
        <v>0</v>
      </c>
      <c r="BJ15" s="4">
        <f t="shared" si="44"/>
        <v>0</v>
      </c>
      <c r="BK15" s="4">
        <f t="shared" si="45"/>
        <v>0</v>
      </c>
      <c r="BL15" s="4">
        <f t="shared" si="46"/>
        <v>0</v>
      </c>
      <c r="BM15" s="4">
        <f t="shared" si="22"/>
        <v>0</v>
      </c>
      <c r="BN15" s="4">
        <f t="shared" si="23"/>
        <v>0</v>
      </c>
      <c r="BO15" s="4">
        <f t="shared" si="24"/>
        <v>0</v>
      </c>
      <c r="BP15" s="4">
        <f t="shared" si="25"/>
        <v>0</v>
      </c>
    </row>
    <row r="16" spans="2:68" x14ac:dyDescent="0.3">
      <c r="C16" s="4"/>
      <c r="D16" s="4"/>
      <c r="E16" s="4"/>
      <c r="F16" s="4"/>
      <c r="G16" s="4"/>
      <c r="H16" s="4"/>
      <c r="I16" s="4"/>
      <c r="K16" s="29" t="str">
        <f>"Tier "&amp;UpgradeTier</f>
        <v>Tier 11</v>
      </c>
      <c r="L16" s="4">
        <f>VLOOKUP(UpgradeTier,$K$5:$P$15,2,FALSE)</f>
        <v>78266.666666666657</v>
      </c>
      <c r="M16" s="4">
        <f t="shared" ref="M16" si="51">ROUNDDOWN(L16/60/60/24,0)</f>
        <v>0</v>
      </c>
      <c r="N16" s="4">
        <f t="shared" ref="N16" si="52">ROUNDDOWN((L16-(M16*24*60*60))/60/60,0)</f>
        <v>21</v>
      </c>
      <c r="O16" s="4">
        <f t="shared" ref="O16" si="53">ROUNDDOWN((L16-(M16*60*60*24)-(N16*60*60))/60,0)</f>
        <v>44</v>
      </c>
      <c r="P16" s="4">
        <f t="shared" ref="P16" si="54">L16-(M16*60*60*24)-(N16*60*60)-(O16*60)</f>
        <v>26.666666666656965</v>
      </c>
      <c r="R16" s="4"/>
      <c r="S16" s="4"/>
      <c r="T16" s="4"/>
      <c r="U16" s="4"/>
      <c r="W16" s="29" t="str">
        <f>"From "&amp;BaseTier&amp;" To "&amp;UpgradeTier</f>
        <v>From 10 To 11</v>
      </c>
      <c r="X16" s="4">
        <f>VLOOKUP(BaseTier,$V$5:$X$15,3,FALSE)</f>
        <v>78275.555555555533</v>
      </c>
      <c r="Y16" s="4">
        <f t="shared" si="47"/>
        <v>0</v>
      </c>
      <c r="Z16" s="4">
        <f t="shared" si="48"/>
        <v>21</v>
      </c>
      <c r="AA16" s="4">
        <f t="shared" si="49"/>
        <v>44</v>
      </c>
      <c r="AB16" s="4">
        <f t="shared" si="50"/>
        <v>35</v>
      </c>
      <c r="AD16" s="4"/>
      <c r="AE16" s="4"/>
      <c r="AF16" s="4"/>
      <c r="AH16" s="4"/>
      <c r="AI16" s="29" t="str">
        <f>"Tier "&amp;UpgradeTier</f>
        <v>Tier 11</v>
      </c>
      <c r="AJ16" s="4">
        <f>VLOOKUP(UpgradeTier,$AH$5:$AN$15,3,FALSE)</f>
        <v>3000000</v>
      </c>
      <c r="AK16" s="4">
        <f t="shared" ref="AK16" si="55">IFERROR(ROUNDDOWN(AJ16/60/60/24,0),"-")</f>
        <v>34</v>
      </c>
      <c r="AL16" s="4">
        <f t="shared" ref="AL16" si="56">IFERROR(ROUNDDOWN((AJ16-(AK16*60*60*24))/60/60,0),"-")</f>
        <v>17</v>
      </c>
      <c r="AM16" s="4">
        <f t="shared" ref="AM16" si="57">IFERROR(ROUNDDOWN((AJ16-(AK16*60*60*24)-(AL16*60*60))/60,0),"-")</f>
        <v>20</v>
      </c>
      <c r="AN16" s="4">
        <f t="shared" ref="AN16" si="58">IFERROR(ROUNDDOWN(AJ16-(AK16*60*60*24)-(AL16*60*60)-(AM16*60),0),"-")</f>
        <v>0</v>
      </c>
      <c r="AO16" s="4"/>
      <c r="AP16" s="4"/>
      <c r="AQ16" s="4"/>
      <c r="AR16" s="4"/>
      <c r="AT16" s="4"/>
      <c r="AU16" s="29" t="str">
        <f>"From "&amp;BaseTier&amp;" To "&amp;UpgradeTier</f>
        <v>From 10 To 11</v>
      </c>
      <c r="AV16" s="4">
        <f>VLOOKUP(BaseTier,$AT$5:$AZ$15,3,FALSE)</f>
        <v>466666.66666666651</v>
      </c>
      <c r="AW16" s="4">
        <f t="shared" ref="AW16" si="59">IFERROR(ROUNDDOWN(AV16/60/60/24,0),"-")</f>
        <v>5</v>
      </c>
      <c r="AX16" s="4">
        <f t="shared" ref="AX16" si="60">IFERROR(ROUNDDOWN((AV16-(AW16*60*60*24))/60/60,0),"-")</f>
        <v>9</v>
      </c>
      <c r="AY16" s="4">
        <f t="shared" ref="AY16" si="61">IFERROR(ROUNDDOWN((AV16-(AW16*60*60*24)-(AX16*60*60))/60,0),"-")</f>
        <v>37</v>
      </c>
      <c r="AZ16" s="4">
        <f t="shared" ref="AZ16" si="62">IFERROR(ROUNDDOWN(AV16-(AW16*60*60*24)-(AX16*60*60)-(AY16*60),0),"-")</f>
        <v>46</v>
      </c>
      <c r="BA16" s="4"/>
      <c r="BB16" s="4"/>
      <c r="BC16" s="4"/>
      <c r="BD16" s="4"/>
      <c r="BF16" s="705" t="str">
        <f>SUM(BG5:BG15)&amp;" to T10"</f>
        <v>1045000 to T10</v>
      </c>
      <c r="BG16" s="705"/>
      <c r="BH16" s="4">
        <f>SUM(BH5:BH15)</f>
        <v>466666.66666666651</v>
      </c>
      <c r="BI16" s="4">
        <f t="shared" si="43"/>
        <v>5</v>
      </c>
      <c r="BJ16" s="4">
        <f t="shared" si="44"/>
        <v>9</v>
      </c>
      <c r="BK16" s="4">
        <f t="shared" si="45"/>
        <v>37</v>
      </c>
      <c r="BL16" s="4">
        <f t="shared" si="46"/>
        <v>46</v>
      </c>
      <c r="BM16" s="4">
        <f>SUMIF(BM5:BM15,"&gt;0")</f>
        <v>188190000</v>
      </c>
      <c r="BN16" s="4">
        <f t="shared" ref="BN16:BP16" si="63">SUMIF(BN5:BN15,"&gt;0")</f>
        <v>141165000</v>
      </c>
      <c r="BO16" s="4">
        <f t="shared" si="63"/>
        <v>32940000</v>
      </c>
      <c r="BP16" s="4">
        <f t="shared" si="63"/>
        <v>6795000</v>
      </c>
    </row>
    <row r="17" spans="2:68" x14ac:dyDescent="0.3">
      <c r="C17" s="4"/>
      <c r="D17" s="4"/>
      <c r="E17" s="4"/>
      <c r="F17" s="4"/>
      <c r="G17" s="4"/>
      <c r="H17" s="4"/>
      <c r="I17" s="4"/>
      <c r="K17" s="4"/>
      <c r="L17" s="4"/>
      <c r="M17" s="4"/>
      <c r="N17" s="4"/>
      <c r="O17" s="4"/>
      <c r="P17" s="4"/>
      <c r="Q17" s="4"/>
      <c r="R17" s="4"/>
      <c r="S17" s="4"/>
      <c r="T17" s="4"/>
      <c r="V17" s="4"/>
      <c r="W17" s="4"/>
      <c r="X17" s="4"/>
      <c r="Y17" s="4"/>
      <c r="Z17" s="4"/>
      <c r="AA17" s="4"/>
      <c r="AB17" s="4"/>
      <c r="AC17" s="4"/>
      <c r="AD17" s="4"/>
      <c r="AE17" s="4"/>
      <c r="AF17" s="4"/>
      <c r="AH17" s="4"/>
      <c r="AI17" s="4"/>
      <c r="AO17" s="4"/>
      <c r="AP17" s="4"/>
      <c r="AQ17" s="4"/>
      <c r="AR17" s="4"/>
      <c r="AT17" s="4"/>
      <c r="AU17" s="4"/>
      <c r="AV17" s="4"/>
      <c r="AW17" s="4"/>
      <c r="AX17" s="4"/>
      <c r="AY17" s="4"/>
      <c r="AZ17" s="4"/>
      <c r="BA17" s="4"/>
      <c r="BB17" s="4"/>
      <c r="BC17" s="4"/>
      <c r="BD17" s="4"/>
    </row>
    <row r="18" spans="2:68" x14ac:dyDescent="0.3">
      <c r="C18" s="4"/>
      <c r="D18" s="4"/>
      <c r="E18" s="4"/>
      <c r="F18" s="4"/>
      <c r="G18" s="4"/>
      <c r="H18" s="4"/>
      <c r="I18" s="4"/>
      <c r="K18" s="4"/>
      <c r="L18" s="4"/>
      <c r="M18" s="4"/>
      <c r="N18" s="4"/>
      <c r="O18" s="4"/>
      <c r="P18" s="4"/>
      <c r="Q18" s="4"/>
      <c r="R18" s="4"/>
      <c r="S18" s="4"/>
      <c r="T18" s="4"/>
      <c r="V18" s="4"/>
      <c r="W18" s="4"/>
      <c r="X18" s="4"/>
      <c r="Y18" s="4"/>
      <c r="Z18" s="4"/>
      <c r="AA18" s="4"/>
      <c r="AB18" s="4"/>
      <c r="AC18" s="4"/>
      <c r="AD18" s="4"/>
      <c r="AE18" s="4"/>
      <c r="AF18" s="4"/>
      <c r="AH18" s="4"/>
      <c r="AI18" s="4"/>
      <c r="AJ18" s="4"/>
      <c r="AK18" s="4"/>
      <c r="AL18" s="4"/>
      <c r="AM18" s="4"/>
      <c r="AN18" s="4"/>
      <c r="AO18" s="4"/>
      <c r="AP18" s="4"/>
      <c r="AQ18" s="4"/>
      <c r="AR18" s="4"/>
      <c r="AT18" s="4"/>
      <c r="AU18" s="4"/>
      <c r="AV18" s="4"/>
      <c r="AW18" s="4"/>
      <c r="AX18" s="4"/>
      <c r="AY18" s="4"/>
      <c r="AZ18" s="4"/>
      <c r="BA18" s="4"/>
      <c r="BB18" s="4"/>
      <c r="BC18" s="4"/>
      <c r="BD18" s="4"/>
    </row>
    <row r="19" spans="2:68" x14ac:dyDescent="0.3">
      <c r="B19" s="706" t="s">
        <v>163</v>
      </c>
      <c r="C19" s="706"/>
      <c r="D19" s="706"/>
      <c r="E19" s="706"/>
      <c r="F19" s="706"/>
      <c r="G19" s="706"/>
      <c r="H19" s="706"/>
      <c r="I19" s="707"/>
      <c r="K19" s="708" t="str">
        <f>"To Train "&amp;TrainingCapacity&amp;" Lancer"</f>
        <v>To Train 1174 Lancer</v>
      </c>
      <c r="L19" s="709"/>
      <c r="M19" s="709"/>
      <c r="N19" s="709"/>
      <c r="O19" s="709"/>
      <c r="P19" s="709"/>
      <c r="Q19" s="709"/>
      <c r="R19" s="709"/>
      <c r="S19" s="709"/>
      <c r="T19" s="707"/>
      <c r="V19" s="709" t="str">
        <f>"To Upgrade "&amp;TrainingCapacity&amp;" Lancer to Tier "&amp;UpgradeTier</f>
        <v>To Upgrade 1174 Lancer to Tier 11</v>
      </c>
      <c r="W19" s="709"/>
      <c r="X19" s="709"/>
      <c r="Y19" s="709"/>
      <c r="Z19" s="709"/>
      <c r="AA19" s="709"/>
      <c r="AB19" s="709"/>
      <c r="AC19" s="709"/>
      <c r="AD19" s="709"/>
      <c r="AE19" s="709"/>
      <c r="AF19" s="709"/>
      <c r="AH19" s="598" t="str">
        <f>"To Train "&amp;TrainQuantity&amp;" Tier "&amp;UpgradeTier&amp;" Lancer"</f>
        <v>To Train 45000 Tier 11 Lancer</v>
      </c>
      <c r="AI19" s="598"/>
      <c r="AJ19" s="598"/>
      <c r="AK19" s="598"/>
      <c r="AL19" s="598"/>
      <c r="AM19" s="598"/>
      <c r="AN19" s="598"/>
      <c r="AO19" s="598"/>
      <c r="AP19" s="598"/>
      <c r="AQ19" s="598"/>
      <c r="AR19" s="598"/>
      <c r="AT19" s="598" t="str">
        <f>"To Upgrade "&amp;TrainQuantity&amp;" Lancer to Tier "&amp;UpgradeTier</f>
        <v>To Upgrade 45000 Lancer to Tier 11</v>
      </c>
      <c r="AU19" s="598"/>
      <c r="AV19" s="598"/>
      <c r="AW19" s="598"/>
      <c r="AX19" s="598"/>
      <c r="AY19" s="598"/>
      <c r="AZ19" s="598"/>
      <c r="BA19" s="598"/>
      <c r="BB19" s="598"/>
      <c r="BC19" s="598"/>
      <c r="BD19" s="598"/>
      <c r="BF19" s="598" t="str">
        <f>"To Upgrade All Existing Lancer  to Tier "&amp;UpgradeTier</f>
        <v>To Upgrade All Existing Lancer  to Tier 11</v>
      </c>
      <c r="BG19" s="598"/>
      <c r="BH19" s="598"/>
      <c r="BI19" s="598"/>
      <c r="BJ19" s="598"/>
      <c r="BK19" s="598"/>
      <c r="BL19" s="598"/>
      <c r="BM19" s="598"/>
      <c r="BN19" s="598"/>
      <c r="BO19" s="598"/>
      <c r="BP19" s="598"/>
    </row>
    <row r="20" spans="2:68" x14ac:dyDescent="0.3">
      <c r="B20" s="2" t="s">
        <v>78</v>
      </c>
      <c r="C20" s="45" t="s">
        <v>75</v>
      </c>
      <c r="D20" s="45" t="s">
        <v>161</v>
      </c>
      <c r="E20" s="45" t="s">
        <v>166</v>
      </c>
      <c r="F20" s="45" t="s">
        <v>0</v>
      </c>
      <c r="G20" s="45" t="s">
        <v>1</v>
      </c>
      <c r="H20" s="45" t="s">
        <v>2</v>
      </c>
      <c r="I20" s="45" t="s">
        <v>3</v>
      </c>
      <c r="K20" s="45" t="s">
        <v>75</v>
      </c>
      <c r="L20" s="45" t="s">
        <v>161</v>
      </c>
      <c r="M20" s="45" t="s">
        <v>21</v>
      </c>
      <c r="N20" s="45" t="s">
        <v>20</v>
      </c>
      <c r="O20" s="45" t="s">
        <v>19</v>
      </c>
      <c r="P20" s="45" t="s">
        <v>18</v>
      </c>
      <c r="Q20" s="45" t="s">
        <v>0</v>
      </c>
      <c r="R20" s="45" t="s">
        <v>1</v>
      </c>
      <c r="S20" s="45" t="s">
        <v>2</v>
      </c>
      <c r="T20" s="45" t="s">
        <v>3</v>
      </c>
      <c r="V20" s="45" t="s">
        <v>75</v>
      </c>
      <c r="W20" s="45" t="s">
        <v>66</v>
      </c>
      <c r="X20" s="45" t="s">
        <v>161</v>
      </c>
      <c r="Y20" s="45" t="s">
        <v>21</v>
      </c>
      <c r="Z20" s="45" t="s">
        <v>20</v>
      </c>
      <c r="AA20" s="45" t="s">
        <v>19</v>
      </c>
      <c r="AB20" s="45" t="s">
        <v>18</v>
      </c>
      <c r="AC20" s="45" t="s">
        <v>0</v>
      </c>
      <c r="AD20" s="45" t="s">
        <v>1</v>
      </c>
      <c r="AE20" s="45" t="s">
        <v>2</v>
      </c>
      <c r="AF20" s="45" t="s">
        <v>3</v>
      </c>
      <c r="AH20" s="45" t="s">
        <v>75</v>
      </c>
      <c r="AI20" s="45" t="s">
        <v>66</v>
      </c>
      <c r="AJ20" s="45" t="s">
        <v>161</v>
      </c>
      <c r="AK20" s="45" t="s">
        <v>21</v>
      </c>
      <c r="AL20" s="45" t="s">
        <v>20</v>
      </c>
      <c r="AM20" s="45" t="s">
        <v>19</v>
      </c>
      <c r="AN20" s="45" t="s">
        <v>18</v>
      </c>
      <c r="AO20" s="45" t="s">
        <v>0</v>
      </c>
      <c r="AP20" s="45" t="s">
        <v>1</v>
      </c>
      <c r="AQ20" s="45" t="s">
        <v>2</v>
      </c>
      <c r="AR20" s="45" t="s">
        <v>3</v>
      </c>
      <c r="AT20" s="45" t="s">
        <v>75</v>
      </c>
      <c r="AU20" s="45" t="s">
        <v>66</v>
      </c>
      <c r="AV20" s="45" t="s">
        <v>161</v>
      </c>
      <c r="AW20" s="45" t="s">
        <v>21</v>
      </c>
      <c r="AX20" s="45" t="s">
        <v>20</v>
      </c>
      <c r="AY20" s="45" t="s">
        <v>19</v>
      </c>
      <c r="AZ20" s="45" t="s">
        <v>18</v>
      </c>
      <c r="BA20" s="45" t="s">
        <v>0</v>
      </c>
      <c r="BB20" s="45" t="s">
        <v>1</v>
      </c>
      <c r="BC20" s="45" t="s">
        <v>2</v>
      </c>
      <c r="BD20" s="45" t="s">
        <v>3</v>
      </c>
      <c r="BF20" s="45" t="s">
        <v>75</v>
      </c>
      <c r="BG20" s="45" t="s">
        <v>66</v>
      </c>
      <c r="BH20" s="45" t="s">
        <v>161</v>
      </c>
      <c r="BI20" s="45" t="s">
        <v>21</v>
      </c>
      <c r="BJ20" s="45" t="s">
        <v>20</v>
      </c>
      <c r="BK20" s="45" t="s">
        <v>19</v>
      </c>
      <c r="BL20" s="45" t="s">
        <v>18</v>
      </c>
      <c r="BM20" s="45" t="s">
        <v>0</v>
      </c>
      <c r="BN20" s="45" t="s">
        <v>1</v>
      </c>
      <c r="BO20" s="45" t="s">
        <v>2</v>
      </c>
      <c r="BP20" s="45" t="s">
        <v>3</v>
      </c>
    </row>
    <row r="21" spans="2:68" x14ac:dyDescent="0.3">
      <c r="B21" s="12">
        <v>3</v>
      </c>
      <c r="C21" s="29">
        <v>1</v>
      </c>
      <c r="D21" s="4">
        <v>12</v>
      </c>
      <c r="E21" s="4">
        <f t="shared" ref="E21:E31" si="64">D21/(1+TrainingSpeed)</f>
        <v>4.4444444444444438</v>
      </c>
      <c r="F21" s="4">
        <v>32</v>
      </c>
      <c r="G21" s="4">
        <v>30</v>
      </c>
      <c r="H21" s="4">
        <v>7</v>
      </c>
      <c r="I21" s="4">
        <v>2</v>
      </c>
      <c r="K21" s="29">
        <v>1</v>
      </c>
      <c r="L21" s="4">
        <f t="shared" ref="L21:L31" si="65">D21*TrainingCapacity/(1+TrainingSpeed)</f>
        <v>5217.7777777777774</v>
      </c>
      <c r="M21" s="4">
        <f>ROUNDDOWN(L21/60/60/24,0)</f>
        <v>0</v>
      </c>
      <c r="N21" s="4">
        <f>ROUNDDOWN((L21-(M21*24*60*60))/60/60,0)</f>
        <v>1</v>
      </c>
      <c r="O21" s="4">
        <f>ROUNDDOWN((L21-(M21*60*60*24)-(N21*60*60))/60,0)</f>
        <v>26</v>
      </c>
      <c r="P21" s="4">
        <f>L21-(M21*60*60*24)-(N21*60*60)-(O21*60)</f>
        <v>57.777777777777374</v>
      </c>
      <c r="Q21" s="4">
        <f t="shared" ref="Q21:Q31" si="66">TrainingCapacity*F21</f>
        <v>37568</v>
      </c>
      <c r="R21" s="4">
        <f t="shared" ref="R21:R31" si="67">TrainingCapacity*G21</f>
        <v>35220</v>
      </c>
      <c r="S21" s="4">
        <f t="shared" ref="S21:S31" si="68">TrainingCapacity*H21</f>
        <v>8218</v>
      </c>
      <c r="T21" s="4">
        <f t="shared" ref="T21:T31" si="69">TrainingCapacity*I21</f>
        <v>2348</v>
      </c>
      <c r="V21" s="29">
        <v>1</v>
      </c>
      <c r="W21" s="4">
        <f t="shared" ref="W21:W31" si="70">IF(UpgradeTier&gt;V21,ROUNDUP(VLOOKUP(UpgradeTier,$K$21:$L$31,2,FALSE)/(VLOOKUP(UpgradeTier,$C$21:$E$31,3,FALSE)-VLOOKUP(V21,$C$21:$E$31,3,FALSE)),0),"-")</f>
        <v>1258</v>
      </c>
      <c r="X21" s="4">
        <f t="shared" ref="X21:X31" si="71">IFERROR(W21*(VLOOKUP(UpgradeTier,$C$21:$E$31,3,FALSE)-E21),"-")</f>
        <v>78275.555555555547</v>
      </c>
      <c r="Y21" s="4">
        <f>IFERROR(ROUNDDOWN(X21/60/60/24,0),"-")</f>
        <v>0</v>
      </c>
      <c r="Z21" s="4">
        <f>IFERROR(ROUNDDOWN((X21-(Y21*60*60*24))/60/60,0),"-")</f>
        <v>21</v>
      </c>
      <c r="AA21" s="4">
        <f>IFERROR(ROUNDDOWN((X21-(Y21*60*60*24)-(Z21*60*60))/60,0),"-")</f>
        <v>44</v>
      </c>
      <c r="AB21" s="4">
        <f>IFERROR(ROUNDDOWN(X21-(Y21*60*60*24)-(Z21*60*60)-(AA21*60),0),"-")</f>
        <v>35</v>
      </c>
      <c r="AC21" s="4">
        <f t="shared" ref="AC21:AC31" si="72">IFERROR($W21*(VLOOKUP(UpgradeTier,$C$21:$I$31,4,FALSE)-VLOOKUP($V21,$C$21:$I$31,4,FALSE)),"-")</f>
        <v>7632286</v>
      </c>
      <c r="AD21" s="4">
        <f t="shared" ref="AD21:AD31" si="73">IFERROR($W21*(VLOOKUP(UpgradeTier,$C$21:$I$31,5,FALSE)-VLOOKUP($V21,$C$21:$I$31,5,FALSE)),"-")</f>
        <v>7197018</v>
      </c>
      <c r="AE21" s="4">
        <f t="shared" ref="AE21:AE31" si="74">IFERROR($W21*(VLOOKUP(UpgradeTier,$C$21:$I$31,6,FALSE)-VLOOKUP($V21,$C$21:$I$31,6,FALSE)),"-")</f>
        <v>1481924</v>
      </c>
      <c r="AF21" s="4">
        <f t="shared" ref="AF21:AF31" si="75">IFERROR($W21*(VLOOKUP(UpgradeTier,$C$21:$I$31,7,FALSE)-VLOOKUP($V21,$C$21:$I$31,7,FALSE)),"-")</f>
        <v>338402</v>
      </c>
      <c r="AH21" s="29">
        <v>1</v>
      </c>
      <c r="AI21" s="4">
        <f t="shared" ref="AI21:AI31" si="76">IF(TrainQuantity&gt;0,TrainQuantity,"-")</f>
        <v>45000</v>
      </c>
      <c r="AJ21" s="4">
        <f t="shared" ref="AJ21:AJ31" si="77">D21*TrainQuantity/(1+TrainingSpeed)</f>
        <v>200000</v>
      </c>
      <c r="AK21" s="4">
        <f>IFERROR(ROUNDDOWN(AJ21/60/60/24,0),"-")</f>
        <v>2</v>
      </c>
      <c r="AL21" s="4">
        <f>IFERROR(ROUNDDOWN((AJ21-(AK21*60*60*24))/60/60,0),"-")</f>
        <v>7</v>
      </c>
      <c r="AM21" s="4">
        <f>IFERROR(ROUNDDOWN((AJ21-(AK21*60*60*24)-(AL21*60*60))/60,0),"-")</f>
        <v>33</v>
      </c>
      <c r="AN21" s="4">
        <f>IFERROR(ROUNDDOWN(AJ21-(AK21*60*60*24)-(AL21*60*60)-(AM21*60),0),"-")</f>
        <v>20</v>
      </c>
      <c r="AO21" s="4">
        <f>$AI21*F21</f>
        <v>1440000</v>
      </c>
      <c r="AP21" s="4">
        <f t="shared" ref="AP21:AP31" si="78">$AI21*G21</f>
        <v>1350000</v>
      </c>
      <c r="AQ21" s="4">
        <f t="shared" ref="AQ21:AQ31" si="79">$AI21*H21</f>
        <v>315000</v>
      </c>
      <c r="AR21" s="4">
        <f t="shared" ref="AR21:AR31" si="80">$AI21*I21</f>
        <v>90000</v>
      </c>
      <c r="AT21" s="29">
        <v>1</v>
      </c>
      <c r="AU21" s="4">
        <f t="shared" ref="AU21:AU31" si="81">IF(TrainQuantity&gt;0,TrainQuantity,"-")</f>
        <v>45000</v>
      </c>
      <c r="AV21" s="4">
        <f t="shared" ref="AV21:AV31" si="82">IF(UpgradeTier&gt;AT21,IFERROR(AU21*(VLOOKUP(UpgradeTier,$C$21:$E$31,3,FALSE)-E21),"-"),"-")</f>
        <v>2799999.9999999995</v>
      </c>
      <c r="AW21" s="4">
        <f>IFERROR(ROUNDDOWN(AV21/60/60/24,0),"-")</f>
        <v>32</v>
      </c>
      <c r="AX21" s="4">
        <f>IFERROR(ROUNDDOWN((AV21-(AW21*60*60*24))/60/60,0),"-")</f>
        <v>9</v>
      </c>
      <c r="AY21" s="4">
        <f>IFERROR(ROUNDDOWN((AV21-(AW21*60*60*24)-(AX21*60*60))/60,0),"-")</f>
        <v>46</v>
      </c>
      <c r="AZ21" s="4">
        <f>IFERROR(ROUNDDOWN(AV21-(AW21*60*60*24)-(AX21*60*60)-(AY21*60),0),"-")</f>
        <v>39</v>
      </c>
      <c r="BA21" s="4">
        <f t="shared" ref="BA21:BA31" si="83">IF(UpgradeTier&gt;$AT21,IFERROR($AU21*(VLOOKUP(UpgradeTier,$C$21:$I$31,4,FALSE)-VLOOKUP($V21,$C$21:$I$31,4,FALSE)),"-"),"-")</f>
        <v>273015000</v>
      </c>
      <c r="BB21" s="4">
        <f t="shared" ref="BB21:BB31" si="84">IF(UpgradeTier&gt;$AT21,IFERROR($AU21*(VLOOKUP(UpgradeTier,$C$21:$I$31,5,FALSE)-VLOOKUP($V21,$C$21:$I$31,5,FALSE)),"-"),"-")</f>
        <v>257445000</v>
      </c>
      <c r="BC21" s="4">
        <f t="shared" ref="BC21:BC31" si="85">IF(UpgradeTier&gt;$AT21,IFERROR($AU21*(VLOOKUP(UpgradeTier,$C$21:$I$31,6,FALSE)-VLOOKUP($V21,$C$21:$I$31,6,FALSE)),"-"),"-")</f>
        <v>53010000</v>
      </c>
      <c r="BD21" s="4">
        <f t="shared" ref="BD21:BD31" si="86">IF(UpgradeTier&gt;$AT21,IFERROR($AU21*(VLOOKUP(UpgradeTier,$C$21:$I$31,7,FALSE)-VLOOKUP($V21,$C$21:$I$31,7,FALSE)),"-"),"-")</f>
        <v>12105000</v>
      </c>
      <c r="BF21" s="29">
        <v>1</v>
      </c>
      <c r="BG21" s="4">
        <f>IFERROR(VLOOKUP(BF21,'Troop Calculator'!$B$42:$H$52,5,FALSE),"-")</f>
        <v>0</v>
      </c>
      <c r="BH21" s="4">
        <f t="shared" ref="BH21:BH31" si="87">IFERROR((VLOOKUP(UpgradeTier,C21:E31,3,FALSE)-$E21)*$BG21,"-")</f>
        <v>0</v>
      </c>
      <c r="BI21" s="4">
        <f>IFERROR(ROUNDDOWN(BH21/60/60/24,0),"-")</f>
        <v>0</v>
      </c>
      <c r="BJ21" s="4">
        <f>IFERROR(ROUNDDOWN((BH21-(BI21*60*60*24))/60/60,0),"-")</f>
        <v>0</v>
      </c>
      <c r="BK21" s="4">
        <f>IFERROR(ROUNDDOWN((BH21-(BI21*60*60*24)-(BJ21*60*60))/60,0),"-")</f>
        <v>0</v>
      </c>
      <c r="BL21" s="4">
        <f>IFERROR(ROUNDDOWN(BH21-(BI21*60*60*24)-(BJ21*60*60)-(BK21*60),0),"-")</f>
        <v>0</v>
      </c>
      <c r="BM21" s="4">
        <f t="shared" ref="BM21:BM31" si="88">IF($BG21="-","-",IFERROR($BG21*(VLOOKUP(UpgradeTier,$C$21:$I$31,4,FALSE)-VLOOKUP($BF21,$C$21:$I$31,4,FALSE)),"-"))</f>
        <v>0</v>
      </c>
      <c r="BN21" s="4">
        <f t="shared" ref="BN21:BN31" si="89">IF($BG21="-","-",IFERROR($BG21*(VLOOKUP(UpgradeTier,$C$21:$I$31,5,FALSE)-VLOOKUP($BF21,$C$21:$I$31,5,FALSE)),"-"))</f>
        <v>0</v>
      </c>
      <c r="BO21" s="4">
        <f t="shared" ref="BO21:BO31" si="90">IF($BG21="-","-",IFERROR($BG21*(VLOOKUP(UpgradeTier,$C$21:$I$31,6,FALSE)-VLOOKUP($BF21,$C$21:$I$31,6,FALSE)),"-"))</f>
        <v>0</v>
      </c>
      <c r="BP21" s="4">
        <f t="shared" ref="BP21:BP31" si="91">IF($BG21="-","-",IFERROR($BG21*(VLOOKUP(UpgradeTier,$C$21:$I$31,7,FALSE)-VLOOKUP($BF21,$C$21:$I$31,7,FALSE)),"-"))</f>
        <v>0</v>
      </c>
    </row>
    <row r="22" spans="2:68" x14ac:dyDescent="0.3">
      <c r="B22" s="12">
        <v>4</v>
      </c>
      <c r="C22" s="29">
        <v>2</v>
      </c>
      <c r="D22" s="4">
        <v>17</v>
      </c>
      <c r="E22" s="4">
        <f t="shared" si="64"/>
        <v>6.2962962962962958</v>
      </c>
      <c r="F22" s="4">
        <v>51</v>
      </c>
      <c r="G22" s="4">
        <v>48</v>
      </c>
      <c r="H22" s="4">
        <v>10</v>
      </c>
      <c r="I22" s="4">
        <v>3</v>
      </c>
      <c r="K22" s="29">
        <v>2</v>
      </c>
      <c r="L22" s="4">
        <f t="shared" si="65"/>
        <v>7391.8518518518513</v>
      </c>
      <c r="M22" s="4">
        <f t="shared" ref="M22:M31" si="92">ROUNDDOWN(L22/60/60/24,0)</f>
        <v>0</v>
      </c>
      <c r="N22" s="4">
        <f t="shared" ref="N22:N31" si="93">ROUNDDOWN((L22-(M22*24*60*60))/60/60,0)</f>
        <v>2</v>
      </c>
      <c r="O22" s="4">
        <f t="shared" ref="O22:O31" si="94">ROUNDDOWN((L22-(M22*60*60*24)-(N22*60*60))/60,0)</f>
        <v>3</v>
      </c>
      <c r="P22" s="4">
        <f t="shared" ref="P22:P31" si="95">L22-(M22*60*60*24)-(N22*60*60)-(O22*60)</f>
        <v>11.851851851851279</v>
      </c>
      <c r="Q22" s="4">
        <f t="shared" si="66"/>
        <v>59874</v>
      </c>
      <c r="R22" s="4">
        <f t="shared" si="67"/>
        <v>56352</v>
      </c>
      <c r="S22" s="4">
        <f t="shared" si="68"/>
        <v>11740</v>
      </c>
      <c r="T22" s="4">
        <f t="shared" si="69"/>
        <v>3522</v>
      </c>
      <c r="V22" s="29">
        <v>2</v>
      </c>
      <c r="W22" s="4">
        <f t="shared" si="70"/>
        <v>1297</v>
      </c>
      <c r="X22" s="4">
        <f t="shared" si="71"/>
        <v>78300.37037037035</v>
      </c>
      <c r="Y22" s="4">
        <f t="shared" ref="Y22:Y31" si="96">IFERROR(ROUNDDOWN(X22/60/60/24,0),"-")</f>
        <v>0</v>
      </c>
      <c r="Z22" s="4">
        <f t="shared" ref="Z22:Z31" si="97">IFERROR(ROUNDDOWN((X22-(Y22*60*60*24))/60/60,0),"-")</f>
        <v>21</v>
      </c>
      <c r="AA22" s="4">
        <f t="shared" ref="AA22:AA31" si="98">IFERROR(ROUNDDOWN((X22-(Y22*60*60*24)-(Z22*60*60))/60,0),"-")</f>
        <v>45</v>
      </c>
      <c r="AB22" s="4">
        <f t="shared" ref="AB22:AB31" si="99">IFERROR(ROUNDDOWN(X22-(Y22*60*60*24)-(Z22*60*60)-(AA22*60),0),"-")</f>
        <v>0</v>
      </c>
      <c r="AC22" s="4">
        <f t="shared" si="72"/>
        <v>7844256</v>
      </c>
      <c r="AD22" s="4">
        <f t="shared" si="73"/>
        <v>7396791</v>
      </c>
      <c r="AE22" s="4">
        <f t="shared" si="74"/>
        <v>1523975</v>
      </c>
      <c r="AF22" s="4">
        <f t="shared" si="75"/>
        <v>347596</v>
      </c>
      <c r="AH22" s="29">
        <v>2</v>
      </c>
      <c r="AI22" s="4">
        <f t="shared" si="76"/>
        <v>45000</v>
      </c>
      <c r="AJ22" s="4">
        <f t="shared" si="77"/>
        <v>283333.33333333331</v>
      </c>
      <c r="AK22" s="4">
        <f t="shared" ref="AK22:AK31" si="100">IFERROR(ROUNDDOWN(AJ22/60/60/24,0),"-")</f>
        <v>3</v>
      </c>
      <c r="AL22" s="4">
        <f t="shared" ref="AL22:AL31" si="101">IFERROR(ROUNDDOWN((AJ22-(AK22*60*60*24))/60/60,0),"-")</f>
        <v>6</v>
      </c>
      <c r="AM22" s="4">
        <f t="shared" ref="AM22:AM31" si="102">IFERROR(ROUNDDOWN((AJ22-(AK22*60*60*24)-(AL22*60*60))/60,0),"-")</f>
        <v>42</v>
      </c>
      <c r="AN22" s="4">
        <f t="shared" ref="AN22:AN31" si="103">IFERROR(ROUNDDOWN(AJ22-(AK22*60*60*24)-(AL22*60*60)-(AM22*60),0),"-")</f>
        <v>13</v>
      </c>
      <c r="AO22" s="4">
        <f t="shared" ref="AO22:AO31" si="104">$AI22*F22</f>
        <v>2295000</v>
      </c>
      <c r="AP22" s="4">
        <f t="shared" si="78"/>
        <v>2160000</v>
      </c>
      <c r="AQ22" s="4">
        <f t="shared" si="79"/>
        <v>450000</v>
      </c>
      <c r="AR22" s="4">
        <f t="shared" si="80"/>
        <v>135000</v>
      </c>
      <c r="AT22" s="29">
        <v>2</v>
      </c>
      <c r="AU22" s="4">
        <f t="shared" si="81"/>
        <v>45000</v>
      </c>
      <c r="AV22" s="4">
        <f t="shared" si="82"/>
        <v>2716666.666666666</v>
      </c>
      <c r="AW22" s="4">
        <f t="shared" ref="AW22:AW31" si="105">IFERROR(ROUNDDOWN(AV22/60/60/24,0),"-")</f>
        <v>31</v>
      </c>
      <c r="AX22" s="4">
        <f t="shared" ref="AX22:AX31" si="106">IFERROR(ROUNDDOWN((AV22-(AW22*60*60*24))/60/60,0),"-")</f>
        <v>10</v>
      </c>
      <c r="AY22" s="4">
        <f t="shared" ref="AY22:AY31" si="107">IFERROR(ROUNDDOWN((AV22-(AW22*60*60*24)-(AX22*60*60))/60,0),"-")</f>
        <v>37</v>
      </c>
      <c r="AZ22" s="4">
        <f t="shared" ref="AZ22:AZ31" si="108">IFERROR(ROUNDDOWN(AV22-(AW22*60*60*24)-(AX22*60*60)-(AY22*60),0),"-")</f>
        <v>46</v>
      </c>
      <c r="BA22" s="4">
        <f t="shared" si="83"/>
        <v>272160000</v>
      </c>
      <c r="BB22" s="4">
        <f t="shared" si="84"/>
        <v>256635000</v>
      </c>
      <c r="BC22" s="4">
        <f t="shared" si="85"/>
        <v>52875000</v>
      </c>
      <c r="BD22" s="4">
        <f t="shared" si="86"/>
        <v>12060000</v>
      </c>
      <c r="BF22" s="29">
        <v>2</v>
      </c>
      <c r="BG22" s="4">
        <f>IFERROR(VLOOKUP(BF22,'Troop Calculator'!$B$42:$H$52,5,FALSE),"-")</f>
        <v>0</v>
      </c>
      <c r="BH22" s="4">
        <f t="shared" si="87"/>
        <v>0</v>
      </c>
      <c r="BI22" s="4">
        <f t="shared" ref="BI22:BI32" si="109">IFERROR(ROUNDDOWN(BH22/60/60/24,0),"-")</f>
        <v>0</v>
      </c>
      <c r="BJ22" s="4">
        <f t="shared" ref="BJ22:BJ32" si="110">IFERROR(ROUNDDOWN((BH22-(BI22*60*60*24))/60/60,0),"-")</f>
        <v>0</v>
      </c>
      <c r="BK22" s="4">
        <f t="shared" ref="BK22:BK32" si="111">IFERROR(ROUNDDOWN((BH22-(BI22*60*60*24)-(BJ22*60*60))/60,0),"-")</f>
        <v>0</v>
      </c>
      <c r="BL22" s="4">
        <f t="shared" ref="BL22:BL32" si="112">IFERROR(ROUNDDOWN(BH22-(BI22*60*60*24)-(BJ22*60*60)-(BK22*60),0),"-")</f>
        <v>0</v>
      </c>
      <c r="BM22" s="4">
        <f t="shared" si="88"/>
        <v>0</v>
      </c>
      <c r="BN22" s="4">
        <f t="shared" si="89"/>
        <v>0</v>
      </c>
      <c r="BO22" s="4">
        <f t="shared" si="90"/>
        <v>0</v>
      </c>
      <c r="BP22" s="4">
        <f t="shared" si="91"/>
        <v>0</v>
      </c>
    </row>
    <row r="23" spans="2:68" x14ac:dyDescent="0.3">
      <c r="B23" s="12">
        <v>5</v>
      </c>
      <c r="C23" s="29">
        <v>3</v>
      </c>
      <c r="D23" s="4">
        <v>24</v>
      </c>
      <c r="E23" s="4">
        <f t="shared" si="64"/>
        <v>8.8888888888888875</v>
      </c>
      <c r="F23" s="4">
        <v>81</v>
      </c>
      <c r="G23" s="4">
        <v>76</v>
      </c>
      <c r="H23" s="4">
        <v>16</v>
      </c>
      <c r="I23" s="4">
        <v>4</v>
      </c>
      <c r="K23" s="29">
        <v>3</v>
      </c>
      <c r="L23" s="4">
        <f t="shared" si="65"/>
        <v>10435.555555555555</v>
      </c>
      <c r="M23" s="4">
        <f t="shared" si="92"/>
        <v>0</v>
      </c>
      <c r="N23" s="4">
        <f t="shared" si="93"/>
        <v>2</v>
      </c>
      <c r="O23" s="4">
        <f t="shared" si="94"/>
        <v>53</v>
      </c>
      <c r="P23" s="4">
        <f t="shared" si="95"/>
        <v>55.555555555554747</v>
      </c>
      <c r="Q23" s="4">
        <f t="shared" si="66"/>
        <v>95094</v>
      </c>
      <c r="R23" s="4">
        <f t="shared" si="67"/>
        <v>89224</v>
      </c>
      <c r="S23" s="4">
        <f t="shared" si="68"/>
        <v>18784</v>
      </c>
      <c r="T23" s="4">
        <f t="shared" si="69"/>
        <v>4696</v>
      </c>
      <c r="V23" s="29">
        <v>3</v>
      </c>
      <c r="W23" s="4">
        <f t="shared" si="70"/>
        <v>1355</v>
      </c>
      <c r="X23" s="4">
        <f t="shared" si="71"/>
        <v>78288.888888888876</v>
      </c>
      <c r="Y23" s="4">
        <f t="shared" si="96"/>
        <v>0</v>
      </c>
      <c r="Z23" s="4">
        <f t="shared" si="97"/>
        <v>21</v>
      </c>
      <c r="AA23" s="4">
        <f t="shared" si="98"/>
        <v>44</v>
      </c>
      <c r="AB23" s="4">
        <f t="shared" si="99"/>
        <v>48</v>
      </c>
      <c r="AC23" s="4">
        <f t="shared" si="72"/>
        <v>8154390</v>
      </c>
      <c r="AD23" s="4">
        <f t="shared" si="73"/>
        <v>7689625</v>
      </c>
      <c r="AE23" s="4">
        <f t="shared" si="74"/>
        <v>1583995</v>
      </c>
      <c r="AF23" s="4">
        <f t="shared" si="75"/>
        <v>361785</v>
      </c>
      <c r="AH23" s="29">
        <v>3</v>
      </c>
      <c r="AI23" s="4">
        <f t="shared" si="76"/>
        <v>45000</v>
      </c>
      <c r="AJ23" s="4">
        <f t="shared" si="77"/>
        <v>400000</v>
      </c>
      <c r="AK23" s="4">
        <f t="shared" si="100"/>
        <v>4</v>
      </c>
      <c r="AL23" s="4">
        <f t="shared" si="101"/>
        <v>15</v>
      </c>
      <c r="AM23" s="4">
        <f t="shared" si="102"/>
        <v>6</v>
      </c>
      <c r="AN23" s="4">
        <f t="shared" si="103"/>
        <v>40</v>
      </c>
      <c r="AO23" s="4">
        <f t="shared" si="104"/>
        <v>3645000</v>
      </c>
      <c r="AP23" s="4">
        <f t="shared" si="78"/>
        <v>3420000</v>
      </c>
      <c r="AQ23" s="4">
        <f t="shared" si="79"/>
        <v>720000</v>
      </c>
      <c r="AR23" s="4">
        <f t="shared" si="80"/>
        <v>180000</v>
      </c>
      <c r="AT23" s="29">
        <v>3</v>
      </c>
      <c r="AU23" s="4">
        <f t="shared" si="81"/>
        <v>45000</v>
      </c>
      <c r="AV23" s="4">
        <f t="shared" si="82"/>
        <v>2599999.9999999995</v>
      </c>
      <c r="AW23" s="4">
        <f t="shared" si="105"/>
        <v>30</v>
      </c>
      <c r="AX23" s="4">
        <f t="shared" si="106"/>
        <v>2</v>
      </c>
      <c r="AY23" s="4">
        <f t="shared" si="107"/>
        <v>13</v>
      </c>
      <c r="AZ23" s="4">
        <f t="shared" si="108"/>
        <v>19</v>
      </c>
      <c r="BA23" s="4">
        <f t="shared" si="83"/>
        <v>270810000</v>
      </c>
      <c r="BB23" s="4">
        <f t="shared" si="84"/>
        <v>255375000</v>
      </c>
      <c r="BC23" s="4">
        <f t="shared" si="85"/>
        <v>52605000</v>
      </c>
      <c r="BD23" s="4">
        <f t="shared" si="86"/>
        <v>12015000</v>
      </c>
      <c r="BF23" s="29">
        <v>3</v>
      </c>
      <c r="BG23" s="4">
        <f>IFERROR(VLOOKUP(BF23,'Troop Calculator'!$B$42:$H$52,5,FALSE),"-")</f>
        <v>0</v>
      </c>
      <c r="BH23" s="4">
        <f t="shared" si="87"/>
        <v>0</v>
      </c>
      <c r="BI23" s="4">
        <f t="shared" si="109"/>
        <v>0</v>
      </c>
      <c r="BJ23" s="4">
        <f t="shared" si="110"/>
        <v>0</v>
      </c>
      <c r="BK23" s="4">
        <f t="shared" si="111"/>
        <v>0</v>
      </c>
      <c r="BL23" s="4">
        <f t="shared" si="112"/>
        <v>0</v>
      </c>
      <c r="BM23" s="4">
        <f t="shared" si="88"/>
        <v>0</v>
      </c>
      <c r="BN23" s="4">
        <f t="shared" si="89"/>
        <v>0</v>
      </c>
      <c r="BO23" s="4">
        <f t="shared" si="90"/>
        <v>0</v>
      </c>
      <c r="BP23" s="4">
        <f t="shared" si="91"/>
        <v>0</v>
      </c>
    </row>
    <row r="24" spans="2:68" x14ac:dyDescent="0.3">
      <c r="B24" s="12">
        <v>8</v>
      </c>
      <c r="C24" s="29">
        <v>4</v>
      </c>
      <c r="D24" s="4">
        <v>32</v>
      </c>
      <c r="E24" s="4">
        <f t="shared" si="64"/>
        <v>11.851851851851851</v>
      </c>
      <c r="F24" s="4">
        <v>105</v>
      </c>
      <c r="G24" s="4">
        <v>99</v>
      </c>
      <c r="H24" s="4">
        <v>21</v>
      </c>
      <c r="I24" s="4">
        <v>5</v>
      </c>
      <c r="K24" s="29">
        <v>4</v>
      </c>
      <c r="L24" s="4">
        <f t="shared" si="65"/>
        <v>13914.074074074073</v>
      </c>
      <c r="M24" s="4">
        <f t="shared" si="92"/>
        <v>0</v>
      </c>
      <c r="N24" s="4">
        <f t="shared" si="93"/>
        <v>3</v>
      </c>
      <c r="O24" s="4">
        <f t="shared" si="94"/>
        <v>51</v>
      </c>
      <c r="P24" s="4">
        <f t="shared" si="95"/>
        <v>54.074074074072996</v>
      </c>
      <c r="Q24" s="4">
        <f t="shared" si="66"/>
        <v>123270</v>
      </c>
      <c r="R24" s="4">
        <f t="shared" si="67"/>
        <v>116226</v>
      </c>
      <c r="S24" s="4">
        <f t="shared" si="68"/>
        <v>24654</v>
      </c>
      <c r="T24" s="4">
        <f t="shared" si="69"/>
        <v>5870</v>
      </c>
      <c r="V24" s="29">
        <v>4</v>
      </c>
      <c r="W24" s="4">
        <f t="shared" si="70"/>
        <v>1428</v>
      </c>
      <c r="X24" s="4">
        <f t="shared" si="71"/>
        <v>78275.555555555547</v>
      </c>
      <c r="Y24" s="4">
        <f t="shared" si="96"/>
        <v>0</v>
      </c>
      <c r="Z24" s="4">
        <f t="shared" si="97"/>
        <v>21</v>
      </c>
      <c r="AA24" s="4">
        <f t="shared" si="98"/>
        <v>44</v>
      </c>
      <c r="AB24" s="4">
        <f t="shared" si="99"/>
        <v>35</v>
      </c>
      <c r="AC24" s="4">
        <f t="shared" si="72"/>
        <v>8559432</v>
      </c>
      <c r="AD24" s="4">
        <f t="shared" si="73"/>
        <v>8071056</v>
      </c>
      <c r="AE24" s="4">
        <f t="shared" si="74"/>
        <v>1662192</v>
      </c>
      <c r="AF24" s="4">
        <f t="shared" si="75"/>
        <v>379848</v>
      </c>
      <c r="AH24" s="29">
        <v>4</v>
      </c>
      <c r="AI24" s="4">
        <f t="shared" si="76"/>
        <v>45000</v>
      </c>
      <c r="AJ24" s="4">
        <f t="shared" si="77"/>
        <v>533333.33333333326</v>
      </c>
      <c r="AK24" s="4">
        <f t="shared" si="100"/>
        <v>6</v>
      </c>
      <c r="AL24" s="4">
        <f t="shared" si="101"/>
        <v>4</v>
      </c>
      <c r="AM24" s="4">
        <f t="shared" si="102"/>
        <v>8</v>
      </c>
      <c r="AN24" s="4">
        <f t="shared" si="103"/>
        <v>53</v>
      </c>
      <c r="AO24" s="4">
        <f t="shared" si="104"/>
        <v>4725000</v>
      </c>
      <c r="AP24" s="4">
        <f t="shared" si="78"/>
        <v>4455000</v>
      </c>
      <c r="AQ24" s="4">
        <f t="shared" si="79"/>
        <v>945000</v>
      </c>
      <c r="AR24" s="4">
        <f t="shared" si="80"/>
        <v>225000</v>
      </c>
      <c r="AT24" s="29">
        <v>4</v>
      </c>
      <c r="AU24" s="4">
        <f t="shared" si="81"/>
        <v>45000</v>
      </c>
      <c r="AV24" s="4">
        <f t="shared" si="82"/>
        <v>2466666.6666666665</v>
      </c>
      <c r="AW24" s="4">
        <f t="shared" si="105"/>
        <v>28</v>
      </c>
      <c r="AX24" s="4">
        <f t="shared" si="106"/>
        <v>13</v>
      </c>
      <c r="AY24" s="4">
        <f t="shared" si="107"/>
        <v>11</v>
      </c>
      <c r="AZ24" s="4">
        <f t="shared" si="108"/>
        <v>6</v>
      </c>
      <c r="BA24" s="4">
        <f t="shared" si="83"/>
        <v>269730000</v>
      </c>
      <c r="BB24" s="4">
        <f t="shared" si="84"/>
        <v>254340000</v>
      </c>
      <c r="BC24" s="4">
        <f t="shared" si="85"/>
        <v>52380000</v>
      </c>
      <c r="BD24" s="4">
        <f t="shared" si="86"/>
        <v>11970000</v>
      </c>
      <c r="BF24" s="29">
        <v>4</v>
      </c>
      <c r="BG24" s="4">
        <f>IFERROR(VLOOKUP(BF24,'Troop Calculator'!$B$42:$H$52,5,FALSE),"-")</f>
        <v>0</v>
      </c>
      <c r="BH24" s="4">
        <f t="shared" si="87"/>
        <v>0</v>
      </c>
      <c r="BI24" s="4">
        <f t="shared" si="109"/>
        <v>0</v>
      </c>
      <c r="BJ24" s="4">
        <f t="shared" si="110"/>
        <v>0</v>
      </c>
      <c r="BK24" s="4">
        <f t="shared" si="111"/>
        <v>0</v>
      </c>
      <c r="BL24" s="4">
        <f t="shared" si="112"/>
        <v>0</v>
      </c>
      <c r="BM24" s="4">
        <f t="shared" si="88"/>
        <v>0</v>
      </c>
      <c r="BN24" s="4">
        <f t="shared" si="89"/>
        <v>0</v>
      </c>
      <c r="BO24" s="4">
        <f t="shared" si="90"/>
        <v>0</v>
      </c>
      <c r="BP24" s="4">
        <f t="shared" si="91"/>
        <v>0</v>
      </c>
    </row>
    <row r="25" spans="2:68" x14ac:dyDescent="0.3">
      <c r="B25" s="12">
        <v>12</v>
      </c>
      <c r="C25" s="29">
        <v>5</v>
      </c>
      <c r="D25" s="4">
        <v>44</v>
      </c>
      <c r="E25" s="4">
        <f t="shared" si="64"/>
        <v>16.296296296296294</v>
      </c>
      <c r="F25" s="4">
        <v>136</v>
      </c>
      <c r="G25" s="4">
        <v>129</v>
      </c>
      <c r="H25" s="4">
        <v>27</v>
      </c>
      <c r="I25" s="4">
        <v>7</v>
      </c>
      <c r="K25" s="29">
        <v>5</v>
      </c>
      <c r="L25" s="4">
        <f t="shared" si="65"/>
        <v>19131.85185185185</v>
      </c>
      <c r="M25" s="4">
        <f t="shared" si="92"/>
        <v>0</v>
      </c>
      <c r="N25" s="4">
        <f t="shared" si="93"/>
        <v>5</v>
      </c>
      <c r="O25" s="4">
        <f t="shared" si="94"/>
        <v>18</v>
      </c>
      <c r="P25" s="4">
        <f t="shared" si="95"/>
        <v>51.85185185185037</v>
      </c>
      <c r="Q25" s="4">
        <f t="shared" si="66"/>
        <v>159664</v>
      </c>
      <c r="R25" s="4">
        <f t="shared" si="67"/>
        <v>151446</v>
      </c>
      <c r="S25" s="4">
        <f t="shared" si="68"/>
        <v>31698</v>
      </c>
      <c r="T25" s="4">
        <f t="shared" si="69"/>
        <v>8218</v>
      </c>
      <c r="V25" s="29">
        <v>5</v>
      </c>
      <c r="W25" s="4">
        <f t="shared" si="70"/>
        <v>1554</v>
      </c>
      <c r="X25" s="4">
        <f t="shared" si="71"/>
        <v>78275.555555555547</v>
      </c>
      <c r="Y25" s="4">
        <f t="shared" si="96"/>
        <v>0</v>
      </c>
      <c r="Z25" s="4">
        <f t="shared" si="97"/>
        <v>21</v>
      </c>
      <c r="AA25" s="4">
        <f t="shared" si="98"/>
        <v>44</v>
      </c>
      <c r="AB25" s="4">
        <f t="shared" si="99"/>
        <v>35</v>
      </c>
      <c r="AC25" s="4">
        <f t="shared" si="72"/>
        <v>9266502</v>
      </c>
      <c r="AD25" s="4">
        <f t="shared" si="73"/>
        <v>8736588</v>
      </c>
      <c r="AE25" s="4">
        <f t="shared" si="74"/>
        <v>1799532</v>
      </c>
      <c r="AF25" s="4">
        <f t="shared" si="75"/>
        <v>410256</v>
      </c>
      <c r="AH25" s="29">
        <v>5</v>
      </c>
      <c r="AI25" s="4">
        <f t="shared" si="76"/>
        <v>45000</v>
      </c>
      <c r="AJ25" s="4">
        <f t="shared" si="77"/>
        <v>733333.33333333326</v>
      </c>
      <c r="AK25" s="4">
        <f t="shared" si="100"/>
        <v>8</v>
      </c>
      <c r="AL25" s="4">
        <f t="shared" si="101"/>
        <v>11</v>
      </c>
      <c r="AM25" s="4">
        <f t="shared" si="102"/>
        <v>42</v>
      </c>
      <c r="AN25" s="4">
        <f t="shared" si="103"/>
        <v>13</v>
      </c>
      <c r="AO25" s="4">
        <f t="shared" si="104"/>
        <v>6120000</v>
      </c>
      <c r="AP25" s="4">
        <f t="shared" si="78"/>
        <v>5805000</v>
      </c>
      <c r="AQ25" s="4">
        <f t="shared" si="79"/>
        <v>1215000</v>
      </c>
      <c r="AR25" s="4">
        <f t="shared" si="80"/>
        <v>315000</v>
      </c>
      <c r="AT25" s="29">
        <v>5</v>
      </c>
      <c r="AU25" s="4">
        <f t="shared" si="81"/>
        <v>45000</v>
      </c>
      <c r="AV25" s="4">
        <f t="shared" si="82"/>
        <v>2266666.6666666665</v>
      </c>
      <c r="AW25" s="4">
        <f t="shared" si="105"/>
        <v>26</v>
      </c>
      <c r="AX25" s="4">
        <f t="shared" si="106"/>
        <v>5</v>
      </c>
      <c r="AY25" s="4">
        <f t="shared" si="107"/>
        <v>37</v>
      </c>
      <c r="AZ25" s="4">
        <f t="shared" si="108"/>
        <v>46</v>
      </c>
      <c r="BA25" s="4">
        <f t="shared" si="83"/>
        <v>268335000</v>
      </c>
      <c r="BB25" s="4">
        <f t="shared" si="84"/>
        <v>252990000</v>
      </c>
      <c r="BC25" s="4">
        <f t="shared" si="85"/>
        <v>52110000</v>
      </c>
      <c r="BD25" s="4">
        <f t="shared" si="86"/>
        <v>11880000</v>
      </c>
      <c r="BF25" s="29">
        <v>5</v>
      </c>
      <c r="BG25" s="4">
        <f>IFERROR(VLOOKUP(BF25,'Troop Calculator'!$B$42:$H$52,5,FALSE),"-")</f>
        <v>0</v>
      </c>
      <c r="BH25" s="4">
        <f t="shared" si="87"/>
        <v>0</v>
      </c>
      <c r="BI25" s="4">
        <f t="shared" si="109"/>
        <v>0</v>
      </c>
      <c r="BJ25" s="4">
        <f t="shared" si="110"/>
        <v>0</v>
      </c>
      <c r="BK25" s="4">
        <f t="shared" si="111"/>
        <v>0</v>
      </c>
      <c r="BL25" s="4">
        <f t="shared" si="112"/>
        <v>0</v>
      </c>
      <c r="BM25" s="4">
        <f t="shared" si="88"/>
        <v>0</v>
      </c>
      <c r="BN25" s="4">
        <f t="shared" si="89"/>
        <v>0</v>
      </c>
      <c r="BO25" s="4">
        <f t="shared" si="90"/>
        <v>0</v>
      </c>
      <c r="BP25" s="4">
        <f t="shared" si="91"/>
        <v>0</v>
      </c>
    </row>
    <row r="26" spans="2:68" x14ac:dyDescent="0.3">
      <c r="B26" s="12">
        <v>18</v>
      </c>
      <c r="C26" s="29">
        <v>6</v>
      </c>
      <c r="D26" s="4">
        <v>60</v>
      </c>
      <c r="E26" s="4">
        <f t="shared" si="64"/>
        <v>22.222222222222221</v>
      </c>
      <c r="F26" s="4">
        <v>163</v>
      </c>
      <c r="G26" s="4">
        <v>154</v>
      </c>
      <c r="H26" s="4">
        <v>32</v>
      </c>
      <c r="I26" s="4">
        <v>8</v>
      </c>
      <c r="K26" s="29">
        <v>6</v>
      </c>
      <c r="L26" s="4">
        <f t="shared" si="65"/>
        <v>26088.888888888887</v>
      </c>
      <c r="M26" s="4">
        <f t="shared" si="92"/>
        <v>0</v>
      </c>
      <c r="N26" s="4">
        <f t="shared" si="93"/>
        <v>7</v>
      </c>
      <c r="O26" s="4">
        <f t="shared" si="94"/>
        <v>14</v>
      </c>
      <c r="P26" s="4">
        <f t="shared" si="95"/>
        <v>48.888888888886868</v>
      </c>
      <c r="Q26" s="4">
        <f t="shared" si="66"/>
        <v>191362</v>
      </c>
      <c r="R26" s="4">
        <f t="shared" si="67"/>
        <v>180796</v>
      </c>
      <c r="S26" s="4">
        <f t="shared" si="68"/>
        <v>37568</v>
      </c>
      <c r="T26" s="4">
        <f t="shared" si="69"/>
        <v>9392</v>
      </c>
      <c r="V26" s="29">
        <v>6</v>
      </c>
      <c r="W26" s="4">
        <f t="shared" si="70"/>
        <v>1761</v>
      </c>
      <c r="X26" s="4">
        <f t="shared" si="71"/>
        <v>78266.666666666657</v>
      </c>
      <c r="Y26" s="4">
        <f t="shared" si="96"/>
        <v>0</v>
      </c>
      <c r="Z26" s="4">
        <f t="shared" si="97"/>
        <v>21</v>
      </c>
      <c r="AA26" s="4">
        <f t="shared" si="98"/>
        <v>44</v>
      </c>
      <c r="AB26" s="4">
        <f t="shared" si="99"/>
        <v>26</v>
      </c>
      <c r="AC26" s="4">
        <f t="shared" si="72"/>
        <v>10453296</v>
      </c>
      <c r="AD26" s="4">
        <f t="shared" si="73"/>
        <v>9856317</v>
      </c>
      <c r="AE26" s="4">
        <f t="shared" si="74"/>
        <v>2030433</v>
      </c>
      <c r="AF26" s="4">
        <f t="shared" si="75"/>
        <v>463143</v>
      </c>
      <c r="AH26" s="29">
        <v>6</v>
      </c>
      <c r="AI26" s="4">
        <f t="shared" si="76"/>
        <v>45000</v>
      </c>
      <c r="AJ26" s="4">
        <f t="shared" si="77"/>
        <v>999999.99999999988</v>
      </c>
      <c r="AK26" s="4">
        <f t="shared" si="100"/>
        <v>11</v>
      </c>
      <c r="AL26" s="4">
        <f t="shared" si="101"/>
        <v>13</v>
      </c>
      <c r="AM26" s="4">
        <f t="shared" si="102"/>
        <v>46</v>
      </c>
      <c r="AN26" s="4">
        <f t="shared" si="103"/>
        <v>39</v>
      </c>
      <c r="AO26" s="4">
        <f t="shared" si="104"/>
        <v>7335000</v>
      </c>
      <c r="AP26" s="4">
        <f t="shared" si="78"/>
        <v>6930000</v>
      </c>
      <c r="AQ26" s="4">
        <f t="shared" si="79"/>
        <v>1440000</v>
      </c>
      <c r="AR26" s="4">
        <f t="shared" si="80"/>
        <v>360000</v>
      </c>
      <c r="AT26" s="29">
        <v>6</v>
      </c>
      <c r="AU26" s="4">
        <f t="shared" si="81"/>
        <v>45000</v>
      </c>
      <c r="AV26" s="4">
        <f t="shared" si="82"/>
        <v>1999999.9999999995</v>
      </c>
      <c r="AW26" s="4">
        <f t="shared" si="105"/>
        <v>23</v>
      </c>
      <c r="AX26" s="4">
        <f t="shared" si="106"/>
        <v>3</v>
      </c>
      <c r="AY26" s="4">
        <f t="shared" si="107"/>
        <v>33</v>
      </c>
      <c r="AZ26" s="4">
        <f t="shared" si="108"/>
        <v>19</v>
      </c>
      <c r="BA26" s="4">
        <f t="shared" si="83"/>
        <v>267120000</v>
      </c>
      <c r="BB26" s="4">
        <f t="shared" si="84"/>
        <v>251865000</v>
      </c>
      <c r="BC26" s="4">
        <f t="shared" si="85"/>
        <v>51885000</v>
      </c>
      <c r="BD26" s="4">
        <f t="shared" si="86"/>
        <v>11835000</v>
      </c>
      <c r="BF26" s="29">
        <v>6</v>
      </c>
      <c r="BG26" s="4">
        <f>IFERROR(VLOOKUP(BF26,'Troop Calculator'!$B$42:$H$52,5,FALSE),"-")</f>
        <v>0</v>
      </c>
      <c r="BH26" s="4">
        <f t="shared" si="87"/>
        <v>0</v>
      </c>
      <c r="BI26" s="4">
        <f t="shared" si="109"/>
        <v>0</v>
      </c>
      <c r="BJ26" s="4">
        <f t="shared" si="110"/>
        <v>0</v>
      </c>
      <c r="BK26" s="4">
        <f t="shared" si="111"/>
        <v>0</v>
      </c>
      <c r="BL26" s="4">
        <f t="shared" si="112"/>
        <v>0</v>
      </c>
      <c r="BM26" s="4">
        <f t="shared" si="88"/>
        <v>0</v>
      </c>
      <c r="BN26" s="4">
        <f t="shared" si="89"/>
        <v>0</v>
      </c>
      <c r="BO26" s="4">
        <f t="shared" si="90"/>
        <v>0</v>
      </c>
      <c r="BP26" s="4">
        <f t="shared" si="91"/>
        <v>0</v>
      </c>
    </row>
    <row r="27" spans="2:68" x14ac:dyDescent="0.3">
      <c r="B27" s="12">
        <v>25</v>
      </c>
      <c r="C27" s="29">
        <v>7</v>
      </c>
      <c r="D27" s="4">
        <v>83</v>
      </c>
      <c r="E27" s="4">
        <f t="shared" si="64"/>
        <v>30.74074074074074</v>
      </c>
      <c r="F27" s="4">
        <v>244</v>
      </c>
      <c r="G27" s="4">
        <v>231</v>
      </c>
      <c r="H27" s="4">
        <v>48</v>
      </c>
      <c r="I27" s="4">
        <v>11</v>
      </c>
      <c r="K27" s="29">
        <v>7</v>
      </c>
      <c r="L27" s="4">
        <f t="shared" si="65"/>
        <v>36089.629629629628</v>
      </c>
      <c r="M27" s="4">
        <f t="shared" si="92"/>
        <v>0</v>
      </c>
      <c r="N27" s="4">
        <f t="shared" si="93"/>
        <v>10</v>
      </c>
      <c r="O27" s="4">
        <f t="shared" si="94"/>
        <v>1</v>
      </c>
      <c r="P27" s="4">
        <f t="shared" si="95"/>
        <v>29.629629629627743</v>
      </c>
      <c r="Q27" s="4">
        <f t="shared" si="66"/>
        <v>286456</v>
      </c>
      <c r="R27" s="4">
        <f t="shared" si="67"/>
        <v>271194</v>
      </c>
      <c r="S27" s="4">
        <f t="shared" si="68"/>
        <v>56352</v>
      </c>
      <c r="T27" s="4">
        <f t="shared" si="69"/>
        <v>12914</v>
      </c>
      <c r="V27" s="29">
        <v>7</v>
      </c>
      <c r="W27" s="4">
        <f t="shared" si="70"/>
        <v>2179</v>
      </c>
      <c r="X27" s="4">
        <f t="shared" si="71"/>
        <v>78282.592592592569</v>
      </c>
      <c r="Y27" s="4">
        <f t="shared" si="96"/>
        <v>0</v>
      </c>
      <c r="Z27" s="4">
        <f t="shared" si="97"/>
        <v>21</v>
      </c>
      <c r="AA27" s="4">
        <f t="shared" si="98"/>
        <v>44</v>
      </c>
      <c r="AB27" s="4">
        <f t="shared" si="99"/>
        <v>42</v>
      </c>
      <c r="AC27" s="4">
        <f t="shared" si="72"/>
        <v>12758045</v>
      </c>
      <c r="AD27" s="4">
        <f t="shared" si="73"/>
        <v>12028080</v>
      </c>
      <c r="AE27" s="4">
        <f t="shared" si="74"/>
        <v>2477523</v>
      </c>
      <c r="AF27" s="4">
        <f t="shared" si="75"/>
        <v>566540</v>
      </c>
      <c r="AH27" s="29">
        <v>7</v>
      </c>
      <c r="AI27" s="4">
        <f t="shared" si="76"/>
        <v>45000</v>
      </c>
      <c r="AJ27" s="4">
        <f t="shared" si="77"/>
        <v>1383333.3333333333</v>
      </c>
      <c r="AK27" s="4">
        <f t="shared" si="100"/>
        <v>16</v>
      </c>
      <c r="AL27" s="4">
        <f t="shared" si="101"/>
        <v>0</v>
      </c>
      <c r="AM27" s="4">
        <f t="shared" si="102"/>
        <v>15</v>
      </c>
      <c r="AN27" s="4">
        <f t="shared" si="103"/>
        <v>33</v>
      </c>
      <c r="AO27" s="4">
        <f t="shared" si="104"/>
        <v>10980000</v>
      </c>
      <c r="AP27" s="4">
        <f t="shared" si="78"/>
        <v>10395000</v>
      </c>
      <c r="AQ27" s="4">
        <f t="shared" si="79"/>
        <v>2160000</v>
      </c>
      <c r="AR27" s="4">
        <f t="shared" si="80"/>
        <v>495000</v>
      </c>
      <c r="AT27" s="29">
        <v>7</v>
      </c>
      <c r="AU27" s="4">
        <f t="shared" si="81"/>
        <v>45000</v>
      </c>
      <c r="AV27" s="4">
        <f t="shared" si="82"/>
        <v>1616666.6666666663</v>
      </c>
      <c r="AW27" s="4">
        <f t="shared" si="105"/>
        <v>18</v>
      </c>
      <c r="AX27" s="4">
        <f t="shared" si="106"/>
        <v>17</v>
      </c>
      <c r="AY27" s="4">
        <f t="shared" si="107"/>
        <v>4</v>
      </c>
      <c r="AZ27" s="4">
        <f t="shared" si="108"/>
        <v>26</v>
      </c>
      <c r="BA27" s="4">
        <f t="shared" si="83"/>
        <v>263475000</v>
      </c>
      <c r="BB27" s="4">
        <f t="shared" si="84"/>
        <v>248400000</v>
      </c>
      <c r="BC27" s="4">
        <f t="shared" si="85"/>
        <v>51165000</v>
      </c>
      <c r="BD27" s="4">
        <f t="shared" si="86"/>
        <v>11700000</v>
      </c>
      <c r="BF27" s="29">
        <v>7</v>
      </c>
      <c r="BG27" s="4">
        <f>IFERROR(VLOOKUP(BF27,'Troop Calculator'!$B$42:$H$52,5,FALSE),"-")</f>
        <v>0</v>
      </c>
      <c r="BH27" s="4">
        <f t="shared" si="87"/>
        <v>0</v>
      </c>
      <c r="BI27" s="4">
        <f t="shared" si="109"/>
        <v>0</v>
      </c>
      <c r="BJ27" s="4">
        <f t="shared" si="110"/>
        <v>0</v>
      </c>
      <c r="BK27" s="4">
        <f t="shared" si="111"/>
        <v>0</v>
      </c>
      <c r="BL27" s="4">
        <f t="shared" si="112"/>
        <v>0</v>
      </c>
      <c r="BM27" s="4">
        <f t="shared" si="88"/>
        <v>0</v>
      </c>
      <c r="BN27" s="4">
        <f t="shared" si="89"/>
        <v>0</v>
      </c>
      <c r="BO27" s="4">
        <f t="shared" si="90"/>
        <v>0</v>
      </c>
      <c r="BP27" s="4">
        <f t="shared" si="91"/>
        <v>0</v>
      </c>
    </row>
    <row r="28" spans="2:68" x14ac:dyDescent="0.3">
      <c r="B28" s="12">
        <v>35</v>
      </c>
      <c r="C28" s="29">
        <v>8</v>
      </c>
      <c r="D28" s="4">
        <v>113</v>
      </c>
      <c r="E28" s="4">
        <f t="shared" si="64"/>
        <v>41.851851851851848</v>
      </c>
      <c r="F28" s="4">
        <v>488</v>
      </c>
      <c r="G28" s="4">
        <v>461</v>
      </c>
      <c r="H28" s="4">
        <v>95</v>
      </c>
      <c r="I28" s="4">
        <v>22</v>
      </c>
      <c r="K28" s="29">
        <v>8</v>
      </c>
      <c r="L28" s="4">
        <f t="shared" si="65"/>
        <v>49134.074074074073</v>
      </c>
      <c r="M28" s="4">
        <f t="shared" si="92"/>
        <v>0</v>
      </c>
      <c r="N28" s="4">
        <f t="shared" si="93"/>
        <v>13</v>
      </c>
      <c r="O28" s="4">
        <f t="shared" si="94"/>
        <v>38</v>
      </c>
      <c r="P28" s="4">
        <f t="shared" si="95"/>
        <v>54.074074074072996</v>
      </c>
      <c r="Q28" s="4">
        <f t="shared" si="66"/>
        <v>572912</v>
      </c>
      <c r="R28" s="4">
        <f t="shared" si="67"/>
        <v>541214</v>
      </c>
      <c r="S28" s="4">
        <f t="shared" si="68"/>
        <v>111530</v>
      </c>
      <c r="T28" s="4">
        <f t="shared" si="69"/>
        <v>25828</v>
      </c>
      <c r="V28" s="29">
        <v>8</v>
      </c>
      <c r="W28" s="4">
        <f t="shared" si="70"/>
        <v>3155</v>
      </c>
      <c r="X28" s="4">
        <f t="shared" si="71"/>
        <v>78290.74074074073</v>
      </c>
      <c r="Y28" s="4">
        <f t="shared" si="96"/>
        <v>0</v>
      </c>
      <c r="Z28" s="4">
        <f t="shared" si="97"/>
        <v>21</v>
      </c>
      <c r="AA28" s="4">
        <f t="shared" si="98"/>
        <v>44</v>
      </c>
      <c r="AB28" s="4">
        <f t="shared" si="99"/>
        <v>50</v>
      </c>
      <c r="AC28" s="4">
        <f t="shared" si="72"/>
        <v>17702705</v>
      </c>
      <c r="AD28" s="4">
        <f t="shared" si="73"/>
        <v>16689950</v>
      </c>
      <c r="AE28" s="4">
        <f t="shared" si="74"/>
        <v>3438950</v>
      </c>
      <c r="AF28" s="4">
        <f t="shared" si="75"/>
        <v>785595</v>
      </c>
      <c r="AH28" s="29">
        <v>8</v>
      </c>
      <c r="AI28" s="4">
        <f t="shared" si="76"/>
        <v>45000</v>
      </c>
      <c r="AJ28" s="4">
        <f t="shared" si="77"/>
        <v>1883333.3333333333</v>
      </c>
      <c r="AK28" s="4">
        <f t="shared" si="100"/>
        <v>21</v>
      </c>
      <c r="AL28" s="4">
        <f t="shared" si="101"/>
        <v>19</v>
      </c>
      <c r="AM28" s="4">
        <f t="shared" si="102"/>
        <v>8</v>
      </c>
      <c r="AN28" s="4">
        <f t="shared" si="103"/>
        <v>53</v>
      </c>
      <c r="AO28" s="4">
        <f t="shared" si="104"/>
        <v>21960000</v>
      </c>
      <c r="AP28" s="4">
        <f t="shared" si="78"/>
        <v>20745000</v>
      </c>
      <c r="AQ28" s="4">
        <f t="shared" si="79"/>
        <v>4275000</v>
      </c>
      <c r="AR28" s="4">
        <f t="shared" si="80"/>
        <v>990000</v>
      </c>
      <c r="AT28" s="29">
        <v>8</v>
      </c>
      <c r="AU28" s="4">
        <f t="shared" si="81"/>
        <v>45000</v>
      </c>
      <c r="AV28" s="4">
        <f t="shared" si="82"/>
        <v>1116666.6666666665</v>
      </c>
      <c r="AW28" s="4">
        <f t="shared" si="105"/>
        <v>12</v>
      </c>
      <c r="AX28" s="4">
        <f t="shared" si="106"/>
        <v>22</v>
      </c>
      <c r="AY28" s="4">
        <f t="shared" si="107"/>
        <v>11</v>
      </c>
      <c r="AZ28" s="4">
        <f t="shared" si="108"/>
        <v>6</v>
      </c>
      <c r="BA28" s="4">
        <f t="shared" si="83"/>
        <v>252495000</v>
      </c>
      <c r="BB28" s="4">
        <f t="shared" si="84"/>
        <v>238050000</v>
      </c>
      <c r="BC28" s="4">
        <f t="shared" si="85"/>
        <v>49050000</v>
      </c>
      <c r="BD28" s="4">
        <f t="shared" si="86"/>
        <v>11205000</v>
      </c>
      <c r="BF28" s="29">
        <v>8</v>
      </c>
      <c r="BG28" s="4">
        <f>IFERROR(VLOOKUP(BF28,'Troop Calculator'!$B$42:$H$52,5,FALSE),"-")</f>
        <v>0</v>
      </c>
      <c r="BH28" s="4">
        <f t="shared" si="87"/>
        <v>0</v>
      </c>
      <c r="BI28" s="4">
        <f t="shared" si="109"/>
        <v>0</v>
      </c>
      <c r="BJ28" s="4">
        <f t="shared" si="110"/>
        <v>0</v>
      </c>
      <c r="BK28" s="4">
        <f t="shared" si="111"/>
        <v>0</v>
      </c>
      <c r="BL28" s="4">
        <f t="shared" si="112"/>
        <v>0</v>
      </c>
      <c r="BM28" s="4">
        <f t="shared" si="88"/>
        <v>0</v>
      </c>
      <c r="BN28" s="4">
        <f t="shared" si="89"/>
        <v>0</v>
      </c>
      <c r="BO28" s="4">
        <f t="shared" si="90"/>
        <v>0</v>
      </c>
      <c r="BP28" s="4">
        <f t="shared" si="91"/>
        <v>0</v>
      </c>
    </row>
    <row r="29" spans="2:68" x14ac:dyDescent="0.3">
      <c r="B29" s="12">
        <v>45</v>
      </c>
      <c r="C29" s="29">
        <v>9</v>
      </c>
      <c r="D29" s="4">
        <v>131</v>
      </c>
      <c r="E29" s="4">
        <f t="shared" si="64"/>
        <v>48.518518518518512</v>
      </c>
      <c r="F29" s="4">
        <v>1220</v>
      </c>
      <c r="G29" s="4">
        <v>1151</v>
      </c>
      <c r="H29" s="4">
        <v>237</v>
      </c>
      <c r="I29" s="4">
        <v>55</v>
      </c>
      <c r="K29" s="29">
        <v>9</v>
      </c>
      <c r="L29" s="4">
        <f t="shared" si="65"/>
        <v>56960.740740740737</v>
      </c>
      <c r="M29" s="4">
        <f t="shared" si="92"/>
        <v>0</v>
      </c>
      <c r="N29" s="4">
        <f t="shared" si="93"/>
        <v>15</v>
      </c>
      <c r="O29" s="4">
        <f t="shared" si="94"/>
        <v>49</v>
      </c>
      <c r="P29" s="4">
        <f t="shared" si="95"/>
        <v>20.740740740737238</v>
      </c>
      <c r="Q29" s="4">
        <f t="shared" si="66"/>
        <v>1432280</v>
      </c>
      <c r="R29" s="4">
        <f t="shared" si="67"/>
        <v>1351274</v>
      </c>
      <c r="S29" s="4">
        <f t="shared" si="68"/>
        <v>278238</v>
      </c>
      <c r="T29" s="4">
        <f t="shared" si="69"/>
        <v>64570</v>
      </c>
      <c r="V29" s="29">
        <v>9</v>
      </c>
      <c r="W29" s="4">
        <f t="shared" si="70"/>
        <v>4313</v>
      </c>
      <c r="X29" s="4">
        <f t="shared" si="71"/>
        <v>78272.962962962949</v>
      </c>
      <c r="Y29" s="4">
        <f t="shared" si="96"/>
        <v>0</v>
      </c>
      <c r="Z29" s="4">
        <f t="shared" si="97"/>
        <v>21</v>
      </c>
      <c r="AA29" s="4">
        <f t="shared" si="98"/>
        <v>44</v>
      </c>
      <c r="AB29" s="4">
        <f t="shared" si="99"/>
        <v>32</v>
      </c>
      <c r="AC29" s="4">
        <f t="shared" si="72"/>
        <v>21043127</v>
      </c>
      <c r="AD29" s="4">
        <f t="shared" si="73"/>
        <v>19839800</v>
      </c>
      <c r="AE29" s="4">
        <f t="shared" si="74"/>
        <v>4088724</v>
      </c>
      <c r="AF29" s="4">
        <f t="shared" si="75"/>
        <v>931608</v>
      </c>
      <c r="AH29" s="29">
        <v>9</v>
      </c>
      <c r="AI29" s="4">
        <f t="shared" si="76"/>
        <v>45000</v>
      </c>
      <c r="AJ29" s="4">
        <f t="shared" si="77"/>
        <v>2183333.333333333</v>
      </c>
      <c r="AK29" s="4">
        <f t="shared" si="100"/>
        <v>25</v>
      </c>
      <c r="AL29" s="4">
        <f t="shared" si="101"/>
        <v>6</v>
      </c>
      <c r="AM29" s="4">
        <f t="shared" si="102"/>
        <v>28</v>
      </c>
      <c r="AN29" s="4">
        <f t="shared" si="103"/>
        <v>53</v>
      </c>
      <c r="AO29" s="4">
        <f t="shared" si="104"/>
        <v>54900000</v>
      </c>
      <c r="AP29" s="4">
        <f t="shared" si="78"/>
        <v>51795000</v>
      </c>
      <c r="AQ29" s="4">
        <f t="shared" si="79"/>
        <v>10665000</v>
      </c>
      <c r="AR29" s="4">
        <f t="shared" si="80"/>
        <v>2475000</v>
      </c>
      <c r="AT29" s="29">
        <v>9</v>
      </c>
      <c r="AU29" s="4">
        <f t="shared" si="81"/>
        <v>45000</v>
      </c>
      <c r="AV29" s="4">
        <f t="shared" si="82"/>
        <v>816666.66666666651</v>
      </c>
      <c r="AW29" s="4">
        <f t="shared" si="105"/>
        <v>9</v>
      </c>
      <c r="AX29" s="4">
        <f t="shared" si="106"/>
        <v>10</v>
      </c>
      <c r="AY29" s="4">
        <f t="shared" si="107"/>
        <v>51</v>
      </c>
      <c r="AZ29" s="4">
        <f t="shared" si="108"/>
        <v>6</v>
      </c>
      <c r="BA29" s="4">
        <f t="shared" si="83"/>
        <v>219555000</v>
      </c>
      <c r="BB29" s="4">
        <f t="shared" si="84"/>
        <v>207000000</v>
      </c>
      <c r="BC29" s="4">
        <f t="shared" si="85"/>
        <v>42660000</v>
      </c>
      <c r="BD29" s="4">
        <f t="shared" si="86"/>
        <v>9720000</v>
      </c>
      <c r="BF29" s="29">
        <v>9</v>
      </c>
      <c r="BG29" s="4">
        <f>IFERROR(VLOOKUP(BF29,'Troop Calculator'!$B$42:$H$52,5,FALSE),"-")</f>
        <v>0</v>
      </c>
      <c r="BH29" s="4">
        <f t="shared" si="87"/>
        <v>0</v>
      </c>
      <c r="BI29" s="4">
        <f t="shared" si="109"/>
        <v>0</v>
      </c>
      <c r="BJ29" s="4">
        <f t="shared" si="110"/>
        <v>0</v>
      </c>
      <c r="BK29" s="4">
        <f t="shared" si="111"/>
        <v>0</v>
      </c>
      <c r="BL29" s="4">
        <f t="shared" si="112"/>
        <v>0</v>
      </c>
      <c r="BM29" s="4">
        <f t="shared" si="88"/>
        <v>0</v>
      </c>
      <c r="BN29" s="4">
        <f t="shared" si="89"/>
        <v>0</v>
      </c>
      <c r="BO29" s="4">
        <f t="shared" si="90"/>
        <v>0</v>
      </c>
      <c r="BP29" s="4">
        <f t="shared" si="91"/>
        <v>0</v>
      </c>
    </row>
    <row r="30" spans="2:68" x14ac:dyDescent="0.3">
      <c r="B30" s="12">
        <v>60</v>
      </c>
      <c r="C30" s="29">
        <v>10</v>
      </c>
      <c r="D30" s="4">
        <v>152</v>
      </c>
      <c r="E30" s="4">
        <f t="shared" si="64"/>
        <v>56.296296296296291</v>
      </c>
      <c r="F30" s="4">
        <v>2440</v>
      </c>
      <c r="G30" s="4">
        <v>2301</v>
      </c>
      <c r="H30" s="4">
        <v>474</v>
      </c>
      <c r="I30" s="4">
        <v>109</v>
      </c>
      <c r="K30" s="29">
        <v>10</v>
      </c>
      <c r="L30" s="4">
        <f t="shared" si="65"/>
        <v>66091.851851851854</v>
      </c>
      <c r="M30" s="4">
        <f t="shared" si="92"/>
        <v>0</v>
      </c>
      <c r="N30" s="4">
        <f t="shared" si="93"/>
        <v>18</v>
      </c>
      <c r="O30" s="4">
        <f t="shared" si="94"/>
        <v>21</v>
      </c>
      <c r="P30" s="4">
        <f t="shared" si="95"/>
        <v>31.851851851854008</v>
      </c>
      <c r="Q30" s="4">
        <f t="shared" si="66"/>
        <v>2864560</v>
      </c>
      <c r="R30" s="4">
        <f t="shared" si="67"/>
        <v>2701374</v>
      </c>
      <c r="S30" s="4">
        <f t="shared" si="68"/>
        <v>556476</v>
      </c>
      <c r="T30" s="4">
        <f t="shared" si="69"/>
        <v>127966</v>
      </c>
      <c r="V30" s="29">
        <v>10</v>
      </c>
      <c r="W30" s="4">
        <f t="shared" si="70"/>
        <v>7548</v>
      </c>
      <c r="X30" s="4">
        <f t="shared" si="71"/>
        <v>78275.555555555533</v>
      </c>
      <c r="Y30" s="4">
        <f t="shared" si="96"/>
        <v>0</v>
      </c>
      <c r="Z30" s="4">
        <f t="shared" si="97"/>
        <v>21</v>
      </c>
      <c r="AA30" s="4">
        <f t="shared" si="98"/>
        <v>44</v>
      </c>
      <c r="AB30" s="4">
        <f t="shared" si="99"/>
        <v>35</v>
      </c>
      <c r="AC30" s="4">
        <f t="shared" si="72"/>
        <v>27618132</v>
      </c>
      <c r="AD30" s="4">
        <f t="shared" si="73"/>
        <v>26040600</v>
      </c>
      <c r="AE30" s="4">
        <f t="shared" si="74"/>
        <v>5366628</v>
      </c>
      <c r="AF30" s="4">
        <f t="shared" si="75"/>
        <v>1222776</v>
      </c>
      <c r="AH30" s="29">
        <v>10</v>
      </c>
      <c r="AI30" s="4">
        <f t="shared" si="76"/>
        <v>45000</v>
      </c>
      <c r="AJ30" s="4">
        <f t="shared" si="77"/>
        <v>2533333.333333333</v>
      </c>
      <c r="AK30" s="4">
        <f t="shared" si="100"/>
        <v>29</v>
      </c>
      <c r="AL30" s="4">
        <f t="shared" si="101"/>
        <v>7</v>
      </c>
      <c r="AM30" s="4">
        <f t="shared" si="102"/>
        <v>42</v>
      </c>
      <c r="AN30" s="4">
        <f t="shared" si="103"/>
        <v>13</v>
      </c>
      <c r="AO30" s="4">
        <f t="shared" si="104"/>
        <v>109800000</v>
      </c>
      <c r="AP30" s="4">
        <f t="shared" si="78"/>
        <v>103545000</v>
      </c>
      <c r="AQ30" s="4">
        <f t="shared" si="79"/>
        <v>21330000</v>
      </c>
      <c r="AR30" s="4">
        <f t="shared" si="80"/>
        <v>4905000</v>
      </c>
      <c r="AT30" s="29">
        <v>10</v>
      </c>
      <c r="AU30" s="4">
        <f t="shared" si="81"/>
        <v>45000</v>
      </c>
      <c r="AV30" s="4">
        <f t="shared" si="82"/>
        <v>466666.66666666651</v>
      </c>
      <c r="AW30" s="4">
        <f t="shared" si="105"/>
        <v>5</v>
      </c>
      <c r="AX30" s="4">
        <f t="shared" si="106"/>
        <v>9</v>
      </c>
      <c r="AY30" s="4">
        <f t="shared" si="107"/>
        <v>37</v>
      </c>
      <c r="AZ30" s="4">
        <f t="shared" si="108"/>
        <v>46</v>
      </c>
      <c r="BA30" s="4">
        <f t="shared" si="83"/>
        <v>164655000</v>
      </c>
      <c r="BB30" s="4">
        <f t="shared" si="84"/>
        <v>155250000</v>
      </c>
      <c r="BC30" s="4">
        <f t="shared" si="85"/>
        <v>31995000</v>
      </c>
      <c r="BD30" s="4">
        <f t="shared" si="86"/>
        <v>7290000</v>
      </c>
      <c r="BF30" s="29">
        <v>10</v>
      </c>
      <c r="BG30" s="4">
        <f>IFERROR(VLOOKUP(BF30,'Troop Calculator'!$B$42:$H$52,5,FALSE),"-")</f>
        <v>45000</v>
      </c>
      <c r="BH30" s="4">
        <f t="shared" si="87"/>
        <v>466666.66666666651</v>
      </c>
      <c r="BI30" s="4">
        <f t="shared" si="109"/>
        <v>5</v>
      </c>
      <c r="BJ30" s="4">
        <f t="shared" si="110"/>
        <v>9</v>
      </c>
      <c r="BK30" s="4">
        <f t="shared" si="111"/>
        <v>37</v>
      </c>
      <c r="BL30" s="4">
        <f t="shared" si="112"/>
        <v>46</v>
      </c>
      <c r="BM30" s="4">
        <f t="shared" si="88"/>
        <v>164655000</v>
      </c>
      <c r="BN30" s="4">
        <f t="shared" si="89"/>
        <v>155250000</v>
      </c>
      <c r="BO30" s="4">
        <f t="shared" si="90"/>
        <v>31995000</v>
      </c>
      <c r="BP30" s="4">
        <f t="shared" si="91"/>
        <v>7290000</v>
      </c>
    </row>
    <row r="31" spans="2:68" x14ac:dyDescent="0.3">
      <c r="B31" s="12">
        <v>75</v>
      </c>
      <c r="C31" s="29">
        <v>11</v>
      </c>
      <c r="D31" s="4">
        <v>180</v>
      </c>
      <c r="E31" s="4">
        <f t="shared" si="64"/>
        <v>66.666666666666657</v>
      </c>
      <c r="F31" s="4">
        <v>6099</v>
      </c>
      <c r="G31" s="4">
        <v>5751</v>
      </c>
      <c r="H31" s="4">
        <v>1185</v>
      </c>
      <c r="I31" s="4">
        <v>271</v>
      </c>
      <c r="K31" s="29">
        <v>11</v>
      </c>
      <c r="L31" s="4">
        <f t="shared" si="65"/>
        <v>78266.666666666657</v>
      </c>
      <c r="M31" s="4">
        <f t="shared" si="92"/>
        <v>0</v>
      </c>
      <c r="N31" s="4">
        <f t="shared" si="93"/>
        <v>21</v>
      </c>
      <c r="O31" s="4">
        <f t="shared" si="94"/>
        <v>44</v>
      </c>
      <c r="P31" s="4">
        <f t="shared" si="95"/>
        <v>26.666666666656965</v>
      </c>
      <c r="Q31" s="4">
        <f t="shared" si="66"/>
        <v>7160226</v>
      </c>
      <c r="R31" s="4">
        <f t="shared" si="67"/>
        <v>6751674</v>
      </c>
      <c r="S31" s="4">
        <f t="shared" si="68"/>
        <v>1391190</v>
      </c>
      <c r="T31" s="4">
        <f t="shared" si="69"/>
        <v>318154</v>
      </c>
      <c r="V31" s="29">
        <v>11</v>
      </c>
      <c r="W31" s="4" t="str">
        <f t="shared" si="70"/>
        <v>-</v>
      </c>
      <c r="X31" s="4" t="str">
        <f t="shared" si="71"/>
        <v>-</v>
      </c>
      <c r="Y31" s="4" t="str">
        <f t="shared" si="96"/>
        <v>-</v>
      </c>
      <c r="Z31" s="4" t="str">
        <f t="shared" si="97"/>
        <v>-</v>
      </c>
      <c r="AA31" s="4" t="str">
        <f t="shared" si="98"/>
        <v>-</v>
      </c>
      <c r="AB31" s="4" t="str">
        <f t="shared" si="99"/>
        <v>-</v>
      </c>
      <c r="AC31" s="4" t="str">
        <f t="shared" si="72"/>
        <v>-</v>
      </c>
      <c r="AD31" s="4" t="str">
        <f t="shared" si="73"/>
        <v>-</v>
      </c>
      <c r="AE31" s="4" t="str">
        <f t="shared" si="74"/>
        <v>-</v>
      </c>
      <c r="AF31" s="4" t="str">
        <f t="shared" si="75"/>
        <v>-</v>
      </c>
      <c r="AH31" s="29">
        <v>11</v>
      </c>
      <c r="AI31" s="4">
        <f t="shared" si="76"/>
        <v>45000</v>
      </c>
      <c r="AJ31" s="4">
        <f t="shared" si="77"/>
        <v>3000000</v>
      </c>
      <c r="AK31" s="4">
        <f t="shared" si="100"/>
        <v>34</v>
      </c>
      <c r="AL31" s="4">
        <f t="shared" si="101"/>
        <v>17</v>
      </c>
      <c r="AM31" s="4">
        <f t="shared" si="102"/>
        <v>20</v>
      </c>
      <c r="AN31" s="4">
        <f t="shared" si="103"/>
        <v>0</v>
      </c>
      <c r="AO31" s="4">
        <f t="shared" si="104"/>
        <v>274455000</v>
      </c>
      <c r="AP31" s="4">
        <f t="shared" si="78"/>
        <v>258795000</v>
      </c>
      <c r="AQ31" s="4">
        <f t="shared" si="79"/>
        <v>53325000</v>
      </c>
      <c r="AR31" s="4">
        <f t="shared" si="80"/>
        <v>12195000</v>
      </c>
      <c r="AT31" s="29">
        <v>11</v>
      </c>
      <c r="AU31" s="4">
        <f t="shared" si="81"/>
        <v>45000</v>
      </c>
      <c r="AV31" s="4" t="str">
        <f t="shared" si="82"/>
        <v>-</v>
      </c>
      <c r="AW31" s="4" t="str">
        <f t="shared" si="105"/>
        <v>-</v>
      </c>
      <c r="AX31" s="4" t="str">
        <f t="shared" si="106"/>
        <v>-</v>
      </c>
      <c r="AY31" s="4" t="str">
        <f t="shared" si="107"/>
        <v>-</v>
      </c>
      <c r="AZ31" s="4" t="str">
        <f t="shared" si="108"/>
        <v>-</v>
      </c>
      <c r="BA31" s="4" t="str">
        <f t="shared" si="83"/>
        <v>-</v>
      </c>
      <c r="BB31" s="4" t="str">
        <f t="shared" si="84"/>
        <v>-</v>
      </c>
      <c r="BC31" s="4" t="str">
        <f t="shared" si="85"/>
        <v>-</v>
      </c>
      <c r="BD31" s="4" t="str">
        <f t="shared" si="86"/>
        <v>-</v>
      </c>
      <c r="BF31" s="29">
        <v>11</v>
      </c>
      <c r="BG31" s="4">
        <f>IFERROR(VLOOKUP(BF31,'Troop Calculator'!$B$42:$H$52,5,FALSE),"-")</f>
        <v>950000</v>
      </c>
      <c r="BH31" s="4">
        <f t="shared" si="87"/>
        <v>0</v>
      </c>
      <c r="BI31" s="4">
        <f t="shared" si="109"/>
        <v>0</v>
      </c>
      <c r="BJ31" s="4">
        <f t="shared" si="110"/>
        <v>0</v>
      </c>
      <c r="BK31" s="4">
        <f t="shared" si="111"/>
        <v>0</v>
      </c>
      <c r="BL31" s="4">
        <f t="shared" si="112"/>
        <v>0</v>
      </c>
      <c r="BM31" s="4">
        <f t="shared" si="88"/>
        <v>0</v>
      </c>
      <c r="BN31" s="4">
        <f t="shared" si="89"/>
        <v>0</v>
      </c>
      <c r="BO31" s="4">
        <f t="shared" si="90"/>
        <v>0</v>
      </c>
      <c r="BP31" s="4">
        <f t="shared" si="91"/>
        <v>0</v>
      </c>
    </row>
    <row r="32" spans="2:68" x14ac:dyDescent="0.3">
      <c r="C32" s="4"/>
      <c r="D32" s="4"/>
      <c r="E32" s="4"/>
      <c r="F32" s="4"/>
      <c r="G32" s="4"/>
      <c r="H32" s="4"/>
      <c r="I32" s="4"/>
      <c r="K32" s="29" t="str">
        <f>"Tier "&amp;UpgradeTier</f>
        <v>Tier 11</v>
      </c>
      <c r="L32" s="4">
        <f>VLOOKUP(UpgradeTier,$K$21:$P$31,2,FALSE)</f>
        <v>78266.666666666657</v>
      </c>
      <c r="M32" s="4">
        <f t="shared" ref="M32" si="113">ROUNDDOWN(L32/60/60/24,0)</f>
        <v>0</v>
      </c>
      <c r="N32" s="4">
        <f t="shared" ref="N32" si="114">ROUNDDOWN((L32-(M32*24*60*60))/60/60,0)</f>
        <v>21</v>
      </c>
      <c r="O32" s="4">
        <f t="shared" ref="O32" si="115">ROUNDDOWN((L32-(M32*60*60*24)-(N32*60*60))/60,0)</f>
        <v>44</v>
      </c>
      <c r="P32" s="4">
        <f t="shared" ref="P32" si="116">L32-(M32*60*60*24)-(N32*60*60)-(O32*60)</f>
        <v>26.666666666656965</v>
      </c>
      <c r="Q32" s="4"/>
      <c r="R32" s="4"/>
      <c r="S32" s="4"/>
      <c r="T32" s="4"/>
      <c r="V32" s="4"/>
      <c r="W32" s="29" t="str">
        <f>"From "&amp;BaseTier&amp;" To "&amp;UpgradeTier</f>
        <v>From 10 To 11</v>
      </c>
      <c r="X32" s="4">
        <f>VLOOKUP(BaseTier,$V$21:$X$31,3,FALSE)</f>
        <v>78275.555555555533</v>
      </c>
      <c r="Y32" s="4">
        <f t="shared" ref="Y32" si="117">IFERROR(ROUNDDOWN(X32/60/60/24,0),"-")</f>
        <v>0</v>
      </c>
      <c r="Z32" s="4">
        <f t="shared" ref="Z32" si="118">IFERROR(ROUNDDOWN((X32-(Y32*60*60*24))/60/60,0),"-")</f>
        <v>21</v>
      </c>
      <c r="AA32" s="4">
        <f t="shared" ref="AA32" si="119">IFERROR(ROUNDDOWN((X32-(Y32*60*60*24)-(Z32*60*60))/60,0),"-")</f>
        <v>44</v>
      </c>
      <c r="AB32" s="4">
        <f t="shared" ref="AB32" si="120">IFERROR(ROUNDDOWN(X32-(Y32*60*60*24)-(Z32*60*60)-(AA32*60),0),"-")</f>
        <v>35</v>
      </c>
      <c r="AC32" s="4"/>
      <c r="AD32" s="4"/>
      <c r="AE32" s="4"/>
      <c r="AF32" s="4"/>
      <c r="AH32" s="4"/>
      <c r="AI32" s="29" t="str">
        <f>"Tier "&amp;UpgradeTier</f>
        <v>Tier 11</v>
      </c>
      <c r="AJ32" s="4">
        <f>VLOOKUP(UpgradeTier,$AH$21:$AN$31,3,FALSE)</f>
        <v>3000000</v>
      </c>
      <c r="AK32" s="4">
        <f t="shared" ref="AK32" si="121">IFERROR(ROUNDDOWN(AJ32/60/60/24,0),"-")</f>
        <v>34</v>
      </c>
      <c r="AL32" s="4">
        <f t="shared" ref="AL32" si="122">IFERROR(ROUNDDOWN((AJ32-(AK32*60*60*24))/60/60,0),"-")</f>
        <v>17</v>
      </c>
      <c r="AM32" s="4">
        <f t="shared" ref="AM32" si="123">IFERROR(ROUNDDOWN((AJ32-(AK32*60*60*24)-(AL32*60*60))/60,0),"-")</f>
        <v>20</v>
      </c>
      <c r="AN32" s="4">
        <f t="shared" ref="AN32" si="124">IFERROR(ROUNDDOWN(AJ32-(AK32*60*60*24)-(AL32*60*60)-(AM32*60),0),"-")</f>
        <v>0</v>
      </c>
      <c r="AO32" s="4"/>
      <c r="AP32" s="4"/>
      <c r="AQ32" s="4"/>
      <c r="AR32" s="4"/>
      <c r="AT32" s="4"/>
      <c r="AU32" s="29" t="str">
        <f>"From "&amp;BaseTier&amp;" To "&amp;UpgradeTier</f>
        <v>From 10 To 11</v>
      </c>
      <c r="AV32" s="4">
        <f>VLOOKUP(BaseTier,$AT$21:$AZ$31,3,FALSE)</f>
        <v>466666.66666666651</v>
      </c>
      <c r="AW32" s="4">
        <f t="shared" ref="AW32" si="125">IFERROR(ROUNDDOWN(AV32/60/60/24,0),"-")</f>
        <v>5</v>
      </c>
      <c r="AX32" s="4">
        <f t="shared" ref="AX32" si="126">IFERROR(ROUNDDOWN((AV32-(AW32*60*60*24))/60/60,0),"-")</f>
        <v>9</v>
      </c>
      <c r="AY32" s="4">
        <f t="shared" ref="AY32" si="127">IFERROR(ROUNDDOWN((AV32-(AW32*60*60*24)-(AX32*60*60))/60,0),"-")</f>
        <v>37</v>
      </c>
      <c r="AZ32" s="4">
        <f t="shared" ref="AZ32" si="128">IFERROR(ROUNDDOWN(AV32-(AW32*60*60*24)-(AX32*60*60)-(AY32*60),0),"-")</f>
        <v>46</v>
      </c>
      <c r="BA32" s="4"/>
      <c r="BB32" s="4"/>
      <c r="BC32" s="4"/>
      <c r="BD32" s="4"/>
      <c r="BF32" s="705" t="str">
        <f>SUM(BG21:BG31)&amp;" to T10"</f>
        <v>995000 to T10</v>
      </c>
      <c r="BG32" s="705"/>
      <c r="BH32" s="4">
        <f>SUM(BH21:BH31)</f>
        <v>466666.66666666651</v>
      </c>
      <c r="BI32" s="4">
        <f t="shared" si="109"/>
        <v>5</v>
      </c>
      <c r="BJ32" s="4">
        <f t="shared" si="110"/>
        <v>9</v>
      </c>
      <c r="BK32" s="4">
        <f t="shared" si="111"/>
        <v>37</v>
      </c>
      <c r="BL32" s="4">
        <f t="shared" si="112"/>
        <v>46</v>
      </c>
      <c r="BM32" s="4">
        <f>SUMIF(BM21:BM31,"&gt;0")</f>
        <v>164655000</v>
      </c>
      <c r="BN32" s="4">
        <f t="shared" ref="BN32" si="129">SUMIF(BN21:BN31,"&gt;0")</f>
        <v>155250000</v>
      </c>
      <c r="BO32" s="4">
        <f t="shared" ref="BO32" si="130">SUMIF(BO21:BO31,"&gt;0")</f>
        <v>31995000</v>
      </c>
      <c r="BP32" s="4">
        <f t="shared" ref="BP32" si="131">SUMIF(BP21:BP31,"&gt;0")</f>
        <v>7290000</v>
      </c>
    </row>
    <row r="33" spans="2:68" x14ac:dyDescent="0.3">
      <c r="C33" s="4"/>
      <c r="D33" s="4"/>
      <c r="E33" s="4"/>
      <c r="F33" s="4"/>
      <c r="G33" s="4"/>
      <c r="H33" s="4"/>
      <c r="I33" s="4"/>
      <c r="K33" s="4"/>
      <c r="L33" s="4"/>
      <c r="M33" s="4"/>
      <c r="N33" s="4"/>
      <c r="O33" s="4"/>
      <c r="P33" s="4"/>
      <c r="Q33" s="4"/>
      <c r="R33" s="4"/>
      <c r="S33" s="4"/>
      <c r="T33" s="4"/>
      <c r="V33" s="4"/>
      <c r="W33" s="4"/>
      <c r="X33" s="4"/>
      <c r="Y33" s="4"/>
      <c r="Z33" s="4"/>
      <c r="AA33" s="4"/>
      <c r="AB33" s="4"/>
      <c r="AC33" s="4"/>
      <c r="AD33" s="4"/>
      <c r="AE33" s="4"/>
      <c r="AF33" s="4"/>
      <c r="AH33" s="4"/>
      <c r="AI33" s="4"/>
      <c r="AO33" s="4"/>
      <c r="AP33" s="4"/>
      <c r="AQ33" s="4"/>
      <c r="AR33" s="4"/>
      <c r="AT33" s="4"/>
      <c r="AU33" s="4"/>
      <c r="AV33" s="4"/>
      <c r="AW33" s="4"/>
      <c r="AX33" s="4"/>
      <c r="AY33" s="4"/>
      <c r="AZ33" s="4"/>
      <c r="BA33" s="4"/>
      <c r="BB33" s="4"/>
      <c r="BC33" s="4"/>
      <c r="BD33" s="4"/>
    </row>
    <row r="34" spans="2:68" x14ac:dyDescent="0.3">
      <c r="C34" s="4"/>
      <c r="D34" s="4"/>
      <c r="E34" s="4"/>
      <c r="F34" s="4"/>
      <c r="G34" s="4"/>
      <c r="H34" s="4"/>
      <c r="I34" s="4"/>
      <c r="K34" s="4"/>
      <c r="L34" s="4"/>
      <c r="M34" s="4"/>
      <c r="N34" s="4"/>
      <c r="O34" s="4"/>
      <c r="P34" s="4"/>
      <c r="Q34" s="4"/>
      <c r="R34" s="4"/>
      <c r="S34" s="4"/>
      <c r="T34" s="4"/>
      <c r="V34" s="4"/>
      <c r="W34" s="4"/>
      <c r="X34" s="4"/>
      <c r="Y34" s="4"/>
      <c r="Z34" s="4"/>
      <c r="AA34" s="4"/>
      <c r="AB34" s="4"/>
      <c r="AC34" s="4"/>
      <c r="AD34" s="4"/>
      <c r="AE34" s="4"/>
      <c r="AF34" s="4"/>
      <c r="AH34" s="4"/>
      <c r="AI34" s="4"/>
      <c r="AJ34" s="4"/>
      <c r="AK34" s="4"/>
      <c r="AL34" s="4"/>
      <c r="AM34" s="4"/>
      <c r="AN34" s="4"/>
      <c r="AO34" s="4"/>
      <c r="AP34" s="4"/>
      <c r="AQ34" s="4"/>
      <c r="AR34" s="4"/>
      <c r="AT34" s="4"/>
      <c r="AU34" s="4"/>
      <c r="AV34" s="4"/>
      <c r="AW34" s="4"/>
      <c r="AX34" s="4"/>
      <c r="AY34" s="4"/>
      <c r="AZ34" s="4"/>
      <c r="BA34" s="4"/>
      <c r="BB34" s="4"/>
      <c r="BC34" s="4"/>
      <c r="BD34" s="4"/>
    </row>
    <row r="35" spans="2:68" x14ac:dyDescent="0.3">
      <c r="B35" s="706" t="s">
        <v>164</v>
      </c>
      <c r="C35" s="706"/>
      <c r="D35" s="706"/>
      <c r="E35" s="706"/>
      <c r="F35" s="706"/>
      <c r="G35" s="706"/>
      <c r="H35" s="706"/>
      <c r="I35" s="707"/>
      <c r="K35" s="708" t="str">
        <f>"To Train "&amp;TrainingCapacity&amp;" Marksman"</f>
        <v>To Train 1174 Marksman</v>
      </c>
      <c r="L35" s="709"/>
      <c r="M35" s="709"/>
      <c r="N35" s="709"/>
      <c r="O35" s="709"/>
      <c r="P35" s="709"/>
      <c r="Q35" s="709"/>
      <c r="R35" s="709"/>
      <c r="S35" s="709"/>
      <c r="T35" s="707"/>
      <c r="V35" s="709" t="str">
        <f>"To Upgrade "&amp;TrainingCapacity&amp;" Marksman to Tier "&amp;UpgradeTier</f>
        <v>To Upgrade 1174 Marksman to Tier 11</v>
      </c>
      <c r="W35" s="709"/>
      <c r="X35" s="709"/>
      <c r="Y35" s="709"/>
      <c r="Z35" s="709"/>
      <c r="AA35" s="709"/>
      <c r="AB35" s="709"/>
      <c r="AC35" s="709"/>
      <c r="AD35" s="709"/>
      <c r="AE35" s="709"/>
      <c r="AF35" s="709"/>
      <c r="AH35" s="598" t="str">
        <f>"To Train "&amp;TrainQuantity&amp;" Tier "&amp;UpgradeTier&amp;" Marksman"</f>
        <v>To Train 45000 Tier 11 Marksman</v>
      </c>
      <c r="AI35" s="598"/>
      <c r="AJ35" s="598"/>
      <c r="AK35" s="598"/>
      <c r="AL35" s="598"/>
      <c r="AM35" s="598"/>
      <c r="AN35" s="598"/>
      <c r="AO35" s="598"/>
      <c r="AP35" s="598"/>
      <c r="AQ35" s="598"/>
      <c r="AR35" s="598"/>
      <c r="AT35" s="598" t="str">
        <f>"To Upgrade "&amp;TrainQuantity&amp;" Marksman to Tier "&amp;UpgradeTier</f>
        <v>To Upgrade 45000 Marksman to Tier 11</v>
      </c>
      <c r="AU35" s="598"/>
      <c r="AV35" s="598"/>
      <c r="AW35" s="598"/>
      <c r="AX35" s="598"/>
      <c r="AY35" s="598"/>
      <c r="AZ35" s="598"/>
      <c r="BA35" s="598"/>
      <c r="BB35" s="598"/>
      <c r="BC35" s="598"/>
      <c r="BD35" s="598"/>
      <c r="BF35" s="598" t="str">
        <f>"To Upgrade All Existing Marksman to Tier "&amp;UpgradeTier</f>
        <v>To Upgrade All Existing Marksman to Tier 11</v>
      </c>
      <c r="BG35" s="598"/>
      <c r="BH35" s="598"/>
      <c r="BI35" s="598"/>
      <c r="BJ35" s="598"/>
      <c r="BK35" s="598"/>
      <c r="BL35" s="598"/>
      <c r="BM35" s="598"/>
      <c r="BN35" s="598"/>
      <c r="BO35" s="598"/>
      <c r="BP35" s="598"/>
    </row>
    <row r="36" spans="2:68" x14ac:dyDescent="0.3">
      <c r="B36" s="2" t="s">
        <v>78</v>
      </c>
      <c r="C36" s="45" t="s">
        <v>75</v>
      </c>
      <c r="D36" s="45" t="s">
        <v>161</v>
      </c>
      <c r="E36" s="45" t="s">
        <v>166</v>
      </c>
      <c r="F36" s="45" t="s">
        <v>0</v>
      </c>
      <c r="G36" s="45" t="s">
        <v>1</v>
      </c>
      <c r="H36" s="45" t="s">
        <v>2</v>
      </c>
      <c r="I36" s="45" t="s">
        <v>3</v>
      </c>
      <c r="K36" s="45" t="s">
        <v>75</v>
      </c>
      <c r="L36" s="45" t="s">
        <v>161</v>
      </c>
      <c r="M36" s="45" t="s">
        <v>21</v>
      </c>
      <c r="N36" s="45" t="s">
        <v>20</v>
      </c>
      <c r="O36" s="45" t="s">
        <v>19</v>
      </c>
      <c r="P36" s="45" t="s">
        <v>18</v>
      </c>
      <c r="Q36" s="45" t="s">
        <v>0</v>
      </c>
      <c r="R36" s="45" t="s">
        <v>1</v>
      </c>
      <c r="S36" s="45" t="s">
        <v>2</v>
      </c>
      <c r="T36" s="45" t="s">
        <v>3</v>
      </c>
      <c r="V36" s="45" t="s">
        <v>75</v>
      </c>
      <c r="W36" s="45" t="s">
        <v>66</v>
      </c>
      <c r="X36" s="45" t="s">
        <v>161</v>
      </c>
      <c r="Y36" s="45" t="s">
        <v>21</v>
      </c>
      <c r="Z36" s="45" t="s">
        <v>20</v>
      </c>
      <c r="AA36" s="45" t="s">
        <v>19</v>
      </c>
      <c r="AB36" s="45" t="s">
        <v>18</v>
      </c>
      <c r="AC36" s="45" t="s">
        <v>0</v>
      </c>
      <c r="AD36" s="45" t="s">
        <v>1</v>
      </c>
      <c r="AE36" s="45" t="s">
        <v>2</v>
      </c>
      <c r="AF36" s="45" t="s">
        <v>3</v>
      </c>
      <c r="AH36" s="45" t="s">
        <v>75</v>
      </c>
      <c r="AI36" s="45" t="s">
        <v>66</v>
      </c>
      <c r="AJ36" s="45" t="s">
        <v>161</v>
      </c>
      <c r="AK36" s="45" t="s">
        <v>21</v>
      </c>
      <c r="AL36" s="45" t="s">
        <v>20</v>
      </c>
      <c r="AM36" s="45" t="s">
        <v>19</v>
      </c>
      <c r="AN36" s="45" t="s">
        <v>18</v>
      </c>
      <c r="AO36" s="45" t="s">
        <v>0</v>
      </c>
      <c r="AP36" s="45" t="s">
        <v>1</v>
      </c>
      <c r="AQ36" s="45" t="s">
        <v>2</v>
      </c>
      <c r="AR36" s="45" t="s">
        <v>3</v>
      </c>
      <c r="AT36" s="45" t="s">
        <v>75</v>
      </c>
      <c r="AU36" s="45" t="s">
        <v>66</v>
      </c>
      <c r="AV36" s="45" t="s">
        <v>161</v>
      </c>
      <c r="AW36" s="45" t="s">
        <v>21</v>
      </c>
      <c r="AX36" s="45" t="s">
        <v>20</v>
      </c>
      <c r="AY36" s="45" t="s">
        <v>19</v>
      </c>
      <c r="AZ36" s="45" t="s">
        <v>18</v>
      </c>
      <c r="BA36" s="45" t="s">
        <v>0</v>
      </c>
      <c r="BB36" s="45" t="s">
        <v>1</v>
      </c>
      <c r="BC36" s="45" t="s">
        <v>2</v>
      </c>
      <c r="BD36" s="45" t="s">
        <v>3</v>
      </c>
      <c r="BF36" s="45" t="s">
        <v>75</v>
      </c>
      <c r="BG36" s="45" t="s">
        <v>66</v>
      </c>
      <c r="BH36" s="45" t="s">
        <v>161</v>
      </c>
      <c r="BI36" s="45" t="s">
        <v>21</v>
      </c>
      <c r="BJ36" s="45" t="s">
        <v>20</v>
      </c>
      <c r="BK36" s="45" t="s">
        <v>19</v>
      </c>
      <c r="BL36" s="45" t="s">
        <v>18</v>
      </c>
      <c r="BM36" s="45" t="s">
        <v>0</v>
      </c>
      <c r="BN36" s="45" t="s">
        <v>1</v>
      </c>
      <c r="BO36" s="45" t="s">
        <v>2</v>
      </c>
      <c r="BP36" s="45" t="s">
        <v>3</v>
      </c>
    </row>
    <row r="37" spans="2:68" x14ac:dyDescent="0.3">
      <c r="B37" s="12">
        <v>3</v>
      </c>
      <c r="C37" s="29">
        <v>1</v>
      </c>
      <c r="D37" s="4">
        <v>12</v>
      </c>
      <c r="E37" s="4">
        <f t="shared" ref="E37:E47" si="132">D37/(1+TrainingSpeed)</f>
        <v>4.4444444444444438</v>
      </c>
      <c r="F37" s="4">
        <v>23</v>
      </c>
      <c r="G37" s="4">
        <v>34</v>
      </c>
      <c r="H37" s="4">
        <v>6</v>
      </c>
      <c r="I37" s="4">
        <v>2</v>
      </c>
      <c r="K37" s="29">
        <v>1</v>
      </c>
      <c r="L37" s="4">
        <f t="shared" ref="L37:L47" si="133">D37*TrainingCapacity/(1+TrainingSpeed)</f>
        <v>5217.7777777777774</v>
      </c>
      <c r="M37" s="4">
        <f>ROUNDDOWN(L37/60/60/24,0)</f>
        <v>0</v>
      </c>
      <c r="N37" s="4">
        <f>ROUNDDOWN((L37-(M37*24*60*60))/60/60,0)</f>
        <v>1</v>
      </c>
      <c r="O37" s="4">
        <f>ROUNDDOWN((L37-(M37*60*60*24)-(N37*60*60))/60,0)</f>
        <v>26</v>
      </c>
      <c r="P37" s="4">
        <f>L37-(M37*60*60*24)-(N37*60*60)-(O37*60)</f>
        <v>57.777777777777374</v>
      </c>
      <c r="Q37" s="4">
        <f t="shared" ref="Q37:Q47" si="134">TrainingCapacity*F37</f>
        <v>27002</v>
      </c>
      <c r="R37" s="4">
        <f t="shared" ref="R37:R47" si="135">TrainingCapacity*G37</f>
        <v>39916</v>
      </c>
      <c r="S37" s="4">
        <f t="shared" ref="S37:S47" si="136">TrainingCapacity*H37</f>
        <v>7044</v>
      </c>
      <c r="T37" s="4">
        <f t="shared" ref="T37:T47" si="137">TrainingCapacity*I37</f>
        <v>2348</v>
      </c>
      <c r="V37" s="29">
        <v>1</v>
      </c>
      <c r="W37" s="4">
        <f t="shared" ref="W37:W47" si="138">IF(UpgradeTier&gt;V37,ROUNDUP(VLOOKUP(UpgradeTier,$K$5:$L$15,2,FALSE)/(VLOOKUP(UpgradeTier,$C$5:$E$15,3,FALSE)-VLOOKUP(V37,$C$5:$E$15,3,FALSE)),0),"-")</f>
        <v>1258</v>
      </c>
      <c r="X37" s="4">
        <f t="shared" ref="X37:X47" si="139">IFERROR(W37*(VLOOKUP(UpgradeTier,$C$5:$E$15,3,FALSE)-E37),"-")</f>
        <v>78275.555555555547</v>
      </c>
      <c r="Y37" s="4">
        <f>IFERROR(ROUNDDOWN(X37/60/60/24,0),"-")</f>
        <v>0</v>
      </c>
      <c r="Z37" s="4">
        <f>IFERROR(ROUNDDOWN((X37-(Y37*60*60*24))/60/60,0),"-")</f>
        <v>21</v>
      </c>
      <c r="AA37" s="4">
        <f>IFERROR(ROUNDDOWN((X37-(Y37*60*60*24)-(Z37*60*60))/60,0),"-")</f>
        <v>44</v>
      </c>
      <c r="AB37" s="4">
        <f>IFERROR(ROUNDDOWN(X37-(Y37*60*60*24)-(Z37*60*60)-(AA37*60),0),"-")</f>
        <v>35</v>
      </c>
      <c r="AC37" s="4">
        <f t="shared" ref="AC37:AC47" si="140">IFERROR($W37*(VLOOKUP(UpgradeTier,$C$5:$I$15,4,FALSE)-VLOOKUP($V37,$C$5:$I$15,4,FALSE)),"-")</f>
        <v>8722972</v>
      </c>
      <c r="AD37" s="4">
        <f t="shared" ref="AD37:AD47" si="141">IFERROR($W37*(VLOOKUP(UpgradeTier,$C$5:$I$15,5,FALSE)-VLOOKUP($V37,$C$5:$I$15,5,FALSE)),"-")</f>
        <v>6542858</v>
      </c>
      <c r="AE37" s="4">
        <f t="shared" ref="AE37:AE47" si="142">IFERROR($W37*(VLOOKUP(UpgradeTier,$C$5:$I$15,6,FALSE)-VLOOKUP($V37,$C$5:$I$15,6,FALSE)),"-")</f>
        <v>1525954</v>
      </c>
      <c r="AF37" s="4">
        <f t="shared" ref="AF37:AF47" si="143">IFERROR($W37*(VLOOKUP(UpgradeTier,$C$5:$I$15,7,FALSE)-VLOOKUP($V37,$C$5:$I$15,7,FALSE)),"-")</f>
        <v>315758</v>
      </c>
      <c r="AH37" s="29">
        <v>1</v>
      </c>
      <c r="AI37" s="4">
        <f t="shared" ref="AI37:AI47" si="144">IF(TrainQuantity&gt;0,TrainQuantity,"-")</f>
        <v>45000</v>
      </c>
      <c r="AJ37" s="4">
        <f t="shared" ref="AJ37:AJ47" si="145">D37*TrainQuantity/(1+TrainingSpeed)</f>
        <v>200000</v>
      </c>
      <c r="AK37" s="4">
        <f>IFERROR(ROUNDDOWN(AJ37/60/60/24,0),"-")</f>
        <v>2</v>
      </c>
      <c r="AL37" s="4">
        <f>IFERROR(ROUNDDOWN((AJ37-(AK37*60*60*24))/60/60,0),"-")</f>
        <v>7</v>
      </c>
      <c r="AM37" s="4">
        <f>IFERROR(ROUNDDOWN((AJ37-(AK37*60*60*24)-(AL37*60*60))/60,0),"-")</f>
        <v>33</v>
      </c>
      <c r="AN37" s="4">
        <f>IFERROR(ROUNDDOWN(AJ37-(AK37*60*60*24)-(AL37*60*60)-(AM37*60),0),"-")</f>
        <v>20</v>
      </c>
      <c r="AO37" s="4">
        <f>$AI37*F37</f>
        <v>1035000</v>
      </c>
      <c r="AP37" s="4">
        <f t="shared" ref="AP37:AP47" si="146">$AI37*G37</f>
        <v>1530000</v>
      </c>
      <c r="AQ37" s="4">
        <f t="shared" ref="AQ37:AQ47" si="147">$AI37*H37</f>
        <v>270000</v>
      </c>
      <c r="AR37" s="4">
        <f t="shared" ref="AR37:AR47" si="148">$AI37*I37</f>
        <v>90000</v>
      </c>
      <c r="AT37" s="29">
        <v>1</v>
      </c>
      <c r="AU37" s="4">
        <f t="shared" ref="AU37:AU47" si="149">IF(TrainQuantity&gt;0,TrainQuantity,"-")</f>
        <v>45000</v>
      </c>
      <c r="AV37" s="4">
        <f t="shared" ref="AV37:AV47" si="150">IF(UpgradeTier&gt;AT37,IFERROR(AU37*(VLOOKUP(UpgradeTier,$C$5:$E$15,3,FALSE)-E37),"-"),"-")</f>
        <v>2799999.9999999995</v>
      </c>
      <c r="AW37" s="4">
        <f>IFERROR(ROUNDDOWN(AV37/60/60/24,0),"-")</f>
        <v>32</v>
      </c>
      <c r="AX37" s="4">
        <f>IFERROR(ROUNDDOWN((AV37-(AW37*60*60*24))/60/60,0),"-")</f>
        <v>9</v>
      </c>
      <c r="AY37" s="4">
        <f>IFERROR(ROUNDDOWN((AV37-(AW37*60*60*24)-(AX37*60*60))/60,0),"-")</f>
        <v>46</v>
      </c>
      <c r="AZ37" s="4">
        <f>IFERROR(ROUNDDOWN(AV37-(AW37*60*60*24)-(AX37*60*60)-(AY37*60),0),"-")</f>
        <v>39</v>
      </c>
      <c r="BA37" s="4">
        <f t="shared" ref="BA37:BA47" si="151">IF(UpgradeTier&gt;$AT37,IFERROR($AU37*(VLOOKUP(UpgradeTier,$C$37:$I$47,4,FALSE)-VLOOKUP($V37,$C$37:$I$47,4,FALSE)),"-"),"-")</f>
        <v>195030000</v>
      </c>
      <c r="BB37" s="4">
        <f t="shared" ref="BB37:BB47" si="152">IF(UpgradeTier&gt;$AT37,IFERROR($AU37*(VLOOKUP(UpgradeTier,$C$37:$I$47,5,FALSE)-VLOOKUP($V37,$C$37:$I$47,5,FALSE)),"-"),"-")</f>
        <v>288630000</v>
      </c>
      <c r="BC37" s="4">
        <f t="shared" ref="BC37:BC47" si="153">IF(UpgradeTier&gt;$AT37,IFERROR($AU37*(VLOOKUP(UpgradeTier,$C$37:$I$47,6,FALSE)-VLOOKUP($V37,$C$37:$I$47,6,FALSE)),"-"),"-")</f>
        <v>48375000</v>
      </c>
      <c r="BD37" s="4">
        <f t="shared" ref="BD37:BD47" si="154">IF(UpgradeTier&gt;$AT37,IFERROR($AU37*(VLOOKUP(UpgradeTier,$C$37:$I$47,7,FALSE)-VLOOKUP($V37,$C$37:$I$47,7,FALSE)),"-"),"-")</f>
        <v>15615000</v>
      </c>
      <c r="BF37" s="29">
        <v>1</v>
      </c>
      <c r="BG37" s="4">
        <f>IFERROR(VLOOKUP(BF37,'Troop Calculator'!$B$42:$H$52,7,FALSE),"-")</f>
        <v>0</v>
      </c>
      <c r="BH37" s="4">
        <f t="shared" ref="BH37:BH47" si="155">IFERROR((VLOOKUP(UpgradeTier,C37:E47,3,FALSE)-$E37)*$BG37,"-")</f>
        <v>0</v>
      </c>
      <c r="BI37" s="4">
        <f>IFERROR(ROUNDDOWN(BH37/60/60/24,0),"-")</f>
        <v>0</v>
      </c>
      <c r="BJ37" s="4">
        <f>IFERROR(ROUNDDOWN((BH37-(BI37*60*60*24))/60/60,0),"-")</f>
        <v>0</v>
      </c>
      <c r="BK37" s="4">
        <f>IFERROR(ROUNDDOWN((BH37-(BI37*60*60*24)-(BJ37*60*60))/60,0),"-")</f>
        <v>0</v>
      </c>
      <c r="BL37" s="4">
        <f>IFERROR(ROUNDDOWN(BH37-(BI37*60*60*24)-(BJ37*60*60)-(BK37*60),0),"-")</f>
        <v>0</v>
      </c>
      <c r="BM37" s="4">
        <f t="shared" ref="BM37:BM47" si="156">IF($BG37="-","-",IFERROR($BG37*(VLOOKUP(UpgradeTier,$C$37:$I$47,4,FALSE)-VLOOKUP($BF37,$C$37:$I$47,4,FALSE)),"-"))</f>
        <v>0</v>
      </c>
      <c r="BN37" s="4">
        <f t="shared" ref="BN37:BN47" si="157">IF($BG37="-","-",IFERROR($BG37*(VLOOKUP(UpgradeTier,$C$37:$I$47,5,FALSE)-VLOOKUP($BF37,$C$37:$I$47,5,FALSE)),"-"))</f>
        <v>0</v>
      </c>
      <c r="BO37" s="4">
        <f t="shared" ref="BO37:BO47" si="158">IF($BG37="-","-",IFERROR($BG37*(VLOOKUP(UpgradeTier,$C$37:$I$47,6,FALSE)-VLOOKUP($BF37,$C$37:$I$47,6,FALSE)),"-"))</f>
        <v>0</v>
      </c>
      <c r="BP37" s="4">
        <f t="shared" ref="BP37:BP47" si="159">IF($BG37="-","-",IFERROR($BG37*(VLOOKUP(UpgradeTier,$C$37:$I$47,7,FALSE)-VLOOKUP($BF37,$C$37:$I$47,7,FALSE)),"-"))</f>
        <v>0</v>
      </c>
    </row>
    <row r="38" spans="2:68" x14ac:dyDescent="0.3">
      <c r="B38" s="12">
        <v>4</v>
      </c>
      <c r="C38" s="29">
        <v>2</v>
      </c>
      <c r="D38" s="4">
        <v>17</v>
      </c>
      <c r="E38" s="4">
        <f t="shared" si="132"/>
        <v>6.2962962962962958</v>
      </c>
      <c r="F38" s="4">
        <v>36</v>
      </c>
      <c r="G38" s="4">
        <v>54</v>
      </c>
      <c r="H38" s="4">
        <v>9</v>
      </c>
      <c r="I38" s="4">
        <v>4</v>
      </c>
      <c r="K38" s="29">
        <v>2</v>
      </c>
      <c r="L38" s="4">
        <f t="shared" si="133"/>
        <v>7391.8518518518513</v>
      </c>
      <c r="M38" s="4">
        <f t="shared" ref="M38:M47" si="160">ROUNDDOWN(L38/60/60/24,0)</f>
        <v>0</v>
      </c>
      <c r="N38" s="4">
        <f t="shared" ref="N38:N47" si="161">ROUNDDOWN((L38-(M38*24*60*60))/60/60,0)</f>
        <v>2</v>
      </c>
      <c r="O38" s="4">
        <f t="shared" ref="O38:O47" si="162">ROUNDDOWN((L38-(M38*60*60*24)-(N38*60*60))/60,0)</f>
        <v>3</v>
      </c>
      <c r="P38" s="4">
        <f t="shared" ref="P38:P47" si="163">L38-(M38*60*60*24)-(N38*60*60)-(O38*60)</f>
        <v>11.851851851851279</v>
      </c>
      <c r="Q38" s="4">
        <f t="shared" si="134"/>
        <v>42264</v>
      </c>
      <c r="R38" s="4">
        <f t="shared" si="135"/>
        <v>63396</v>
      </c>
      <c r="S38" s="4">
        <f t="shared" si="136"/>
        <v>10566</v>
      </c>
      <c r="T38" s="4">
        <f t="shared" si="137"/>
        <v>4696</v>
      </c>
      <c r="V38" s="29">
        <v>2</v>
      </c>
      <c r="W38" s="4">
        <f t="shared" si="138"/>
        <v>1297</v>
      </c>
      <c r="X38" s="4">
        <f t="shared" si="139"/>
        <v>78300.37037037035</v>
      </c>
      <c r="Y38" s="4">
        <f t="shared" ref="Y38:Y47" si="164">IFERROR(ROUNDDOWN(X38/60/60/24,0),"-")</f>
        <v>0</v>
      </c>
      <c r="Z38" s="4">
        <f t="shared" ref="Z38:Z47" si="165">IFERROR(ROUNDDOWN((X38-(Y38*60*60*24))/60/60,0),"-")</f>
        <v>21</v>
      </c>
      <c r="AA38" s="4">
        <f t="shared" ref="AA38:AA47" si="166">IFERROR(ROUNDDOWN((X38-(Y38*60*60*24)-(Z38*60*60))/60,0),"-")</f>
        <v>45</v>
      </c>
      <c r="AB38" s="4">
        <f t="shared" ref="AB38:AB47" si="167">IFERROR(ROUNDDOWN(X38-(Y38*60*60*24)-(Z38*60*60)-(AA38*60),0),"-")</f>
        <v>0</v>
      </c>
      <c r="AC38" s="4">
        <f t="shared" si="140"/>
        <v>8964864</v>
      </c>
      <c r="AD38" s="4">
        <f t="shared" si="141"/>
        <v>6723648</v>
      </c>
      <c r="AE38" s="4">
        <f t="shared" si="142"/>
        <v>1569370</v>
      </c>
      <c r="AF38" s="4">
        <f t="shared" si="143"/>
        <v>324250</v>
      </c>
      <c r="AH38" s="29">
        <v>2</v>
      </c>
      <c r="AI38" s="4">
        <f t="shared" si="144"/>
        <v>45000</v>
      </c>
      <c r="AJ38" s="4">
        <f t="shared" si="145"/>
        <v>283333.33333333331</v>
      </c>
      <c r="AK38" s="4">
        <f t="shared" ref="AK38:AK47" si="168">IFERROR(ROUNDDOWN(AJ38/60/60/24,0),"-")</f>
        <v>3</v>
      </c>
      <c r="AL38" s="4">
        <f t="shared" ref="AL38:AL47" si="169">IFERROR(ROUNDDOWN((AJ38-(AK38*60*60*24))/60/60,0),"-")</f>
        <v>6</v>
      </c>
      <c r="AM38" s="4">
        <f t="shared" ref="AM38:AM47" si="170">IFERROR(ROUNDDOWN((AJ38-(AK38*60*60*24)-(AL38*60*60))/60,0),"-")</f>
        <v>42</v>
      </c>
      <c r="AN38" s="4">
        <f t="shared" ref="AN38:AN47" si="171">IFERROR(ROUNDDOWN(AJ38-(AK38*60*60*24)-(AL38*60*60)-(AM38*60),0),"-")</f>
        <v>13</v>
      </c>
      <c r="AO38" s="4">
        <f t="shared" ref="AO38:AO47" si="172">$AI38*F38</f>
        <v>1620000</v>
      </c>
      <c r="AP38" s="4">
        <f t="shared" si="146"/>
        <v>2430000</v>
      </c>
      <c r="AQ38" s="4">
        <f t="shared" si="147"/>
        <v>405000</v>
      </c>
      <c r="AR38" s="4">
        <f t="shared" si="148"/>
        <v>180000</v>
      </c>
      <c r="AT38" s="29">
        <v>2</v>
      </c>
      <c r="AU38" s="4">
        <f t="shared" si="149"/>
        <v>45000</v>
      </c>
      <c r="AV38" s="4">
        <f t="shared" si="150"/>
        <v>2716666.666666666</v>
      </c>
      <c r="AW38" s="4">
        <f t="shared" ref="AW38:AW47" si="173">IFERROR(ROUNDDOWN(AV38/60/60/24,0),"-")</f>
        <v>31</v>
      </c>
      <c r="AX38" s="4">
        <f t="shared" ref="AX38:AX47" si="174">IFERROR(ROUNDDOWN((AV38-(AW38*60*60*24))/60/60,0),"-")</f>
        <v>10</v>
      </c>
      <c r="AY38" s="4">
        <f t="shared" ref="AY38:AY47" si="175">IFERROR(ROUNDDOWN((AV38-(AW38*60*60*24)-(AX38*60*60))/60,0),"-")</f>
        <v>37</v>
      </c>
      <c r="AZ38" s="4">
        <f t="shared" ref="AZ38:AZ47" si="176">IFERROR(ROUNDDOWN(AV38-(AW38*60*60*24)-(AX38*60*60)-(AY38*60),0),"-")</f>
        <v>46</v>
      </c>
      <c r="BA38" s="4">
        <f t="shared" si="151"/>
        <v>194445000</v>
      </c>
      <c r="BB38" s="4">
        <f t="shared" si="152"/>
        <v>287730000</v>
      </c>
      <c r="BC38" s="4">
        <f t="shared" si="153"/>
        <v>48240000</v>
      </c>
      <c r="BD38" s="4">
        <f t="shared" si="154"/>
        <v>15525000</v>
      </c>
      <c r="BF38" s="29">
        <v>2</v>
      </c>
      <c r="BG38" s="4">
        <f>IFERROR(VLOOKUP(BF38,'Troop Calculator'!$B$42:$H$52,7,FALSE),"-")</f>
        <v>0</v>
      </c>
      <c r="BH38" s="4">
        <f t="shared" si="155"/>
        <v>0</v>
      </c>
      <c r="BI38" s="4">
        <f t="shared" ref="BI38:BI48" si="177">IFERROR(ROUNDDOWN(BH38/60/60/24,0),"-")</f>
        <v>0</v>
      </c>
      <c r="BJ38" s="4">
        <f t="shared" ref="BJ38:BJ48" si="178">IFERROR(ROUNDDOWN((BH38-(BI38*60*60*24))/60/60,0),"-")</f>
        <v>0</v>
      </c>
      <c r="BK38" s="4">
        <f t="shared" ref="BK38:BK48" si="179">IFERROR(ROUNDDOWN((BH38-(BI38*60*60*24)-(BJ38*60*60))/60,0),"-")</f>
        <v>0</v>
      </c>
      <c r="BL38" s="4">
        <f t="shared" ref="BL38:BL48" si="180">IFERROR(ROUNDDOWN(BH38-(BI38*60*60*24)-(BJ38*60*60)-(BK38*60),0),"-")</f>
        <v>0</v>
      </c>
      <c r="BM38" s="4">
        <f t="shared" si="156"/>
        <v>0</v>
      </c>
      <c r="BN38" s="4">
        <f t="shared" si="157"/>
        <v>0</v>
      </c>
      <c r="BO38" s="4">
        <f t="shared" si="158"/>
        <v>0</v>
      </c>
      <c r="BP38" s="4">
        <f t="shared" si="159"/>
        <v>0</v>
      </c>
    </row>
    <row r="39" spans="2:68" x14ac:dyDescent="0.3">
      <c r="B39" s="12">
        <v>5</v>
      </c>
      <c r="C39" s="29">
        <v>3</v>
      </c>
      <c r="D39" s="4">
        <v>24</v>
      </c>
      <c r="E39" s="4">
        <f t="shared" si="132"/>
        <v>8.8888888888888875</v>
      </c>
      <c r="F39" s="4">
        <v>58</v>
      </c>
      <c r="G39" s="4">
        <v>86</v>
      </c>
      <c r="H39" s="4">
        <v>15</v>
      </c>
      <c r="I39" s="4">
        <v>5</v>
      </c>
      <c r="K39" s="29">
        <v>3</v>
      </c>
      <c r="L39" s="4">
        <f t="shared" si="133"/>
        <v>10435.555555555555</v>
      </c>
      <c r="M39" s="4">
        <f t="shared" si="160"/>
        <v>0</v>
      </c>
      <c r="N39" s="4">
        <f t="shared" si="161"/>
        <v>2</v>
      </c>
      <c r="O39" s="4">
        <f t="shared" si="162"/>
        <v>53</v>
      </c>
      <c r="P39" s="4">
        <f t="shared" si="163"/>
        <v>55.555555555554747</v>
      </c>
      <c r="Q39" s="4">
        <f t="shared" si="134"/>
        <v>68092</v>
      </c>
      <c r="R39" s="4">
        <f t="shared" si="135"/>
        <v>100964</v>
      </c>
      <c r="S39" s="4">
        <f t="shared" si="136"/>
        <v>17610</v>
      </c>
      <c r="T39" s="4">
        <f t="shared" si="137"/>
        <v>5870</v>
      </c>
      <c r="V39" s="29">
        <v>3</v>
      </c>
      <c r="W39" s="4">
        <f t="shared" si="138"/>
        <v>1355</v>
      </c>
      <c r="X39" s="4">
        <f t="shared" si="139"/>
        <v>78288.888888888876</v>
      </c>
      <c r="Y39" s="4">
        <f t="shared" si="164"/>
        <v>0</v>
      </c>
      <c r="Z39" s="4">
        <f t="shared" si="165"/>
        <v>21</v>
      </c>
      <c r="AA39" s="4">
        <f t="shared" si="166"/>
        <v>44</v>
      </c>
      <c r="AB39" s="4">
        <f t="shared" si="167"/>
        <v>48</v>
      </c>
      <c r="AC39" s="4">
        <f t="shared" si="140"/>
        <v>9319690</v>
      </c>
      <c r="AD39" s="4">
        <f t="shared" si="141"/>
        <v>6990445</v>
      </c>
      <c r="AE39" s="4">
        <f t="shared" si="142"/>
        <v>1630065</v>
      </c>
      <c r="AF39" s="4">
        <f t="shared" si="143"/>
        <v>337395</v>
      </c>
      <c r="AH39" s="29">
        <v>3</v>
      </c>
      <c r="AI39" s="4">
        <f t="shared" si="144"/>
        <v>45000</v>
      </c>
      <c r="AJ39" s="4">
        <f t="shared" si="145"/>
        <v>400000</v>
      </c>
      <c r="AK39" s="4">
        <f t="shared" si="168"/>
        <v>4</v>
      </c>
      <c r="AL39" s="4">
        <f t="shared" si="169"/>
        <v>15</v>
      </c>
      <c r="AM39" s="4">
        <f t="shared" si="170"/>
        <v>6</v>
      </c>
      <c r="AN39" s="4">
        <f t="shared" si="171"/>
        <v>40</v>
      </c>
      <c r="AO39" s="4">
        <f t="shared" si="172"/>
        <v>2610000</v>
      </c>
      <c r="AP39" s="4">
        <f t="shared" si="146"/>
        <v>3870000</v>
      </c>
      <c r="AQ39" s="4">
        <f t="shared" si="147"/>
        <v>675000</v>
      </c>
      <c r="AR39" s="4">
        <f t="shared" si="148"/>
        <v>225000</v>
      </c>
      <c r="AT39" s="29">
        <v>3</v>
      </c>
      <c r="AU39" s="4">
        <f t="shared" si="149"/>
        <v>45000</v>
      </c>
      <c r="AV39" s="4">
        <f t="shared" si="150"/>
        <v>2599999.9999999995</v>
      </c>
      <c r="AW39" s="4">
        <f t="shared" si="173"/>
        <v>30</v>
      </c>
      <c r="AX39" s="4">
        <f t="shared" si="174"/>
        <v>2</v>
      </c>
      <c r="AY39" s="4">
        <f t="shared" si="175"/>
        <v>13</v>
      </c>
      <c r="AZ39" s="4">
        <f t="shared" si="176"/>
        <v>19</v>
      </c>
      <c r="BA39" s="4">
        <f t="shared" si="151"/>
        <v>193455000</v>
      </c>
      <c r="BB39" s="4">
        <f t="shared" si="152"/>
        <v>286290000</v>
      </c>
      <c r="BC39" s="4">
        <f t="shared" si="153"/>
        <v>47970000</v>
      </c>
      <c r="BD39" s="4">
        <f t="shared" si="154"/>
        <v>15480000</v>
      </c>
      <c r="BF39" s="29">
        <v>3</v>
      </c>
      <c r="BG39" s="4">
        <f>IFERROR(VLOOKUP(BF39,'Troop Calculator'!$B$42:$H$52,7,FALSE),"-")</f>
        <v>0</v>
      </c>
      <c r="BH39" s="4">
        <f t="shared" si="155"/>
        <v>0</v>
      </c>
      <c r="BI39" s="4">
        <f t="shared" si="177"/>
        <v>0</v>
      </c>
      <c r="BJ39" s="4">
        <f t="shared" si="178"/>
        <v>0</v>
      </c>
      <c r="BK39" s="4">
        <f t="shared" si="179"/>
        <v>0</v>
      </c>
      <c r="BL39" s="4">
        <f t="shared" si="180"/>
        <v>0</v>
      </c>
      <c r="BM39" s="4">
        <f t="shared" si="156"/>
        <v>0</v>
      </c>
      <c r="BN39" s="4">
        <f t="shared" si="157"/>
        <v>0</v>
      </c>
      <c r="BO39" s="4">
        <f t="shared" si="158"/>
        <v>0</v>
      </c>
      <c r="BP39" s="4">
        <f t="shared" si="159"/>
        <v>0</v>
      </c>
    </row>
    <row r="40" spans="2:68" x14ac:dyDescent="0.3">
      <c r="B40" s="12">
        <v>8</v>
      </c>
      <c r="C40" s="29">
        <v>4</v>
      </c>
      <c r="D40" s="4">
        <v>32</v>
      </c>
      <c r="E40" s="4">
        <f t="shared" si="132"/>
        <v>11.851851851851851</v>
      </c>
      <c r="F40" s="4">
        <v>75</v>
      </c>
      <c r="G40" s="4">
        <v>111</v>
      </c>
      <c r="H40" s="4">
        <v>19</v>
      </c>
      <c r="I40" s="4">
        <v>6</v>
      </c>
      <c r="K40" s="29">
        <v>4</v>
      </c>
      <c r="L40" s="4">
        <f t="shared" si="133"/>
        <v>13914.074074074073</v>
      </c>
      <c r="M40" s="4">
        <f t="shared" si="160"/>
        <v>0</v>
      </c>
      <c r="N40" s="4">
        <f t="shared" si="161"/>
        <v>3</v>
      </c>
      <c r="O40" s="4">
        <f t="shared" si="162"/>
        <v>51</v>
      </c>
      <c r="P40" s="4">
        <f t="shared" si="163"/>
        <v>54.074074074072996</v>
      </c>
      <c r="Q40" s="4">
        <f t="shared" si="134"/>
        <v>88050</v>
      </c>
      <c r="R40" s="4">
        <f t="shared" si="135"/>
        <v>130314</v>
      </c>
      <c r="S40" s="4">
        <f t="shared" si="136"/>
        <v>22306</v>
      </c>
      <c r="T40" s="4">
        <f t="shared" si="137"/>
        <v>7044</v>
      </c>
      <c r="V40" s="29">
        <v>4</v>
      </c>
      <c r="W40" s="4">
        <f t="shared" si="138"/>
        <v>1428</v>
      </c>
      <c r="X40" s="4">
        <f t="shared" si="139"/>
        <v>78275.555555555547</v>
      </c>
      <c r="Y40" s="4">
        <f t="shared" si="164"/>
        <v>0</v>
      </c>
      <c r="Z40" s="4">
        <f t="shared" si="165"/>
        <v>21</v>
      </c>
      <c r="AA40" s="4">
        <f t="shared" si="166"/>
        <v>44</v>
      </c>
      <c r="AB40" s="4">
        <f t="shared" si="167"/>
        <v>35</v>
      </c>
      <c r="AC40" s="4">
        <f t="shared" si="140"/>
        <v>9781800</v>
      </c>
      <c r="AD40" s="4">
        <f t="shared" si="141"/>
        <v>7337064</v>
      </c>
      <c r="AE40" s="4">
        <f t="shared" si="142"/>
        <v>1712172</v>
      </c>
      <c r="AF40" s="4">
        <f t="shared" si="143"/>
        <v>354144</v>
      </c>
      <c r="AH40" s="29">
        <v>4</v>
      </c>
      <c r="AI40" s="4">
        <f t="shared" si="144"/>
        <v>45000</v>
      </c>
      <c r="AJ40" s="4">
        <f t="shared" si="145"/>
        <v>533333.33333333326</v>
      </c>
      <c r="AK40" s="4">
        <f t="shared" si="168"/>
        <v>6</v>
      </c>
      <c r="AL40" s="4">
        <f t="shared" si="169"/>
        <v>4</v>
      </c>
      <c r="AM40" s="4">
        <f t="shared" si="170"/>
        <v>8</v>
      </c>
      <c r="AN40" s="4">
        <f t="shared" si="171"/>
        <v>53</v>
      </c>
      <c r="AO40" s="4">
        <f t="shared" si="172"/>
        <v>3375000</v>
      </c>
      <c r="AP40" s="4">
        <f t="shared" si="146"/>
        <v>4995000</v>
      </c>
      <c r="AQ40" s="4">
        <f t="shared" si="147"/>
        <v>855000</v>
      </c>
      <c r="AR40" s="4">
        <f t="shared" si="148"/>
        <v>270000</v>
      </c>
      <c r="AT40" s="29">
        <v>4</v>
      </c>
      <c r="AU40" s="4">
        <f t="shared" si="149"/>
        <v>45000</v>
      </c>
      <c r="AV40" s="4">
        <f t="shared" si="150"/>
        <v>2466666.6666666665</v>
      </c>
      <c r="AW40" s="4">
        <f t="shared" si="173"/>
        <v>28</v>
      </c>
      <c r="AX40" s="4">
        <f t="shared" si="174"/>
        <v>13</v>
      </c>
      <c r="AY40" s="4">
        <f t="shared" si="175"/>
        <v>11</v>
      </c>
      <c r="AZ40" s="4">
        <f t="shared" si="176"/>
        <v>6</v>
      </c>
      <c r="BA40" s="4">
        <f t="shared" si="151"/>
        <v>192690000</v>
      </c>
      <c r="BB40" s="4">
        <f t="shared" si="152"/>
        <v>285165000</v>
      </c>
      <c r="BC40" s="4">
        <f t="shared" si="153"/>
        <v>47790000</v>
      </c>
      <c r="BD40" s="4">
        <f t="shared" si="154"/>
        <v>15435000</v>
      </c>
      <c r="BF40" s="29">
        <v>4</v>
      </c>
      <c r="BG40" s="4">
        <f>IFERROR(VLOOKUP(BF40,'Troop Calculator'!$B$42:$H$52,7,FALSE),"-")</f>
        <v>0</v>
      </c>
      <c r="BH40" s="4">
        <f t="shared" si="155"/>
        <v>0</v>
      </c>
      <c r="BI40" s="4">
        <f t="shared" si="177"/>
        <v>0</v>
      </c>
      <c r="BJ40" s="4">
        <f t="shared" si="178"/>
        <v>0</v>
      </c>
      <c r="BK40" s="4">
        <f t="shared" si="179"/>
        <v>0</v>
      </c>
      <c r="BL40" s="4">
        <f t="shared" si="180"/>
        <v>0</v>
      </c>
      <c r="BM40" s="4">
        <f t="shared" si="156"/>
        <v>0</v>
      </c>
      <c r="BN40" s="4">
        <f t="shared" si="157"/>
        <v>0</v>
      </c>
      <c r="BO40" s="4">
        <f t="shared" si="158"/>
        <v>0</v>
      </c>
      <c r="BP40" s="4">
        <f t="shared" si="159"/>
        <v>0</v>
      </c>
    </row>
    <row r="41" spans="2:68" x14ac:dyDescent="0.3">
      <c r="B41" s="12">
        <v>12</v>
      </c>
      <c r="C41" s="29">
        <v>5</v>
      </c>
      <c r="D41" s="4">
        <v>44</v>
      </c>
      <c r="E41" s="4">
        <f t="shared" si="132"/>
        <v>16.296296296296294</v>
      </c>
      <c r="F41" s="4">
        <v>97</v>
      </c>
      <c r="G41" s="4">
        <v>144</v>
      </c>
      <c r="H41" s="4">
        <v>24</v>
      </c>
      <c r="I41" s="4">
        <v>8</v>
      </c>
      <c r="K41" s="29">
        <v>5</v>
      </c>
      <c r="L41" s="4">
        <f t="shared" si="133"/>
        <v>19131.85185185185</v>
      </c>
      <c r="M41" s="4">
        <f t="shared" si="160"/>
        <v>0</v>
      </c>
      <c r="N41" s="4">
        <f t="shared" si="161"/>
        <v>5</v>
      </c>
      <c r="O41" s="4">
        <f t="shared" si="162"/>
        <v>18</v>
      </c>
      <c r="P41" s="4">
        <f t="shared" si="163"/>
        <v>51.85185185185037</v>
      </c>
      <c r="Q41" s="4">
        <f t="shared" si="134"/>
        <v>113878</v>
      </c>
      <c r="R41" s="4">
        <f t="shared" si="135"/>
        <v>169056</v>
      </c>
      <c r="S41" s="4">
        <f t="shared" si="136"/>
        <v>28176</v>
      </c>
      <c r="T41" s="4">
        <f t="shared" si="137"/>
        <v>9392</v>
      </c>
      <c r="V41" s="29">
        <v>5</v>
      </c>
      <c r="W41" s="4">
        <f t="shared" si="138"/>
        <v>1554</v>
      </c>
      <c r="X41" s="4">
        <f t="shared" si="139"/>
        <v>78275.555555555547</v>
      </c>
      <c r="Y41" s="4">
        <f t="shared" si="164"/>
        <v>0</v>
      </c>
      <c r="Z41" s="4">
        <f t="shared" si="165"/>
        <v>21</v>
      </c>
      <c r="AA41" s="4">
        <f t="shared" si="166"/>
        <v>44</v>
      </c>
      <c r="AB41" s="4">
        <f t="shared" si="167"/>
        <v>35</v>
      </c>
      <c r="AC41" s="4">
        <f t="shared" si="140"/>
        <v>10588956</v>
      </c>
      <c r="AD41" s="4">
        <f t="shared" si="141"/>
        <v>7942494</v>
      </c>
      <c r="AE41" s="4">
        <f t="shared" si="142"/>
        <v>1853922</v>
      </c>
      <c r="AF41" s="4">
        <f t="shared" si="143"/>
        <v>383838</v>
      </c>
      <c r="AH41" s="29">
        <v>5</v>
      </c>
      <c r="AI41" s="4">
        <f t="shared" si="144"/>
        <v>45000</v>
      </c>
      <c r="AJ41" s="4">
        <f t="shared" si="145"/>
        <v>733333.33333333326</v>
      </c>
      <c r="AK41" s="4">
        <f t="shared" si="168"/>
        <v>8</v>
      </c>
      <c r="AL41" s="4">
        <f t="shared" si="169"/>
        <v>11</v>
      </c>
      <c r="AM41" s="4">
        <f t="shared" si="170"/>
        <v>42</v>
      </c>
      <c r="AN41" s="4">
        <f t="shared" si="171"/>
        <v>13</v>
      </c>
      <c r="AO41" s="4">
        <f t="shared" si="172"/>
        <v>4365000</v>
      </c>
      <c r="AP41" s="4">
        <f t="shared" si="146"/>
        <v>6480000</v>
      </c>
      <c r="AQ41" s="4">
        <f t="shared" si="147"/>
        <v>1080000</v>
      </c>
      <c r="AR41" s="4">
        <f t="shared" si="148"/>
        <v>360000</v>
      </c>
      <c r="AT41" s="29">
        <v>5</v>
      </c>
      <c r="AU41" s="4">
        <f t="shared" si="149"/>
        <v>45000</v>
      </c>
      <c r="AV41" s="4">
        <f t="shared" si="150"/>
        <v>2266666.6666666665</v>
      </c>
      <c r="AW41" s="4">
        <f t="shared" si="173"/>
        <v>26</v>
      </c>
      <c r="AX41" s="4">
        <f t="shared" si="174"/>
        <v>5</v>
      </c>
      <c r="AY41" s="4">
        <f t="shared" si="175"/>
        <v>37</v>
      </c>
      <c r="AZ41" s="4">
        <f t="shared" si="176"/>
        <v>46</v>
      </c>
      <c r="BA41" s="4">
        <f t="shared" si="151"/>
        <v>191700000</v>
      </c>
      <c r="BB41" s="4">
        <f t="shared" si="152"/>
        <v>283680000</v>
      </c>
      <c r="BC41" s="4">
        <f t="shared" si="153"/>
        <v>47565000</v>
      </c>
      <c r="BD41" s="4">
        <f t="shared" si="154"/>
        <v>15345000</v>
      </c>
      <c r="BF41" s="29">
        <v>5</v>
      </c>
      <c r="BG41" s="4">
        <f>IFERROR(VLOOKUP(BF41,'Troop Calculator'!$B$42:$H$52,7,FALSE),"-")</f>
        <v>0</v>
      </c>
      <c r="BH41" s="4">
        <f t="shared" si="155"/>
        <v>0</v>
      </c>
      <c r="BI41" s="4">
        <f t="shared" si="177"/>
        <v>0</v>
      </c>
      <c r="BJ41" s="4">
        <f t="shared" si="178"/>
        <v>0</v>
      </c>
      <c r="BK41" s="4">
        <f t="shared" si="179"/>
        <v>0</v>
      </c>
      <c r="BL41" s="4">
        <f t="shared" si="180"/>
        <v>0</v>
      </c>
      <c r="BM41" s="4">
        <f t="shared" si="156"/>
        <v>0</v>
      </c>
      <c r="BN41" s="4">
        <f t="shared" si="157"/>
        <v>0</v>
      </c>
      <c r="BO41" s="4">
        <f t="shared" si="158"/>
        <v>0</v>
      </c>
      <c r="BP41" s="4">
        <f t="shared" si="159"/>
        <v>0</v>
      </c>
    </row>
    <row r="42" spans="2:68" x14ac:dyDescent="0.3">
      <c r="B42" s="12">
        <v>18</v>
      </c>
      <c r="C42" s="29">
        <v>6</v>
      </c>
      <c r="D42" s="4">
        <v>60</v>
      </c>
      <c r="E42" s="4">
        <f t="shared" si="132"/>
        <v>22.222222222222221</v>
      </c>
      <c r="F42" s="4">
        <v>117</v>
      </c>
      <c r="G42" s="4">
        <v>173</v>
      </c>
      <c r="H42" s="4">
        <v>29</v>
      </c>
      <c r="I42" s="4">
        <v>10</v>
      </c>
      <c r="K42" s="29">
        <v>6</v>
      </c>
      <c r="L42" s="4">
        <f t="shared" si="133"/>
        <v>26088.888888888887</v>
      </c>
      <c r="M42" s="4">
        <f t="shared" si="160"/>
        <v>0</v>
      </c>
      <c r="N42" s="4">
        <f t="shared" si="161"/>
        <v>7</v>
      </c>
      <c r="O42" s="4">
        <f t="shared" si="162"/>
        <v>14</v>
      </c>
      <c r="P42" s="4">
        <f t="shared" si="163"/>
        <v>48.888888888886868</v>
      </c>
      <c r="Q42" s="4">
        <f t="shared" si="134"/>
        <v>137358</v>
      </c>
      <c r="R42" s="4">
        <f t="shared" si="135"/>
        <v>203102</v>
      </c>
      <c r="S42" s="4">
        <f t="shared" si="136"/>
        <v>34046</v>
      </c>
      <c r="T42" s="4">
        <f t="shared" si="137"/>
        <v>11740</v>
      </c>
      <c r="V42" s="29">
        <v>6</v>
      </c>
      <c r="W42" s="4">
        <f t="shared" si="138"/>
        <v>1761</v>
      </c>
      <c r="X42" s="4">
        <f t="shared" si="139"/>
        <v>78266.666666666657</v>
      </c>
      <c r="Y42" s="4">
        <f t="shared" si="164"/>
        <v>0</v>
      </c>
      <c r="Z42" s="4">
        <f t="shared" si="165"/>
        <v>21</v>
      </c>
      <c r="AA42" s="4">
        <f t="shared" si="166"/>
        <v>44</v>
      </c>
      <c r="AB42" s="4">
        <f t="shared" si="167"/>
        <v>26</v>
      </c>
      <c r="AC42" s="4">
        <f t="shared" si="140"/>
        <v>11946624</v>
      </c>
      <c r="AD42" s="4">
        <f t="shared" si="141"/>
        <v>8959968</v>
      </c>
      <c r="AE42" s="4">
        <f t="shared" si="142"/>
        <v>2090307</v>
      </c>
      <c r="AF42" s="4">
        <f t="shared" si="143"/>
        <v>433206</v>
      </c>
      <c r="AH42" s="29">
        <v>6</v>
      </c>
      <c r="AI42" s="4">
        <f t="shared" si="144"/>
        <v>45000</v>
      </c>
      <c r="AJ42" s="4">
        <f t="shared" si="145"/>
        <v>999999.99999999988</v>
      </c>
      <c r="AK42" s="4">
        <f t="shared" si="168"/>
        <v>11</v>
      </c>
      <c r="AL42" s="4">
        <f t="shared" si="169"/>
        <v>13</v>
      </c>
      <c r="AM42" s="4">
        <f t="shared" si="170"/>
        <v>46</v>
      </c>
      <c r="AN42" s="4">
        <f t="shared" si="171"/>
        <v>39</v>
      </c>
      <c r="AO42" s="4">
        <f t="shared" si="172"/>
        <v>5265000</v>
      </c>
      <c r="AP42" s="4">
        <f t="shared" si="146"/>
        <v>7785000</v>
      </c>
      <c r="AQ42" s="4">
        <f t="shared" si="147"/>
        <v>1305000</v>
      </c>
      <c r="AR42" s="4">
        <f t="shared" si="148"/>
        <v>450000</v>
      </c>
      <c r="AT42" s="29">
        <v>6</v>
      </c>
      <c r="AU42" s="4">
        <f t="shared" si="149"/>
        <v>45000</v>
      </c>
      <c r="AV42" s="4">
        <f t="shared" si="150"/>
        <v>1999999.9999999995</v>
      </c>
      <c r="AW42" s="4">
        <f t="shared" si="173"/>
        <v>23</v>
      </c>
      <c r="AX42" s="4">
        <f t="shared" si="174"/>
        <v>3</v>
      </c>
      <c r="AY42" s="4">
        <f t="shared" si="175"/>
        <v>33</v>
      </c>
      <c r="AZ42" s="4">
        <f t="shared" si="176"/>
        <v>19</v>
      </c>
      <c r="BA42" s="4">
        <f t="shared" si="151"/>
        <v>190800000</v>
      </c>
      <c r="BB42" s="4">
        <f t="shared" si="152"/>
        <v>282375000</v>
      </c>
      <c r="BC42" s="4">
        <f t="shared" si="153"/>
        <v>47340000</v>
      </c>
      <c r="BD42" s="4">
        <f t="shared" si="154"/>
        <v>15255000</v>
      </c>
      <c r="BF42" s="29">
        <v>6</v>
      </c>
      <c r="BG42" s="4">
        <f>IFERROR(VLOOKUP(BF42,'Troop Calculator'!$B$42:$H$52,7,FALSE),"-")</f>
        <v>0</v>
      </c>
      <c r="BH42" s="4">
        <f t="shared" si="155"/>
        <v>0</v>
      </c>
      <c r="BI42" s="4">
        <f t="shared" si="177"/>
        <v>0</v>
      </c>
      <c r="BJ42" s="4">
        <f t="shared" si="178"/>
        <v>0</v>
      </c>
      <c r="BK42" s="4">
        <f t="shared" si="179"/>
        <v>0</v>
      </c>
      <c r="BL42" s="4">
        <f t="shared" si="180"/>
        <v>0</v>
      </c>
      <c r="BM42" s="4">
        <f t="shared" si="156"/>
        <v>0</v>
      </c>
      <c r="BN42" s="4">
        <f t="shared" si="157"/>
        <v>0</v>
      </c>
      <c r="BO42" s="4">
        <f t="shared" si="158"/>
        <v>0</v>
      </c>
      <c r="BP42" s="4">
        <f t="shared" si="159"/>
        <v>0</v>
      </c>
    </row>
    <row r="43" spans="2:68" x14ac:dyDescent="0.3">
      <c r="B43" s="12">
        <v>25</v>
      </c>
      <c r="C43" s="29">
        <v>7</v>
      </c>
      <c r="D43" s="4">
        <v>83</v>
      </c>
      <c r="E43" s="4">
        <f t="shared" si="132"/>
        <v>30.74074074074074</v>
      </c>
      <c r="F43" s="4">
        <v>175</v>
      </c>
      <c r="G43" s="4">
        <v>258</v>
      </c>
      <c r="H43" s="4">
        <v>44</v>
      </c>
      <c r="I43" s="4">
        <v>14</v>
      </c>
      <c r="K43" s="29">
        <v>7</v>
      </c>
      <c r="L43" s="4">
        <f t="shared" si="133"/>
        <v>36089.629629629628</v>
      </c>
      <c r="M43" s="4">
        <f t="shared" si="160"/>
        <v>0</v>
      </c>
      <c r="N43" s="4">
        <f t="shared" si="161"/>
        <v>10</v>
      </c>
      <c r="O43" s="4">
        <f t="shared" si="162"/>
        <v>1</v>
      </c>
      <c r="P43" s="4">
        <f t="shared" si="163"/>
        <v>29.629629629627743</v>
      </c>
      <c r="Q43" s="4">
        <f t="shared" si="134"/>
        <v>205450</v>
      </c>
      <c r="R43" s="4">
        <f t="shared" si="135"/>
        <v>302892</v>
      </c>
      <c r="S43" s="4">
        <f t="shared" si="136"/>
        <v>51656</v>
      </c>
      <c r="T43" s="4">
        <f t="shared" si="137"/>
        <v>16436</v>
      </c>
      <c r="V43" s="29">
        <v>7</v>
      </c>
      <c r="W43" s="4">
        <f t="shared" si="138"/>
        <v>2179</v>
      </c>
      <c r="X43" s="4">
        <f t="shared" si="139"/>
        <v>78282.592592592569</v>
      </c>
      <c r="Y43" s="4">
        <f t="shared" si="164"/>
        <v>0</v>
      </c>
      <c r="Z43" s="4">
        <f t="shared" si="165"/>
        <v>21</v>
      </c>
      <c r="AA43" s="4">
        <f t="shared" si="166"/>
        <v>44</v>
      </c>
      <c r="AB43" s="4">
        <f t="shared" si="167"/>
        <v>42</v>
      </c>
      <c r="AC43" s="4">
        <f t="shared" si="140"/>
        <v>14579689</v>
      </c>
      <c r="AD43" s="4">
        <f t="shared" si="141"/>
        <v>10934222</v>
      </c>
      <c r="AE43" s="4">
        <f t="shared" si="142"/>
        <v>2551609</v>
      </c>
      <c r="AF43" s="4">
        <f t="shared" si="143"/>
        <v>527318</v>
      </c>
      <c r="AH43" s="29">
        <v>7</v>
      </c>
      <c r="AI43" s="4">
        <f t="shared" si="144"/>
        <v>45000</v>
      </c>
      <c r="AJ43" s="4">
        <f t="shared" si="145"/>
        <v>1383333.3333333333</v>
      </c>
      <c r="AK43" s="4">
        <f t="shared" si="168"/>
        <v>16</v>
      </c>
      <c r="AL43" s="4">
        <f t="shared" si="169"/>
        <v>0</v>
      </c>
      <c r="AM43" s="4">
        <f t="shared" si="170"/>
        <v>15</v>
      </c>
      <c r="AN43" s="4">
        <f t="shared" si="171"/>
        <v>33</v>
      </c>
      <c r="AO43" s="4">
        <f t="shared" si="172"/>
        <v>7875000</v>
      </c>
      <c r="AP43" s="4">
        <f t="shared" si="146"/>
        <v>11610000</v>
      </c>
      <c r="AQ43" s="4">
        <f t="shared" si="147"/>
        <v>1980000</v>
      </c>
      <c r="AR43" s="4">
        <f t="shared" si="148"/>
        <v>630000</v>
      </c>
      <c r="AT43" s="29">
        <v>7</v>
      </c>
      <c r="AU43" s="4">
        <f t="shared" si="149"/>
        <v>45000</v>
      </c>
      <c r="AV43" s="4">
        <f t="shared" si="150"/>
        <v>1616666.6666666663</v>
      </c>
      <c r="AW43" s="4">
        <f t="shared" si="173"/>
        <v>18</v>
      </c>
      <c r="AX43" s="4">
        <f t="shared" si="174"/>
        <v>17</v>
      </c>
      <c r="AY43" s="4">
        <f t="shared" si="175"/>
        <v>4</v>
      </c>
      <c r="AZ43" s="4">
        <f t="shared" si="176"/>
        <v>26</v>
      </c>
      <c r="BA43" s="4">
        <f t="shared" si="151"/>
        <v>188190000</v>
      </c>
      <c r="BB43" s="4">
        <f t="shared" si="152"/>
        <v>278550000</v>
      </c>
      <c r="BC43" s="4">
        <f t="shared" si="153"/>
        <v>46665000</v>
      </c>
      <c r="BD43" s="4">
        <f t="shared" si="154"/>
        <v>15075000</v>
      </c>
      <c r="BF43" s="29">
        <v>7</v>
      </c>
      <c r="BG43" s="4">
        <f>IFERROR(VLOOKUP(BF43,'Troop Calculator'!$B$42:$H$52,7,FALSE),"-")</f>
        <v>0</v>
      </c>
      <c r="BH43" s="4">
        <f t="shared" si="155"/>
        <v>0</v>
      </c>
      <c r="BI43" s="4">
        <f t="shared" si="177"/>
        <v>0</v>
      </c>
      <c r="BJ43" s="4">
        <f t="shared" si="178"/>
        <v>0</v>
      </c>
      <c r="BK43" s="4">
        <f t="shared" si="179"/>
        <v>0</v>
      </c>
      <c r="BL43" s="4">
        <f t="shared" si="180"/>
        <v>0</v>
      </c>
      <c r="BM43" s="4">
        <f t="shared" si="156"/>
        <v>0</v>
      </c>
      <c r="BN43" s="4">
        <f t="shared" si="157"/>
        <v>0</v>
      </c>
      <c r="BO43" s="4">
        <f t="shared" si="158"/>
        <v>0</v>
      </c>
      <c r="BP43" s="4">
        <f t="shared" si="159"/>
        <v>0</v>
      </c>
    </row>
    <row r="44" spans="2:68" x14ac:dyDescent="0.3">
      <c r="B44" s="12">
        <v>35</v>
      </c>
      <c r="C44" s="29">
        <v>8</v>
      </c>
      <c r="D44" s="4">
        <v>113</v>
      </c>
      <c r="E44" s="4">
        <f t="shared" si="132"/>
        <v>41.851851851851848</v>
      </c>
      <c r="F44" s="4">
        <v>349</v>
      </c>
      <c r="G44" s="4">
        <v>516</v>
      </c>
      <c r="H44" s="4">
        <v>87</v>
      </c>
      <c r="I44" s="4">
        <v>28</v>
      </c>
      <c r="K44" s="29">
        <v>8</v>
      </c>
      <c r="L44" s="4">
        <f t="shared" si="133"/>
        <v>49134.074074074073</v>
      </c>
      <c r="M44" s="4">
        <f t="shared" si="160"/>
        <v>0</v>
      </c>
      <c r="N44" s="4">
        <f t="shared" si="161"/>
        <v>13</v>
      </c>
      <c r="O44" s="4">
        <f t="shared" si="162"/>
        <v>38</v>
      </c>
      <c r="P44" s="4">
        <f t="shared" si="163"/>
        <v>54.074074074072996</v>
      </c>
      <c r="Q44" s="4">
        <f t="shared" si="134"/>
        <v>409726</v>
      </c>
      <c r="R44" s="4">
        <f t="shared" si="135"/>
        <v>605784</v>
      </c>
      <c r="S44" s="4">
        <f t="shared" si="136"/>
        <v>102138</v>
      </c>
      <c r="T44" s="4">
        <f t="shared" si="137"/>
        <v>32872</v>
      </c>
      <c r="V44" s="29">
        <v>8</v>
      </c>
      <c r="W44" s="4">
        <f t="shared" si="138"/>
        <v>3155</v>
      </c>
      <c r="X44" s="4">
        <f t="shared" si="139"/>
        <v>78290.74074074073</v>
      </c>
      <c r="Y44" s="4">
        <f t="shared" si="164"/>
        <v>0</v>
      </c>
      <c r="Z44" s="4">
        <f t="shared" si="165"/>
        <v>21</v>
      </c>
      <c r="AA44" s="4">
        <f t="shared" si="166"/>
        <v>44</v>
      </c>
      <c r="AB44" s="4">
        <f t="shared" si="167"/>
        <v>50</v>
      </c>
      <c r="AC44" s="4">
        <f t="shared" si="140"/>
        <v>20229860</v>
      </c>
      <c r="AD44" s="4">
        <f t="shared" si="141"/>
        <v>15172395</v>
      </c>
      <c r="AE44" s="4">
        <f t="shared" si="142"/>
        <v>3539910</v>
      </c>
      <c r="AF44" s="4">
        <f t="shared" si="143"/>
        <v>731960</v>
      </c>
      <c r="AH44" s="29">
        <v>8</v>
      </c>
      <c r="AI44" s="4">
        <f t="shared" si="144"/>
        <v>45000</v>
      </c>
      <c r="AJ44" s="4">
        <f t="shared" si="145"/>
        <v>1883333.3333333333</v>
      </c>
      <c r="AK44" s="4">
        <f t="shared" si="168"/>
        <v>21</v>
      </c>
      <c r="AL44" s="4">
        <f t="shared" si="169"/>
        <v>19</v>
      </c>
      <c r="AM44" s="4">
        <f t="shared" si="170"/>
        <v>8</v>
      </c>
      <c r="AN44" s="4">
        <f t="shared" si="171"/>
        <v>53</v>
      </c>
      <c r="AO44" s="4">
        <f t="shared" si="172"/>
        <v>15705000</v>
      </c>
      <c r="AP44" s="4">
        <f t="shared" si="146"/>
        <v>23220000</v>
      </c>
      <c r="AQ44" s="4">
        <f t="shared" si="147"/>
        <v>3915000</v>
      </c>
      <c r="AR44" s="4">
        <f t="shared" si="148"/>
        <v>1260000</v>
      </c>
      <c r="AT44" s="29">
        <v>8</v>
      </c>
      <c r="AU44" s="4">
        <f t="shared" si="149"/>
        <v>45000</v>
      </c>
      <c r="AV44" s="4">
        <f t="shared" si="150"/>
        <v>1116666.6666666665</v>
      </c>
      <c r="AW44" s="4">
        <f t="shared" si="173"/>
        <v>12</v>
      </c>
      <c r="AX44" s="4">
        <f t="shared" si="174"/>
        <v>22</v>
      </c>
      <c r="AY44" s="4">
        <f t="shared" si="175"/>
        <v>11</v>
      </c>
      <c r="AZ44" s="4">
        <f t="shared" si="176"/>
        <v>6</v>
      </c>
      <c r="BA44" s="4">
        <f t="shared" si="151"/>
        <v>180360000</v>
      </c>
      <c r="BB44" s="4">
        <f t="shared" si="152"/>
        <v>266940000</v>
      </c>
      <c r="BC44" s="4">
        <f t="shared" si="153"/>
        <v>44730000</v>
      </c>
      <c r="BD44" s="4">
        <f t="shared" si="154"/>
        <v>14445000</v>
      </c>
      <c r="BF44" s="29">
        <v>8</v>
      </c>
      <c r="BG44" s="4">
        <f>IFERROR(VLOOKUP(BF44,'Troop Calculator'!$B$42:$H$52,7,FALSE),"-")</f>
        <v>0</v>
      </c>
      <c r="BH44" s="4">
        <f t="shared" si="155"/>
        <v>0</v>
      </c>
      <c r="BI44" s="4">
        <f t="shared" si="177"/>
        <v>0</v>
      </c>
      <c r="BJ44" s="4">
        <f t="shared" si="178"/>
        <v>0</v>
      </c>
      <c r="BK44" s="4">
        <f t="shared" si="179"/>
        <v>0</v>
      </c>
      <c r="BL44" s="4">
        <f t="shared" si="180"/>
        <v>0</v>
      </c>
      <c r="BM44" s="4">
        <f t="shared" si="156"/>
        <v>0</v>
      </c>
      <c r="BN44" s="4">
        <f t="shared" si="157"/>
        <v>0</v>
      </c>
      <c r="BO44" s="4">
        <f t="shared" si="158"/>
        <v>0</v>
      </c>
      <c r="BP44" s="4">
        <f t="shared" si="159"/>
        <v>0</v>
      </c>
    </row>
    <row r="45" spans="2:68" x14ac:dyDescent="0.3">
      <c r="B45" s="12">
        <v>45</v>
      </c>
      <c r="C45" s="29">
        <v>9</v>
      </c>
      <c r="D45" s="4">
        <v>131</v>
      </c>
      <c r="E45" s="4">
        <f t="shared" si="132"/>
        <v>48.518518518518512</v>
      </c>
      <c r="F45" s="4">
        <v>872</v>
      </c>
      <c r="G45" s="4">
        <v>1290</v>
      </c>
      <c r="H45" s="4">
        <v>217</v>
      </c>
      <c r="I45" s="4">
        <v>70</v>
      </c>
      <c r="K45" s="29">
        <v>9</v>
      </c>
      <c r="L45" s="4">
        <f t="shared" si="133"/>
        <v>56960.740740740737</v>
      </c>
      <c r="M45" s="4">
        <f t="shared" si="160"/>
        <v>0</v>
      </c>
      <c r="N45" s="4">
        <f t="shared" si="161"/>
        <v>15</v>
      </c>
      <c r="O45" s="4">
        <f t="shared" si="162"/>
        <v>49</v>
      </c>
      <c r="P45" s="4">
        <f t="shared" si="163"/>
        <v>20.740740740737238</v>
      </c>
      <c r="Q45" s="4">
        <f t="shared" si="134"/>
        <v>1023728</v>
      </c>
      <c r="R45" s="4">
        <f t="shared" si="135"/>
        <v>1514460</v>
      </c>
      <c r="S45" s="4">
        <f t="shared" si="136"/>
        <v>254758</v>
      </c>
      <c r="T45" s="4">
        <f t="shared" si="137"/>
        <v>82180</v>
      </c>
      <c r="V45" s="29">
        <v>9</v>
      </c>
      <c r="W45" s="4">
        <f t="shared" si="138"/>
        <v>4313</v>
      </c>
      <c r="X45" s="4">
        <f t="shared" si="139"/>
        <v>78272.962962962949</v>
      </c>
      <c r="Y45" s="4">
        <f t="shared" si="164"/>
        <v>0</v>
      </c>
      <c r="Z45" s="4">
        <f t="shared" si="165"/>
        <v>21</v>
      </c>
      <c r="AA45" s="4">
        <f t="shared" si="166"/>
        <v>44</v>
      </c>
      <c r="AB45" s="4">
        <f t="shared" si="167"/>
        <v>32</v>
      </c>
      <c r="AC45" s="4">
        <f t="shared" si="140"/>
        <v>24049288</v>
      </c>
      <c r="AD45" s="4">
        <f t="shared" si="141"/>
        <v>18036966</v>
      </c>
      <c r="AE45" s="4">
        <f t="shared" si="142"/>
        <v>4209488</v>
      </c>
      <c r="AF45" s="4">
        <f t="shared" si="143"/>
        <v>871226</v>
      </c>
      <c r="AH45" s="29">
        <v>9</v>
      </c>
      <c r="AI45" s="4">
        <f t="shared" si="144"/>
        <v>45000</v>
      </c>
      <c r="AJ45" s="4">
        <f t="shared" si="145"/>
        <v>2183333.333333333</v>
      </c>
      <c r="AK45" s="4">
        <f t="shared" si="168"/>
        <v>25</v>
      </c>
      <c r="AL45" s="4">
        <f t="shared" si="169"/>
        <v>6</v>
      </c>
      <c r="AM45" s="4">
        <f t="shared" si="170"/>
        <v>28</v>
      </c>
      <c r="AN45" s="4">
        <f t="shared" si="171"/>
        <v>53</v>
      </c>
      <c r="AO45" s="4">
        <f t="shared" si="172"/>
        <v>39240000</v>
      </c>
      <c r="AP45" s="4">
        <f t="shared" si="146"/>
        <v>58050000</v>
      </c>
      <c r="AQ45" s="4">
        <f t="shared" si="147"/>
        <v>9765000</v>
      </c>
      <c r="AR45" s="4">
        <f t="shared" si="148"/>
        <v>3150000</v>
      </c>
      <c r="AT45" s="29">
        <v>9</v>
      </c>
      <c r="AU45" s="4">
        <f t="shared" si="149"/>
        <v>45000</v>
      </c>
      <c r="AV45" s="4">
        <f t="shared" si="150"/>
        <v>816666.66666666651</v>
      </c>
      <c r="AW45" s="4">
        <f t="shared" si="173"/>
        <v>9</v>
      </c>
      <c r="AX45" s="4">
        <f t="shared" si="174"/>
        <v>10</v>
      </c>
      <c r="AY45" s="4">
        <f t="shared" si="175"/>
        <v>51</v>
      </c>
      <c r="AZ45" s="4">
        <f t="shared" si="176"/>
        <v>6</v>
      </c>
      <c r="BA45" s="4">
        <f t="shared" si="151"/>
        <v>156825000</v>
      </c>
      <c r="BB45" s="4">
        <f t="shared" si="152"/>
        <v>232110000</v>
      </c>
      <c r="BC45" s="4">
        <f t="shared" si="153"/>
        <v>38880000</v>
      </c>
      <c r="BD45" s="4">
        <f t="shared" si="154"/>
        <v>12555000</v>
      </c>
      <c r="BF45" s="29">
        <v>9</v>
      </c>
      <c r="BG45" s="4">
        <f>IFERROR(VLOOKUP(BF45,'Troop Calculator'!$B$42:$H$52,7,FALSE),"-")</f>
        <v>0</v>
      </c>
      <c r="BH45" s="4">
        <f t="shared" si="155"/>
        <v>0</v>
      </c>
      <c r="BI45" s="4">
        <f t="shared" si="177"/>
        <v>0</v>
      </c>
      <c r="BJ45" s="4">
        <f t="shared" si="178"/>
        <v>0</v>
      </c>
      <c r="BK45" s="4">
        <f t="shared" si="179"/>
        <v>0</v>
      </c>
      <c r="BL45" s="4">
        <f t="shared" si="180"/>
        <v>0</v>
      </c>
      <c r="BM45" s="4">
        <f t="shared" si="156"/>
        <v>0</v>
      </c>
      <c r="BN45" s="4">
        <f t="shared" si="157"/>
        <v>0</v>
      </c>
      <c r="BO45" s="4">
        <f t="shared" si="158"/>
        <v>0</v>
      </c>
      <c r="BP45" s="4">
        <f t="shared" si="159"/>
        <v>0</v>
      </c>
    </row>
    <row r="46" spans="2:68" x14ac:dyDescent="0.3">
      <c r="B46" s="12">
        <v>60</v>
      </c>
      <c r="C46" s="29">
        <v>10</v>
      </c>
      <c r="D46" s="4">
        <v>152</v>
      </c>
      <c r="E46" s="4">
        <f t="shared" si="132"/>
        <v>56.296296296296291</v>
      </c>
      <c r="F46" s="4">
        <v>1743</v>
      </c>
      <c r="G46" s="4">
        <v>2579</v>
      </c>
      <c r="H46" s="4">
        <v>433</v>
      </c>
      <c r="I46" s="4">
        <v>140</v>
      </c>
      <c r="K46" s="29">
        <v>10</v>
      </c>
      <c r="L46" s="4">
        <f t="shared" si="133"/>
        <v>66091.851851851854</v>
      </c>
      <c r="M46" s="4">
        <f t="shared" si="160"/>
        <v>0</v>
      </c>
      <c r="N46" s="4">
        <f t="shared" si="161"/>
        <v>18</v>
      </c>
      <c r="O46" s="4">
        <f t="shared" si="162"/>
        <v>21</v>
      </c>
      <c r="P46" s="4">
        <f t="shared" si="163"/>
        <v>31.851851851854008</v>
      </c>
      <c r="Q46" s="4">
        <f t="shared" si="134"/>
        <v>2046282</v>
      </c>
      <c r="R46" s="4">
        <f t="shared" si="135"/>
        <v>3027746</v>
      </c>
      <c r="S46" s="4">
        <f t="shared" si="136"/>
        <v>508342</v>
      </c>
      <c r="T46" s="4">
        <f t="shared" si="137"/>
        <v>164360</v>
      </c>
      <c r="V46" s="29">
        <v>10</v>
      </c>
      <c r="W46" s="4">
        <f t="shared" si="138"/>
        <v>7548</v>
      </c>
      <c r="X46" s="4">
        <f t="shared" si="139"/>
        <v>78275.555555555533</v>
      </c>
      <c r="Y46" s="4">
        <f t="shared" si="164"/>
        <v>0</v>
      </c>
      <c r="Z46" s="4">
        <f t="shared" si="165"/>
        <v>21</v>
      </c>
      <c r="AA46" s="4">
        <f t="shared" si="166"/>
        <v>44</v>
      </c>
      <c r="AB46" s="4">
        <f t="shared" si="167"/>
        <v>35</v>
      </c>
      <c r="AC46" s="4">
        <f t="shared" si="140"/>
        <v>31565736</v>
      </c>
      <c r="AD46" s="4">
        <f t="shared" si="141"/>
        <v>23678076</v>
      </c>
      <c r="AE46" s="4">
        <f t="shared" si="142"/>
        <v>5525136</v>
      </c>
      <c r="AF46" s="4">
        <f t="shared" si="143"/>
        <v>1139748</v>
      </c>
      <c r="AH46" s="29">
        <v>10</v>
      </c>
      <c r="AI46" s="4">
        <f t="shared" si="144"/>
        <v>45000</v>
      </c>
      <c r="AJ46" s="4">
        <f t="shared" si="145"/>
        <v>2533333.333333333</v>
      </c>
      <c r="AK46" s="4">
        <f t="shared" si="168"/>
        <v>29</v>
      </c>
      <c r="AL46" s="4">
        <f t="shared" si="169"/>
        <v>7</v>
      </c>
      <c r="AM46" s="4">
        <f t="shared" si="170"/>
        <v>42</v>
      </c>
      <c r="AN46" s="4">
        <f t="shared" si="171"/>
        <v>13</v>
      </c>
      <c r="AO46" s="4">
        <f t="shared" si="172"/>
        <v>78435000</v>
      </c>
      <c r="AP46" s="4">
        <f t="shared" si="146"/>
        <v>116055000</v>
      </c>
      <c r="AQ46" s="4">
        <f t="shared" si="147"/>
        <v>19485000</v>
      </c>
      <c r="AR46" s="4">
        <f t="shared" si="148"/>
        <v>6300000</v>
      </c>
      <c r="AT46" s="29">
        <v>10</v>
      </c>
      <c r="AU46" s="4">
        <f t="shared" si="149"/>
        <v>45000</v>
      </c>
      <c r="AV46" s="4">
        <f t="shared" si="150"/>
        <v>466666.66666666651</v>
      </c>
      <c r="AW46" s="4">
        <f t="shared" si="173"/>
        <v>5</v>
      </c>
      <c r="AX46" s="4">
        <f t="shared" si="174"/>
        <v>9</v>
      </c>
      <c r="AY46" s="4">
        <f t="shared" si="175"/>
        <v>37</v>
      </c>
      <c r="AZ46" s="4">
        <f t="shared" si="176"/>
        <v>46</v>
      </c>
      <c r="BA46" s="4">
        <f t="shared" si="151"/>
        <v>117630000</v>
      </c>
      <c r="BB46" s="4">
        <f t="shared" si="152"/>
        <v>174105000</v>
      </c>
      <c r="BC46" s="4">
        <f t="shared" si="153"/>
        <v>29160000</v>
      </c>
      <c r="BD46" s="4">
        <f t="shared" si="154"/>
        <v>9405000</v>
      </c>
      <c r="BF46" s="29">
        <v>10</v>
      </c>
      <c r="BG46" s="4">
        <f>IFERROR(VLOOKUP(BF46,'Troop Calculator'!$B$42:$H$52,7,FALSE),"-")</f>
        <v>45000</v>
      </c>
      <c r="BH46" s="4">
        <f t="shared" si="155"/>
        <v>466666.66666666651</v>
      </c>
      <c r="BI46" s="4">
        <f t="shared" si="177"/>
        <v>5</v>
      </c>
      <c r="BJ46" s="4">
        <f t="shared" si="178"/>
        <v>9</v>
      </c>
      <c r="BK46" s="4">
        <f t="shared" si="179"/>
        <v>37</v>
      </c>
      <c r="BL46" s="4">
        <f t="shared" si="180"/>
        <v>46</v>
      </c>
      <c r="BM46" s="4">
        <f t="shared" si="156"/>
        <v>117630000</v>
      </c>
      <c r="BN46" s="4">
        <f t="shared" si="157"/>
        <v>174105000</v>
      </c>
      <c r="BO46" s="4">
        <f t="shared" si="158"/>
        <v>29160000</v>
      </c>
      <c r="BP46" s="4">
        <f t="shared" si="159"/>
        <v>9405000</v>
      </c>
    </row>
    <row r="47" spans="2:68" x14ac:dyDescent="0.3">
      <c r="B47" s="12">
        <v>75</v>
      </c>
      <c r="C47" s="29">
        <v>11</v>
      </c>
      <c r="D47" s="4">
        <v>180</v>
      </c>
      <c r="E47" s="4">
        <f t="shared" si="132"/>
        <v>66.666666666666657</v>
      </c>
      <c r="F47" s="4">
        <v>4357</v>
      </c>
      <c r="G47" s="4">
        <v>6448</v>
      </c>
      <c r="H47" s="4">
        <v>1081</v>
      </c>
      <c r="I47" s="4">
        <v>349</v>
      </c>
      <c r="K47" s="29">
        <v>11</v>
      </c>
      <c r="L47" s="4">
        <f t="shared" si="133"/>
        <v>78266.666666666657</v>
      </c>
      <c r="M47" s="4">
        <f t="shared" si="160"/>
        <v>0</v>
      </c>
      <c r="N47" s="4">
        <f t="shared" si="161"/>
        <v>21</v>
      </c>
      <c r="O47" s="4">
        <f t="shared" si="162"/>
        <v>44</v>
      </c>
      <c r="P47" s="4">
        <f t="shared" si="163"/>
        <v>26.666666666656965</v>
      </c>
      <c r="Q47" s="4">
        <f t="shared" si="134"/>
        <v>5115118</v>
      </c>
      <c r="R47" s="4">
        <f t="shared" si="135"/>
        <v>7569952</v>
      </c>
      <c r="S47" s="4">
        <f t="shared" si="136"/>
        <v>1269094</v>
      </c>
      <c r="T47" s="4">
        <f t="shared" si="137"/>
        <v>409726</v>
      </c>
      <c r="V47" s="29">
        <v>11</v>
      </c>
      <c r="W47" s="4" t="str">
        <f t="shared" si="138"/>
        <v>-</v>
      </c>
      <c r="X47" s="4" t="str">
        <f t="shared" si="139"/>
        <v>-</v>
      </c>
      <c r="Y47" s="4" t="str">
        <f t="shared" si="164"/>
        <v>-</v>
      </c>
      <c r="Z47" s="4" t="str">
        <f t="shared" si="165"/>
        <v>-</v>
      </c>
      <c r="AA47" s="4" t="str">
        <f t="shared" si="166"/>
        <v>-</v>
      </c>
      <c r="AB47" s="4" t="str">
        <f t="shared" si="167"/>
        <v>-</v>
      </c>
      <c r="AC47" s="4" t="str">
        <f t="shared" si="140"/>
        <v>-</v>
      </c>
      <c r="AD47" s="4" t="str">
        <f t="shared" si="141"/>
        <v>-</v>
      </c>
      <c r="AE47" s="4" t="str">
        <f t="shared" si="142"/>
        <v>-</v>
      </c>
      <c r="AF47" s="4" t="str">
        <f t="shared" si="143"/>
        <v>-</v>
      </c>
      <c r="AH47" s="29">
        <v>11</v>
      </c>
      <c r="AI47" s="4">
        <f t="shared" si="144"/>
        <v>45000</v>
      </c>
      <c r="AJ47" s="4">
        <f t="shared" si="145"/>
        <v>3000000</v>
      </c>
      <c r="AK47" s="4">
        <f t="shared" si="168"/>
        <v>34</v>
      </c>
      <c r="AL47" s="4">
        <f t="shared" si="169"/>
        <v>17</v>
      </c>
      <c r="AM47" s="4">
        <f t="shared" si="170"/>
        <v>20</v>
      </c>
      <c r="AN47" s="4">
        <f t="shared" si="171"/>
        <v>0</v>
      </c>
      <c r="AO47" s="4">
        <f t="shared" si="172"/>
        <v>196065000</v>
      </c>
      <c r="AP47" s="4">
        <f t="shared" si="146"/>
        <v>290160000</v>
      </c>
      <c r="AQ47" s="4">
        <f t="shared" si="147"/>
        <v>48645000</v>
      </c>
      <c r="AR47" s="4">
        <f t="shared" si="148"/>
        <v>15705000</v>
      </c>
      <c r="AT47" s="29">
        <v>11</v>
      </c>
      <c r="AU47" s="4">
        <f t="shared" si="149"/>
        <v>45000</v>
      </c>
      <c r="AV47" s="4" t="str">
        <f t="shared" si="150"/>
        <v>-</v>
      </c>
      <c r="AW47" s="4" t="str">
        <f t="shared" si="173"/>
        <v>-</v>
      </c>
      <c r="AX47" s="4" t="str">
        <f t="shared" si="174"/>
        <v>-</v>
      </c>
      <c r="AY47" s="4" t="str">
        <f t="shared" si="175"/>
        <v>-</v>
      </c>
      <c r="AZ47" s="4" t="str">
        <f t="shared" si="176"/>
        <v>-</v>
      </c>
      <c r="BA47" s="4" t="str">
        <f t="shared" si="151"/>
        <v>-</v>
      </c>
      <c r="BB47" s="4" t="str">
        <f t="shared" si="152"/>
        <v>-</v>
      </c>
      <c r="BC47" s="4" t="str">
        <f t="shared" si="153"/>
        <v>-</v>
      </c>
      <c r="BD47" s="4" t="str">
        <f t="shared" si="154"/>
        <v>-</v>
      </c>
      <c r="BF47" s="29">
        <v>11</v>
      </c>
      <c r="BG47" s="4">
        <f>IFERROR(VLOOKUP(BF47,'Troop Calculator'!$B$42:$H$52,7,FALSE),"-")</f>
        <v>1100000</v>
      </c>
      <c r="BH47" s="4">
        <f t="shared" si="155"/>
        <v>0</v>
      </c>
      <c r="BI47" s="4">
        <f t="shared" si="177"/>
        <v>0</v>
      </c>
      <c r="BJ47" s="4">
        <f t="shared" si="178"/>
        <v>0</v>
      </c>
      <c r="BK47" s="4">
        <f t="shared" si="179"/>
        <v>0</v>
      </c>
      <c r="BL47" s="4">
        <f t="shared" si="180"/>
        <v>0</v>
      </c>
      <c r="BM47" s="4">
        <f t="shared" si="156"/>
        <v>0</v>
      </c>
      <c r="BN47" s="4">
        <f t="shared" si="157"/>
        <v>0</v>
      </c>
      <c r="BO47" s="4">
        <f t="shared" si="158"/>
        <v>0</v>
      </c>
      <c r="BP47" s="4">
        <f t="shared" si="159"/>
        <v>0</v>
      </c>
    </row>
    <row r="48" spans="2:68" x14ac:dyDescent="0.3">
      <c r="K48" s="29" t="str">
        <f>"Tier "&amp;UpgradeTier</f>
        <v>Tier 11</v>
      </c>
      <c r="L48" s="4">
        <f>VLOOKUP(UpgradeTier,$K$37:$P$47,2,FALSE)</f>
        <v>78266.666666666657</v>
      </c>
      <c r="M48" s="4">
        <f t="shared" ref="M48" si="181">ROUNDDOWN(L48/60/60/24,0)</f>
        <v>0</v>
      </c>
      <c r="N48" s="4">
        <f t="shared" ref="N48" si="182">ROUNDDOWN((L48-(M48*24*60*60))/60/60,0)</f>
        <v>21</v>
      </c>
      <c r="O48" s="4">
        <f t="shared" ref="O48" si="183">ROUNDDOWN((L48-(M48*60*60*24)-(N48*60*60))/60,0)</f>
        <v>44</v>
      </c>
      <c r="P48" s="4">
        <f t="shared" ref="P48" si="184">L48-(M48*60*60*24)-(N48*60*60)-(O48*60)</f>
        <v>26.666666666656965</v>
      </c>
      <c r="W48" s="29" t="str">
        <f>"From "&amp;BaseTier&amp;" To "&amp;UpgradeTier</f>
        <v>From 10 To 11</v>
      </c>
      <c r="X48" s="4">
        <f>VLOOKUP(BaseTier,$V$37:$X$47,3,FALSE)</f>
        <v>78275.555555555533</v>
      </c>
      <c r="Y48" s="4">
        <f t="shared" ref="Y48" si="185">IFERROR(ROUNDDOWN(X48/60/60/24,0),"-")</f>
        <v>0</v>
      </c>
      <c r="Z48" s="4">
        <f t="shared" ref="Z48" si="186">IFERROR(ROUNDDOWN((X48-(Y48*60*60*24))/60/60,0),"-")</f>
        <v>21</v>
      </c>
      <c r="AA48" s="4">
        <f t="shared" ref="AA48" si="187">IFERROR(ROUNDDOWN((X48-(Y48*60*60*24)-(Z48*60*60))/60,0),"-")</f>
        <v>44</v>
      </c>
      <c r="AB48" s="4">
        <f t="shared" ref="AB48" si="188">IFERROR(ROUNDDOWN(X48-(Y48*60*60*24)-(Z48*60*60)-(AA48*60),0),"-")</f>
        <v>35</v>
      </c>
      <c r="AI48" s="29" t="str">
        <f>"Tier "&amp;UpgradeTier</f>
        <v>Tier 11</v>
      </c>
      <c r="AJ48" s="4">
        <f>VLOOKUP(UpgradeTier,$AH$37:$AN$47,3,FALSE)</f>
        <v>3000000</v>
      </c>
      <c r="AK48" s="4">
        <f t="shared" ref="AK48" si="189">IFERROR(ROUNDDOWN(AJ48/60/60/24,0),"-")</f>
        <v>34</v>
      </c>
      <c r="AL48" s="4">
        <f t="shared" ref="AL48" si="190">IFERROR(ROUNDDOWN((AJ48-(AK48*60*60*24))/60/60,0),"-")</f>
        <v>17</v>
      </c>
      <c r="AM48" s="4">
        <f t="shared" ref="AM48" si="191">IFERROR(ROUNDDOWN((AJ48-(AK48*60*60*24)-(AL48*60*60))/60,0),"-")</f>
        <v>20</v>
      </c>
      <c r="AN48" s="4">
        <f t="shared" ref="AN48" si="192">IFERROR(ROUNDDOWN(AJ48-(AK48*60*60*24)-(AL48*60*60)-(AM48*60),0),"-")</f>
        <v>0</v>
      </c>
      <c r="AU48" s="29" t="str">
        <f>"From "&amp;BaseTier&amp;" To "&amp;UpgradeTier</f>
        <v>From 10 To 11</v>
      </c>
      <c r="AV48" s="4">
        <f>VLOOKUP(BaseTier,$AT$37:$AZ$47,3,FALSE)</f>
        <v>466666.66666666651</v>
      </c>
      <c r="AW48" s="4">
        <f t="shared" ref="AW48" si="193">IFERROR(ROUNDDOWN(AV48/60/60/24,0),"-")</f>
        <v>5</v>
      </c>
      <c r="AX48" s="4">
        <f t="shared" ref="AX48" si="194">IFERROR(ROUNDDOWN((AV48-(AW48*60*60*24))/60/60,0),"-")</f>
        <v>9</v>
      </c>
      <c r="AY48" s="4">
        <f t="shared" ref="AY48" si="195">IFERROR(ROUNDDOWN((AV48-(AW48*60*60*24)-(AX48*60*60))/60,0),"-")</f>
        <v>37</v>
      </c>
      <c r="AZ48" s="4">
        <f t="shared" ref="AZ48" si="196">IFERROR(ROUNDDOWN(AV48-(AW48*60*60*24)-(AX48*60*60)-(AY48*60),0),"-")</f>
        <v>46</v>
      </c>
      <c r="BF48" s="705" t="str">
        <f>SUM(BG37:BG47)&amp;" to T10"</f>
        <v>1145000 to T10</v>
      </c>
      <c r="BG48" s="705"/>
      <c r="BH48" s="4">
        <f>SUM(BH37:BH47)</f>
        <v>466666.66666666651</v>
      </c>
      <c r="BI48" s="4">
        <f t="shared" si="177"/>
        <v>5</v>
      </c>
      <c r="BJ48" s="4">
        <f t="shared" si="178"/>
        <v>9</v>
      </c>
      <c r="BK48" s="4">
        <f t="shared" si="179"/>
        <v>37</v>
      </c>
      <c r="BL48" s="4">
        <f t="shared" si="180"/>
        <v>46</v>
      </c>
      <c r="BM48" s="4">
        <f>SUMIF(BM37:BM47,"&gt;0")</f>
        <v>117630000</v>
      </c>
      <c r="BN48" s="4">
        <f t="shared" ref="BN48" si="197">SUMIF(BN37:BN47,"&gt;0")</f>
        <v>174105000</v>
      </c>
      <c r="BO48" s="4">
        <f t="shared" ref="BO48" si="198">SUMIF(BO37:BO47,"&gt;0")</f>
        <v>29160000</v>
      </c>
      <c r="BP48" s="4">
        <f t="shared" ref="BP48" si="199">SUMIF(BP37:BP47,"&gt;0")</f>
        <v>9405000</v>
      </c>
    </row>
    <row r="50" spans="11:68" x14ac:dyDescent="0.3">
      <c r="K50" t="s">
        <v>170</v>
      </c>
      <c r="L50" s="5">
        <f>L16+L32+L48</f>
        <v>234799.99999999997</v>
      </c>
      <c r="M50" s="4">
        <f t="shared" ref="M50" si="200">IFERROR(ROUNDDOWN(L50/60/60/24,0),"-")</f>
        <v>2</v>
      </c>
      <c r="N50" s="4">
        <f t="shared" ref="N50" si="201">IFERROR(ROUNDDOWN((L50-(M50*60*60*24))/60/60,0),"-")</f>
        <v>17</v>
      </c>
      <c r="O50" s="4">
        <f t="shared" ref="O50" si="202">IFERROR(ROUNDDOWN((L50-(M50*60*60*24)-(N50*60*60))/60,0),"-")</f>
        <v>13</v>
      </c>
      <c r="P50" s="4">
        <f t="shared" ref="P50" si="203">IFERROR(ROUNDDOWN(L50-(M50*60*60*24)-(N50*60*60)-(O50*60),0),"-")</f>
        <v>19</v>
      </c>
      <c r="W50" t="s">
        <v>25</v>
      </c>
      <c r="X50" s="5">
        <f>X16+X32+X48</f>
        <v>234826.6666666666</v>
      </c>
      <c r="Y50" s="4">
        <f t="shared" ref="Y50" si="204">IFERROR(ROUNDDOWN(X50/60/60/24,0),"-")</f>
        <v>2</v>
      </c>
      <c r="Z50" s="4">
        <f t="shared" ref="Z50" si="205">IFERROR(ROUNDDOWN((X50-(Y50*60*60*24))/60/60,0),"-")</f>
        <v>17</v>
      </c>
      <c r="AA50" s="4">
        <f t="shared" ref="AA50" si="206">IFERROR(ROUNDDOWN((X50-(Y50*60*60*24)-(Z50*60*60))/60,0),"-")</f>
        <v>13</v>
      </c>
      <c r="AB50" s="4">
        <f t="shared" ref="AB50" si="207">IFERROR(ROUNDDOWN(X50-(Y50*60*60*24)-(Z50*60*60)-(AA50*60),0),"-")</f>
        <v>46</v>
      </c>
      <c r="AI50" t="s">
        <v>170</v>
      </c>
      <c r="AJ50" s="5">
        <f>AJ16+AJ32+AJ48</f>
        <v>9000000</v>
      </c>
      <c r="AK50" s="4">
        <f t="shared" ref="AK50" si="208">IFERROR(ROUNDDOWN(AJ50/60/60/24,0),"-")</f>
        <v>104</v>
      </c>
      <c r="AL50" s="4">
        <f t="shared" ref="AL50" si="209">IFERROR(ROUNDDOWN((AJ50-(AK50*60*60*24))/60/60,0),"-")</f>
        <v>4</v>
      </c>
      <c r="AM50" s="4">
        <f t="shared" ref="AM50" si="210">IFERROR(ROUNDDOWN((AJ50-(AK50*60*60*24)-(AL50*60*60))/60,0),"-")</f>
        <v>0</v>
      </c>
      <c r="AN50" s="4">
        <f t="shared" ref="AN50" si="211">IFERROR(ROUNDDOWN(AJ50-(AK50*60*60*24)-(AL50*60*60)-(AM50*60),0),"-")</f>
        <v>0</v>
      </c>
      <c r="AU50" t="s">
        <v>25</v>
      </c>
      <c r="AV50" s="5">
        <f>AV16+AV32+AV48</f>
        <v>1399999.9999999995</v>
      </c>
      <c r="AW50" s="4">
        <f t="shared" ref="AW50" si="212">IFERROR(ROUNDDOWN(AV50/60/60/24,0),"-")</f>
        <v>16</v>
      </c>
      <c r="AX50" s="4">
        <f t="shared" ref="AX50" si="213">IFERROR(ROUNDDOWN((AV50-(AW50*60*60*24))/60/60,0),"-")</f>
        <v>4</v>
      </c>
      <c r="AY50" s="4">
        <f t="shared" ref="AY50" si="214">IFERROR(ROUNDDOWN((AV50-(AW50*60*60*24)-(AX50*60*60))/60,0),"-")</f>
        <v>53</v>
      </c>
      <c r="AZ50" s="4">
        <f t="shared" ref="AZ50" si="215">IFERROR(ROUNDDOWN(AV50-(AW50*60*60*24)-(AX50*60*60)-(AY50*60),0),"-")</f>
        <v>19</v>
      </c>
    </row>
    <row r="51" spans="11:68" x14ac:dyDescent="0.3">
      <c r="AI51" s="50" t="s">
        <v>171</v>
      </c>
      <c r="BF51" s="598" t="str">
        <f>"To Upgrade All Existing Troops to Tier "&amp;UpgradeTier</f>
        <v>To Upgrade All Existing Troops to Tier 11</v>
      </c>
      <c r="BG51" s="598"/>
      <c r="BH51" s="598"/>
      <c r="BI51" s="598"/>
      <c r="BJ51" s="598"/>
      <c r="BK51" s="598"/>
      <c r="BL51" s="598"/>
      <c r="BM51" s="598"/>
      <c r="BN51" s="598"/>
      <c r="BO51" s="598"/>
      <c r="BP51" s="598"/>
    </row>
    <row r="52" spans="11:68" x14ac:dyDescent="0.3">
      <c r="BF52" s="45" t="s">
        <v>75</v>
      </c>
      <c r="BG52" s="45" t="s">
        <v>66</v>
      </c>
      <c r="BH52" s="45" t="s">
        <v>161</v>
      </c>
      <c r="BI52" s="45" t="s">
        <v>21</v>
      </c>
      <c r="BJ52" s="45" t="s">
        <v>20</v>
      </c>
      <c r="BK52" s="45" t="s">
        <v>19</v>
      </c>
      <c r="BL52" s="45" t="s">
        <v>18</v>
      </c>
      <c r="BM52" s="45" t="s">
        <v>0</v>
      </c>
      <c r="BN52" s="45" t="s">
        <v>1</v>
      </c>
      <c r="BO52" s="45" t="s">
        <v>2</v>
      </c>
      <c r="BP52" s="45" t="s">
        <v>3</v>
      </c>
    </row>
    <row r="53" spans="11:68" x14ac:dyDescent="0.3">
      <c r="BF53" s="29">
        <v>1</v>
      </c>
      <c r="BG53" s="4">
        <f>IFERROR(BG5+BG21+BG37,"-")</f>
        <v>0</v>
      </c>
      <c r="BH53" s="4">
        <f t="shared" ref="BH53:BH63" si="216">IF(UpgradeTier&gt;BF53,IFERROR(BH5+BH21+BH37,"-"),"-")</f>
        <v>0</v>
      </c>
      <c r="BI53" s="4">
        <f>IFERROR(ROUNDDOWN(BH53/60/60/24,0),"-")</f>
        <v>0</v>
      </c>
      <c r="BJ53" s="4">
        <f>IFERROR(ROUNDDOWN((BH53-(BI53*60*60*24))/60/60,0),"-")</f>
        <v>0</v>
      </c>
      <c r="BK53" s="4">
        <f>IFERROR(ROUNDDOWN((BH53-(BI53*60*60*24)-(BJ53*60*60))/60,0),"-")</f>
        <v>0</v>
      </c>
      <c r="BL53" s="4">
        <f>IFERROR(ROUNDDOWN(BH53-(BI53*60*60*24)-(BJ53*60*60)-(BK53*60),0),"-")</f>
        <v>0</v>
      </c>
      <c r="BM53" s="4">
        <f t="shared" ref="BM53:BP63" si="217">IF(UpgradeTier&gt;$BF53,IFERROR(BM5+BM21+BM37,"-"),"-")</f>
        <v>0</v>
      </c>
      <c r="BN53" s="4">
        <f t="shared" si="217"/>
        <v>0</v>
      </c>
      <c r="BO53" s="4">
        <f t="shared" si="217"/>
        <v>0</v>
      </c>
      <c r="BP53" s="4">
        <f t="shared" si="217"/>
        <v>0</v>
      </c>
    </row>
    <row r="54" spans="11:68" x14ac:dyDescent="0.3">
      <c r="BF54" s="29">
        <v>2</v>
      </c>
      <c r="BG54" s="4">
        <f t="shared" ref="BG54:BG63" si="218">IFERROR(BG6+BG22+BG38,"-")</f>
        <v>0</v>
      </c>
      <c r="BH54" s="4">
        <f t="shared" si="216"/>
        <v>0</v>
      </c>
      <c r="BI54" s="4">
        <f t="shared" ref="BI54:BI64" si="219">IFERROR(ROUNDDOWN(BH54/60/60/24,0),"-")</f>
        <v>0</v>
      </c>
      <c r="BJ54" s="4">
        <f t="shared" ref="BJ54:BJ64" si="220">IFERROR(ROUNDDOWN((BH54-(BI54*60*60*24))/60/60,0),"-")</f>
        <v>0</v>
      </c>
      <c r="BK54" s="4">
        <f t="shared" ref="BK54:BK64" si="221">IFERROR(ROUNDDOWN((BH54-(BI54*60*60*24)-(BJ54*60*60))/60,0),"-")</f>
        <v>0</v>
      </c>
      <c r="BL54" s="4">
        <f t="shared" ref="BL54:BL64" si="222">IFERROR(ROUNDDOWN(BH54-(BI54*60*60*24)-(BJ54*60*60)-(BK54*60),0),"-")</f>
        <v>0</v>
      </c>
      <c r="BM54" s="4">
        <f t="shared" si="217"/>
        <v>0</v>
      </c>
      <c r="BN54" s="4">
        <f t="shared" si="217"/>
        <v>0</v>
      </c>
      <c r="BO54" s="4">
        <f t="shared" si="217"/>
        <v>0</v>
      </c>
      <c r="BP54" s="4">
        <f t="shared" si="217"/>
        <v>0</v>
      </c>
    </row>
    <row r="55" spans="11:68" x14ac:dyDescent="0.3">
      <c r="BF55" s="29">
        <v>3</v>
      </c>
      <c r="BG55" s="4">
        <f t="shared" si="218"/>
        <v>0</v>
      </c>
      <c r="BH55" s="4">
        <f t="shared" si="216"/>
        <v>0</v>
      </c>
      <c r="BI55" s="4">
        <f t="shared" si="219"/>
        <v>0</v>
      </c>
      <c r="BJ55" s="4">
        <f t="shared" si="220"/>
        <v>0</v>
      </c>
      <c r="BK55" s="4">
        <f t="shared" si="221"/>
        <v>0</v>
      </c>
      <c r="BL55" s="4">
        <f t="shared" si="222"/>
        <v>0</v>
      </c>
      <c r="BM55" s="4">
        <f t="shared" si="217"/>
        <v>0</v>
      </c>
      <c r="BN55" s="4">
        <f t="shared" si="217"/>
        <v>0</v>
      </c>
      <c r="BO55" s="4">
        <f t="shared" si="217"/>
        <v>0</v>
      </c>
      <c r="BP55" s="4">
        <f t="shared" si="217"/>
        <v>0</v>
      </c>
    </row>
    <row r="56" spans="11:68" x14ac:dyDescent="0.3">
      <c r="BF56" s="29">
        <v>4</v>
      </c>
      <c r="BG56" s="4">
        <f t="shared" si="218"/>
        <v>0</v>
      </c>
      <c r="BH56" s="4">
        <f t="shared" si="216"/>
        <v>0</v>
      </c>
      <c r="BI56" s="4">
        <f t="shared" si="219"/>
        <v>0</v>
      </c>
      <c r="BJ56" s="4">
        <f t="shared" si="220"/>
        <v>0</v>
      </c>
      <c r="BK56" s="4">
        <f t="shared" si="221"/>
        <v>0</v>
      </c>
      <c r="BL56" s="4">
        <f t="shared" si="222"/>
        <v>0</v>
      </c>
      <c r="BM56" s="4">
        <f t="shared" si="217"/>
        <v>0</v>
      </c>
      <c r="BN56" s="4">
        <f t="shared" si="217"/>
        <v>0</v>
      </c>
      <c r="BO56" s="4">
        <f t="shared" si="217"/>
        <v>0</v>
      </c>
      <c r="BP56" s="4">
        <f t="shared" si="217"/>
        <v>0</v>
      </c>
    </row>
    <row r="57" spans="11:68" x14ac:dyDescent="0.3">
      <c r="BF57" s="29">
        <v>5</v>
      </c>
      <c r="BG57" s="4">
        <f t="shared" si="218"/>
        <v>0</v>
      </c>
      <c r="BH57" s="4">
        <f t="shared" si="216"/>
        <v>0</v>
      </c>
      <c r="BI57" s="4">
        <f t="shared" si="219"/>
        <v>0</v>
      </c>
      <c r="BJ57" s="4">
        <f t="shared" si="220"/>
        <v>0</v>
      </c>
      <c r="BK57" s="4">
        <f t="shared" si="221"/>
        <v>0</v>
      </c>
      <c r="BL57" s="4">
        <f t="shared" si="222"/>
        <v>0</v>
      </c>
      <c r="BM57" s="4">
        <f t="shared" si="217"/>
        <v>0</v>
      </c>
      <c r="BN57" s="4">
        <f t="shared" si="217"/>
        <v>0</v>
      </c>
      <c r="BO57" s="4">
        <f t="shared" si="217"/>
        <v>0</v>
      </c>
      <c r="BP57" s="4">
        <f t="shared" si="217"/>
        <v>0</v>
      </c>
    </row>
    <row r="58" spans="11:68" x14ac:dyDescent="0.3">
      <c r="BF58" s="29">
        <v>6</v>
      </c>
      <c r="BG58" s="4">
        <f t="shared" si="218"/>
        <v>0</v>
      </c>
      <c r="BH58" s="4">
        <f t="shared" si="216"/>
        <v>0</v>
      </c>
      <c r="BI58" s="4">
        <f t="shared" si="219"/>
        <v>0</v>
      </c>
      <c r="BJ58" s="4">
        <f t="shared" si="220"/>
        <v>0</v>
      </c>
      <c r="BK58" s="4">
        <f t="shared" si="221"/>
        <v>0</v>
      </c>
      <c r="BL58" s="4">
        <f t="shared" si="222"/>
        <v>0</v>
      </c>
      <c r="BM58" s="4">
        <f t="shared" si="217"/>
        <v>0</v>
      </c>
      <c r="BN58" s="4">
        <f t="shared" si="217"/>
        <v>0</v>
      </c>
      <c r="BO58" s="4">
        <f t="shared" si="217"/>
        <v>0</v>
      </c>
      <c r="BP58" s="4">
        <f t="shared" si="217"/>
        <v>0</v>
      </c>
    </row>
    <row r="59" spans="11:68" x14ac:dyDescent="0.3">
      <c r="BF59" s="29">
        <v>7</v>
      </c>
      <c r="BG59" s="4">
        <f t="shared" si="218"/>
        <v>0</v>
      </c>
      <c r="BH59" s="4">
        <f t="shared" si="216"/>
        <v>0</v>
      </c>
      <c r="BI59" s="4">
        <f t="shared" si="219"/>
        <v>0</v>
      </c>
      <c r="BJ59" s="4">
        <f t="shared" si="220"/>
        <v>0</v>
      </c>
      <c r="BK59" s="4">
        <f t="shared" si="221"/>
        <v>0</v>
      </c>
      <c r="BL59" s="4">
        <f t="shared" si="222"/>
        <v>0</v>
      </c>
      <c r="BM59" s="4">
        <f t="shared" si="217"/>
        <v>0</v>
      </c>
      <c r="BN59" s="4">
        <f t="shared" si="217"/>
        <v>0</v>
      </c>
      <c r="BO59" s="4">
        <f t="shared" si="217"/>
        <v>0</v>
      </c>
      <c r="BP59" s="4">
        <f t="shared" si="217"/>
        <v>0</v>
      </c>
    </row>
    <row r="60" spans="11:68" x14ac:dyDescent="0.3">
      <c r="BF60" s="29">
        <v>8</v>
      </c>
      <c r="BG60" s="4">
        <f t="shared" si="218"/>
        <v>0</v>
      </c>
      <c r="BH60" s="4">
        <f t="shared" si="216"/>
        <v>0</v>
      </c>
      <c r="BI60" s="4">
        <f t="shared" si="219"/>
        <v>0</v>
      </c>
      <c r="BJ60" s="4">
        <f t="shared" si="220"/>
        <v>0</v>
      </c>
      <c r="BK60" s="4">
        <f t="shared" si="221"/>
        <v>0</v>
      </c>
      <c r="BL60" s="4">
        <f t="shared" si="222"/>
        <v>0</v>
      </c>
      <c r="BM60" s="4">
        <f t="shared" si="217"/>
        <v>0</v>
      </c>
      <c r="BN60" s="4">
        <f t="shared" si="217"/>
        <v>0</v>
      </c>
      <c r="BO60" s="4">
        <f t="shared" si="217"/>
        <v>0</v>
      </c>
      <c r="BP60" s="4">
        <f t="shared" si="217"/>
        <v>0</v>
      </c>
    </row>
    <row r="61" spans="11:68" x14ac:dyDescent="0.3">
      <c r="BF61" s="29">
        <v>9</v>
      </c>
      <c r="BG61" s="4">
        <f t="shared" si="218"/>
        <v>0</v>
      </c>
      <c r="BH61" s="4">
        <f t="shared" si="216"/>
        <v>0</v>
      </c>
      <c r="BI61" s="4">
        <f t="shared" si="219"/>
        <v>0</v>
      </c>
      <c r="BJ61" s="4">
        <f t="shared" si="220"/>
        <v>0</v>
      </c>
      <c r="BK61" s="4">
        <f t="shared" si="221"/>
        <v>0</v>
      </c>
      <c r="BL61" s="4">
        <f t="shared" si="222"/>
        <v>0</v>
      </c>
      <c r="BM61" s="4">
        <f t="shared" si="217"/>
        <v>0</v>
      </c>
      <c r="BN61" s="4">
        <f t="shared" si="217"/>
        <v>0</v>
      </c>
      <c r="BO61" s="4">
        <f t="shared" si="217"/>
        <v>0</v>
      </c>
      <c r="BP61" s="4">
        <f t="shared" si="217"/>
        <v>0</v>
      </c>
    </row>
    <row r="62" spans="11:68" x14ac:dyDescent="0.3">
      <c r="BF62" s="29">
        <v>10</v>
      </c>
      <c r="BG62" s="4">
        <f t="shared" si="218"/>
        <v>135000</v>
      </c>
      <c r="BH62" s="4">
        <f t="shared" si="216"/>
        <v>1399999.9999999995</v>
      </c>
      <c r="BI62" s="4">
        <f t="shared" si="219"/>
        <v>16</v>
      </c>
      <c r="BJ62" s="4">
        <f t="shared" si="220"/>
        <v>4</v>
      </c>
      <c r="BK62" s="4">
        <f t="shared" si="221"/>
        <v>53</v>
      </c>
      <c r="BL62" s="4">
        <f t="shared" si="222"/>
        <v>19</v>
      </c>
      <c r="BM62" s="4">
        <f t="shared" si="217"/>
        <v>470475000</v>
      </c>
      <c r="BN62" s="4">
        <f t="shared" si="217"/>
        <v>470520000</v>
      </c>
      <c r="BO62" s="4">
        <f t="shared" si="217"/>
        <v>94095000</v>
      </c>
      <c r="BP62" s="4">
        <f t="shared" si="217"/>
        <v>23490000</v>
      </c>
    </row>
    <row r="63" spans="11:68" x14ac:dyDescent="0.3">
      <c r="BF63" s="29">
        <v>11</v>
      </c>
      <c r="BG63" s="4">
        <f t="shared" si="218"/>
        <v>3050000</v>
      </c>
      <c r="BH63" s="4" t="str">
        <f t="shared" si="216"/>
        <v>-</v>
      </c>
      <c r="BI63" s="4" t="str">
        <f t="shared" si="219"/>
        <v>-</v>
      </c>
      <c r="BJ63" s="4" t="str">
        <f t="shared" si="220"/>
        <v>-</v>
      </c>
      <c r="BK63" s="4" t="str">
        <f t="shared" si="221"/>
        <v>-</v>
      </c>
      <c r="BL63" s="4" t="str">
        <f t="shared" si="222"/>
        <v>-</v>
      </c>
      <c r="BM63" s="4" t="str">
        <f t="shared" si="217"/>
        <v>-</v>
      </c>
      <c r="BN63" s="4" t="str">
        <f t="shared" si="217"/>
        <v>-</v>
      </c>
      <c r="BO63" s="4" t="str">
        <f t="shared" si="217"/>
        <v>-</v>
      </c>
      <c r="BP63" s="4" t="str">
        <f t="shared" si="217"/>
        <v>-</v>
      </c>
    </row>
    <row r="64" spans="11:68" x14ac:dyDescent="0.3">
      <c r="BF64" s="4"/>
      <c r="BG64" s="4" t="s">
        <v>175</v>
      </c>
      <c r="BH64" s="4">
        <f>SUM(BH53:BH63)</f>
        <v>1399999.9999999995</v>
      </c>
      <c r="BI64" s="4">
        <f t="shared" si="219"/>
        <v>16</v>
      </c>
      <c r="BJ64" s="4">
        <f t="shared" si="220"/>
        <v>4</v>
      </c>
      <c r="BK64" s="4">
        <f t="shared" si="221"/>
        <v>53</v>
      </c>
      <c r="BL64" s="4">
        <f t="shared" si="222"/>
        <v>19</v>
      </c>
      <c r="BM64" s="4">
        <f>SUMIF(BM53:BM63,"&gt;0")</f>
        <v>470475000</v>
      </c>
      <c r="BN64" s="4">
        <f t="shared" ref="BN64" si="223">SUMIF(BN53:BN63,"&gt;0")</f>
        <v>470520000</v>
      </c>
      <c r="BO64" s="4">
        <f t="shared" ref="BO64" si="224">SUMIF(BO53:BO63,"&gt;0")</f>
        <v>94095000</v>
      </c>
      <c r="BP64" s="4">
        <f t="shared" ref="BP64" si="225">SUMIF(BP53:BP63,"&gt;0")</f>
        <v>23490000</v>
      </c>
    </row>
    <row r="65" spans="59:64" x14ac:dyDescent="0.3">
      <c r="BG65" s="4"/>
      <c r="BH65" s="4"/>
      <c r="BI65" s="4"/>
      <c r="BJ65" s="4"/>
      <c r="BK65" s="4"/>
      <c r="BL65" s="4"/>
    </row>
    <row r="66" spans="59:64" x14ac:dyDescent="0.3">
      <c r="BG66" s="4"/>
      <c r="BH66" s="4"/>
      <c r="BI66" s="4"/>
      <c r="BJ66" s="4"/>
      <c r="BK66" s="4"/>
      <c r="BL66" s="4"/>
    </row>
    <row r="67" spans="59:64" x14ac:dyDescent="0.3">
      <c r="BG67" s="4"/>
      <c r="BH67" s="4"/>
      <c r="BI67" s="4"/>
      <c r="BJ67" s="4"/>
      <c r="BK67" s="4"/>
      <c r="BL67" s="4"/>
    </row>
    <row r="68" spans="59:64" x14ac:dyDescent="0.3">
      <c r="BH68" s="5"/>
      <c r="BI68" s="4"/>
      <c r="BJ68" s="4"/>
      <c r="BK68" s="4"/>
      <c r="BL68" s="4"/>
    </row>
  </sheetData>
  <sheetProtection sheet="1" objects="1" scenarios="1"/>
  <mergeCells count="27">
    <mergeCell ref="B3:I3"/>
    <mergeCell ref="B19:I19"/>
    <mergeCell ref="B35:I35"/>
    <mergeCell ref="AT3:BD3"/>
    <mergeCell ref="AT19:BD19"/>
    <mergeCell ref="AT35:BD35"/>
    <mergeCell ref="AH3:AR3"/>
    <mergeCell ref="AH19:AR19"/>
    <mergeCell ref="AH35:AR35"/>
    <mergeCell ref="K3:T3"/>
    <mergeCell ref="K19:T19"/>
    <mergeCell ref="K35:T35"/>
    <mergeCell ref="V3:AF3"/>
    <mergeCell ref="V19:AF19"/>
    <mergeCell ref="V35:AF35"/>
    <mergeCell ref="BF3:BP3"/>
    <mergeCell ref="BF19:BP19"/>
    <mergeCell ref="BF35:BP35"/>
    <mergeCell ref="BF51:BP51"/>
    <mergeCell ref="BF16:BG16"/>
    <mergeCell ref="BF32:BG32"/>
    <mergeCell ref="BF48:BG48"/>
    <mergeCell ref="K2:T2"/>
    <mergeCell ref="V2:AF2"/>
    <mergeCell ref="AH2:AR2"/>
    <mergeCell ref="AT2:BD2"/>
    <mergeCell ref="BF2:BP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41FB-A5AD-4C11-A991-69839611CAB3}">
  <sheetPr codeName="Sheet3"/>
  <dimension ref="A2:Q22"/>
  <sheetViews>
    <sheetView workbookViewId="0">
      <pane xSplit="2" ySplit="5" topLeftCell="C6" activePane="bottomRight" state="frozen"/>
      <selection sqref="A1:R2"/>
      <selection pane="topRight" sqref="A1:R2"/>
      <selection pane="bottomLeft" sqref="A1:R2"/>
      <selection pane="bottomRight" activeCell="B4" sqref="B4"/>
    </sheetView>
  </sheetViews>
  <sheetFormatPr baseColWidth="10" defaultColWidth="9.109375" defaultRowHeight="14.4" x14ac:dyDescent="0.3"/>
  <cols>
    <col min="1" max="1" width="9.109375" style="4"/>
    <col min="2" max="2" width="15" style="4" bestFit="1" customWidth="1"/>
    <col min="3" max="3" width="15.33203125" style="4" bestFit="1" customWidth="1"/>
    <col min="4" max="4" width="11.6640625" style="4" bestFit="1" customWidth="1"/>
    <col min="5" max="5" width="15.33203125" style="4" bestFit="1" customWidth="1"/>
    <col min="6" max="6" width="11.6640625" style="4" bestFit="1" customWidth="1"/>
    <col min="7" max="7" width="14.33203125" style="4" bestFit="1" customWidth="1"/>
    <col min="8" max="8" width="11.6640625" style="4" bestFit="1" customWidth="1"/>
    <col min="9" max="9" width="13.33203125" style="4" bestFit="1" customWidth="1"/>
    <col min="10" max="10" width="10.6640625" style="4" bestFit="1" customWidth="1"/>
    <col min="11" max="11" width="9.109375" style="4"/>
    <col min="12" max="13" width="7" style="4" bestFit="1" customWidth="1"/>
    <col min="14" max="14" width="8.44140625" style="4" bestFit="1" customWidth="1"/>
    <col min="15" max="15" width="8.88671875" style="4" bestFit="1" customWidth="1"/>
    <col min="16" max="16" width="13.33203125" style="4" bestFit="1" customWidth="1"/>
    <col min="17" max="17" width="10.6640625" style="4" bestFit="1" customWidth="1"/>
    <col min="18" max="16384" width="9.109375" style="4"/>
  </cols>
  <sheetData>
    <row r="2" spans="1:17" x14ac:dyDescent="0.3">
      <c r="A2" s="45"/>
      <c r="C2" s="6"/>
      <c r="D2" s="6"/>
      <c r="E2" s="45"/>
      <c r="F2" s="45"/>
      <c r="G2" s="45"/>
      <c r="H2" s="45"/>
      <c r="I2" s="45"/>
      <c r="J2" s="45"/>
      <c r="K2" s="45"/>
      <c r="L2" s="45"/>
      <c r="M2" s="45"/>
      <c r="N2" s="45"/>
      <c r="O2" s="45"/>
      <c r="P2" s="45"/>
      <c r="Q2" s="45"/>
    </row>
    <row r="3" spans="1:17" x14ac:dyDescent="0.3">
      <c r="B3" s="45" t="s">
        <v>29</v>
      </c>
      <c r="C3" s="709" t="s">
        <v>16</v>
      </c>
      <c r="D3" s="709"/>
      <c r="E3" s="709"/>
      <c r="F3" s="709"/>
      <c r="G3" s="709"/>
      <c r="H3" s="709"/>
      <c r="I3" s="709"/>
      <c r="J3" s="709"/>
      <c r="L3" s="709" t="s">
        <v>17</v>
      </c>
      <c r="M3" s="709"/>
      <c r="N3" s="709"/>
      <c r="O3" s="709"/>
      <c r="P3" s="709"/>
      <c r="Q3" s="709"/>
    </row>
    <row r="4" spans="1:17" x14ac:dyDescent="0.3">
      <c r="B4" s="45" t="e">
        <f>#REF!</f>
        <v>#REF!</v>
      </c>
      <c r="C4" s="705" t="s">
        <v>0</v>
      </c>
      <c r="D4" s="705"/>
      <c r="E4" s="705" t="s">
        <v>1</v>
      </c>
      <c r="F4" s="705"/>
      <c r="G4" s="705" t="s">
        <v>2</v>
      </c>
      <c r="H4" s="705"/>
      <c r="I4" s="705" t="s">
        <v>3</v>
      </c>
      <c r="J4" s="705"/>
      <c r="K4" s="45"/>
      <c r="L4" s="45"/>
      <c r="M4" s="45"/>
      <c r="N4" s="45"/>
      <c r="O4" s="45"/>
      <c r="P4" s="705" t="s">
        <v>18</v>
      </c>
      <c r="Q4" s="705"/>
    </row>
    <row r="5" spans="1:17" x14ac:dyDescent="0.3">
      <c r="B5" s="4">
        <v>0</v>
      </c>
      <c r="C5" s="45" t="s">
        <v>25</v>
      </c>
      <c r="D5" s="45" t="s">
        <v>24</v>
      </c>
      <c r="E5" s="45" t="s">
        <v>25</v>
      </c>
      <c r="F5" s="45" t="s">
        <v>24</v>
      </c>
      <c r="G5" s="45" t="s">
        <v>25</v>
      </c>
      <c r="H5" s="45" t="s">
        <v>24</v>
      </c>
      <c r="I5" s="45" t="s">
        <v>25</v>
      </c>
      <c r="J5" s="45" t="s">
        <v>24</v>
      </c>
      <c r="K5" s="45"/>
      <c r="L5" s="45" t="s">
        <v>21</v>
      </c>
      <c r="M5" s="45" t="s">
        <v>20</v>
      </c>
      <c r="N5" s="45" t="s">
        <v>19</v>
      </c>
      <c r="O5" s="45" t="s">
        <v>18</v>
      </c>
      <c r="P5" s="45" t="s">
        <v>25</v>
      </c>
      <c r="Q5" s="45" t="s">
        <v>24</v>
      </c>
    </row>
    <row r="6" spans="1:17" x14ac:dyDescent="0.3">
      <c r="B6" s="63">
        <v>1</v>
      </c>
      <c r="D6" s="6" t="str">
        <f t="shared" ref="D6:D15" si="0">IF($B6&gt;BarricadeDesired,"",IF($B6&gt;BarricadeCurrent,C6,""))</f>
        <v/>
      </c>
      <c r="F6" s="6" t="str">
        <f t="shared" ref="F6:F15" si="1">IF($B6&gt;BarricadeDesired,"",IF($B6&gt;BarricadeCurrent,E6,""))</f>
        <v/>
      </c>
      <c r="H6" s="6" t="str">
        <f t="shared" ref="H6:H15" si="2">IF($B6&gt;BarricadeDesired,"",IF($B6&gt;BarricadeCurrent,G6,""))</f>
        <v/>
      </c>
      <c r="J6" s="6" t="str">
        <f t="shared" ref="J6:J15" si="3">IF($B6&gt;BarricadeDesired,"",IF($B6&gt;BarricadeCurrent,I6,""))</f>
        <v/>
      </c>
      <c r="L6" s="6"/>
      <c r="M6" s="6"/>
      <c r="N6" s="6"/>
      <c r="O6" s="6"/>
      <c r="P6" s="6">
        <f>O6+N6*60+M6*60*60+L6*60*60*24</f>
        <v>0</v>
      </c>
      <c r="Q6" s="6" t="str">
        <f t="shared" ref="Q6:Q15" si="4">IF($B6&gt;BarricadeDesired,"",IF($B6&gt;BarricadeCurrent,P6,""))</f>
        <v/>
      </c>
    </row>
    <row r="7" spans="1:17" x14ac:dyDescent="0.3">
      <c r="B7" s="63">
        <v>2</v>
      </c>
      <c r="D7" s="6" t="str">
        <f t="shared" si="0"/>
        <v/>
      </c>
      <c r="E7" s="4">
        <v>5300</v>
      </c>
      <c r="F7" s="6" t="str">
        <f t="shared" si="1"/>
        <v/>
      </c>
      <c r="G7" s="4">
        <v>1000</v>
      </c>
      <c r="H7" s="6" t="str">
        <f t="shared" si="2"/>
        <v/>
      </c>
      <c r="J7" s="6" t="str">
        <f t="shared" si="3"/>
        <v/>
      </c>
      <c r="L7" s="6"/>
      <c r="M7" s="6"/>
      <c r="N7" s="6"/>
      <c r="O7" s="6">
        <v>10</v>
      </c>
      <c r="P7" s="6">
        <f t="shared" ref="P7:P15" si="5">O7+N7*60+M7*60*60+L7*60*60*24</f>
        <v>10</v>
      </c>
      <c r="Q7" s="6" t="str">
        <f t="shared" si="4"/>
        <v/>
      </c>
    </row>
    <row r="8" spans="1:17" x14ac:dyDescent="0.3">
      <c r="B8" s="63">
        <v>3</v>
      </c>
      <c r="D8" s="6" t="str">
        <f t="shared" si="0"/>
        <v/>
      </c>
      <c r="E8" s="4">
        <v>88000</v>
      </c>
      <c r="F8" s="6" t="str">
        <f t="shared" si="1"/>
        <v/>
      </c>
      <c r="G8" s="4">
        <v>17000</v>
      </c>
      <c r="H8" s="6" t="str">
        <f t="shared" si="2"/>
        <v/>
      </c>
      <c r="I8" s="4">
        <v>4400</v>
      </c>
      <c r="J8" s="6" t="str">
        <f t="shared" si="3"/>
        <v/>
      </c>
      <c r="L8" s="6"/>
      <c r="M8" s="6"/>
      <c r="N8" s="6">
        <v>21</v>
      </c>
      <c r="O8" s="6">
        <v>30</v>
      </c>
      <c r="P8" s="6">
        <f t="shared" si="5"/>
        <v>1290</v>
      </c>
      <c r="Q8" s="6" t="str">
        <f t="shared" si="4"/>
        <v/>
      </c>
    </row>
    <row r="9" spans="1:17" x14ac:dyDescent="0.3">
      <c r="B9" s="63">
        <v>4</v>
      </c>
      <c r="C9" s="4">
        <v>420000</v>
      </c>
      <c r="D9" s="6" t="str">
        <f t="shared" si="0"/>
        <v/>
      </c>
      <c r="E9" s="4">
        <v>420000</v>
      </c>
      <c r="F9" s="6" t="str">
        <f t="shared" si="1"/>
        <v/>
      </c>
      <c r="G9" s="4">
        <v>84000</v>
      </c>
      <c r="H9" s="6" t="str">
        <f t="shared" si="2"/>
        <v/>
      </c>
      <c r="I9" s="4">
        <v>21000</v>
      </c>
      <c r="J9" s="6" t="str">
        <f t="shared" si="3"/>
        <v/>
      </c>
      <c r="L9" s="6"/>
      <c r="M9" s="6">
        <v>1</v>
      </c>
      <c r="N9" s="6">
        <v>4</v>
      </c>
      <c r="O9" s="6">
        <v>30</v>
      </c>
      <c r="P9" s="6">
        <f t="shared" si="5"/>
        <v>3870</v>
      </c>
      <c r="Q9" s="6" t="str">
        <f t="shared" si="4"/>
        <v/>
      </c>
    </row>
    <row r="10" spans="1:17" x14ac:dyDescent="0.3">
      <c r="B10" s="63">
        <v>5</v>
      </c>
      <c r="C10" s="4">
        <v>1400000</v>
      </c>
      <c r="D10" s="6" t="str">
        <f t="shared" si="0"/>
        <v/>
      </c>
      <c r="E10" s="4">
        <v>1400000</v>
      </c>
      <c r="F10" s="6" t="str">
        <f t="shared" si="1"/>
        <v/>
      </c>
      <c r="G10" s="4">
        <v>290000</v>
      </c>
      <c r="H10" s="6" t="str">
        <f t="shared" si="2"/>
        <v/>
      </c>
      <c r="I10" s="4">
        <v>74000</v>
      </c>
      <c r="J10" s="6" t="str">
        <f t="shared" si="3"/>
        <v/>
      </c>
      <c r="L10" s="6"/>
      <c r="M10" s="6">
        <v>3</v>
      </c>
      <c r="N10" s="6">
        <v>39</v>
      </c>
      <c r="O10" s="6"/>
      <c r="P10" s="6">
        <f t="shared" si="5"/>
        <v>13140</v>
      </c>
      <c r="Q10" s="6" t="str">
        <f t="shared" si="4"/>
        <v/>
      </c>
    </row>
    <row r="11" spans="1:17" x14ac:dyDescent="0.3">
      <c r="B11" s="63">
        <v>6</v>
      </c>
      <c r="C11" s="4">
        <v>5300000</v>
      </c>
      <c r="D11" s="6" t="str">
        <f t="shared" si="0"/>
        <v/>
      </c>
      <c r="E11" s="4">
        <v>5300000</v>
      </c>
      <c r="F11" s="6" t="str">
        <f t="shared" si="1"/>
        <v/>
      </c>
      <c r="G11" s="4">
        <v>1000000</v>
      </c>
      <c r="H11" s="6" t="str">
        <f t="shared" si="2"/>
        <v/>
      </c>
      <c r="I11" s="4">
        <v>260000</v>
      </c>
      <c r="J11" s="6" t="str">
        <f t="shared" si="3"/>
        <v/>
      </c>
      <c r="L11" s="6"/>
      <c r="M11" s="6">
        <v>9</v>
      </c>
      <c r="N11" s="6">
        <v>52</v>
      </c>
      <c r="O11" s="6">
        <v>30</v>
      </c>
      <c r="P11" s="6">
        <f t="shared" si="5"/>
        <v>35550</v>
      </c>
      <c r="Q11" s="6" t="str">
        <f t="shared" si="4"/>
        <v/>
      </c>
    </row>
    <row r="12" spans="1:17" x14ac:dyDescent="0.3">
      <c r="B12" s="63">
        <v>7</v>
      </c>
      <c r="C12" s="4">
        <v>15000000</v>
      </c>
      <c r="D12" s="6" t="str">
        <f t="shared" si="0"/>
        <v/>
      </c>
      <c r="E12" s="4">
        <v>15000000</v>
      </c>
      <c r="F12" s="6" t="str">
        <f t="shared" si="1"/>
        <v/>
      </c>
      <c r="G12" s="4">
        <v>3000000</v>
      </c>
      <c r="H12" s="6" t="str">
        <f t="shared" si="2"/>
        <v/>
      </c>
      <c r="I12" s="4">
        <v>750000</v>
      </c>
      <c r="J12" s="6" t="str">
        <f t="shared" si="3"/>
        <v/>
      </c>
      <c r="L12" s="6">
        <v>1</v>
      </c>
      <c r="M12" s="6">
        <v>13</v>
      </c>
      <c r="N12" s="6">
        <v>44</v>
      </c>
      <c r="O12" s="6"/>
      <c r="P12" s="6">
        <f t="shared" si="5"/>
        <v>135840</v>
      </c>
      <c r="Q12" s="6" t="str">
        <f t="shared" si="4"/>
        <v/>
      </c>
    </row>
    <row r="13" spans="1:17" x14ac:dyDescent="0.3">
      <c r="B13" s="63">
        <v>8</v>
      </c>
      <c r="C13" s="4">
        <v>37000000</v>
      </c>
      <c r="D13" s="6" t="str">
        <f t="shared" si="0"/>
        <v/>
      </c>
      <c r="E13" s="4">
        <v>37000000</v>
      </c>
      <c r="F13" s="6" t="str">
        <f t="shared" si="1"/>
        <v/>
      </c>
      <c r="G13" s="4">
        <v>7400000</v>
      </c>
      <c r="H13" s="6" t="str">
        <f t="shared" si="2"/>
        <v/>
      </c>
      <c r="I13" s="4">
        <v>1800000</v>
      </c>
      <c r="J13" s="6" t="str">
        <f t="shared" si="3"/>
        <v/>
      </c>
      <c r="L13" s="6">
        <v>3</v>
      </c>
      <c r="M13" s="6"/>
      <c r="N13" s="6">
        <v>55</v>
      </c>
      <c r="O13" s="6"/>
      <c r="P13" s="6">
        <f t="shared" si="5"/>
        <v>262500</v>
      </c>
      <c r="Q13" s="6" t="str">
        <f t="shared" si="4"/>
        <v/>
      </c>
    </row>
    <row r="14" spans="1:17" x14ac:dyDescent="0.3">
      <c r="B14" s="63">
        <v>9</v>
      </c>
      <c r="C14" s="4">
        <v>61000000</v>
      </c>
      <c r="D14" s="6" t="str">
        <f t="shared" si="0"/>
        <v/>
      </c>
      <c r="E14" s="4">
        <v>61000000</v>
      </c>
      <c r="F14" s="6" t="str">
        <f t="shared" si="1"/>
        <v/>
      </c>
      <c r="G14" s="4">
        <v>12000000</v>
      </c>
      <c r="H14" s="6" t="str">
        <f t="shared" si="2"/>
        <v/>
      </c>
      <c r="I14" s="4">
        <v>3000000</v>
      </c>
      <c r="J14" s="6" t="str">
        <f t="shared" si="3"/>
        <v/>
      </c>
      <c r="L14" s="6">
        <v>4</v>
      </c>
      <c r="M14" s="6"/>
      <c r="N14" s="6">
        <v>26</v>
      </c>
      <c r="O14" s="6"/>
      <c r="P14" s="6">
        <f t="shared" si="5"/>
        <v>347160</v>
      </c>
      <c r="Q14" s="6" t="str">
        <f t="shared" si="4"/>
        <v/>
      </c>
    </row>
    <row r="15" spans="1:17" x14ac:dyDescent="0.3">
      <c r="B15" s="63">
        <v>10</v>
      </c>
      <c r="C15" s="4">
        <v>75000000</v>
      </c>
      <c r="D15" s="6" t="str">
        <f t="shared" si="0"/>
        <v/>
      </c>
      <c r="E15" s="4">
        <v>75000000</v>
      </c>
      <c r="F15" s="6" t="str">
        <f t="shared" si="1"/>
        <v/>
      </c>
      <c r="G15" s="4">
        <v>15000000</v>
      </c>
      <c r="H15" s="6" t="str">
        <f t="shared" si="2"/>
        <v/>
      </c>
      <c r="I15" s="4">
        <v>3700000</v>
      </c>
      <c r="J15" s="6" t="str">
        <f t="shared" si="3"/>
        <v/>
      </c>
      <c r="L15" s="6">
        <v>4</v>
      </c>
      <c r="M15" s="6">
        <v>19</v>
      </c>
      <c r="N15" s="6">
        <v>44</v>
      </c>
      <c r="O15" s="6"/>
      <c r="P15" s="6">
        <f t="shared" si="5"/>
        <v>416640</v>
      </c>
      <c r="Q15" s="6" t="str">
        <f t="shared" si="4"/>
        <v/>
      </c>
    </row>
    <row r="16" spans="1:17" x14ac:dyDescent="0.3">
      <c r="L16" s="6"/>
      <c r="M16" s="6"/>
      <c r="N16" s="6"/>
      <c r="O16" s="6"/>
      <c r="P16" s="6"/>
      <c r="Q16" s="6"/>
    </row>
    <row r="17" spans="3:17" x14ac:dyDescent="0.3">
      <c r="C17" s="4">
        <f>SUM(C6:C15)</f>
        <v>195120000</v>
      </c>
      <c r="D17" s="4">
        <f>SUM(D5:D15)</f>
        <v>0</v>
      </c>
      <c r="E17" s="4">
        <f>SUM(E7:E15)</f>
        <v>195213300</v>
      </c>
      <c r="F17" s="4">
        <f>SUM(F5:F15)</f>
        <v>0</v>
      </c>
      <c r="G17" s="4">
        <f>SUM(G7:G15)</f>
        <v>38792000</v>
      </c>
      <c r="H17" s="4">
        <f>SUM(H5:H15)</f>
        <v>0</v>
      </c>
      <c r="I17" s="4">
        <f>SUM(I6:I15)</f>
        <v>9609400</v>
      </c>
      <c r="J17" s="4">
        <f>SUM(J5:J15)</f>
        <v>0</v>
      </c>
      <c r="L17" s="6">
        <f>SUM(L6:L15)</f>
        <v>12</v>
      </c>
      <c r="M17" s="6">
        <f>SUM(M6:M15)</f>
        <v>45</v>
      </c>
      <c r="N17" s="6">
        <f>SUM(N6:N15)</f>
        <v>285</v>
      </c>
      <c r="O17" s="6">
        <f>SUM(O6:O15)</f>
        <v>100</v>
      </c>
      <c r="P17" s="12">
        <f>SUM(P5:P15)</f>
        <v>1216000</v>
      </c>
      <c r="Q17" s="12">
        <f>SUM(Q6:Q15)</f>
        <v>0</v>
      </c>
    </row>
    <row r="18" spans="3:17" x14ac:dyDescent="0.3">
      <c r="P18" s="6"/>
      <c r="Q18" s="6"/>
    </row>
    <row r="19" spans="3:17" x14ac:dyDescent="0.3">
      <c r="O19" s="4" t="s">
        <v>21</v>
      </c>
      <c r="P19" s="4">
        <f>ROUNDDOWN(P17/60/60/24,0)</f>
        <v>14</v>
      </c>
      <c r="Q19" s="4">
        <f>ROUNDDOWN(Q17/60/60/24,0)</f>
        <v>0</v>
      </c>
    </row>
    <row r="20" spans="3:17" x14ac:dyDescent="0.3">
      <c r="O20" s="4" t="s">
        <v>20</v>
      </c>
      <c r="P20" s="4">
        <f>ROUNDDOWN((P17-P19*60*60*24)/60/60,0)</f>
        <v>1</v>
      </c>
      <c r="Q20" s="4">
        <f>ROUNDDOWN((Q17-Q19*60*60*24)/60/60,0)</f>
        <v>0</v>
      </c>
    </row>
    <row r="21" spans="3:17" x14ac:dyDescent="0.3">
      <c r="O21" s="4" t="s">
        <v>19</v>
      </c>
      <c r="P21" s="4">
        <f>ROUNDDOWN((P17-P19*60*60*24-P20*60*60)/60,0)</f>
        <v>46</v>
      </c>
      <c r="Q21" s="4">
        <f>ROUNDDOWN((Q17-Q19*60*60*24-Q20*60*60)/60,0)</f>
        <v>0</v>
      </c>
    </row>
    <row r="22" spans="3:17" x14ac:dyDescent="0.3">
      <c r="O22" s="4" t="s">
        <v>18</v>
      </c>
      <c r="P22" s="4">
        <f>ROUNDDOWN((P17-P19*60*60*24-P20*60*60-P21*60),0)</f>
        <v>40</v>
      </c>
      <c r="Q22" s="4">
        <f>ROUNDDOWN((Q17-Q19*60*60*24-Q20*60*60-Q21*60),0)</f>
        <v>0</v>
      </c>
    </row>
  </sheetData>
  <mergeCells count="7">
    <mergeCell ref="C3:J3"/>
    <mergeCell ref="L3:Q3"/>
    <mergeCell ref="C4:D4"/>
    <mergeCell ref="E4:F4"/>
    <mergeCell ref="G4:H4"/>
    <mergeCell ref="I4:J4"/>
    <mergeCell ref="P4:Q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BC03-8B45-4782-B724-0E1085DACDED}">
  <sheetPr codeName="Sheet4"/>
  <dimension ref="A1:W92"/>
  <sheetViews>
    <sheetView workbookViewId="0">
      <pane xSplit="2" ySplit="5" topLeftCell="C48" activePane="bottomRight" state="frozen"/>
      <selection sqref="A1:R2"/>
      <selection pane="topRight" sqref="A1:R2"/>
      <selection pane="bottomLeft" sqref="A1:R2"/>
      <selection pane="bottomRight" activeCell="D87" sqref="D87:V87"/>
    </sheetView>
  </sheetViews>
  <sheetFormatPr baseColWidth="10" defaultColWidth="9" defaultRowHeight="14.4" x14ac:dyDescent="0.3"/>
  <cols>
    <col min="1" max="1" width="9" style="4"/>
    <col min="2" max="2" width="17.44140625" style="4" bestFit="1" customWidth="1"/>
    <col min="3" max="3" width="17.44140625" style="4" customWidth="1"/>
    <col min="4" max="4" width="16.88671875" style="4" bestFit="1" customWidth="1"/>
    <col min="5" max="5" width="14.33203125" style="4" customWidth="1"/>
    <col min="6" max="6" width="16.88671875" style="4" bestFit="1" customWidth="1"/>
    <col min="7" max="7" width="14.33203125" style="4" customWidth="1"/>
    <col min="8" max="8" width="15.33203125" style="4" bestFit="1" customWidth="1"/>
    <col min="9" max="9" width="12.5546875" style="4" customWidth="1"/>
    <col min="10" max="10" width="14.33203125" style="4" bestFit="1" customWidth="1"/>
    <col min="11" max="15" width="11.5546875" style="4" customWidth="1"/>
    <col min="16" max="16" width="9" style="4"/>
    <col min="17" max="17" width="6" style="4" bestFit="1" customWidth="1"/>
    <col min="18" max="18" width="7" style="4" bestFit="1" customWidth="1"/>
    <col min="19" max="19" width="8.44140625" style="4" bestFit="1" customWidth="1"/>
    <col min="20" max="20" width="8.88671875" style="4" bestFit="1" customWidth="1"/>
    <col min="21" max="21" width="13.44140625" style="4" bestFit="1" customWidth="1"/>
    <col min="22" max="22" width="19.109375" style="4" bestFit="1" customWidth="1"/>
    <col min="23" max="16384" width="9" style="4"/>
  </cols>
  <sheetData>
    <row r="1" spans="1:23" x14ac:dyDescent="0.3">
      <c r="D1" s="4" t="s">
        <v>26</v>
      </c>
      <c r="K1" s="6"/>
      <c r="L1" s="6"/>
      <c r="M1" s="6"/>
      <c r="N1" s="6"/>
      <c r="O1" s="6"/>
    </row>
    <row r="2" spans="1:23" x14ac:dyDescent="0.3">
      <c r="A2" s="45"/>
      <c r="D2" s="6">
        <f>LARGE(Furnace!X4:X35,1)</f>
        <v>1</v>
      </c>
      <c r="E2" s="45"/>
      <c r="F2" s="45"/>
      <c r="G2" s="45"/>
      <c r="H2" s="45"/>
      <c r="I2" s="45"/>
      <c r="J2" s="45"/>
      <c r="K2" s="45"/>
      <c r="L2" s="45"/>
      <c r="M2" s="45"/>
      <c r="N2" s="45"/>
      <c r="O2" s="45"/>
      <c r="P2" s="45"/>
      <c r="Q2" s="45"/>
      <c r="R2" s="45"/>
      <c r="S2" s="45"/>
      <c r="T2" s="45"/>
      <c r="U2" s="45"/>
      <c r="V2" s="45"/>
      <c r="W2" s="45"/>
    </row>
    <row r="3" spans="1:23" x14ac:dyDescent="0.3">
      <c r="B3" s="45" t="s">
        <v>15</v>
      </c>
      <c r="C3" s="45"/>
      <c r="D3" s="709" t="s">
        <v>16</v>
      </c>
      <c r="E3" s="709"/>
      <c r="F3" s="709"/>
      <c r="G3" s="709"/>
      <c r="H3" s="709"/>
      <c r="I3" s="709"/>
      <c r="J3" s="709"/>
      <c r="K3" s="709"/>
      <c r="L3" s="709"/>
      <c r="M3" s="709"/>
      <c r="N3" s="62"/>
      <c r="O3" s="62"/>
      <c r="Q3" s="709" t="s">
        <v>17</v>
      </c>
      <c r="R3" s="709"/>
      <c r="S3" s="709"/>
      <c r="T3" s="709"/>
      <c r="U3" s="709"/>
      <c r="V3" s="709"/>
    </row>
    <row r="4" spans="1:23" x14ac:dyDescent="0.3">
      <c r="B4" s="45" t="e">
        <f>#REF!</f>
        <v>#REF!</v>
      </c>
      <c r="C4" s="45"/>
      <c r="D4" s="705" t="s">
        <v>0</v>
      </c>
      <c r="E4" s="705"/>
      <c r="F4" s="705" t="s">
        <v>1</v>
      </c>
      <c r="G4" s="705"/>
      <c r="H4" s="705" t="s">
        <v>2</v>
      </c>
      <c r="I4" s="705"/>
      <c r="J4" s="705" t="s">
        <v>3</v>
      </c>
      <c r="K4" s="705"/>
      <c r="L4" s="705" t="s">
        <v>59</v>
      </c>
      <c r="M4" s="705"/>
      <c r="N4" s="705" t="s">
        <v>228</v>
      </c>
      <c r="O4" s="705"/>
      <c r="P4" s="45"/>
      <c r="U4" s="705" t="s">
        <v>18</v>
      </c>
      <c r="V4" s="705"/>
    </row>
    <row r="5" spans="1:23" x14ac:dyDescent="0.3">
      <c r="B5" s="63">
        <v>0</v>
      </c>
      <c r="C5" s="45" t="s">
        <v>463</v>
      </c>
      <c r="D5" s="45" t="s">
        <v>25</v>
      </c>
      <c r="E5" s="45" t="s">
        <v>24</v>
      </c>
      <c r="F5" s="45" t="s">
        <v>25</v>
      </c>
      <c r="G5" s="45" t="s">
        <v>24</v>
      </c>
      <c r="H5" s="45" t="s">
        <v>25</v>
      </c>
      <c r="I5" s="45" t="s">
        <v>24</v>
      </c>
      <c r="J5" s="45" t="s">
        <v>25</v>
      </c>
      <c r="K5" s="45" t="s">
        <v>24</v>
      </c>
      <c r="L5" s="45" t="s">
        <v>25</v>
      </c>
      <c r="M5" s="45" t="s">
        <v>24</v>
      </c>
      <c r="N5" s="45" t="s">
        <v>25</v>
      </c>
      <c r="O5" s="45" t="s">
        <v>24</v>
      </c>
      <c r="P5" s="45"/>
      <c r="Q5" s="45" t="s">
        <v>21</v>
      </c>
      <c r="R5" s="45" t="s">
        <v>20</v>
      </c>
      <c r="S5" s="45" t="s">
        <v>19</v>
      </c>
      <c r="T5" s="45" t="s">
        <v>18</v>
      </c>
      <c r="U5" s="45" t="s">
        <v>25</v>
      </c>
      <c r="V5" s="45" t="s">
        <v>24</v>
      </c>
    </row>
    <row r="6" spans="1:23" x14ac:dyDescent="0.3">
      <c r="B6" s="64">
        <v>1</v>
      </c>
      <c r="C6" s="151">
        <v>1</v>
      </c>
      <c r="E6" s="6" t="str">
        <f t="shared" ref="E6:E37" si="0">IF($C6&gt;VLOOKUP(CommCtrDesired,$B$6:$C$85,2,FALSE),"",IF($C6&gt;VLOOKUP(CommCtrCurrent,$B$6:$C$85,2,FALSE),D6,""))</f>
        <v/>
      </c>
      <c r="F6" s="4">
        <v>80</v>
      </c>
      <c r="G6" s="6" t="str">
        <f t="shared" ref="G6:G37" si="1">IF($C6&gt;VLOOKUP(CommCtrDesired,$B$6:$C$85,2,FALSE),"",IF($C6&gt;VLOOKUP(CommCtrCurrent,$B$6:$C$85,2,FALSE),F6,""))</f>
        <v/>
      </c>
      <c r="I6" s="6" t="str">
        <f t="shared" ref="I6:I37" si="2">IF($C6&gt;VLOOKUP(CommCtrDesired,$B$6:$C$85,2,FALSE),"",IF($C6&gt;VLOOKUP(CommCtrCurrent,$B$6:$C$85,2,FALSE),H6,""))</f>
        <v/>
      </c>
      <c r="K6" s="6" t="str">
        <f t="shared" ref="K6:K37" si="3">IF($C6&gt;VLOOKUP(CommCtrDesired,$B$6:$C$85,2,FALSE),"",IF($C6&gt;VLOOKUP(CommCtrCurrent,$B$6:$C$85,2,FALSE),J6,""))</f>
        <v/>
      </c>
      <c r="L6" s="6"/>
      <c r="M6" s="6" t="str">
        <f t="shared" ref="M6:M37" si="4">IF($C6&gt;VLOOKUP(CommCtrDesired,$B$6:$C$85,2,FALSE),"",IF($C6&gt;VLOOKUP(CommCtrCurrent,$B$6:$C$85,2,FALSE),L6,""))</f>
        <v/>
      </c>
      <c r="N6" s="6"/>
      <c r="O6" s="6" t="str">
        <f t="shared" ref="O6:O37" si="5">IF($C6&gt;VLOOKUP(CommCtrDesired,$B$6:$C$85,2,FALSE),"",IF($C6&gt;VLOOKUP(CommCtrCurrent,$B$6:$C$85,2,FALSE),N6,""))</f>
        <v/>
      </c>
      <c r="Q6" s="6"/>
      <c r="R6" s="6"/>
      <c r="S6" s="6"/>
      <c r="T6" s="6">
        <v>2</v>
      </c>
      <c r="U6" s="6">
        <f>T6+S6*60+R6*60*60+Q6*60*60*24</f>
        <v>2</v>
      </c>
      <c r="V6" s="6" t="str">
        <f t="shared" ref="V6:V37" si="6">IF($C6&gt;VLOOKUP(CommCtrDesired,$B$6:$C$85,2,FALSE),"",IF($C6&gt;VLOOKUP(CommCtrCurrent,$B$6:$C$85,2,FALSE),U6,""))</f>
        <v/>
      </c>
    </row>
    <row r="7" spans="1:23" x14ac:dyDescent="0.3">
      <c r="B7" s="64">
        <v>2</v>
      </c>
      <c r="C7" s="151">
        <v>2</v>
      </c>
      <c r="E7" s="6" t="str">
        <f t="shared" si="0"/>
        <v/>
      </c>
      <c r="F7" s="4">
        <v>125</v>
      </c>
      <c r="G7" s="6" t="str">
        <f t="shared" si="1"/>
        <v/>
      </c>
      <c r="I7" s="6" t="str">
        <f t="shared" si="2"/>
        <v/>
      </c>
      <c r="K7" s="6" t="str">
        <f t="shared" si="3"/>
        <v/>
      </c>
      <c r="L7" s="6"/>
      <c r="M7" s="6" t="str">
        <f t="shared" si="4"/>
        <v/>
      </c>
      <c r="N7" s="6"/>
      <c r="O7" s="6" t="str">
        <f t="shared" si="5"/>
        <v/>
      </c>
      <c r="Q7" s="6"/>
      <c r="R7" s="6"/>
      <c r="S7" s="6"/>
      <c r="T7" s="6">
        <v>8</v>
      </c>
      <c r="U7" s="6">
        <f t="shared" ref="U7:U81" si="7">T7+S7*60+R7*60*60+Q7*60*60*24</f>
        <v>8</v>
      </c>
      <c r="V7" s="6" t="str">
        <f t="shared" si="6"/>
        <v/>
      </c>
    </row>
    <row r="8" spans="1:23" x14ac:dyDescent="0.3">
      <c r="B8" s="64">
        <v>3</v>
      </c>
      <c r="C8" s="151">
        <v>3</v>
      </c>
      <c r="E8" s="6" t="str">
        <f t="shared" si="0"/>
        <v/>
      </c>
      <c r="F8" s="4">
        <v>565</v>
      </c>
      <c r="G8" s="6" t="str">
        <f t="shared" si="1"/>
        <v/>
      </c>
      <c r="I8" s="6" t="str">
        <f t="shared" si="2"/>
        <v/>
      </c>
      <c r="K8" s="6" t="str">
        <f t="shared" si="3"/>
        <v/>
      </c>
      <c r="L8" s="6"/>
      <c r="M8" s="6" t="str">
        <f t="shared" si="4"/>
        <v/>
      </c>
      <c r="N8" s="6"/>
      <c r="O8" s="6" t="str">
        <f t="shared" si="5"/>
        <v/>
      </c>
      <c r="Q8" s="6"/>
      <c r="R8" s="6"/>
      <c r="S8" s="6"/>
      <c r="T8" s="6">
        <v>35</v>
      </c>
      <c r="U8" s="6">
        <f t="shared" si="7"/>
        <v>35</v>
      </c>
      <c r="V8" s="6" t="str">
        <f t="shared" si="6"/>
        <v/>
      </c>
    </row>
    <row r="9" spans="1:23" x14ac:dyDescent="0.3">
      <c r="B9" s="64">
        <v>4</v>
      </c>
      <c r="C9" s="151">
        <v>4</v>
      </c>
      <c r="E9" s="6" t="str">
        <f t="shared" si="0"/>
        <v/>
      </c>
      <c r="F9" s="4">
        <v>1200</v>
      </c>
      <c r="G9" s="6" t="str">
        <f t="shared" si="1"/>
        <v/>
      </c>
      <c r="H9" s="4">
        <v>250</v>
      </c>
      <c r="I9" s="6" t="str">
        <f t="shared" si="2"/>
        <v/>
      </c>
      <c r="K9" s="6" t="str">
        <f t="shared" si="3"/>
        <v/>
      </c>
      <c r="L9" s="6"/>
      <c r="M9" s="6" t="str">
        <f t="shared" si="4"/>
        <v/>
      </c>
      <c r="N9" s="6"/>
      <c r="O9" s="6" t="str">
        <f t="shared" si="5"/>
        <v/>
      </c>
      <c r="Q9" s="6"/>
      <c r="R9" s="6"/>
      <c r="S9" s="6">
        <v>1</v>
      </c>
      <c r="T9" s="6">
        <v>45</v>
      </c>
      <c r="U9" s="6">
        <f t="shared" si="7"/>
        <v>105</v>
      </c>
      <c r="V9" s="6" t="str">
        <f t="shared" si="6"/>
        <v/>
      </c>
    </row>
    <row r="10" spans="1:23" x14ac:dyDescent="0.3">
      <c r="B10" s="64">
        <v>5</v>
      </c>
      <c r="C10" s="151">
        <v>5</v>
      </c>
      <c r="E10" s="6" t="str">
        <f t="shared" si="0"/>
        <v/>
      </c>
      <c r="F10" s="4">
        <v>5300</v>
      </c>
      <c r="G10" s="6" t="str">
        <f t="shared" si="1"/>
        <v/>
      </c>
      <c r="H10" s="4">
        <v>1000</v>
      </c>
      <c r="I10" s="6" t="str">
        <f t="shared" si="2"/>
        <v/>
      </c>
      <c r="K10" s="6" t="str">
        <f t="shared" si="3"/>
        <v/>
      </c>
      <c r="L10" s="6"/>
      <c r="M10" s="6" t="str">
        <f t="shared" si="4"/>
        <v/>
      </c>
      <c r="N10" s="6"/>
      <c r="O10" s="6" t="str">
        <f t="shared" si="5"/>
        <v/>
      </c>
      <c r="Q10" s="6"/>
      <c r="R10" s="6"/>
      <c r="S10" s="6">
        <v>3</v>
      </c>
      <c r="T10" s="6">
        <v>35</v>
      </c>
      <c r="U10" s="6">
        <f t="shared" si="7"/>
        <v>215</v>
      </c>
      <c r="V10" s="6" t="str">
        <f t="shared" si="6"/>
        <v/>
      </c>
    </row>
    <row r="11" spans="1:23" x14ac:dyDescent="0.3">
      <c r="B11" s="64">
        <v>6</v>
      </c>
      <c r="C11" s="151">
        <v>6</v>
      </c>
      <c r="E11" s="6" t="str">
        <f t="shared" si="0"/>
        <v/>
      </c>
      <c r="F11" s="4">
        <v>13000</v>
      </c>
      <c r="G11" s="6" t="str">
        <f t="shared" si="1"/>
        <v/>
      </c>
      <c r="H11" s="4">
        <v>2600</v>
      </c>
      <c r="I11" s="6" t="str">
        <f t="shared" si="2"/>
        <v/>
      </c>
      <c r="J11" s="4">
        <v>670</v>
      </c>
      <c r="K11" s="6" t="str">
        <f t="shared" si="3"/>
        <v/>
      </c>
      <c r="L11" s="6"/>
      <c r="M11" s="6" t="str">
        <f t="shared" si="4"/>
        <v/>
      </c>
      <c r="N11" s="6"/>
      <c r="O11" s="6" t="str">
        <f t="shared" si="5"/>
        <v/>
      </c>
      <c r="Q11" s="6"/>
      <c r="R11" s="6"/>
      <c r="S11" s="6">
        <v>7</v>
      </c>
      <c r="T11" s="6">
        <v>10</v>
      </c>
      <c r="U11" s="6">
        <f t="shared" si="7"/>
        <v>430</v>
      </c>
      <c r="V11" s="6" t="str">
        <f t="shared" si="6"/>
        <v/>
      </c>
    </row>
    <row r="12" spans="1:23" x14ac:dyDescent="0.3">
      <c r="B12" s="64">
        <v>7</v>
      </c>
      <c r="C12" s="151">
        <v>7</v>
      </c>
      <c r="E12" s="6" t="str">
        <f t="shared" si="0"/>
        <v/>
      </c>
      <c r="F12" s="4">
        <v>48000</v>
      </c>
      <c r="G12" s="6" t="str">
        <f t="shared" si="1"/>
        <v/>
      </c>
      <c r="H12" s="4">
        <v>9600</v>
      </c>
      <c r="I12" s="6" t="str">
        <f t="shared" si="2"/>
        <v/>
      </c>
      <c r="J12" s="4">
        <v>2400</v>
      </c>
      <c r="K12" s="6" t="str">
        <f t="shared" si="3"/>
        <v/>
      </c>
      <c r="L12" s="6"/>
      <c r="M12" s="6" t="str">
        <f t="shared" si="4"/>
        <v/>
      </c>
      <c r="N12" s="6"/>
      <c r="O12" s="6" t="str">
        <f t="shared" si="5"/>
        <v/>
      </c>
      <c r="Q12" s="6"/>
      <c r="R12" s="6"/>
      <c r="S12" s="6">
        <v>14</v>
      </c>
      <c r="T12" s="6"/>
      <c r="U12" s="6">
        <f t="shared" si="7"/>
        <v>840</v>
      </c>
      <c r="V12" s="6" t="str">
        <f t="shared" si="6"/>
        <v/>
      </c>
    </row>
    <row r="13" spans="1:23" x14ac:dyDescent="0.3">
      <c r="B13" s="64">
        <v>8</v>
      </c>
      <c r="C13" s="151">
        <v>8</v>
      </c>
      <c r="E13" s="6" t="str">
        <f t="shared" si="0"/>
        <v/>
      </c>
      <c r="F13" s="4">
        <v>88000</v>
      </c>
      <c r="G13" s="6" t="str">
        <f t="shared" si="1"/>
        <v/>
      </c>
      <c r="H13" s="4">
        <v>17000</v>
      </c>
      <c r="I13" s="6" t="str">
        <f t="shared" si="2"/>
        <v/>
      </c>
      <c r="J13" s="4">
        <v>4400</v>
      </c>
      <c r="K13" s="6" t="str">
        <f t="shared" si="3"/>
        <v/>
      </c>
      <c r="L13" s="6"/>
      <c r="M13" s="6" t="str">
        <f t="shared" si="4"/>
        <v/>
      </c>
      <c r="N13" s="6"/>
      <c r="O13" s="6" t="str">
        <f t="shared" si="5"/>
        <v/>
      </c>
      <c r="Q13" s="6"/>
      <c r="R13" s="6"/>
      <c r="S13" s="6">
        <v>21</v>
      </c>
      <c r="T13" s="6"/>
      <c r="U13" s="6">
        <f t="shared" si="7"/>
        <v>1260</v>
      </c>
      <c r="V13" s="6" t="str">
        <f t="shared" si="6"/>
        <v/>
      </c>
    </row>
    <row r="14" spans="1:23" x14ac:dyDescent="0.3">
      <c r="B14" s="64">
        <v>9</v>
      </c>
      <c r="C14" s="151">
        <v>9</v>
      </c>
      <c r="E14" s="6" t="str">
        <f t="shared" si="0"/>
        <v/>
      </c>
      <c r="F14" s="4">
        <v>180000</v>
      </c>
      <c r="G14" s="6" t="str">
        <f t="shared" si="1"/>
        <v/>
      </c>
      <c r="H14" s="4">
        <v>36000</v>
      </c>
      <c r="I14" s="6" t="str">
        <f t="shared" si="2"/>
        <v/>
      </c>
      <c r="J14" s="4">
        <v>9100</v>
      </c>
      <c r="K14" s="6" t="str">
        <f t="shared" si="3"/>
        <v/>
      </c>
      <c r="L14" s="6"/>
      <c r="M14" s="6" t="str">
        <f t="shared" si="4"/>
        <v/>
      </c>
      <c r="N14" s="6"/>
      <c r="O14" s="6" t="str">
        <f t="shared" si="5"/>
        <v/>
      </c>
      <c r="Q14" s="6"/>
      <c r="R14" s="6"/>
      <c r="S14" s="6">
        <v>32</v>
      </c>
      <c r="T14" s="6"/>
      <c r="U14" s="6">
        <f t="shared" si="7"/>
        <v>1920</v>
      </c>
      <c r="V14" s="6" t="str">
        <f t="shared" si="6"/>
        <v/>
      </c>
    </row>
    <row r="15" spans="1:23" x14ac:dyDescent="0.3">
      <c r="B15" s="64">
        <v>10</v>
      </c>
      <c r="C15" s="151">
        <v>10</v>
      </c>
      <c r="E15" s="6" t="str">
        <f t="shared" si="0"/>
        <v/>
      </c>
      <c r="F15" s="4">
        <v>320000</v>
      </c>
      <c r="G15" s="6" t="str">
        <f t="shared" si="1"/>
        <v/>
      </c>
      <c r="H15" s="4">
        <v>64000</v>
      </c>
      <c r="I15" s="6" t="str">
        <f t="shared" si="2"/>
        <v/>
      </c>
      <c r="J15" s="4">
        <v>16000</v>
      </c>
      <c r="K15" s="6" t="str">
        <f t="shared" si="3"/>
        <v/>
      </c>
      <c r="L15" s="6"/>
      <c r="M15" s="6" t="str">
        <f t="shared" si="4"/>
        <v/>
      </c>
      <c r="N15" s="6"/>
      <c r="O15" s="6" t="str">
        <f t="shared" si="5"/>
        <v/>
      </c>
      <c r="Q15" s="6"/>
      <c r="R15" s="6"/>
      <c r="S15" s="6">
        <v>43</v>
      </c>
      <c r="T15" s="6"/>
      <c r="U15" s="6">
        <f t="shared" si="7"/>
        <v>2580</v>
      </c>
      <c r="V15" s="6" t="str">
        <f t="shared" si="6"/>
        <v/>
      </c>
    </row>
    <row r="16" spans="1:23" x14ac:dyDescent="0.3">
      <c r="B16" s="64">
        <v>11</v>
      </c>
      <c r="C16" s="151">
        <v>11</v>
      </c>
      <c r="D16" s="4">
        <v>390000</v>
      </c>
      <c r="E16" s="6" t="str">
        <f t="shared" si="0"/>
        <v/>
      </c>
      <c r="F16" s="4">
        <v>390000</v>
      </c>
      <c r="G16" s="6" t="str">
        <f t="shared" si="1"/>
        <v/>
      </c>
      <c r="H16" s="4">
        <v>79000</v>
      </c>
      <c r="I16" s="6" t="str">
        <f t="shared" si="2"/>
        <v/>
      </c>
      <c r="J16" s="4">
        <v>19000</v>
      </c>
      <c r="K16" s="6" t="str">
        <f t="shared" si="3"/>
        <v/>
      </c>
      <c r="L16" s="6"/>
      <c r="M16" s="6" t="str">
        <f t="shared" si="4"/>
        <v/>
      </c>
      <c r="N16" s="6"/>
      <c r="O16" s="6" t="str">
        <f t="shared" si="5"/>
        <v/>
      </c>
      <c r="Q16" s="6"/>
      <c r="R16" s="6"/>
      <c r="S16" s="6">
        <v>54</v>
      </c>
      <c r="T16" s="6"/>
      <c r="U16" s="6">
        <f t="shared" si="7"/>
        <v>3240</v>
      </c>
      <c r="V16" s="6" t="str">
        <f t="shared" si="6"/>
        <v/>
      </c>
    </row>
    <row r="17" spans="2:22" x14ac:dyDescent="0.3">
      <c r="B17" s="64">
        <v>12</v>
      </c>
      <c r="C17" s="151">
        <v>12</v>
      </c>
      <c r="D17" s="4">
        <v>500000</v>
      </c>
      <c r="E17" s="6" t="str">
        <f t="shared" si="0"/>
        <v/>
      </c>
      <c r="F17" s="4">
        <v>500000</v>
      </c>
      <c r="G17" s="6" t="str">
        <f t="shared" si="1"/>
        <v/>
      </c>
      <c r="H17" s="4">
        <v>100000</v>
      </c>
      <c r="I17" s="6" t="str">
        <f t="shared" si="2"/>
        <v/>
      </c>
      <c r="J17" s="4">
        <v>25000</v>
      </c>
      <c r="K17" s="6" t="str">
        <f t="shared" si="3"/>
        <v/>
      </c>
      <c r="L17" s="6"/>
      <c r="M17" s="6" t="str">
        <f t="shared" si="4"/>
        <v/>
      </c>
      <c r="N17" s="6"/>
      <c r="O17" s="6" t="str">
        <f t="shared" si="5"/>
        <v/>
      </c>
      <c r="Q17" s="6"/>
      <c r="R17" s="6">
        <v>1</v>
      </c>
      <c r="S17" s="6">
        <v>4</v>
      </c>
      <c r="T17" s="6">
        <v>30</v>
      </c>
      <c r="U17" s="6">
        <f t="shared" si="7"/>
        <v>3870</v>
      </c>
      <c r="V17" s="6" t="str">
        <f t="shared" si="6"/>
        <v/>
      </c>
    </row>
    <row r="18" spans="2:22" x14ac:dyDescent="0.3">
      <c r="B18" s="64">
        <v>13</v>
      </c>
      <c r="C18" s="151">
        <v>13</v>
      </c>
      <c r="D18" s="4">
        <v>710000</v>
      </c>
      <c r="E18" s="6" t="str">
        <f t="shared" si="0"/>
        <v/>
      </c>
      <c r="F18" s="4">
        <v>710000</v>
      </c>
      <c r="G18" s="6" t="str">
        <f t="shared" si="1"/>
        <v/>
      </c>
      <c r="H18" s="4">
        <v>140000</v>
      </c>
      <c r="I18" s="6" t="str">
        <f t="shared" si="2"/>
        <v/>
      </c>
      <c r="J18" s="4">
        <v>35000</v>
      </c>
      <c r="K18" s="6" t="str">
        <f t="shared" si="3"/>
        <v/>
      </c>
      <c r="L18" s="6"/>
      <c r="M18" s="6" t="str">
        <f t="shared" si="4"/>
        <v/>
      </c>
      <c r="N18" s="6"/>
      <c r="O18" s="6" t="str">
        <f t="shared" si="5"/>
        <v/>
      </c>
      <c r="Q18" s="6"/>
      <c r="R18" s="6">
        <v>1</v>
      </c>
      <c r="S18" s="6">
        <v>19</v>
      </c>
      <c r="T18" s="6"/>
      <c r="U18" s="6">
        <f t="shared" si="7"/>
        <v>4740</v>
      </c>
      <c r="V18" s="6" t="str">
        <f t="shared" si="6"/>
        <v/>
      </c>
    </row>
    <row r="19" spans="2:22" x14ac:dyDescent="0.3">
      <c r="B19" s="64">
        <v>14</v>
      </c>
      <c r="C19" s="151">
        <v>14</v>
      </c>
      <c r="D19" s="4">
        <v>940000</v>
      </c>
      <c r="E19" s="6" t="str">
        <f t="shared" si="0"/>
        <v/>
      </c>
      <c r="F19" s="4">
        <v>940000</v>
      </c>
      <c r="G19" s="6" t="str">
        <f t="shared" si="1"/>
        <v/>
      </c>
      <c r="H19" s="4">
        <v>180000</v>
      </c>
      <c r="I19" s="6" t="str">
        <f t="shared" si="2"/>
        <v/>
      </c>
      <c r="J19" s="4">
        <v>47000</v>
      </c>
      <c r="K19" s="6" t="str">
        <f t="shared" si="3"/>
        <v/>
      </c>
      <c r="L19" s="6"/>
      <c r="M19" s="6" t="str">
        <f t="shared" si="4"/>
        <v/>
      </c>
      <c r="N19" s="6"/>
      <c r="O19" s="6" t="str">
        <f t="shared" si="5"/>
        <v/>
      </c>
      <c r="Q19" s="6"/>
      <c r="R19" s="6">
        <v>1</v>
      </c>
      <c r="S19" s="6">
        <v>40</v>
      </c>
      <c r="T19" s="6">
        <v>30</v>
      </c>
      <c r="U19" s="6">
        <f t="shared" si="7"/>
        <v>6030</v>
      </c>
      <c r="V19" s="6" t="str">
        <f t="shared" si="6"/>
        <v/>
      </c>
    </row>
    <row r="20" spans="2:22" x14ac:dyDescent="0.3">
      <c r="B20" s="64">
        <v>15</v>
      </c>
      <c r="C20" s="151">
        <v>15</v>
      </c>
      <c r="D20" s="4">
        <v>1300000</v>
      </c>
      <c r="E20" s="6" t="str">
        <f t="shared" si="0"/>
        <v/>
      </c>
      <c r="F20" s="4">
        <v>1300000</v>
      </c>
      <c r="G20" s="6" t="str">
        <f t="shared" si="1"/>
        <v/>
      </c>
      <c r="H20" s="4">
        <v>270000</v>
      </c>
      <c r="I20" s="6" t="str">
        <f t="shared" si="2"/>
        <v/>
      </c>
      <c r="J20" s="4">
        <v>69000</v>
      </c>
      <c r="K20" s="6" t="str">
        <f t="shared" si="3"/>
        <v/>
      </c>
      <c r="L20" s="6"/>
      <c r="M20" s="6" t="str">
        <f t="shared" si="4"/>
        <v/>
      </c>
      <c r="N20" s="6"/>
      <c r="O20" s="6" t="str">
        <f t="shared" si="5"/>
        <v/>
      </c>
      <c r="Q20" s="6"/>
      <c r="R20" s="6">
        <v>2</v>
      </c>
      <c r="S20" s="6">
        <v>9</v>
      </c>
      <c r="T20" s="6">
        <v>30</v>
      </c>
      <c r="U20" s="6">
        <f t="shared" si="7"/>
        <v>7770</v>
      </c>
      <c r="V20" s="6" t="str">
        <f t="shared" si="6"/>
        <v/>
      </c>
    </row>
    <row r="21" spans="2:22" x14ac:dyDescent="0.3">
      <c r="B21" s="64">
        <v>16</v>
      </c>
      <c r="C21" s="151">
        <v>16</v>
      </c>
      <c r="D21" s="4">
        <v>1700000</v>
      </c>
      <c r="E21" s="6" t="str">
        <f t="shared" si="0"/>
        <v/>
      </c>
      <c r="F21" s="4">
        <v>1700000</v>
      </c>
      <c r="G21" s="6" t="str">
        <f t="shared" si="1"/>
        <v/>
      </c>
      <c r="H21" s="4">
        <v>350000</v>
      </c>
      <c r="I21" s="6" t="str">
        <f t="shared" si="2"/>
        <v/>
      </c>
      <c r="J21" s="4">
        <v>89000</v>
      </c>
      <c r="K21" s="6" t="str">
        <f t="shared" si="3"/>
        <v/>
      </c>
      <c r="L21" s="6"/>
      <c r="M21" s="6" t="str">
        <f t="shared" si="4"/>
        <v/>
      </c>
      <c r="N21" s="6"/>
      <c r="O21" s="6" t="str">
        <f t="shared" si="5"/>
        <v/>
      </c>
      <c r="Q21" s="6"/>
      <c r="R21" s="6">
        <v>3</v>
      </c>
      <c r="S21" s="6">
        <v>39</v>
      </c>
      <c r="T21" s="6"/>
      <c r="U21" s="6">
        <f t="shared" si="7"/>
        <v>13140</v>
      </c>
      <c r="V21" s="6" t="str">
        <f t="shared" si="6"/>
        <v/>
      </c>
    </row>
    <row r="22" spans="2:22" x14ac:dyDescent="0.3">
      <c r="B22" s="64">
        <v>17</v>
      </c>
      <c r="C22" s="151">
        <v>17</v>
      </c>
      <c r="D22" s="4">
        <v>2700000</v>
      </c>
      <c r="E22" s="6" t="str">
        <f t="shared" si="0"/>
        <v/>
      </c>
      <c r="F22" s="4">
        <v>2700000</v>
      </c>
      <c r="G22" s="6" t="str">
        <f t="shared" si="1"/>
        <v/>
      </c>
      <c r="H22" s="4">
        <v>550000</v>
      </c>
      <c r="I22" s="6" t="str">
        <f t="shared" si="2"/>
        <v/>
      </c>
      <c r="J22" s="4">
        <v>130000</v>
      </c>
      <c r="K22" s="6" t="str">
        <f t="shared" si="3"/>
        <v/>
      </c>
      <c r="L22" s="6"/>
      <c r="M22" s="6" t="str">
        <f t="shared" si="4"/>
        <v/>
      </c>
      <c r="N22" s="6"/>
      <c r="O22" s="6" t="str">
        <f t="shared" si="5"/>
        <v/>
      </c>
      <c r="Q22" s="6"/>
      <c r="R22" s="6">
        <v>4</v>
      </c>
      <c r="S22" s="6">
        <v>23</v>
      </c>
      <c r="T22" s="6"/>
      <c r="U22" s="6">
        <f t="shared" si="7"/>
        <v>15780</v>
      </c>
      <c r="V22" s="6" t="str">
        <f t="shared" si="6"/>
        <v/>
      </c>
    </row>
    <row r="23" spans="2:22" x14ac:dyDescent="0.3">
      <c r="B23" s="64">
        <v>18</v>
      </c>
      <c r="C23" s="151">
        <v>18</v>
      </c>
      <c r="D23" s="4">
        <v>3700000</v>
      </c>
      <c r="E23" s="6" t="str">
        <f t="shared" si="0"/>
        <v/>
      </c>
      <c r="F23" s="4">
        <v>3700000</v>
      </c>
      <c r="G23" s="6" t="str">
        <f t="shared" si="1"/>
        <v/>
      </c>
      <c r="H23" s="4">
        <v>750000</v>
      </c>
      <c r="I23" s="6" t="str">
        <f t="shared" si="2"/>
        <v/>
      </c>
      <c r="J23" s="4">
        <v>180000</v>
      </c>
      <c r="K23" s="6" t="str">
        <f t="shared" si="3"/>
        <v/>
      </c>
      <c r="L23" s="6"/>
      <c r="M23" s="6" t="str">
        <f t="shared" si="4"/>
        <v/>
      </c>
      <c r="N23" s="6"/>
      <c r="O23" s="6" t="str">
        <f t="shared" si="5"/>
        <v/>
      </c>
      <c r="Q23" s="6"/>
      <c r="R23" s="6">
        <v>5</v>
      </c>
      <c r="S23" s="6">
        <v>16</v>
      </c>
      <c r="T23" s="6"/>
      <c r="U23" s="6">
        <f t="shared" si="7"/>
        <v>18960</v>
      </c>
      <c r="V23" s="6" t="str">
        <f t="shared" si="6"/>
        <v/>
      </c>
    </row>
    <row r="24" spans="2:22" x14ac:dyDescent="0.3">
      <c r="B24" s="64">
        <v>19</v>
      </c>
      <c r="C24" s="151">
        <v>19</v>
      </c>
      <c r="D24" s="4">
        <v>4700000</v>
      </c>
      <c r="E24" s="6" t="str">
        <f t="shared" si="0"/>
        <v/>
      </c>
      <c r="F24" s="4">
        <v>4700000</v>
      </c>
      <c r="G24" s="6" t="str">
        <f t="shared" si="1"/>
        <v/>
      </c>
      <c r="H24" s="4">
        <v>940000</v>
      </c>
      <c r="I24" s="6" t="str">
        <f t="shared" si="2"/>
        <v/>
      </c>
      <c r="J24" s="4">
        <v>230000</v>
      </c>
      <c r="K24" s="6" t="str">
        <f t="shared" si="3"/>
        <v/>
      </c>
      <c r="L24" s="6"/>
      <c r="M24" s="6" t="str">
        <f t="shared" si="4"/>
        <v/>
      </c>
      <c r="N24" s="6"/>
      <c r="O24" s="6" t="str">
        <f t="shared" si="5"/>
        <v/>
      </c>
      <c r="Q24" s="6"/>
      <c r="R24" s="6">
        <v>7</v>
      </c>
      <c r="S24" s="6">
        <v>54</v>
      </c>
      <c r="T24" s="6"/>
      <c r="U24" s="6">
        <f t="shared" si="7"/>
        <v>28440</v>
      </c>
      <c r="V24" s="6" t="str">
        <f t="shared" si="6"/>
        <v/>
      </c>
    </row>
    <row r="25" spans="2:22" x14ac:dyDescent="0.3">
      <c r="B25" s="64">
        <v>20</v>
      </c>
      <c r="C25" s="151">
        <v>20</v>
      </c>
      <c r="D25" s="4">
        <v>6400000</v>
      </c>
      <c r="E25" s="6" t="str">
        <f t="shared" si="0"/>
        <v/>
      </c>
      <c r="F25" s="4">
        <v>6400000</v>
      </c>
      <c r="G25" s="6" t="str">
        <f t="shared" si="1"/>
        <v/>
      </c>
      <c r="H25" s="4">
        <v>1200000</v>
      </c>
      <c r="I25" s="6" t="str">
        <f t="shared" si="2"/>
        <v/>
      </c>
      <c r="J25" s="4">
        <v>320000</v>
      </c>
      <c r="K25" s="6" t="str">
        <f t="shared" si="3"/>
        <v/>
      </c>
      <c r="L25" s="6"/>
      <c r="M25" s="6" t="str">
        <f t="shared" si="4"/>
        <v/>
      </c>
      <c r="N25" s="6"/>
      <c r="O25" s="6" t="str">
        <f t="shared" si="5"/>
        <v/>
      </c>
      <c r="Q25" s="6"/>
      <c r="R25" s="6">
        <v>9</v>
      </c>
      <c r="S25" s="6">
        <v>52</v>
      </c>
      <c r="T25" s="6">
        <v>30</v>
      </c>
      <c r="U25" s="6">
        <f t="shared" si="7"/>
        <v>35550</v>
      </c>
      <c r="V25" s="6" t="str">
        <f t="shared" si="6"/>
        <v/>
      </c>
    </row>
    <row r="26" spans="2:22" x14ac:dyDescent="0.3">
      <c r="B26" s="64">
        <v>21</v>
      </c>
      <c r="C26" s="151">
        <v>21</v>
      </c>
      <c r="D26" s="4">
        <v>8100000</v>
      </c>
      <c r="E26" s="6" t="str">
        <f t="shared" si="0"/>
        <v/>
      </c>
      <c r="F26" s="4">
        <v>8100000</v>
      </c>
      <c r="G26" s="6" t="str">
        <f t="shared" si="1"/>
        <v/>
      </c>
      <c r="H26" s="4">
        <v>1600000</v>
      </c>
      <c r="I26" s="6" t="str">
        <f t="shared" si="2"/>
        <v/>
      </c>
      <c r="J26" s="4">
        <v>400000</v>
      </c>
      <c r="K26" s="6" t="str">
        <f t="shared" si="3"/>
        <v/>
      </c>
      <c r="L26" s="6"/>
      <c r="M26" s="6" t="str">
        <f t="shared" si="4"/>
        <v/>
      </c>
      <c r="N26" s="6"/>
      <c r="O26" s="6" t="str">
        <f t="shared" si="5"/>
        <v/>
      </c>
      <c r="Q26" s="6"/>
      <c r="R26" s="6">
        <v>12</v>
      </c>
      <c r="S26" s="6">
        <v>50</v>
      </c>
      <c r="T26" s="6"/>
      <c r="U26" s="6">
        <f t="shared" si="7"/>
        <v>46200</v>
      </c>
      <c r="V26" s="6" t="str">
        <f t="shared" si="6"/>
        <v/>
      </c>
    </row>
    <row r="27" spans="2:22" x14ac:dyDescent="0.3">
      <c r="B27" s="64">
        <v>22</v>
      </c>
      <c r="C27" s="151">
        <v>22</v>
      </c>
      <c r="D27" s="4">
        <v>10000000</v>
      </c>
      <c r="E27" s="6" t="str">
        <f t="shared" si="0"/>
        <v/>
      </c>
      <c r="F27" s="4">
        <v>10000000</v>
      </c>
      <c r="G27" s="6" t="str">
        <f t="shared" si="1"/>
        <v/>
      </c>
      <c r="H27" s="4">
        <v>2100000</v>
      </c>
      <c r="I27" s="6" t="str">
        <f t="shared" si="2"/>
        <v/>
      </c>
      <c r="J27" s="4">
        <v>540000</v>
      </c>
      <c r="K27" s="6" t="str">
        <f t="shared" si="3"/>
        <v/>
      </c>
      <c r="L27" s="6"/>
      <c r="M27" s="6" t="str">
        <f t="shared" si="4"/>
        <v/>
      </c>
      <c r="N27" s="6"/>
      <c r="O27" s="6" t="str">
        <f t="shared" si="5"/>
        <v/>
      </c>
      <c r="Q27" s="6"/>
      <c r="R27" s="6">
        <v>19</v>
      </c>
      <c r="S27" s="6">
        <v>15</v>
      </c>
      <c r="T27" s="6">
        <v>30</v>
      </c>
      <c r="U27" s="6">
        <f t="shared" si="7"/>
        <v>69330</v>
      </c>
      <c r="V27" s="6" t="str">
        <f t="shared" si="6"/>
        <v/>
      </c>
    </row>
    <row r="28" spans="2:22" x14ac:dyDescent="0.3">
      <c r="B28" s="64">
        <v>23</v>
      </c>
      <c r="C28" s="151">
        <v>23</v>
      </c>
      <c r="D28" s="4">
        <v>13000000</v>
      </c>
      <c r="E28" s="6" t="str">
        <f t="shared" si="0"/>
        <v/>
      </c>
      <c r="F28" s="4">
        <v>13000000</v>
      </c>
      <c r="G28" s="6" t="str">
        <f t="shared" si="1"/>
        <v/>
      </c>
      <c r="H28" s="4">
        <v>2600000</v>
      </c>
      <c r="I28" s="6" t="str">
        <f t="shared" si="2"/>
        <v/>
      </c>
      <c r="J28" s="4">
        <v>670000</v>
      </c>
      <c r="K28" s="6" t="str">
        <f t="shared" si="3"/>
        <v/>
      </c>
      <c r="L28" s="6"/>
      <c r="M28" s="6" t="str">
        <f t="shared" si="4"/>
        <v/>
      </c>
      <c r="N28" s="6"/>
      <c r="O28" s="6" t="str">
        <f t="shared" si="5"/>
        <v/>
      </c>
      <c r="Q28" s="6">
        <v>1</v>
      </c>
      <c r="R28" s="6">
        <v>2</v>
      </c>
      <c r="S28" s="6">
        <v>57</v>
      </c>
      <c r="T28" s="6"/>
      <c r="U28" s="6">
        <f t="shared" si="7"/>
        <v>97020</v>
      </c>
      <c r="V28" s="6" t="str">
        <f t="shared" si="6"/>
        <v/>
      </c>
    </row>
    <row r="29" spans="2:22" x14ac:dyDescent="0.3">
      <c r="B29" s="64">
        <v>24</v>
      </c>
      <c r="C29" s="151">
        <v>24</v>
      </c>
      <c r="D29" s="4">
        <v>18000000</v>
      </c>
      <c r="E29" s="6" t="str">
        <f t="shared" si="0"/>
        <v/>
      </c>
      <c r="F29" s="4">
        <v>18000000</v>
      </c>
      <c r="G29" s="6" t="str">
        <f t="shared" si="1"/>
        <v/>
      </c>
      <c r="H29" s="4">
        <v>3600000</v>
      </c>
      <c r="I29" s="6" t="str">
        <f t="shared" si="2"/>
        <v/>
      </c>
      <c r="J29" s="4">
        <v>900000</v>
      </c>
      <c r="K29" s="6" t="str">
        <f t="shared" si="3"/>
        <v/>
      </c>
      <c r="L29" s="6"/>
      <c r="M29" s="6" t="str">
        <f t="shared" si="4"/>
        <v/>
      </c>
      <c r="N29" s="6"/>
      <c r="O29" s="6" t="str">
        <f t="shared" si="5"/>
        <v/>
      </c>
      <c r="Q29" s="6">
        <v>1</v>
      </c>
      <c r="R29" s="6">
        <v>13</v>
      </c>
      <c r="S29" s="6">
        <v>44</v>
      </c>
      <c r="T29" s="6"/>
      <c r="U29" s="6">
        <f t="shared" si="7"/>
        <v>135840</v>
      </c>
      <c r="V29" s="6" t="str">
        <f t="shared" si="6"/>
        <v/>
      </c>
    </row>
    <row r="30" spans="2:22" x14ac:dyDescent="0.3">
      <c r="B30" s="64">
        <v>25</v>
      </c>
      <c r="C30" s="151">
        <v>25</v>
      </c>
      <c r="D30" s="4">
        <v>24000000</v>
      </c>
      <c r="E30" s="6" t="str">
        <f t="shared" si="0"/>
        <v/>
      </c>
      <c r="F30" s="4">
        <v>24000000</v>
      </c>
      <c r="G30" s="6" t="str">
        <f t="shared" si="1"/>
        <v/>
      </c>
      <c r="H30" s="4">
        <v>4900000</v>
      </c>
      <c r="I30" s="6" t="str">
        <f t="shared" si="2"/>
        <v/>
      </c>
      <c r="J30" s="4">
        <v>1200000</v>
      </c>
      <c r="K30" s="6" t="str">
        <f t="shared" si="3"/>
        <v/>
      </c>
      <c r="L30" s="6"/>
      <c r="M30" s="6" t="str">
        <f t="shared" si="4"/>
        <v/>
      </c>
      <c r="N30" s="6"/>
      <c r="O30" s="6" t="str">
        <f t="shared" si="5"/>
        <v/>
      </c>
      <c r="Q30" s="6">
        <v>2</v>
      </c>
      <c r="R30" s="6">
        <v>4</v>
      </c>
      <c r="S30" s="6">
        <v>50</v>
      </c>
      <c r="T30" s="6"/>
      <c r="U30" s="6">
        <f t="shared" si="7"/>
        <v>190200</v>
      </c>
      <c r="V30" s="6" t="str">
        <f t="shared" si="6"/>
        <v/>
      </c>
    </row>
    <row r="31" spans="2:22" x14ac:dyDescent="0.3">
      <c r="B31" s="64">
        <v>26</v>
      </c>
      <c r="C31" s="151">
        <v>26</v>
      </c>
      <c r="D31" s="4">
        <v>31000000</v>
      </c>
      <c r="E31" s="6" t="str">
        <f t="shared" si="0"/>
        <v/>
      </c>
      <c r="F31" s="4">
        <v>31000000</v>
      </c>
      <c r="G31" s="6" t="str">
        <f t="shared" si="1"/>
        <v/>
      </c>
      <c r="H31" s="4">
        <v>6300000</v>
      </c>
      <c r="I31" s="6" t="str">
        <f t="shared" si="2"/>
        <v/>
      </c>
      <c r="J31" s="4">
        <v>1500000</v>
      </c>
      <c r="K31" s="6" t="str">
        <f t="shared" si="3"/>
        <v/>
      </c>
      <c r="L31" s="6"/>
      <c r="M31" s="6" t="str">
        <f t="shared" si="4"/>
        <v/>
      </c>
      <c r="N31" s="6"/>
      <c r="O31" s="6" t="str">
        <f t="shared" si="5"/>
        <v/>
      </c>
      <c r="Q31" s="6">
        <v>2</v>
      </c>
      <c r="R31" s="6">
        <v>12</v>
      </c>
      <c r="S31" s="6">
        <v>46</v>
      </c>
      <c r="T31" s="6"/>
      <c r="U31" s="6">
        <f t="shared" si="7"/>
        <v>218760</v>
      </c>
      <c r="V31" s="6" t="str">
        <f t="shared" si="6"/>
        <v/>
      </c>
    </row>
    <row r="32" spans="2:22" x14ac:dyDescent="0.3">
      <c r="B32" s="64">
        <v>27</v>
      </c>
      <c r="C32" s="151">
        <v>27</v>
      </c>
      <c r="D32" s="4">
        <v>44000000</v>
      </c>
      <c r="E32" s="6" t="str">
        <f t="shared" si="0"/>
        <v/>
      </c>
      <c r="F32" s="4">
        <v>44000000</v>
      </c>
      <c r="G32" s="6" t="str">
        <f t="shared" si="1"/>
        <v/>
      </c>
      <c r="H32" s="4">
        <v>8900000</v>
      </c>
      <c r="I32" s="6" t="str">
        <f t="shared" si="2"/>
        <v/>
      </c>
      <c r="J32" s="4">
        <v>2200000</v>
      </c>
      <c r="K32" s="6" t="str">
        <f t="shared" si="3"/>
        <v/>
      </c>
      <c r="L32" s="6"/>
      <c r="M32" s="6" t="str">
        <f t="shared" si="4"/>
        <v/>
      </c>
      <c r="N32" s="6"/>
      <c r="O32" s="6" t="str">
        <f t="shared" si="5"/>
        <v/>
      </c>
      <c r="Q32" s="6">
        <v>3</v>
      </c>
      <c r="R32" s="6"/>
      <c r="S32" s="6">
        <v>55</v>
      </c>
      <c r="T32" s="6"/>
      <c r="U32" s="6">
        <f t="shared" si="7"/>
        <v>262500</v>
      </c>
      <c r="V32" s="6" t="str">
        <f t="shared" si="6"/>
        <v/>
      </c>
    </row>
    <row r="33" spans="2:22" x14ac:dyDescent="0.3">
      <c r="B33" s="64">
        <v>28</v>
      </c>
      <c r="C33" s="151">
        <v>28</v>
      </c>
      <c r="D33" s="4">
        <v>59000000</v>
      </c>
      <c r="E33" s="6" t="str">
        <f t="shared" si="0"/>
        <v/>
      </c>
      <c r="F33" s="4">
        <v>59000000</v>
      </c>
      <c r="G33" s="6" t="str">
        <f t="shared" si="1"/>
        <v/>
      </c>
      <c r="H33" s="4">
        <v>11000000</v>
      </c>
      <c r="I33" s="6" t="str">
        <f t="shared" si="2"/>
        <v/>
      </c>
      <c r="J33" s="4">
        <v>2900000</v>
      </c>
      <c r="K33" s="6" t="str">
        <f t="shared" si="3"/>
        <v/>
      </c>
      <c r="L33" s="6"/>
      <c r="M33" s="6" t="str">
        <f t="shared" si="4"/>
        <v/>
      </c>
      <c r="N33" s="6"/>
      <c r="O33" s="6" t="str">
        <f t="shared" si="5"/>
        <v/>
      </c>
      <c r="Q33" s="6">
        <v>3</v>
      </c>
      <c r="R33" s="6">
        <v>11</v>
      </c>
      <c r="S33" s="6">
        <v>51</v>
      </c>
      <c r="T33" s="6"/>
      <c r="U33" s="6">
        <f t="shared" si="7"/>
        <v>301860</v>
      </c>
      <c r="V33" s="6" t="str">
        <f t="shared" si="6"/>
        <v/>
      </c>
    </row>
    <row r="34" spans="2:22" x14ac:dyDescent="0.3">
      <c r="B34" s="64">
        <v>29</v>
      </c>
      <c r="C34" s="151">
        <v>29</v>
      </c>
      <c r="D34" s="4">
        <v>73000000</v>
      </c>
      <c r="E34" s="6" t="str">
        <f t="shared" si="0"/>
        <v/>
      </c>
      <c r="F34" s="4">
        <v>73000000</v>
      </c>
      <c r="G34" s="6" t="str">
        <f t="shared" si="1"/>
        <v/>
      </c>
      <c r="H34" s="4">
        <v>18000000</v>
      </c>
      <c r="I34" s="6" t="str">
        <f t="shared" si="2"/>
        <v/>
      </c>
      <c r="J34" s="4">
        <v>4500000</v>
      </c>
      <c r="K34" s="6" t="str">
        <f t="shared" si="3"/>
        <v/>
      </c>
      <c r="L34" s="6"/>
      <c r="M34" s="6" t="str">
        <f t="shared" si="4"/>
        <v/>
      </c>
      <c r="N34" s="6"/>
      <c r="O34" s="6" t="str">
        <f t="shared" si="5"/>
        <v/>
      </c>
      <c r="Q34" s="6">
        <v>4</v>
      </c>
      <c r="R34" s="6"/>
      <c r="S34" s="6">
        <v>26</v>
      </c>
      <c r="T34" s="6"/>
      <c r="U34" s="6">
        <f t="shared" si="7"/>
        <v>347160</v>
      </c>
      <c r="V34" s="6" t="str">
        <f t="shared" si="6"/>
        <v/>
      </c>
    </row>
    <row r="35" spans="2:22" x14ac:dyDescent="0.3">
      <c r="B35" s="64">
        <v>30</v>
      </c>
      <c r="C35" s="151">
        <v>30</v>
      </c>
      <c r="D35" s="4">
        <v>90000000</v>
      </c>
      <c r="E35" s="6" t="str">
        <f t="shared" si="0"/>
        <v/>
      </c>
      <c r="F35" s="4">
        <v>90000000</v>
      </c>
      <c r="G35" s="6" t="str">
        <f t="shared" si="1"/>
        <v/>
      </c>
      <c r="H35" s="4">
        <v>18000000</v>
      </c>
      <c r="I35" s="6" t="str">
        <f t="shared" si="2"/>
        <v/>
      </c>
      <c r="J35" s="4">
        <v>4500000</v>
      </c>
      <c r="K35" s="6" t="str">
        <f t="shared" si="3"/>
        <v/>
      </c>
      <c r="L35" s="6"/>
      <c r="M35" s="6" t="str">
        <f t="shared" si="4"/>
        <v/>
      </c>
      <c r="N35" s="6"/>
      <c r="O35" s="6" t="str">
        <f t="shared" si="5"/>
        <v/>
      </c>
      <c r="Q35" s="6">
        <v>4</v>
      </c>
      <c r="R35" s="6">
        <v>19</v>
      </c>
      <c r="S35" s="6">
        <v>44</v>
      </c>
      <c r="T35" s="6"/>
      <c r="U35" s="6">
        <f t="shared" si="7"/>
        <v>416640</v>
      </c>
      <c r="V35" s="6" t="str">
        <f t="shared" si="6"/>
        <v/>
      </c>
    </row>
    <row r="36" spans="2:22" x14ac:dyDescent="0.3">
      <c r="B36" s="64" t="s">
        <v>34</v>
      </c>
      <c r="C36" s="151">
        <v>31</v>
      </c>
      <c r="D36" s="4">
        <v>20000000</v>
      </c>
      <c r="E36" s="6" t="str">
        <f t="shared" si="0"/>
        <v/>
      </c>
      <c r="F36" s="4">
        <v>20000000</v>
      </c>
      <c r="G36" s="6" t="str">
        <f t="shared" si="1"/>
        <v/>
      </c>
      <c r="H36" s="4">
        <v>4000000</v>
      </c>
      <c r="I36" s="6" t="str">
        <f t="shared" si="2"/>
        <v/>
      </c>
      <c r="J36" s="4">
        <v>1000000</v>
      </c>
      <c r="K36" s="6" t="str">
        <f t="shared" si="3"/>
        <v/>
      </c>
      <c r="L36" s="6">
        <v>26</v>
      </c>
      <c r="M36" s="6" t="str">
        <f t="shared" si="4"/>
        <v/>
      </c>
      <c r="N36" s="6"/>
      <c r="O36" s="6" t="str">
        <f t="shared" si="5"/>
        <v/>
      </c>
      <c r="Q36" s="6"/>
      <c r="R36" s="6">
        <v>20</v>
      </c>
      <c r="S36" s="6">
        <v>9</v>
      </c>
      <c r="T36" s="6">
        <v>30</v>
      </c>
      <c r="U36" s="6">
        <f t="shared" si="7"/>
        <v>72570</v>
      </c>
      <c r="V36" s="6" t="str">
        <f t="shared" si="6"/>
        <v/>
      </c>
    </row>
    <row r="37" spans="2:22" x14ac:dyDescent="0.3">
      <c r="B37" s="64" t="s">
        <v>35</v>
      </c>
      <c r="C37" s="151">
        <v>32</v>
      </c>
      <c r="D37" s="4">
        <v>20000000</v>
      </c>
      <c r="E37" s="6" t="str">
        <f t="shared" si="0"/>
        <v/>
      </c>
      <c r="F37" s="4">
        <v>20000000</v>
      </c>
      <c r="G37" s="6" t="str">
        <f t="shared" si="1"/>
        <v/>
      </c>
      <c r="H37" s="4">
        <v>4000000</v>
      </c>
      <c r="I37" s="6" t="str">
        <f t="shared" si="2"/>
        <v/>
      </c>
      <c r="J37" s="4">
        <v>1000000</v>
      </c>
      <c r="K37" s="6" t="str">
        <f t="shared" si="3"/>
        <v/>
      </c>
      <c r="L37" s="6">
        <v>26</v>
      </c>
      <c r="M37" s="6" t="str">
        <f t="shared" si="4"/>
        <v/>
      </c>
      <c r="N37" s="6"/>
      <c r="O37" s="6" t="str">
        <f t="shared" si="5"/>
        <v/>
      </c>
      <c r="Q37" s="6"/>
      <c r="R37" s="6">
        <v>20</v>
      </c>
      <c r="S37" s="6">
        <v>9</v>
      </c>
      <c r="T37" s="6">
        <v>30</v>
      </c>
      <c r="U37" s="6">
        <f t="shared" si="7"/>
        <v>72570</v>
      </c>
      <c r="V37" s="6" t="str">
        <f t="shared" si="6"/>
        <v/>
      </c>
    </row>
    <row r="38" spans="2:22" x14ac:dyDescent="0.3">
      <c r="B38" s="64" t="s">
        <v>36</v>
      </c>
      <c r="C38" s="151">
        <v>33</v>
      </c>
      <c r="D38" s="4">
        <v>20000000</v>
      </c>
      <c r="E38" s="6" t="str">
        <f t="shared" ref="E38:E69" si="8">IF($C38&gt;VLOOKUP(CommCtrDesired,$B$6:$C$85,2,FALSE),"",IF($C38&gt;VLOOKUP(CommCtrCurrent,$B$6:$C$85,2,FALSE),D38,""))</f>
        <v/>
      </c>
      <c r="F38" s="4">
        <v>20000000</v>
      </c>
      <c r="G38" s="6" t="str">
        <f t="shared" ref="G38:G69" si="9">IF($C38&gt;VLOOKUP(CommCtrDesired,$B$6:$C$85,2,FALSE),"",IF($C38&gt;VLOOKUP(CommCtrCurrent,$B$6:$C$85,2,FALSE),F38,""))</f>
        <v/>
      </c>
      <c r="H38" s="4">
        <v>4000000</v>
      </c>
      <c r="I38" s="6" t="str">
        <f t="shared" ref="I38:I69" si="10">IF($C38&gt;VLOOKUP(CommCtrDesired,$B$6:$C$85,2,FALSE),"",IF($C38&gt;VLOOKUP(CommCtrCurrent,$B$6:$C$85,2,FALSE),H38,""))</f>
        <v/>
      </c>
      <c r="J38" s="4">
        <v>1000000</v>
      </c>
      <c r="K38" s="6" t="str">
        <f t="shared" ref="K38:K69" si="11">IF($C38&gt;VLOOKUP(CommCtrDesired,$B$6:$C$85,2,FALSE),"",IF($C38&gt;VLOOKUP(CommCtrCurrent,$B$6:$C$85,2,FALSE),J38,""))</f>
        <v/>
      </c>
      <c r="L38" s="6">
        <v>26</v>
      </c>
      <c r="M38" s="6" t="str">
        <f t="shared" ref="M38:M69" si="12">IF($C38&gt;VLOOKUP(CommCtrDesired,$B$6:$C$85,2,FALSE),"",IF($C38&gt;VLOOKUP(CommCtrCurrent,$B$6:$C$85,2,FALSE),L38,""))</f>
        <v/>
      </c>
      <c r="N38" s="6"/>
      <c r="O38" s="6" t="str">
        <f t="shared" ref="O38:O69" si="13">IF($C38&gt;VLOOKUP(CommCtrDesired,$B$6:$C$85,2,FALSE),"",IF($C38&gt;VLOOKUP(CommCtrCurrent,$B$6:$C$85,2,FALSE),N38,""))</f>
        <v/>
      </c>
      <c r="Q38" s="6"/>
      <c r="R38" s="6">
        <v>20</v>
      </c>
      <c r="S38" s="6">
        <v>9</v>
      </c>
      <c r="T38" s="6">
        <v>30</v>
      </c>
      <c r="U38" s="6">
        <f t="shared" si="7"/>
        <v>72570</v>
      </c>
      <c r="V38" s="6" t="str">
        <f t="shared" ref="V38:V69" si="14">IF($C38&gt;VLOOKUP(CommCtrDesired,$B$6:$C$85,2,FALSE),"",IF($C38&gt;VLOOKUP(CommCtrCurrent,$B$6:$C$85,2,FALSE),U38,""))</f>
        <v/>
      </c>
    </row>
    <row r="39" spans="2:22" x14ac:dyDescent="0.3">
      <c r="B39" s="64" t="s">
        <v>37</v>
      </c>
      <c r="C39" s="151">
        <v>34</v>
      </c>
      <c r="D39" s="4">
        <v>20000000</v>
      </c>
      <c r="E39" s="6" t="str">
        <f t="shared" si="8"/>
        <v/>
      </c>
      <c r="F39" s="4">
        <v>20000000</v>
      </c>
      <c r="G39" s="6" t="str">
        <f t="shared" si="9"/>
        <v/>
      </c>
      <c r="H39" s="4">
        <v>4000000</v>
      </c>
      <c r="I39" s="6" t="str">
        <f t="shared" si="10"/>
        <v/>
      </c>
      <c r="J39" s="4">
        <v>1000000</v>
      </c>
      <c r="K39" s="6" t="str">
        <f t="shared" si="11"/>
        <v/>
      </c>
      <c r="L39" s="6">
        <v>26</v>
      </c>
      <c r="M39" s="6" t="str">
        <f t="shared" si="12"/>
        <v/>
      </c>
      <c r="N39" s="6"/>
      <c r="O39" s="6" t="str">
        <f t="shared" si="13"/>
        <v/>
      </c>
      <c r="Q39" s="6"/>
      <c r="R39" s="6">
        <v>20</v>
      </c>
      <c r="S39" s="6">
        <v>9</v>
      </c>
      <c r="T39" s="6">
        <v>30</v>
      </c>
      <c r="U39" s="6">
        <f t="shared" si="7"/>
        <v>72570</v>
      </c>
      <c r="V39" s="6" t="str">
        <f t="shared" si="14"/>
        <v/>
      </c>
    </row>
    <row r="40" spans="2:22" x14ac:dyDescent="0.3">
      <c r="B40" s="64" t="s">
        <v>38</v>
      </c>
      <c r="C40" s="151">
        <v>35</v>
      </c>
      <c r="D40" s="4">
        <v>20000000</v>
      </c>
      <c r="E40" s="6" t="str">
        <f t="shared" si="8"/>
        <v/>
      </c>
      <c r="F40" s="4">
        <v>20000000</v>
      </c>
      <c r="G40" s="6" t="str">
        <f t="shared" si="9"/>
        <v/>
      </c>
      <c r="H40" s="4">
        <v>4000000</v>
      </c>
      <c r="I40" s="6" t="str">
        <f t="shared" si="10"/>
        <v/>
      </c>
      <c r="J40" s="4">
        <v>1000000</v>
      </c>
      <c r="K40" s="6" t="str">
        <f t="shared" si="11"/>
        <v/>
      </c>
      <c r="L40" s="6">
        <v>26</v>
      </c>
      <c r="M40" s="6" t="str">
        <f t="shared" si="12"/>
        <v/>
      </c>
      <c r="N40" s="6"/>
      <c r="O40" s="6" t="str">
        <f t="shared" si="13"/>
        <v/>
      </c>
      <c r="Q40" s="6"/>
      <c r="R40" s="6">
        <v>20</v>
      </c>
      <c r="S40" s="6">
        <v>9</v>
      </c>
      <c r="T40" s="6">
        <v>30</v>
      </c>
      <c r="U40" s="6">
        <f t="shared" si="7"/>
        <v>72570</v>
      </c>
      <c r="V40" s="6" t="str">
        <f t="shared" si="14"/>
        <v/>
      </c>
    </row>
    <row r="41" spans="2:22" x14ac:dyDescent="0.3">
      <c r="B41" s="64" t="s">
        <v>39</v>
      </c>
      <c r="C41" s="151">
        <v>36</v>
      </c>
      <c r="D41" s="4">
        <v>21000000</v>
      </c>
      <c r="E41" s="6" t="str">
        <f t="shared" si="8"/>
        <v/>
      </c>
      <c r="F41" s="4">
        <v>21000000</v>
      </c>
      <c r="G41" s="6" t="str">
        <f t="shared" si="9"/>
        <v/>
      </c>
      <c r="H41" s="4">
        <v>4300000</v>
      </c>
      <c r="I41" s="6" t="str">
        <f t="shared" si="10"/>
        <v/>
      </c>
      <c r="J41" s="4">
        <v>1000000</v>
      </c>
      <c r="K41" s="6" t="str">
        <f t="shared" si="11"/>
        <v/>
      </c>
      <c r="L41" s="6">
        <v>31</v>
      </c>
      <c r="M41" s="6" t="str">
        <f t="shared" si="12"/>
        <v/>
      </c>
      <c r="N41" s="6"/>
      <c r="O41" s="6" t="str">
        <f t="shared" si="13"/>
        <v/>
      </c>
      <c r="Q41" s="6">
        <v>1</v>
      </c>
      <c r="R41" s="6">
        <v>1</v>
      </c>
      <c r="S41" s="6">
        <v>55</v>
      </c>
      <c r="T41" s="6"/>
      <c r="U41" s="6">
        <f t="shared" si="7"/>
        <v>93300</v>
      </c>
      <c r="V41" s="6" t="str">
        <f t="shared" si="14"/>
        <v/>
      </c>
    </row>
    <row r="42" spans="2:22" x14ac:dyDescent="0.3">
      <c r="B42" s="64" t="s">
        <v>40</v>
      </c>
      <c r="C42" s="151">
        <v>37</v>
      </c>
      <c r="D42" s="4">
        <v>21000000</v>
      </c>
      <c r="E42" s="6" t="str">
        <f t="shared" si="8"/>
        <v/>
      </c>
      <c r="F42" s="4">
        <v>21000000</v>
      </c>
      <c r="G42" s="6" t="str">
        <f t="shared" si="9"/>
        <v/>
      </c>
      <c r="H42" s="4">
        <v>4300000</v>
      </c>
      <c r="I42" s="6" t="str">
        <f t="shared" si="10"/>
        <v/>
      </c>
      <c r="J42" s="4">
        <v>1000000</v>
      </c>
      <c r="K42" s="6" t="str">
        <f t="shared" si="11"/>
        <v/>
      </c>
      <c r="L42" s="6">
        <v>31</v>
      </c>
      <c r="M42" s="6" t="str">
        <f t="shared" si="12"/>
        <v/>
      </c>
      <c r="N42" s="6"/>
      <c r="O42" s="6" t="str">
        <f t="shared" si="13"/>
        <v/>
      </c>
      <c r="Q42" s="6">
        <v>1</v>
      </c>
      <c r="R42" s="6">
        <v>1</v>
      </c>
      <c r="S42" s="6">
        <v>55</v>
      </c>
      <c r="T42" s="6"/>
      <c r="U42" s="6">
        <f t="shared" si="7"/>
        <v>93300</v>
      </c>
      <c r="V42" s="6" t="str">
        <f t="shared" si="14"/>
        <v/>
      </c>
    </row>
    <row r="43" spans="2:22" x14ac:dyDescent="0.3">
      <c r="B43" s="64" t="s">
        <v>41</v>
      </c>
      <c r="C43" s="151">
        <v>38</v>
      </c>
      <c r="D43" s="4">
        <v>21000000</v>
      </c>
      <c r="E43" s="6" t="str">
        <f t="shared" si="8"/>
        <v/>
      </c>
      <c r="F43" s="4">
        <v>21000000</v>
      </c>
      <c r="G43" s="6" t="str">
        <f t="shared" si="9"/>
        <v/>
      </c>
      <c r="H43" s="4">
        <v>4300000</v>
      </c>
      <c r="I43" s="6" t="str">
        <f t="shared" si="10"/>
        <v/>
      </c>
      <c r="J43" s="4">
        <v>1000000</v>
      </c>
      <c r="K43" s="6" t="str">
        <f t="shared" si="11"/>
        <v/>
      </c>
      <c r="L43" s="6">
        <v>31</v>
      </c>
      <c r="M43" s="6" t="str">
        <f t="shared" si="12"/>
        <v/>
      </c>
      <c r="N43" s="6"/>
      <c r="O43" s="6" t="str">
        <f t="shared" si="13"/>
        <v/>
      </c>
      <c r="Q43" s="6">
        <v>1</v>
      </c>
      <c r="R43" s="6">
        <v>1</v>
      </c>
      <c r="S43" s="6">
        <v>55</v>
      </c>
      <c r="T43" s="6"/>
      <c r="U43" s="6">
        <f t="shared" si="7"/>
        <v>93300</v>
      </c>
      <c r="V43" s="6" t="str">
        <f t="shared" si="14"/>
        <v/>
      </c>
    </row>
    <row r="44" spans="2:22" x14ac:dyDescent="0.3">
      <c r="B44" s="64" t="s">
        <v>42</v>
      </c>
      <c r="C44" s="151">
        <v>39</v>
      </c>
      <c r="D44" s="4">
        <v>21000000</v>
      </c>
      <c r="E44" s="6" t="str">
        <f t="shared" si="8"/>
        <v/>
      </c>
      <c r="F44" s="4">
        <v>21000000</v>
      </c>
      <c r="G44" s="6" t="str">
        <f t="shared" si="9"/>
        <v/>
      </c>
      <c r="H44" s="4">
        <v>4300000</v>
      </c>
      <c r="I44" s="6" t="str">
        <f t="shared" si="10"/>
        <v/>
      </c>
      <c r="J44" s="4">
        <v>1000000</v>
      </c>
      <c r="K44" s="6" t="str">
        <f t="shared" si="11"/>
        <v/>
      </c>
      <c r="L44" s="6">
        <v>31</v>
      </c>
      <c r="M44" s="6" t="str">
        <f t="shared" si="12"/>
        <v/>
      </c>
      <c r="N44" s="6"/>
      <c r="O44" s="6" t="str">
        <f t="shared" si="13"/>
        <v/>
      </c>
      <c r="Q44" s="6">
        <v>1</v>
      </c>
      <c r="R44" s="6">
        <v>1</v>
      </c>
      <c r="S44" s="6">
        <v>55</v>
      </c>
      <c r="T44" s="6"/>
      <c r="U44" s="6">
        <f t="shared" si="7"/>
        <v>93300</v>
      </c>
      <c r="V44" s="6" t="str">
        <f t="shared" si="14"/>
        <v/>
      </c>
    </row>
    <row r="45" spans="2:22" x14ac:dyDescent="0.3">
      <c r="B45" s="64" t="s">
        <v>43</v>
      </c>
      <c r="C45" s="151">
        <v>40</v>
      </c>
      <c r="D45" s="4">
        <v>21000000</v>
      </c>
      <c r="E45" s="6" t="str">
        <f t="shared" si="8"/>
        <v/>
      </c>
      <c r="F45" s="4">
        <v>21000000</v>
      </c>
      <c r="G45" s="6" t="str">
        <f t="shared" si="9"/>
        <v/>
      </c>
      <c r="H45" s="4">
        <v>4300000</v>
      </c>
      <c r="I45" s="6" t="str">
        <f t="shared" si="10"/>
        <v/>
      </c>
      <c r="J45" s="4">
        <v>1000000</v>
      </c>
      <c r="K45" s="6" t="str">
        <f t="shared" si="11"/>
        <v/>
      </c>
      <c r="L45" s="6">
        <v>31</v>
      </c>
      <c r="M45" s="6" t="str">
        <f t="shared" si="12"/>
        <v/>
      </c>
      <c r="N45" s="6"/>
      <c r="O45" s="6" t="str">
        <f t="shared" si="13"/>
        <v/>
      </c>
      <c r="Q45" s="6">
        <v>1</v>
      </c>
      <c r="R45" s="6">
        <v>1</v>
      </c>
      <c r="S45" s="6">
        <v>55</v>
      </c>
      <c r="T45" s="6"/>
      <c r="U45" s="6">
        <f t="shared" si="7"/>
        <v>93300</v>
      </c>
      <c r="V45" s="6" t="str">
        <f t="shared" si="14"/>
        <v/>
      </c>
    </row>
    <row r="46" spans="2:22" x14ac:dyDescent="0.3">
      <c r="B46" s="64" t="s">
        <v>44</v>
      </c>
      <c r="C46" s="151">
        <v>41</v>
      </c>
      <c r="D46" s="4">
        <v>23000000</v>
      </c>
      <c r="E46" s="6" t="str">
        <f t="shared" si="8"/>
        <v/>
      </c>
      <c r="F46" s="4">
        <v>23000000</v>
      </c>
      <c r="G46" s="6" t="str">
        <f t="shared" si="9"/>
        <v/>
      </c>
      <c r="H46" s="4">
        <v>4700000</v>
      </c>
      <c r="I46" s="6" t="str">
        <f t="shared" si="10"/>
        <v/>
      </c>
      <c r="J46" s="4">
        <v>1100000</v>
      </c>
      <c r="K46" s="6" t="str">
        <f t="shared" si="11"/>
        <v/>
      </c>
      <c r="L46" s="6">
        <v>47</v>
      </c>
      <c r="M46" s="6" t="str">
        <f t="shared" si="12"/>
        <v/>
      </c>
      <c r="N46" s="6"/>
      <c r="O46" s="6" t="str">
        <f t="shared" si="13"/>
        <v/>
      </c>
      <c r="Q46" s="6">
        <v>1</v>
      </c>
      <c r="R46" s="6">
        <v>7</v>
      </c>
      <c r="S46" s="6">
        <v>40</v>
      </c>
      <c r="T46" s="6"/>
      <c r="U46" s="6">
        <f t="shared" si="7"/>
        <v>114000</v>
      </c>
      <c r="V46" s="6" t="str">
        <f t="shared" si="14"/>
        <v/>
      </c>
    </row>
    <row r="47" spans="2:22" x14ac:dyDescent="0.3">
      <c r="B47" s="64" t="s">
        <v>45</v>
      </c>
      <c r="C47" s="151">
        <v>42</v>
      </c>
      <c r="D47" s="4">
        <v>23000000</v>
      </c>
      <c r="E47" s="6" t="str">
        <f t="shared" si="8"/>
        <v/>
      </c>
      <c r="F47" s="4">
        <v>23000000</v>
      </c>
      <c r="G47" s="6" t="str">
        <f t="shared" si="9"/>
        <v/>
      </c>
      <c r="H47" s="4">
        <v>4700000</v>
      </c>
      <c r="I47" s="6" t="str">
        <f t="shared" si="10"/>
        <v/>
      </c>
      <c r="J47" s="4">
        <v>1100000</v>
      </c>
      <c r="K47" s="6" t="str">
        <f t="shared" si="11"/>
        <v/>
      </c>
      <c r="L47" s="6">
        <v>47</v>
      </c>
      <c r="M47" s="6" t="str">
        <f t="shared" si="12"/>
        <v/>
      </c>
      <c r="N47" s="6"/>
      <c r="O47" s="6" t="str">
        <f t="shared" si="13"/>
        <v/>
      </c>
      <c r="Q47" s="6">
        <v>1</v>
      </c>
      <c r="R47" s="6">
        <v>7</v>
      </c>
      <c r="S47" s="6">
        <v>40</v>
      </c>
      <c r="T47" s="6"/>
      <c r="U47" s="6">
        <f t="shared" si="7"/>
        <v>114000</v>
      </c>
      <c r="V47" s="6" t="str">
        <f t="shared" si="14"/>
        <v/>
      </c>
    </row>
    <row r="48" spans="2:22" x14ac:dyDescent="0.3">
      <c r="B48" s="64" t="s">
        <v>46</v>
      </c>
      <c r="C48" s="151">
        <v>43</v>
      </c>
      <c r="D48" s="4">
        <v>23000000</v>
      </c>
      <c r="E48" s="6" t="str">
        <f t="shared" si="8"/>
        <v/>
      </c>
      <c r="F48" s="4">
        <v>23000000</v>
      </c>
      <c r="G48" s="6" t="str">
        <f t="shared" si="9"/>
        <v/>
      </c>
      <c r="H48" s="4">
        <v>4700000</v>
      </c>
      <c r="I48" s="6" t="str">
        <f t="shared" si="10"/>
        <v/>
      </c>
      <c r="J48" s="4">
        <v>1100000</v>
      </c>
      <c r="K48" s="6" t="str">
        <f t="shared" si="11"/>
        <v/>
      </c>
      <c r="L48" s="6">
        <v>47</v>
      </c>
      <c r="M48" s="6" t="str">
        <f t="shared" si="12"/>
        <v/>
      </c>
      <c r="N48" s="6"/>
      <c r="O48" s="6" t="str">
        <f t="shared" si="13"/>
        <v/>
      </c>
      <c r="Q48" s="6">
        <v>1</v>
      </c>
      <c r="R48" s="6">
        <v>7</v>
      </c>
      <c r="S48" s="6">
        <v>40</v>
      </c>
      <c r="T48" s="6"/>
      <c r="U48" s="6">
        <f t="shared" si="7"/>
        <v>114000</v>
      </c>
      <c r="V48" s="6" t="str">
        <f t="shared" si="14"/>
        <v/>
      </c>
    </row>
    <row r="49" spans="2:22" x14ac:dyDescent="0.3">
      <c r="B49" s="64" t="s">
        <v>47</v>
      </c>
      <c r="C49" s="151">
        <v>44</v>
      </c>
      <c r="D49" s="4">
        <v>23000000</v>
      </c>
      <c r="E49" s="6" t="str">
        <f t="shared" si="8"/>
        <v/>
      </c>
      <c r="F49" s="4">
        <v>23000000</v>
      </c>
      <c r="G49" s="6" t="str">
        <f t="shared" si="9"/>
        <v/>
      </c>
      <c r="H49" s="4">
        <v>4700000</v>
      </c>
      <c r="I49" s="6" t="str">
        <f t="shared" si="10"/>
        <v/>
      </c>
      <c r="J49" s="4">
        <v>1100000</v>
      </c>
      <c r="K49" s="6" t="str">
        <f t="shared" si="11"/>
        <v/>
      </c>
      <c r="L49" s="6">
        <v>47</v>
      </c>
      <c r="M49" s="6" t="str">
        <f t="shared" si="12"/>
        <v/>
      </c>
      <c r="N49" s="6"/>
      <c r="O49" s="6" t="str">
        <f t="shared" si="13"/>
        <v/>
      </c>
      <c r="Q49" s="6">
        <v>1</v>
      </c>
      <c r="R49" s="6">
        <v>7</v>
      </c>
      <c r="S49" s="6">
        <v>40</v>
      </c>
      <c r="T49" s="6"/>
      <c r="U49" s="6">
        <f t="shared" si="7"/>
        <v>114000</v>
      </c>
      <c r="V49" s="6" t="str">
        <f t="shared" si="14"/>
        <v/>
      </c>
    </row>
    <row r="50" spans="2:22" x14ac:dyDescent="0.3">
      <c r="B50" s="64" t="s">
        <v>48</v>
      </c>
      <c r="C50" s="151">
        <v>45</v>
      </c>
      <c r="D50" s="4">
        <v>23000000</v>
      </c>
      <c r="E50" s="6" t="str">
        <f t="shared" si="8"/>
        <v/>
      </c>
      <c r="F50" s="4">
        <v>23000000</v>
      </c>
      <c r="G50" s="6" t="str">
        <f t="shared" si="9"/>
        <v/>
      </c>
      <c r="H50" s="4">
        <v>4700000</v>
      </c>
      <c r="I50" s="6" t="str">
        <f t="shared" si="10"/>
        <v/>
      </c>
      <c r="J50" s="4">
        <v>1100000</v>
      </c>
      <c r="K50" s="6" t="str">
        <f t="shared" si="11"/>
        <v/>
      </c>
      <c r="L50" s="6">
        <v>47</v>
      </c>
      <c r="M50" s="6" t="str">
        <f t="shared" si="12"/>
        <v/>
      </c>
      <c r="N50" s="6"/>
      <c r="O50" s="6" t="str">
        <f t="shared" si="13"/>
        <v/>
      </c>
      <c r="Q50" s="6">
        <v>1</v>
      </c>
      <c r="R50" s="6">
        <v>7</v>
      </c>
      <c r="S50" s="6">
        <v>40</v>
      </c>
      <c r="T50" s="6"/>
      <c r="U50" s="6">
        <f t="shared" si="7"/>
        <v>114000</v>
      </c>
      <c r="V50" s="6" t="str">
        <f t="shared" si="14"/>
        <v/>
      </c>
    </row>
    <row r="51" spans="2:22" x14ac:dyDescent="0.3">
      <c r="B51" s="64" t="s">
        <v>49</v>
      </c>
      <c r="C51" s="151">
        <v>46</v>
      </c>
      <c r="D51" s="4">
        <v>24000000</v>
      </c>
      <c r="E51" s="6" t="str">
        <f t="shared" si="8"/>
        <v/>
      </c>
      <c r="F51" s="4">
        <v>24000000</v>
      </c>
      <c r="G51" s="6" t="str">
        <f t="shared" si="9"/>
        <v/>
      </c>
      <c r="H51" s="4">
        <v>4900000</v>
      </c>
      <c r="I51" s="6" t="str">
        <f t="shared" si="10"/>
        <v/>
      </c>
      <c r="J51" s="4">
        <v>1200000</v>
      </c>
      <c r="K51" s="6" t="str">
        <f t="shared" si="11"/>
        <v/>
      </c>
      <c r="L51" s="6">
        <v>56</v>
      </c>
      <c r="M51" s="6" t="str">
        <f t="shared" si="12"/>
        <v/>
      </c>
      <c r="N51" s="6"/>
      <c r="O51" s="6" t="str">
        <f t="shared" si="13"/>
        <v/>
      </c>
      <c r="Q51" s="6">
        <v>1</v>
      </c>
      <c r="R51" s="6">
        <v>10</v>
      </c>
      <c r="S51" s="6">
        <v>33</v>
      </c>
      <c r="T51" s="6"/>
      <c r="U51" s="6">
        <f t="shared" si="7"/>
        <v>124380</v>
      </c>
      <c r="V51" s="6" t="str">
        <f t="shared" si="14"/>
        <v/>
      </c>
    </row>
    <row r="52" spans="2:22" x14ac:dyDescent="0.3">
      <c r="B52" s="64" t="s">
        <v>50</v>
      </c>
      <c r="C52" s="151">
        <v>47</v>
      </c>
      <c r="D52" s="4">
        <v>24000000</v>
      </c>
      <c r="E52" s="6" t="str">
        <f t="shared" si="8"/>
        <v/>
      </c>
      <c r="F52" s="4">
        <v>24000000</v>
      </c>
      <c r="G52" s="6" t="str">
        <f t="shared" si="9"/>
        <v/>
      </c>
      <c r="H52" s="4">
        <v>4900000</v>
      </c>
      <c r="I52" s="6" t="str">
        <f t="shared" si="10"/>
        <v/>
      </c>
      <c r="J52" s="4">
        <v>1200000</v>
      </c>
      <c r="K52" s="6" t="str">
        <f t="shared" si="11"/>
        <v/>
      </c>
      <c r="L52" s="6">
        <v>56</v>
      </c>
      <c r="M52" s="6" t="str">
        <f t="shared" si="12"/>
        <v/>
      </c>
      <c r="N52" s="6"/>
      <c r="O52" s="6" t="str">
        <f t="shared" si="13"/>
        <v/>
      </c>
      <c r="Q52" s="6">
        <v>1</v>
      </c>
      <c r="R52" s="6">
        <v>10</v>
      </c>
      <c r="S52" s="6">
        <v>33</v>
      </c>
      <c r="T52" s="6"/>
      <c r="U52" s="6">
        <f t="shared" si="7"/>
        <v>124380</v>
      </c>
      <c r="V52" s="6" t="str">
        <f t="shared" si="14"/>
        <v/>
      </c>
    </row>
    <row r="53" spans="2:22" x14ac:dyDescent="0.3">
      <c r="B53" s="64" t="s">
        <v>51</v>
      </c>
      <c r="C53" s="151">
        <v>48</v>
      </c>
      <c r="D53" s="4">
        <v>24000000</v>
      </c>
      <c r="E53" s="6" t="str">
        <f t="shared" si="8"/>
        <v/>
      </c>
      <c r="F53" s="4">
        <v>24000000</v>
      </c>
      <c r="G53" s="6" t="str">
        <f t="shared" si="9"/>
        <v/>
      </c>
      <c r="H53" s="4">
        <v>4900000</v>
      </c>
      <c r="I53" s="6" t="str">
        <f t="shared" si="10"/>
        <v/>
      </c>
      <c r="J53" s="4">
        <v>1200000</v>
      </c>
      <c r="K53" s="6" t="str">
        <f t="shared" si="11"/>
        <v/>
      </c>
      <c r="L53" s="6">
        <v>56</v>
      </c>
      <c r="M53" s="6" t="str">
        <f t="shared" si="12"/>
        <v/>
      </c>
      <c r="N53" s="6"/>
      <c r="O53" s="6" t="str">
        <f t="shared" si="13"/>
        <v/>
      </c>
      <c r="Q53" s="6">
        <v>1</v>
      </c>
      <c r="R53" s="6">
        <v>10</v>
      </c>
      <c r="S53" s="6">
        <v>33</v>
      </c>
      <c r="T53" s="6"/>
      <c r="U53" s="6">
        <f t="shared" si="7"/>
        <v>124380</v>
      </c>
      <c r="V53" s="6" t="str">
        <f t="shared" si="14"/>
        <v/>
      </c>
    </row>
    <row r="54" spans="2:22" x14ac:dyDescent="0.3">
      <c r="B54" s="64" t="s">
        <v>52</v>
      </c>
      <c r="C54" s="151">
        <v>49</v>
      </c>
      <c r="D54" s="4">
        <v>24000000</v>
      </c>
      <c r="E54" s="6" t="str">
        <f t="shared" si="8"/>
        <v/>
      </c>
      <c r="F54" s="4">
        <v>24000000</v>
      </c>
      <c r="G54" s="6" t="str">
        <f t="shared" si="9"/>
        <v/>
      </c>
      <c r="H54" s="4">
        <v>4900000</v>
      </c>
      <c r="I54" s="6" t="str">
        <f t="shared" si="10"/>
        <v/>
      </c>
      <c r="J54" s="4">
        <v>1200000</v>
      </c>
      <c r="K54" s="6" t="str">
        <f t="shared" si="11"/>
        <v/>
      </c>
      <c r="L54" s="6">
        <v>56</v>
      </c>
      <c r="M54" s="6" t="str">
        <f t="shared" si="12"/>
        <v/>
      </c>
      <c r="N54" s="6"/>
      <c r="O54" s="6" t="str">
        <f t="shared" si="13"/>
        <v/>
      </c>
      <c r="Q54" s="6">
        <v>1</v>
      </c>
      <c r="R54" s="6">
        <v>10</v>
      </c>
      <c r="S54" s="6">
        <v>33</v>
      </c>
      <c r="T54" s="6"/>
      <c r="U54" s="6">
        <f t="shared" si="7"/>
        <v>124380</v>
      </c>
      <c r="V54" s="6" t="str">
        <f t="shared" si="14"/>
        <v/>
      </c>
    </row>
    <row r="55" spans="2:22" x14ac:dyDescent="0.3">
      <c r="B55" s="64" t="s">
        <v>53</v>
      </c>
      <c r="C55" s="151">
        <v>50</v>
      </c>
      <c r="D55" s="4">
        <v>24000000</v>
      </c>
      <c r="E55" s="6" t="str">
        <f t="shared" si="8"/>
        <v/>
      </c>
      <c r="F55" s="4">
        <v>24000000</v>
      </c>
      <c r="G55" s="6" t="str">
        <f t="shared" si="9"/>
        <v/>
      </c>
      <c r="H55" s="4">
        <v>4900000</v>
      </c>
      <c r="I55" s="6" t="str">
        <f t="shared" si="10"/>
        <v/>
      </c>
      <c r="J55" s="4">
        <v>1200000</v>
      </c>
      <c r="K55" s="6" t="str">
        <f t="shared" si="11"/>
        <v/>
      </c>
      <c r="L55" s="6">
        <v>56</v>
      </c>
      <c r="M55" s="6" t="str">
        <f t="shared" si="12"/>
        <v/>
      </c>
      <c r="N55" s="6"/>
      <c r="O55" s="6" t="str">
        <f t="shared" si="13"/>
        <v/>
      </c>
      <c r="Q55" s="6">
        <v>1</v>
      </c>
      <c r="R55" s="6">
        <v>10</v>
      </c>
      <c r="S55" s="6">
        <v>33</v>
      </c>
      <c r="T55" s="6"/>
      <c r="U55" s="6">
        <f t="shared" si="7"/>
        <v>124380</v>
      </c>
      <c r="V55" s="6" t="str">
        <f t="shared" si="14"/>
        <v/>
      </c>
    </row>
    <row r="56" spans="2:22" x14ac:dyDescent="0.3">
      <c r="B56" s="64" t="s">
        <v>54</v>
      </c>
      <c r="C56" s="151">
        <v>51</v>
      </c>
      <c r="D56" s="4">
        <v>25000000</v>
      </c>
      <c r="E56" s="6" t="str">
        <f t="shared" si="8"/>
        <v/>
      </c>
      <c r="F56" s="4">
        <v>25000000</v>
      </c>
      <c r="G56" s="6" t="str">
        <f t="shared" si="9"/>
        <v/>
      </c>
      <c r="H56" s="4">
        <v>5000000</v>
      </c>
      <c r="I56" s="6" t="str">
        <f t="shared" si="10"/>
        <v/>
      </c>
      <c r="J56" s="4">
        <v>1200000</v>
      </c>
      <c r="K56" s="6" t="str">
        <f t="shared" si="11"/>
        <v/>
      </c>
      <c r="L56" s="6">
        <v>67</v>
      </c>
      <c r="M56" s="6" t="str">
        <f t="shared" si="12"/>
        <v/>
      </c>
      <c r="N56" s="6"/>
      <c r="O56" s="6" t="str">
        <f t="shared" si="13"/>
        <v/>
      </c>
      <c r="Q56" s="6">
        <v>1</v>
      </c>
      <c r="R56" s="6">
        <v>16</v>
      </c>
      <c r="S56" s="6">
        <v>31</v>
      </c>
      <c r="T56" s="6"/>
      <c r="U56" s="6">
        <f t="shared" si="7"/>
        <v>145860</v>
      </c>
      <c r="V56" s="6" t="str">
        <f t="shared" si="14"/>
        <v/>
      </c>
    </row>
    <row r="57" spans="2:22" x14ac:dyDescent="0.3">
      <c r="B57" s="64" t="s">
        <v>55</v>
      </c>
      <c r="C57" s="151">
        <v>52</v>
      </c>
      <c r="D57" s="4">
        <v>25000000</v>
      </c>
      <c r="E57" s="6" t="str">
        <f t="shared" si="8"/>
        <v/>
      </c>
      <c r="F57" s="4">
        <v>25000000</v>
      </c>
      <c r="G57" s="6" t="str">
        <f t="shared" si="9"/>
        <v/>
      </c>
      <c r="H57" s="4">
        <v>5000000</v>
      </c>
      <c r="I57" s="6" t="str">
        <f t="shared" si="10"/>
        <v/>
      </c>
      <c r="J57" s="4">
        <v>1200000</v>
      </c>
      <c r="K57" s="6" t="str">
        <f t="shared" si="11"/>
        <v/>
      </c>
      <c r="L57" s="6">
        <v>67</v>
      </c>
      <c r="M57" s="6" t="str">
        <f t="shared" si="12"/>
        <v/>
      </c>
      <c r="N57" s="6"/>
      <c r="O57" s="6" t="str">
        <f t="shared" si="13"/>
        <v/>
      </c>
      <c r="Q57" s="6">
        <v>1</v>
      </c>
      <c r="R57" s="6">
        <v>16</v>
      </c>
      <c r="S57" s="6">
        <v>31</v>
      </c>
      <c r="T57" s="6"/>
      <c r="U57" s="6">
        <f t="shared" si="7"/>
        <v>145860</v>
      </c>
      <c r="V57" s="6" t="str">
        <f t="shared" si="14"/>
        <v/>
      </c>
    </row>
    <row r="58" spans="2:22" x14ac:dyDescent="0.3">
      <c r="B58" s="64" t="s">
        <v>56</v>
      </c>
      <c r="C58" s="151">
        <v>53</v>
      </c>
      <c r="D58" s="4">
        <v>25000000</v>
      </c>
      <c r="E58" s="6" t="str">
        <f t="shared" si="8"/>
        <v/>
      </c>
      <c r="F58" s="4">
        <v>25000000</v>
      </c>
      <c r="G58" s="6" t="str">
        <f t="shared" si="9"/>
        <v/>
      </c>
      <c r="H58" s="4">
        <v>5000000</v>
      </c>
      <c r="I58" s="6" t="str">
        <f t="shared" si="10"/>
        <v/>
      </c>
      <c r="J58" s="4">
        <v>1200000</v>
      </c>
      <c r="K58" s="6" t="str">
        <f t="shared" si="11"/>
        <v/>
      </c>
      <c r="L58" s="6">
        <v>67</v>
      </c>
      <c r="M58" s="6" t="str">
        <f t="shared" si="12"/>
        <v/>
      </c>
      <c r="N58" s="6"/>
      <c r="O58" s="6" t="str">
        <f t="shared" si="13"/>
        <v/>
      </c>
      <c r="Q58" s="6">
        <v>1</v>
      </c>
      <c r="R58" s="6">
        <v>16</v>
      </c>
      <c r="S58" s="6">
        <v>31</v>
      </c>
      <c r="T58" s="6"/>
      <c r="U58" s="6">
        <f t="shared" si="7"/>
        <v>145860</v>
      </c>
      <c r="V58" s="6" t="str">
        <f t="shared" si="14"/>
        <v/>
      </c>
    </row>
    <row r="59" spans="2:22" x14ac:dyDescent="0.3">
      <c r="B59" s="64" t="s">
        <v>57</v>
      </c>
      <c r="C59" s="151">
        <v>54</v>
      </c>
      <c r="D59" s="4">
        <v>25000000</v>
      </c>
      <c r="E59" s="6" t="str">
        <f t="shared" si="8"/>
        <v/>
      </c>
      <c r="F59" s="4">
        <v>25000000</v>
      </c>
      <c r="G59" s="6" t="str">
        <f t="shared" si="9"/>
        <v/>
      </c>
      <c r="H59" s="4">
        <v>5000000</v>
      </c>
      <c r="I59" s="6" t="str">
        <f t="shared" si="10"/>
        <v/>
      </c>
      <c r="J59" s="4">
        <v>1200000</v>
      </c>
      <c r="K59" s="6" t="str">
        <f t="shared" si="11"/>
        <v/>
      </c>
      <c r="L59" s="6">
        <v>67</v>
      </c>
      <c r="M59" s="6" t="str">
        <f t="shared" si="12"/>
        <v/>
      </c>
      <c r="N59" s="6"/>
      <c r="O59" s="6" t="str">
        <f t="shared" si="13"/>
        <v/>
      </c>
      <c r="Q59" s="6">
        <v>1</v>
      </c>
      <c r="R59" s="6">
        <v>16</v>
      </c>
      <c r="S59" s="6">
        <v>31</v>
      </c>
      <c r="T59" s="6"/>
      <c r="U59" s="6">
        <f t="shared" si="7"/>
        <v>145860</v>
      </c>
      <c r="V59" s="6" t="str">
        <f t="shared" si="14"/>
        <v/>
      </c>
    </row>
    <row r="60" spans="2:22" x14ac:dyDescent="0.3">
      <c r="B60" s="64" t="s">
        <v>58</v>
      </c>
      <c r="C60" s="151">
        <v>55</v>
      </c>
      <c r="D60" s="4">
        <v>25000000</v>
      </c>
      <c r="E60" s="6" t="str">
        <f t="shared" si="8"/>
        <v/>
      </c>
      <c r="F60" s="4">
        <v>25000000</v>
      </c>
      <c r="G60" s="6" t="str">
        <f t="shared" si="9"/>
        <v/>
      </c>
      <c r="H60" s="4">
        <v>5000000</v>
      </c>
      <c r="I60" s="6" t="str">
        <f t="shared" si="10"/>
        <v/>
      </c>
      <c r="J60" s="4">
        <v>1200000</v>
      </c>
      <c r="K60" s="6" t="str">
        <f t="shared" si="11"/>
        <v/>
      </c>
      <c r="L60" s="6">
        <v>67</v>
      </c>
      <c r="M60" s="6" t="str">
        <f t="shared" si="12"/>
        <v/>
      </c>
      <c r="N60" s="6"/>
      <c r="O60" s="6" t="str">
        <f t="shared" si="13"/>
        <v/>
      </c>
      <c r="Q60" s="6">
        <v>1</v>
      </c>
      <c r="R60" s="6">
        <v>16</v>
      </c>
      <c r="S60" s="6">
        <v>31</v>
      </c>
      <c r="T60" s="6"/>
      <c r="U60" s="6">
        <f t="shared" si="7"/>
        <v>145860</v>
      </c>
      <c r="V60" s="6" t="str">
        <f t="shared" si="14"/>
        <v/>
      </c>
    </row>
    <row r="61" spans="2:22" x14ac:dyDescent="0.3">
      <c r="B61" s="64" t="s">
        <v>230</v>
      </c>
      <c r="C61" s="151">
        <v>56</v>
      </c>
      <c r="D61" s="4">
        <v>29000000</v>
      </c>
      <c r="E61" s="6" t="str">
        <f t="shared" si="8"/>
        <v/>
      </c>
      <c r="F61" s="4">
        <v>29000000</v>
      </c>
      <c r="G61" s="6" t="str">
        <f t="shared" si="9"/>
        <v/>
      </c>
      <c r="H61" s="4">
        <v>5800000</v>
      </c>
      <c r="I61" s="6" t="str">
        <f t="shared" si="10"/>
        <v/>
      </c>
      <c r="J61" s="4">
        <v>1400000</v>
      </c>
      <c r="K61" s="6" t="str">
        <f t="shared" si="11"/>
        <v/>
      </c>
      <c r="L61" s="6">
        <v>40</v>
      </c>
      <c r="M61" s="6" t="str">
        <f t="shared" si="12"/>
        <v/>
      </c>
      <c r="N61" s="4">
        <v>2</v>
      </c>
      <c r="O61" s="6" t="str">
        <f t="shared" si="13"/>
        <v/>
      </c>
      <c r="Q61" s="6">
        <v>1</v>
      </c>
      <c r="R61" s="6">
        <v>19</v>
      </c>
      <c r="S61" s="6">
        <v>12</v>
      </c>
      <c r="T61" s="6"/>
      <c r="U61" s="6">
        <f t="shared" si="7"/>
        <v>155520</v>
      </c>
      <c r="V61" s="6" t="str">
        <f t="shared" si="14"/>
        <v/>
      </c>
    </row>
    <row r="62" spans="2:22" x14ac:dyDescent="0.3">
      <c r="B62" s="64" t="s">
        <v>231</v>
      </c>
      <c r="C62" s="151">
        <v>57</v>
      </c>
      <c r="D62" s="4">
        <v>29000000</v>
      </c>
      <c r="E62" s="6" t="str">
        <f t="shared" si="8"/>
        <v/>
      </c>
      <c r="F62" s="4">
        <v>29000000</v>
      </c>
      <c r="G62" s="6" t="str">
        <f t="shared" si="9"/>
        <v/>
      </c>
      <c r="H62" s="4">
        <v>5800000</v>
      </c>
      <c r="I62" s="6" t="str">
        <f t="shared" si="10"/>
        <v/>
      </c>
      <c r="J62" s="4">
        <v>1400000</v>
      </c>
      <c r="K62" s="6" t="str">
        <f t="shared" si="11"/>
        <v/>
      </c>
      <c r="L62" s="6">
        <v>40</v>
      </c>
      <c r="M62" s="6" t="str">
        <f t="shared" si="12"/>
        <v/>
      </c>
      <c r="N62" s="4">
        <v>2</v>
      </c>
      <c r="O62" s="6" t="str">
        <f t="shared" si="13"/>
        <v/>
      </c>
      <c r="Q62" s="6">
        <v>1</v>
      </c>
      <c r="R62" s="6">
        <v>19</v>
      </c>
      <c r="S62" s="6">
        <v>12</v>
      </c>
      <c r="T62" s="6"/>
      <c r="U62" s="6">
        <f t="shared" si="7"/>
        <v>155520</v>
      </c>
      <c r="V62" s="6" t="str">
        <f t="shared" si="14"/>
        <v/>
      </c>
    </row>
    <row r="63" spans="2:22" x14ac:dyDescent="0.3">
      <c r="B63" s="64" t="s">
        <v>232</v>
      </c>
      <c r="C63" s="151">
        <v>58</v>
      </c>
      <c r="D63" s="4">
        <v>29000000</v>
      </c>
      <c r="E63" s="6" t="str">
        <f t="shared" si="8"/>
        <v/>
      </c>
      <c r="F63" s="4">
        <v>29000000</v>
      </c>
      <c r="G63" s="6" t="str">
        <f t="shared" si="9"/>
        <v/>
      </c>
      <c r="H63" s="4">
        <v>5800000</v>
      </c>
      <c r="I63" s="6" t="str">
        <f t="shared" si="10"/>
        <v/>
      </c>
      <c r="J63" s="4">
        <v>1400000</v>
      </c>
      <c r="K63" s="6" t="str">
        <f t="shared" si="11"/>
        <v/>
      </c>
      <c r="L63" s="6">
        <v>40</v>
      </c>
      <c r="M63" s="6" t="str">
        <f t="shared" si="12"/>
        <v/>
      </c>
      <c r="N63" s="4">
        <v>2</v>
      </c>
      <c r="O63" s="6" t="str">
        <f t="shared" si="13"/>
        <v/>
      </c>
      <c r="Q63" s="6">
        <v>1</v>
      </c>
      <c r="R63" s="6">
        <v>19</v>
      </c>
      <c r="S63" s="6">
        <v>12</v>
      </c>
      <c r="T63" s="6"/>
      <c r="U63" s="6">
        <f t="shared" si="7"/>
        <v>155520</v>
      </c>
      <c r="V63" s="6" t="str">
        <f t="shared" si="14"/>
        <v/>
      </c>
    </row>
    <row r="64" spans="2:22" x14ac:dyDescent="0.3">
      <c r="B64" s="64" t="s">
        <v>233</v>
      </c>
      <c r="C64" s="151">
        <v>59</v>
      </c>
      <c r="D64" s="4">
        <v>29000000</v>
      </c>
      <c r="E64" s="6" t="str">
        <f t="shared" si="8"/>
        <v/>
      </c>
      <c r="F64" s="4">
        <v>29000000</v>
      </c>
      <c r="G64" s="6" t="str">
        <f t="shared" si="9"/>
        <v/>
      </c>
      <c r="H64" s="4">
        <v>5800000</v>
      </c>
      <c r="I64" s="6" t="str">
        <f t="shared" si="10"/>
        <v/>
      </c>
      <c r="J64" s="4">
        <v>1400000</v>
      </c>
      <c r="K64" s="6" t="str">
        <f t="shared" si="11"/>
        <v/>
      </c>
      <c r="L64" s="6">
        <v>40</v>
      </c>
      <c r="M64" s="6" t="str">
        <f t="shared" si="12"/>
        <v/>
      </c>
      <c r="N64" s="4">
        <v>2</v>
      </c>
      <c r="O64" s="6" t="str">
        <f t="shared" si="13"/>
        <v/>
      </c>
      <c r="Q64" s="6">
        <v>1</v>
      </c>
      <c r="R64" s="6">
        <v>19</v>
      </c>
      <c r="S64" s="6">
        <v>12</v>
      </c>
      <c r="T64" s="6"/>
      <c r="U64" s="6">
        <f t="shared" si="7"/>
        <v>155520</v>
      </c>
      <c r="V64" s="6" t="str">
        <f t="shared" si="14"/>
        <v/>
      </c>
    </row>
    <row r="65" spans="2:22" x14ac:dyDescent="0.3">
      <c r="B65" s="64" t="s">
        <v>234</v>
      </c>
      <c r="C65" s="151">
        <v>60</v>
      </c>
      <c r="D65" s="4">
        <v>29000000</v>
      </c>
      <c r="E65" s="6" t="str">
        <f t="shared" si="8"/>
        <v/>
      </c>
      <c r="F65" s="4">
        <v>29000000</v>
      </c>
      <c r="G65" s="6" t="str">
        <f t="shared" si="9"/>
        <v/>
      </c>
      <c r="H65" s="4">
        <v>5800000</v>
      </c>
      <c r="I65" s="6" t="str">
        <f t="shared" si="10"/>
        <v/>
      </c>
      <c r="J65" s="4">
        <v>1400000</v>
      </c>
      <c r="K65" s="6" t="str">
        <f t="shared" si="11"/>
        <v/>
      </c>
      <c r="L65" s="4">
        <v>20</v>
      </c>
      <c r="M65" s="6" t="str">
        <f t="shared" si="12"/>
        <v/>
      </c>
      <c r="N65" s="4">
        <v>4</v>
      </c>
      <c r="O65" s="6" t="str">
        <f t="shared" si="13"/>
        <v/>
      </c>
      <c r="Q65" s="6">
        <v>1</v>
      </c>
      <c r="R65" s="6">
        <v>19</v>
      </c>
      <c r="S65" s="6">
        <v>12</v>
      </c>
      <c r="T65" s="6"/>
      <c r="U65" s="6">
        <f t="shared" si="7"/>
        <v>155520</v>
      </c>
      <c r="V65" s="6" t="str">
        <f t="shared" si="14"/>
        <v/>
      </c>
    </row>
    <row r="66" spans="2:22" x14ac:dyDescent="0.3">
      <c r="B66" s="64" t="s">
        <v>235</v>
      </c>
      <c r="C66" s="151">
        <v>61</v>
      </c>
      <c r="D66" s="4">
        <v>32000000</v>
      </c>
      <c r="E66" s="6" t="str">
        <f t="shared" si="8"/>
        <v/>
      </c>
      <c r="F66" s="4">
        <v>32000000</v>
      </c>
      <c r="G66" s="6" t="str">
        <f t="shared" si="9"/>
        <v/>
      </c>
      <c r="H66" s="4">
        <v>6500000</v>
      </c>
      <c r="I66" s="6" t="str">
        <f t="shared" si="10"/>
        <v/>
      </c>
      <c r="J66" s="4">
        <v>1500000</v>
      </c>
      <c r="K66" s="6" t="str">
        <f t="shared" si="11"/>
        <v/>
      </c>
      <c r="L66" s="4">
        <v>48</v>
      </c>
      <c r="M66" s="6" t="str">
        <f t="shared" si="12"/>
        <v/>
      </c>
      <c r="N66" s="4">
        <v>3</v>
      </c>
      <c r="O66" s="6" t="str">
        <f t="shared" si="13"/>
        <v/>
      </c>
      <c r="Q66" s="6">
        <v>2</v>
      </c>
      <c r="R66" s="6">
        <v>1</v>
      </c>
      <c r="S66" s="6">
        <v>30</v>
      </c>
      <c r="T66" s="6"/>
      <c r="U66" s="6">
        <f t="shared" si="7"/>
        <v>178200</v>
      </c>
      <c r="V66" s="6" t="str">
        <f t="shared" si="14"/>
        <v/>
      </c>
    </row>
    <row r="67" spans="2:22" x14ac:dyDescent="0.3">
      <c r="B67" s="64" t="s">
        <v>236</v>
      </c>
      <c r="C67" s="151">
        <v>62</v>
      </c>
      <c r="D67" s="4">
        <v>32000000</v>
      </c>
      <c r="E67" s="6" t="str">
        <f t="shared" si="8"/>
        <v/>
      </c>
      <c r="F67" s="4">
        <v>32000000</v>
      </c>
      <c r="G67" s="6" t="str">
        <f t="shared" si="9"/>
        <v/>
      </c>
      <c r="H67" s="4">
        <v>6500000</v>
      </c>
      <c r="I67" s="6" t="str">
        <f t="shared" si="10"/>
        <v/>
      </c>
      <c r="J67" s="4">
        <v>1500000</v>
      </c>
      <c r="K67" s="6" t="str">
        <f t="shared" si="11"/>
        <v/>
      </c>
      <c r="L67" s="4">
        <v>48</v>
      </c>
      <c r="M67" s="6" t="str">
        <f t="shared" si="12"/>
        <v/>
      </c>
      <c r="N67" s="4">
        <v>3</v>
      </c>
      <c r="O67" s="6" t="str">
        <f t="shared" si="13"/>
        <v/>
      </c>
      <c r="Q67" s="6">
        <v>2</v>
      </c>
      <c r="R67" s="6">
        <v>1</v>
      </c>
      <c r="S67" s="6">
        <v>30</v>
      </c>
      <c r="T67" s="6"/>
      <c r="U67" s="6">
        <f t="shared" si="7"/>
        <v>178200</v>
      </c>
      <c r="V67" s="6" t="str">
        <f t="shared" si="14"/>
        <v/>
      </c>
    </row>
    <row r="68" spans="2:22" x14ac:dyDescent="0.3">
      <c r="B68" s="64" t="s">
        <v>237</v>
      </c>
      <c r="C68" s="151">
        <v>63</v>
      </c>
      <c r="D68" s="4">
        <v>32000000</v>
      </c>
      <c r="E68" s="6" t="str">
        <f t="shared" si="8"/>
        <v/>
      </c>
      <c r="F68" s="4">
        <v>32000000</v>
      </c>
      <c r="G68" s="6" t="str">
        <f t="shared" si="9"/>
        <v/>
      </c>
      <c r="H68" s="4">
        <v>6500000</v>
      </c>
      <c r="I68" s="6" t="str">
        <f t="shared" si="10"/>
        <v/>
      </c>
      <c r="J68" s="4">
        <v>1500000</v>
      </c>
      <c r="K68" s="6" t="str">
        <f t="shared" si="11"/>
        <v/>
      </c>
      <c r="L68" s="4">
        <v>48</v>
      </c>
      <c r="M68" s="6" t="str">
        <f t="shared" si="12"/>
        <v/>
      </c>
      <c r="N68" s="4">
        <v>3</v>
      </c>
      <c r="O68" s="6" t="str">
        <f t="shared" si="13"/>
        <v/>
      </c>
      <c r="Q68" s="6">
        <v>2</v>
      </c>
      <c r="R68" s="6">
        <v>1</v>
      </c>
      <c r="S68" s="6">
        <v>30</v>
      </c>
      <c r="T68" s="6"/>
      <c r="U68" s="6">
        <f t="shared" si="7"/>
        <v>178200</v>
      </c>
      <c r="V68" s="6" t="str">
        <f t="shared" si="14"/>
        <v/>
      </c>
    </row>
    <row r="69" spans="2:22" x14ac:dyDescent="0.3">
      <c r="B69" s="64" t="s">
        <v>238</v>
      </c>
      <c r="C69" s="151">
        <v>64</v>
      </c>
      <c r="D69" s="4">
        <v>32000000</v>
      </c>
      <c r="E69" s="6" t="str">
        <f t="shared" si="8"/>
        <v/>
      </c>
      <c r="F69" s="4">
        <v>32000000</v>
      </c>
      <c r="G69" s="6" t="str">
        <f t="shared" si="9"/>
        <v/>
      </c>
      <c r="H69" s="4">
        <v>6500000</v>
      </c>
      <c r="I69" s="6" t="str">
        <f t="shared" si="10"/>
        <v/>
      </c>
      <c r="J69" s="4">
        <v>1500000</v>
      </c>
      <c r="K69" s="6" t="str">
        <f t="shared" si="11"/>
        <v/>
      </c>
      <c r="L69" s="4">
        <v>48</v>
      </c>
      <c r="M69" s="6" t="str">
        <f t="shared" si="12"/>
        <v/>
      </c>
      <c r="N69" s="4">
        <v>3</v>
      </c>
      <c r="O69" s="6" t="str">
        <f t="shared" si="13"/>
        <v/>
      </c>
      <c r="Q69" s="6">
        <v>2</v>
      </c>
      <c r="R69" s="6">
        <v>1</v>
      </c>
      <c r="S69" s="6">
        <v>30</v>
      </c>
      <c r="T69" s="6"/>
      <c r="U69" s="6">
        <f t="shared" si="7"/>
        <v>178200</v>
      </c>
      <c r="V69" s="6" t="str">
        <f t="shared" si="14"/>
        <v/>
      </c>
    </row>
    <row r="70" spans="2:22" x14ac:dyDescent="0.3">
      <c r="B70" s="64" t="s">
        <v>239</v>
      </c>
      <c r="C70" s="151">
        <v>65</v>
      </c>
      <c r="D70" s="4">
        <v>32000000</v>
      </c>
      <c r="E70" s="6" t="str">
        <f t="shared" ref="E70:E85" si="15">IF($C70&gt;VLOOKUP(CommCtrDesired,$B$6:$C$85,2,FALSE),"",IF($C70&gt;VLOOKUP(CommCtrCurrent,$B$6:$C$85,2,FALSE),D70,""))</f>
        <v/>
      </c>
      <c r="F70" s="4">
        <v>32000000</v>
      </c>
      <c r="G70" s="6" t="str">
        <f t="shared" ref="G70:G85" si="16">IF($C70&gt;VLOOKUP(CommCtrDesired,$B$6:$C$85,2,FALSE),"",IF($C70&gt;VLOOKUP(CommCtrCurrent,$B$6:$C$85,2,FALSE),F70,""))</f>
        <v/>
      </c>
      <c r="H70" s="4">
        <v>6500000</v>
      </c>
      <c r="I70" s="6" t="str">
        <f t="shared" ref="I70:I85" si="17">IF($C70&gt;VLOOKUP(CommCtrDesired,$B$6:$C$85,2,FALSE),"",IF($C70&gt;VLOOKUP(CommCtrCurrent,$B$6:$C$85,2,FALSE),H70,""))</f>
        <v/>
      </c>
      <c r="J70" s="4">
        <v>1500000</v>
      </c>
      <c r="K70" s="6" t="str">
        <f t="shared" ref="K70:K85" si="18">IF($C70&gt;VLOOKUP(CommCtrDesired,$B$6:$C$85,2,FALSE),"",IF($C70&gt;VLOOKUP(CommCtrCurrent,$B$6:$C$85,2,FALSE),J70,""))</f>
        <v/>
      </c>
      <c r="L70" s="4">
        <v>24</v>
      </c>
      <c r="M70" s="6" t="str">
        <f t="shared" ref="M70:M85" si="19">IF($C70&gt;VLOOKUP(CommCtrDesired,$B$6:$C$85,2,FALSE),"",IF($C70&gt;VLOOKUP(CommCtrCurrent,$B$6:$C$85,2,FALSE),L70,""))</f>
        <v/>
      </c>
      <c r="N70" s="4">
        <v>6</v>
      </c>
      <c r="O70" s="6" t="str">
        <f t="shared" ref="O70:O85" si="20">IF($C70&gt;VLOOKUP(CommCtrDesired,$B$6:$C$85,2,FALSE),"",IF($C70&gt;VLOOKUP(CommCtrCurrent,$B$6:$C$85,2,FALSE),N70,""))</f>
        <v/>
      </c>
      <c r="Q70" s="6">
        <v>2</v>
      </c>
      <c r="R70" s="6">
        <v>1</v>
      </c>
      <c r="S70" s="6">
        <v>30</v>
      </c>
      <c r="T70" s="6"/>
      <c r="U70" s="6">
        <f t="shared" si="7"/>
        <v>178200</v>
      </c>
      <c r="V70" s="6" t="str">
        <f t="shared" ref="V70:V85" si="21">IF($C70&gt;VLOOKUP(CommCtrDesired,$B$6:$C$85,2,FALSE),"",IF($C70&gt;VLOOKUP(CommCtrCurrent,$B$6:$C$85,2,FALSE),U70,""))</f>
        <v/>
      </c>
    </row>
    <row r="71" spans="2:22" x14ac:dyDescent="0.3">
      <c r="B71" s="64" t="s">
        <v>240</v>
      </c>
      <c r="C71" s="151">
        <v>66</v>
      </c>
      <c r="D71" s="4">
        <v>39000000</v>
      </c>
      <c r="E71" s="6" t="str">
        <f t="shared" si="15"/>
        <v/>
      </c>
      <c r="F71" s="4">
        <v>39000000</v>
      </c>
      <c r="G71" s="6" t="str">
        <f t="shared" si="16"/>
        <v/>
      </c>
      <c r="H71" s="4">
        <v>7900000</v>
      </c>
      <c r="I71" s="6" t="str">
        <f t="shared" si="17"/>
        <v/>
      </c>
      <c r="J71" s="4">
        <v>1900000</v>
      </c>
      <c r="K71" s="6" t="str">
        <f t="shared" si="18"/>
        <v/>
      </c>
      <c r="L71" s="4">
        <v>48</v>
      </c>
      <c r="M71" s="6" t="str">
        <f t="shared" si="19"/>
        <v/>
      </c>
      <c r="N71" s="4">
        <v>4</v>
      </c>
      <c r="O71" s="6" t="str">
        <f t="shared" si="20"/>
        <v/>
      </c>
      <c r="Q71" s="6">
        <v>2</v>
      </c>
      <c r="R71" s="6">
        <v>9</v>
      </c>
      <c r="S71" s="6">
        <v>36</v>
      </c>
      <c r="T71" s="6"/>
      <c r="U71" s="6">
        <f t="shared" si="7"/>
        <v>207360</v>
      </c>
      <c r="V71" s="6" t="str">
        <f t="shared" si="21"/>
        <v/>
      </c>
    </row>
    <row r="72" spans="2:22" x14ac:dyDescent="0.3">
      <c r="B72" s="64" t="s">
        <v>241</v>
      </c>
      <c r="C72" s="151">
        <v>67</v>
      </c>
      <c r="D72" s="4">
        <v>39000000</v>
      </c>
      <c r="E72" s="6" t="str">
        <f t="shared" si="15"/>
        <v/>
      </c>
      <c r="F72" s="4">
        <v>39000000</v>
      </c>
      <c r="G72" s="6" t="str">
        <f t="shared" si="16"/>
        <v/>
      </c>
      <c r="H72" s="4">
        <v>7900000</v>
      </c>
      <c r="I72" s="6" t="str">
        <f t="shared" si="17"/>
        <v/>
      </c>
      <c r="J72" s="4">
        <v>1900000</v>
      </c>
      <c r="K72" s="6" t="str">
        <f t="shared" si="18"/>
        <v/>
      </c>
      <c r="L72" s="4">
        <v>48</v>
      </c>
      <c r="M72" s="6" t="str">
        <f t="shared" si="19"/>
        <v/>
      </c>
      <c r="N72" s="4">
        <v>4</v>
      </c>
      <c r="O72" s="6" t="str">
        <f t="shared" si="20"/>
        <v/>
      </c>
      <c r="Q72" s="6">
        <v>2</v>
      </c>
      <c r="R72" s="6">
        <v>9</v>
      </c>
      <c r="S72" s="6">
        <v>36</v>
      </c>
      <c r="T72" s="6"/>
      <c r="U72" s="6">
        <f t="shared" si="7"/>
        <v>207360</v>
      </c>
      <c r="V72" s="6" t="str">
        <f t="shared" si="21"/>
        <v/>
      </c>
    </row>
    <row r="73" spans="2:22" x14ac:dyDescent="0.3">
      <c r="B73" s="64" t="s">
        <v>242</v>
      </c>
      <c r="C73" s="151">
        <v>68</v>
      </c>
      <c r="D73" s="4">
        <v>39000000</v>
      </c>
      <c r="E73" s="6" t="str">
        <f t="shared" si="15"/>
        <v/>
      </c>
      <c r="F73" s="4">
        <v>39000000</v>
      </c>
      <c r="G73" s="6" t="str">
        <f t="shared" si="16"/>
        <v/>
      </c>
      <c r="H73" s="4">
        <v>7900000</v>
      </c>
      <c r="I73" s="6" t="str">
        <f t="shared" si="17"/>
        <v/>
      </c>
      <c r="J73" s="4">
        <v>1900000</v>
      </c>
      <c r="K73" s="6" t="str">
        <f t="shared" si="18"/>
        <v/>
      </c>
      <c r="L73" s="4">
        <v>48</v>
      </c>
      <c r="M73" s="6" t="str">
        <f t="shared" si="19"/>
        <v/>
      </c>
      <c r="N73" s="4">
        <v>4</v>
      </c>
      <c r="O73" s="6" t="str">
        <f t="shared" si="20"/>
        <v/>
      </c>
      <c r="Q73" s="6">
        <v>2</v>
      </c>
      <c r="R73" s="6">
        <v>9</v>
      </c>
      <c r="S73" s="6">
        <v>36</v>
      </c>
      <c r="T73" s="6"/>
      <c r="U73" s="6">
        <f t="shared" si="7"/>
        <v>207360</v>
      </c>
      <c r="V73" s="6" t="str">
        <f t="shared" si="21"/>
        <v/>
      </c>
    </row>
    <row r="74" spans="2:22" x14ac:dyDescent="0.3">
      <c r="B74" s="64" t="s">
        <v>243</v>
      </c>
      <c r="C74" s="151">
        <v>69</v>
      </c>
      <c r="D74" s="4">
        <v>39000000</v>
      </c>
      <c r="E74" s="6" t="str">
        <f t="shared" si="15"/>
        <v/>
      </c>
      <c r="F74" s="4">
        <v>39000000</v>
      </c>
      <c r="G74" s="6" t="str">
        <f t="shared" si="16"/>
        <v/>
      </c>
      <c r="H74" s="4">
        <v>7900000</v>
      </c>
      <c r="I74" s="6" t="str">
        <f t="shared" si="17"/>
        <v/>
      </c>
      <c r="J74" s="4">
        <v>1900000</v>
      </c>
      <c r="K74" s="6" t="str">
        <f t="shared" si="18"/>
        <v/>
      </c>
      <c r="L74" s="4">
        <v>48</v>
      </c>
      <c r="M74" s="6" t="str">
        <f t="shared" si="19"/>
        <v/>
      </c>
      <c r="N74" s="4">
        <v>4</v>
      </c>
      <c r="O74" s="6" t="str">
        <f t="shared" si="20"/>
        <v/>
      </c>
      <c r="Q74" s="6">
        <v>2</v>
      </c>
      <c r="R74" s="6">
        <v>9</v>
      </c>
      <c r="S74" s="6">
        <v>36</v>
      </c>
      <c r="T74" s="6"/>
      <c r="U74" s="6">
        <f t="shared" si="7"/>
        <v>207360</v>
      </c>
      <c r="V74" s="6" t="str">
        <f t="shared" si="21"/>
        <v/>
      </c>
    </row>
    <row r="75" spans="2:22" x14ac:dyDescent="0.3">
      <c r="B75" s="64" t="s">
        <v>244</v>
      </c>
      <c r="C75" s="151">
        <v>70</v>
      </c>
      <c r="D75" s="4">
        <v>39000000</v>
      </c>
      <c r="E75" s="6" t="str">
        <f t="shared" si="15"/>
        <v/>
      </c>
      <c r="F75" s="4">
        <v>39000000</v>
      </c>
      <c r="G75" s="6" t="str">
        <f t="shared" si="16"/>
        <v/>
      </c>
      <c r="H75" s="4">
        <v>7900000</v>
      </c>
      <c r="I75" s="6" t="str">
        <f t="shared" si="17"/>
        <v/>
      </c>
      <c r="J75" s="4">
        <v>1900000</v>
      </c>
      <c r="K75" s="6" t="str">
        <f t="shared" si="18"/>
        <v/>
      </c>
      <c r="L75" s="4">
        <v>24</v>
      </c>
      <c r="M75" s="6" t="str">
        <f t="shared" si="19"/>
        <v/>
      </c>
      <c r="N75" s="4">
        <v>8</v>
      </c>
      <c r="O75" s="6" t="str">
        <f t="shared" si="20"/>
        <v/>
      </c>
      <c r="Q75" s="6">
        <v>2</v>
      </c>
      <c r="R75" s="6">
        <v>9</v>
      </c>
      <c r="S75" s="6">
        <v>36</v>
      </c>
      <c r="T75" s="6"/>
      <c r="U75" s="6">
        <f t="shared" si="7"/>
        <v>207360</v>
      </c>
      <c r="V75" s="6" t="str">
        <f t="shared" si="21"/>
        <v/>
      </c>
    </row>
    <row r="76" spans="2:22" x14ac:dyDescent="0.3">
      <c r="B76" s="64" t="s">
        <v>450</v>
      </c>
      <c r="C76" s="151">
        <v>71</v>
      </c>
      <c r="D76" s="4">
        <v>43000000</v>
      </c>
      <c r="E76" s="6">
        <f t="shared" si="15"/>
        <v>43000000</v>
      </c>
      <c r="F76" s="4">
        <v>43000000</v>
      </c>
      <c r="G76" s="6">
        <f t="shared" si="16"/>
        <v>43000000</v>
      </c>
      <c r="H76" s="4">
        <v>8700000</v>
      </c>
      <c r="I76" s="6">
        <f t="shared" si="17"/>
        <v>8700000</v>
      </c>
      <c r="J76" s="4">
        <v>2100000</v>
      </c>
      <c r="K76" s="6">
        <f t="shared" si="18"/>
        <v>2100000</v>
      </c>
      <c r="L76" s="4">
        <v>56</v>
      </c>
      <c r="M76" s="6">
        <f t="shared" si="19"/>
        <v>56</v>
      </c>
      <c r="N76" s="4">
        <v>6</v>
      </c>
      <c r="O76" s="6">
        <f t="shared" si="20"/>
        <v>6</v>
      </c>
      <c r="Q76" s="6">
        <v>1</v>
      </c>
      <c r="R76" s="6">
        <v>13</v>
      </c>
      <c r="S76" s="6">
        <v>26</v>
      </c>
      <c r="T76" s="6"/>
      <c r="U76" s="6">
        <f t="shared" si="7"/>
        <v>134760</v>
      </c>
      <c r="V76" s="6">
        <f t="shared" si="21"/>
        <v>134760</v>
      </c>
    </row>
    <row r="77" spans="2:22" x14ac:dyDescent="0.3">
      <c r="B77" s="64" t="s">
        <v>451</v>
      </c>
      <c r="C77" s="151">
        <v>72</v>
      </c>
      <c r="D77" s="4">
        <v>43000000</v>
      </c>
      <c r="E77" s="6">
        <f t="shared" si="15"/>
        <v>43000000</v>
      </c>
      <c r="F77" s="4">
        <v>43000000</v>
      </c>
      <c r="G77" s="6">
        <f t="shared" si="16"/>
        <v>43000000</v>
      </c>
      <c r="H77" s="4">
        <v>8700000</v>
      </c>
      <c r="I77" s="6">
        <f t="shared" si="17"/>
        <v>8700000</v>
      </c>
      <c r="J77" s="4">
        <v>2100000</v>
      </c>
      <c r="K77" s="6">
        <f t="shared" si="18"/>
        <v>2100000</v>
      </c>
      <c r="L77" s="4">
        <v>56</v>
      </c>
      <c r="M77" s="6">
        <f t="shared" si="19"/>
        <v>56</v>
      </c>
      <c r="N77" s="4">
        <v>6</v>
      </c>
      <c r="O77" s="6">
        <f t="shared" si="20"/>
        <v>6</v>
      </c>
      <c r="Q77" s="6">
        <v>1</v>
      </c>
      <c r="R77" s="6">
        <v>13</v>
      </c>
      <c r="S77" s="6">
        <v>26</v>
      </c>
      <c r="T77" s="6"/>
      <c r="U77" s="6">
        <f t="shared" si="7"/>
        <v>134760</v>
      </c>
      <c r="V77" s="6">
        <f t="shared" si="21"/>
        <v>134760</v>
      </c>
    </row>
    <row r="78" spans="2:22" x14ac:dyDescent="0.3">
      <c r="B78" s="64" t="s">
        <v>452</v>
      </c>
      <c r="C78" s="151">
        <v>73</v>
      </c>
      <c r="D78" s="4">
        <v>43000000</v>
      </c>
      <c r="E78" s="6">
        <f t="shared" si="15"/>
        <v>43000000</v>
      </c>
      <c r="F78" s="4">
        <v>43000000</v>
      </c>
      <c r="G78" s="6">
        <f t="shared" si="16"/>
        <v>43000000</v>
      </c>
      <c r="H78" s="4">
        <v>8700000</v>
      </c>
      <c r="I78" s="6">
        <f t="shared" si="17"/>
        <v>8700000</v>
      </c>
      <c r="J78" s="4">
        <v>2100000</v>
      </c>
      <c r="K78" s="6">
        <f t="shared" si="18"/>
        <v>2100000</v>
      </c>
      <c r="L78" s="4">
        <v>56</v>
      </c>
      <c r="M78" s="6">
        <f t="shared" si="19"/>
        <v>56</v>
      </c>
      <c r="N78" s="4">
        <v>6</v>
      </c>
      <c r="O78" s="6">
        <f t="shared" si="20"/>
        <v>6</v>
      </c>
      <c r="Q78" s="6">
        <v>1</v>
      </c>
      <c r="R78" s="6">
        <v>13</v>
      </c>
      <c r="S78" s="6">
        <v>26</v>
      </c>
      <c r="T78" s="6"/>
      <c r="U78" s="6">
        <f t="shared" si="7"/>
        <v>134760</v>
      </c>
      <c r="V78" s="6">
        <f t="shared" si="21"/>
        <v>134760</v>
      </c>
    </row>
    <row r="79" spans="2:22" x14ac:dyDescent="0.3">
      <c r="B79" s="64" t="s">
        <v>453</v>
      </c>
      <c r="C79" s="151">
        <v>74</v>
      </c>
      <c r="D79" s="4">
        <v>43000000</v>
      </c>
      <c r="E79" s="6">
        <f t="shared" si="15"/>
        <v>43000000</v>
      </c>
      <c r="F79" s="4">
        <v>43000000</v>
      </c>
      <c r="G79" s="6">
        <f t="shared" si="16"/>
        <v>43000000</v>
      </c>
      <c r="H79" s="4">
        <v>8700000</v>
      </c>
      <c r="I79" s="6">
        <f t="shared" si="17"/>
        <v>8700000</v>
      </c>
      <c r="J79" s="4">
        <v>2100000</v>
      </c>
      <c r="K79" s="6">
        <f t="shared" si="18"/>
        <v>2100000</v>
      </c>
      <c r="L79" s="4">
        <v>56</v>
      </c>
      <c r="M79" s="6">
        <f t="shared" si="19"/>
        <v>56</v>
      </c>
      <c r="N79" s="4">
        <v>6</v>
      </c>
      <c r="O79" s="6">
        <f t="shared" si="20"/>
        <v>6</v>
      </c>
      <c r="Q79" s="6">
        <v>1</v>
      </c>
      <c r="R79" s="6">
        <v>13</v>
      </c>
      <c r="S79" s="6">
        <v>26</v>
      </c>
      <c r="T79" s="6"/>
      <c r="U79" s="6">
        <f t="shared" si="7"/>
        <v>134760</v>
      </c>
      <c r="V79" s="6">
        <f t="shared" si="21"/>
        <v>134760</v>
      </c>
    </row>
    <row r="80" spans="2:22" x14ac:dyDescent="0.3">
      <c r="B80" s="64" t="s">
        <v>454</v>
      </c>
      <c r="C80" s="151">
        <v>75</v>
      </c>
      <c r="D80" s="4">
        <v>43000000</v>
      </c>
      <c r="E80" s="6">
        <f t="shared" si="15"/>
        <v>43000000</v>
      </c>
      <c r="F80" s="4">
        <v>43000000</v>
      </c>
      <c r="G80" s="6">
        <f t="shared" si="16"/>
        <v>43000000</v>
      </c>
      <c r="H80" s="4">
        <v>8700000</v>
      </c>
      <c r="I80" s="6">
        <f t="shared" si="17"/>
        <v>8700000</v>
      </c>
      <c r="J80" s="4">
        <v>2100000</v>
      </c>
      <c r="K80" s="6">
        <f t="shared" si="18"/>
        <v>2100000</v>
      </c>
      <c r="L80" s="4">
        <v>28</v>
      </c>
      <c r="M80" s="6">
        <f t="shared" si="19"/>
        <v>28</v>
      </c>
      <c r="N80" s="4">
        <v>12</v>
      </c>
      <c r="O80" s="6">
        <f t="shared" si="20"/>
        <v>12</v>
      </c>
      <c r="Q80" s="6">
        <v>1</v>
      </c>
      <c r="R80" s="6">
        <v>13</v>
      </c>
      <c r="S80" s="6">
        <v>26</v>
      </c>
      <c r="T80" s="6"/>
      <c r="U80" s="6">
        <f t="shared" si="7"/>
        <v>134760</v>
      </c>
      <c r="V80" s="6">
        <f t="shared" si="21"/>
        <v>134760</v>
      </c>
    </row>
    <row r="81" spans="2:22" x14ac:dyDescent="0.3">
      <c r="B81" s="64" t="s">
        <v>455</v>
      </c>
      <c r="C81" s="151">
        <v>76</v>
      </c>
      <c r="D81" s="4">
        <v>50000000</v>
      </c>
      <c r="E81" s="6" t="str">
        <f t="shared" si="15"/>
        <v/>
      </c>
      <c r="F81" s="4">
        <v>50000000</v>
      </c>
      <c r="G81" s="6" t="str">
        <f t="shared" si="16"/>
        <v/>
      </c>
      <c r="H81" s="4">
        <v>10000000</v>
      </c>
      <c r="I81" s="6" t="str">
        <f t="shared" si="17"/>
        <v/>
      </c>
      <c r="J81" s="4">
        <v>2500000</v>
      </c>
      <c r="K81" s="6" t="str">
        <f t="shared" si="18"/>
        <v/>
      </c>
      <c r="L81" s="4">
        <v>70</v>
      </c>
      <c r="M81" s="6" t="str">
        <f t="shared" si="19"/>
        <v/>
      </c>
      <c r="N81" s="4">
        <v>14</v>
      </c>
      <c r="O81" s="6" t="str">
        <f t="shared" si="20"/>
        <v/>
      </c>
      <c r="Q81" s="6">
        <v>2</v>
      </c>
      <c r="R81" s="6">
        <v>9</v>
      </c>
      <c r="S81" s="6">
        <v>36</v>
      </c>
      <c r="T81" s="6"/>
      <c r="U81" s="6">
        <f t="shared" si="7"/>
        <v>207360</v>
      </c>
      <c r="V81" s="6" t="str">
        <f t="shared" si="21"/>
        <v/>
      </c>
    </row>
    <row r="82" spans="2:22" x14ac:dyDescent="0.3">
      <c r="B82" s="64" t="s">
        <v>456</v>
      </c>
      <c r="C82" s="151">
        <v>77</v>
      </c>
      <c r="D82" s="4">
        <v>50000000</v>
      </c>
      <c r="E82" s="6" t="str">
        <f t="shared" si="15"/>
        <v/>
      </c>
      <c r="F82" s="4">
        <v>50000000</v>
      </c>
      <c r="G82" s="6" t="str">
        <f t="shared" si="16"/>
        <v/>
      </c>
      <c r="H82" s="4">
        <v>10000000</v>
      </c>
      <c r="I82" s="6" t="str">
        <f t="shared" si="17"/>
        <v/>
      </c>
      <c r="J82" s="4">
        <v>2500000</v>
      </c>
      <c r="K82" s="6" t="str">
        <f t="shared" si="18"/>
        <v/>
      </c>
      <c r="L82" s="4">
        <v>70</v>
      </c>
      <c r="M82" s="6" t="str">
        <f t="shared" si="19"/>
        <v/>
      </c>
      <c r="N82" s="4">
        <v>14</v>
      </c>
      <c r="O82" s="6" t="str">
        <f t="shared" si="20"/>
        <v/>
      </c>
      <c r="Q82" s="6">
        <v>2</v>
      </c>
      <c r="R82" s="6">
        <v>9</v>
      </c>
      <c r="S82" s="6">
        <v>36</v>
      </c>
      <c r="T82" s="6"/>
      <c r="U82" s="6">
        <f t="shared" ref="U82:U85" si="22">T82+S82*60+R82*60*60+Q82*60*60*24</f>
        <v>207360</v>
      </c>
      <c r="V82" s="6" t="str">
        <f t="shared" si="21"/>
        <v/>
      </c>
    </row>
    <row r="83" spans="2:22" x14ac:dyDescent="0.3">
      <c r="B83" s="64" t="s">
        <v>457</v>
      </c>
      <c r="C83" s="151">
        <v>78</v>
      </c>
      <c r="D83" s="4">
        <v>50000000</v>
      </c>
      <c r="E83" s="6" t="str">
        <f t="shared" si="15"/>
        <v/>
      </c>
      <c r="F83" s="4">
        <v>50000000</v>
      </c>
      <c r="G83" s="6" t="str">
        <f t="shared" si="16"/>
        <v/>
      </c>
      <c r="H83" s="4">
        <v>10000000</v>
      </c>
      <c r="I83" s="6" t="str">
        <f t="shared" si="17"/>
        <v/>
      </c>
      <c r="J83" s="4">
        <v>2500000</v>
      </c>
      <c r="K83" s="6" t="str">
        <f t="shared" si="18"/>
        <v/>
      </c>
      <c r="L83" s="4">
        <v>70</v>
      </c>
      <c r="M83" s="6" t="str">
        <f t="shared" si="19"/>
        <v/>
      </c>
      <c r="N83" s="4">
        <v>14</v>
      </c>
      <c r="O83" s="6" t="str">
        <f t="shared" si="20"/>
        <v/>
      </c>
      <c r="Q83" s="6">
        <v>2</v>
      </c>
      <c r="R83" s="6">
        <v>9</v>
      </c>
      <c r="S83" s="6">
        <v>36</v>
      </c>
      <c r="T83" s="6"/>
      <c r="U83" s="6">
        <f t="shared" si="22"/>
        <v>207360</v>
      </c>
      <c r="V83" s="6" t="str">
        <f t="shared" si="21"/>
        <v/>
      </c>
    </row>
    <row r="84" spans="2:22" x14ac:dyDescent="0.3">
      <c r="B84" s="64" t="s">
        <v>458</v>
      </c>
      <c r="C84" s="151">
        <v>79</v>
      </c>
      <c r="D84" s="4">
        <v>50000000</v>
      </c>
      <c r="E84" s="6" t="str">
        <f t="shared" si="15"/>
        <v/>
      </c>
      <c r="F84" s="4">
        <v>50000000</v>
      </c>
      <c r="G84" s="6" t="str">
        <f t="shared" si="16"/>
        <v/>
      </c>
      <c r="H84" s="4">
        <v>10000000</v>
      </c>
      <c r="I84" s="6" t="str">
        <f t="shared" si="17"/>
        <v/>
      </c>
      <c r="J84" s="4">
        <v>2500000</v>
      </c>
      <c r="K84" s="6" t="str">
        <f t="shared" si="18"/>
        <v/>
      </c>
      <c r="L84" s="4">
        <v>70</v>
      </c>
      <c r="M84" s="6" t="str">
        <f t="shared" si="19"/>
        <v/>
      </c>
      <c r="N84" s="4">
        <v>14</v>
      </c>
      <c r="O84" s="6" t="str">
        <f t="shared" si="20"/>
        <v/>
      </c>
      <c r="Q84" s="6">
        <v>2</v>
      </c>
      <c r="R84" s="6">
        <v>9</v>
      </c>
      <c r="S84" s="6">
        <v>36</v>
      </c>
      <c r="T84" s="6"/>
      <c r="U84" s="6">
        <f t="shared" si="22"/>
        <v>207360</v>
      </c>
      <c r="V84" s="6" t="str">
        <f t="shared" si="21"/>
        <v/>
      </c>
    </row>
    <row r="85" spans="2:22" x14ac:dyDescent="0.3">
      <c r="B85" s="148" t="s">
        <v>459</v>
      </c>
      <c r="C85" s="151">
        <v>80</v>
      </c>
      <c r="D85" s="4">
        <v>50000000</v>
      </c>
      <c r="E85" s="6" t="str">
        <f t="shared" si="15"/>
        <v/>
      </c>
      <c r="F85" s="4">
        <v>50000000</v>
      </c>
      <c r="G85" s="6" t="str">
        <f t="shared" si="16"/>
        <v/>
      </c>
      <c r="H85" s="4">
        <v>10000000</v>
      </c>
      <c r="I85" s="6" t="str">
        <f t="shared" si="17"/>
        <v/>
      </c>
      <c r="J85" s="4">
        <v>2500000</v>
      </c>
      <c r="K85" s="6" t="str">
        <f t="shared" si="18"/>
        <v/>
      </c>
      <c r="L85" s="4">
        <v>35</v>
      </c>
      <c r="M85" s="6" t="str">
        <f t="shared" si="19"/>
        <v/>
      </c>
      <c r="N85" s="4">
        <v>28</v>
      </c>
      <c r="O85" s="6" t="str">
        <f t="shared" si="20"/>
        <v/>
      </c>
      <c r="Q85" s="6">
        <v>2</v>
      </c>
      <c r="R85" s="6">
        <v>9</v>
      </c>
      <c r="S85" s="6">
        <v>36</v>
      </c>
      <c r="T85" s="6"/>
      <c r="U85" s="6">
        <f t="shared" si="22"/>
        <v>207360</v>
      </c>
      <c r="V85" s="6" t="str">
        <f t="shared" si="21"/>
        <v/>
      </c>
    </row>
    <row r="86" spans="2:22" x14ac:dyDescent="0.3">
      <c r="Q86" s="6"/>
      <c r="R86" s="6"/>
      <c r="S86" s="6"/>
      <c r="T86" s="6"/>
      <c r="U86" s="6"/>
      <c r="V86" s="6"/>
    </row>
    <row r="87" spans="2:22" x14ac:dyDescent="0.3">
      <c r="B87" s="64" t="s">
        <v>25</v>
      </c>
      <c r="C87" s="64"/>
      <c r="D87" s="4">
        <f>SUM(D6:D85)</f>
        <v>1923140000</v>
      </c>
      <c r="E87" s="4">
        <f t="shared" ref="E87:V87" si="23">SUM(E6:E85)</f>
        <v>215000000</v>
      </c>
      <c r="F87" s="4">
        <f t="shared" si="23"/>
        <v>1923796270</v>
      </c>
      <c r="G87" s="4">
        <f t="shared" si="23"/>
        <v>215000000</v>
      </c>
      <c r="H87" s="4">
        <f t="shared" si="23"/>
        <v>390689450</v>
      </c>
      <c r="I87" s="4">
        <f t="shared" si="23"/>
        <v>43500000</v>
      </c>
      <c r="J87" s="4">
        <f t="shared" si="23"/>
        <v>94986570</v>
      </c>
      <c r="K87" s="4">
        <f t="shared" si="23"/>
        <v>10500000</v>
      </c>
      <c r="L87" s="4">
        <f t="shared" si="23"/>
        <v>2314</v>
      </c>
      <c r="M87" s="4">
        <f t="shared" si="23"/>
        <v>252</v>
      </c>
      <c r="N87" s="4">
        <f t="shared" si="23"/>
        <v>174</v>
      </c>
      <c r="O87" s="4">
        <f t="shared" si="23"/>
        <v>36</v>
      </c>
      <c r="P87" s="4">
        <f t="shared" si="23"/>
        <v>0</v>
      </c>
      <c r="Q87" s="4">
        <f t="shared" si="23"/>
        <v>80</v>
      </c>
      <c r="R87" s="4">
        <f t="shared" si="23"/>
        <v>650</v>
      </c>
      <c r="S87" s="4">
        <f t="shared" si="23"/>
        <v>2409</v>
      </c>
      <c r="T87" s="4">
        <f t="shared" si="23"/>
        <v>435</v>
      </c>
      <c r="U87" s="4">
        <f t="shared" si="23"/>
        <v>9396975</v>
      </c>
      <c r="V87" s="4">
        <f t="shared" si="23"/>
        <v>673800</v>
      </c>
    </row>
    <row r="89" spans="2:22" x14ac:dyDescent="0.3">
      <c r="T89" s="4" t="s">
        <v>21</v>
      </c>
      <c r="U89" s="4">
        <f>ROUNDDOWN(U87/60/60/24,0)</f>
        <v>108</v>
      </c>
      <c r="V89" s="4">
        <f>ROUNDDOWN(V87/60/60/24,0)</f>
        <v>7</v>
      </c>
    </row>
    <row r="90" spans="2:22" x14ac:dyDescent="0.3">
      <c r="T90" s="4" t="s">
        <v>20</v>
      </c>
      <c r="U90" s="4">
        <f>ROUNDDOWN((U87-U89*60*60*24)/60/60,0)</f>
        <v>18</v>
      </c>
      <c r="V90" s="4">
        <f>ROUNDDOWN((V87-V89*60*60*24)/60/60,0)</f>
        <v>19</v>
      </c>
    </row>
    <row r="91" spans="2:22" x14ac:dyDescent="0.3">
      <c r="T91" s="4" t="s">
        <v>19</v>
      </c>
      <c r="U91" s="4">
        <f>ROUNDDOWN((U87-U89*60*60*24-U90*60*60)/60,0)</f>
        <v>16</v>
      </c>
      <c r="V91" s="4">
        <f>ROUNDDOWN((V87-V89*60*60*24-V90*60*60)/60,0)</f>
        <v>10</v>
      </c>
    </row>
    <row r="92" spans="2:22" x14ac:dyDescent="0.3">
      <c r="T92" s="4" t="s">
        <v>18</v>
      </c>
      <c r="U92" s="4">
        <f>ROUNDDOWN((U87-U89*60*60*24-U90*60*60-U91*60),0)</f>
        <v>15</v>
      </c>
      <c r="V92" s="4">
        <f>ROUNDDOWN((V87-V89*60*60*24-V90*60*60-V91*60),0)</f>
        <v>0</v>
      </c>
    </row>
  </sheetData>
  <sheetProtection sheet="1" objects="1" scenarios="1"/>
  <mergeCells count="9">
    <mergeCell ref="D3:M3"/>
    <mergeCell ref="L4:M4"/>
    <mergeCell ref="Q3:V3"/>
    <mergeCell ref="D4:E4"/>
    <mergeCell ref="F4:G4"/>
    <mergeCell ref="H4:I4"/>
    <mergeCell ref="J4:K4"/>
    <mergeCell ref="U4:V4"/>
    <mergeCell ref="N4:O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CF6D-5393-4F2E-9B33-5D7777EDD2BE}">
  <sheetPr codeName="Sheet5"/>
  <dimension ref="A1:R42"/>
  <sheetViews>
    <sheetView zoomScaleNormal="100" workbookViewId="0">
      <pane xSplit="2" ySplit="5" topLeftCell="C6" activePane="bottomRight" state="frozen"/>
      <selection sqref="A1:R2"/>
      <selection pane="topRight" sqref="A1:R2"/>
      <selection pane="bottomLeft" sqref="A1:R2"/>
      <selection pane="bottomRight" activeCell="B3" sqref="A1:XFD1048576"/>
    </sheetView>
  </sheetViews>
  <sheetFormatPr baseColWidth="10" defaultColWidth="9.109375" defaultRowHeight="14.4" x14ac:dyDescent="0.3"/>
  <cols>
    <col min="1" max="1" width="9.109375" style="4"/>
    <col min="2" max="2" width="16" style="4" bestFit="1" customWidth="1"/>
    <col min="3" max="3" width="15.33203125" style="4" bestFit="1" customWidth="1"/>
    <col min="4" max="4" width="14.33203125" style="4" customWidth="1"/>
    <col min="5" max="5" width="15.33203125" style="4" bestFit="1" customWidth="1"/>
    <col min="6" max="6" width="14.33203125" style="4" customWidth="1"/>
    <col min="7" max="7" width="14.33203125" style="4" bestFit="1" customWidth="1"/>
    <col min="8" max="8" width="12.5546875" style="4" customWidth="1"/>
    <col min="9" max="9" width="13.33203125" style="4" bestFit="1" customWidth="1"/>
    <col min="10" max="10" width="11.5546875" style="4" customWidth="1"/>
    <col min="11" max="11" width="9.109375" style="4"/>
    <col min="12" max="12" width="6" style="4" bestFit="1" customWidth="1"/>
    <col min="13" max="13" width="7" style="4" bestFit="1" customWidth="1"/>
    <col min="14" max="14" width="8.44140625" style="4" bestFit="1" customWidth="1"/>
    <col min="15" max="15" width="8.88671875" style="4" bestFit="1" customWidth="1"/>
    <col min="16" max="16" width="13.44140625" style="4" bestFit="1" customWidth="1"/>
    <col min="17" max="17" width="13.33203125" style="4" customWidth="1"/>
    <col min="18" max="16384" width="9.109375" style="4"/>
  </cols>
  <sheetData>
    <row r="1" spans="1:18" x14ac:dyDescent="0.3">
      <c r="C1" s="4" t="s">
        <v>26</v>
      </c>
      <c r="E1" s="12"/>
      <c r="F1" s="12"/>
    </row>
    <row r="2" spans="1:18" x14ac:dyDescent="0.3">
      <c r="A2" s="45"/>
      <c r="C2" s="6">
        <f>LARGE(Furnace!Y4:Y35,1)</f>
        <v>3</v>
      </c>
      <c r="D2" s="6"/>
      <c r="E2" s="45"/>
      <c r="F2" s="45"/>
      <c r="G2" s="45"/>
      <c r="H2" s="45"/>
      <c r="I2" s="45"/>
      <c r="J2" s="45"/>
      <c r="K2" s="45"/>
      <c r="L2" s="45"/>
      <c r="M2" s="45"/>
      <c r="N2" s="45"/>
      <c r="O2" s="45"/>
      <c r="P2" s="45"/>
      <c r="Q2" s="45"/>
      <c r="R2" s="45"/>
    </row>
    <row r="3" spans="1:18" x14ac:dyDescent="0.3">
      <c r="B3" s="45" t="s">
        <v>5</v>
      </c>
      <c r="C3" s="709" t="s">
        <v>16</v>
      </c>
      <c r="D3" s="709"/>
      <c r="E3" s="709"/>
      <c r="F3" s="709"/>
      <c r="G3" s="709"/>
      <c r="H3" s="709"/>
      <c r="I3" s="709"/>
      <c r="J3" s="709"/>
      <c r="L3" s="709" t="s">
        <v>17</v>
      </c>
      <c r="M3" s="709"/>
      <c r="N3" s="709"/>
      <c r="O3" s="709"/>
      <c r="P3" s="709"/>
      <c r="Q3" s="709"/>
    </row>
    <row r="4" spans="1:18" x14ac:dyDescent="0.3">
      <c r="B4" s="45" t="e">
        <f>#REF!</f>
        <v>#REF!</v>
      </c>
      <c r="C4" s="705" t="s">
        <v>0</v>
      </c>
      <c r="D4" s="705"/>
      <c r="E4" s="705" t="s">
        <v>1</v>
      </c>
      <c r="F4" s="705"/>
      <c r="G4" s="705" t="s">
        <v>2</v>
      </c>
      <c r="H4" s="705"/>
      <c r="I4" s="705" t="s">
        <v>3</v>
      </c>
      <c r="J4" s="705"/>
      <c r="K4" s="45"/>
      <c r="P4" s="705" t="s">
        <v>18</v>
      </c>
      <c r="Q4" s="705"/>
    </row>
    <row r="5" spans="1:18" x14ac:dyDescent="0.3">
      <c r="B5" s="64">
        <v>0</v>
      </c>
      <c r="C5" s="45" t="s">
        <v>25</v>
      </c>
      <c r="D5" s="45" t="s">
        <v>24</v>
      </c>
      <c r="E5" s="45" t="s">
        <v>25</v>
      </c>
      <c r="F5" s="45" t="s">
        <v>24</v>
      </c>
      <c r="G5" s="45" t="s">
        <v>25</v>
      </c>
      <c r="H5" s="45" t="s">
        <v>24</v>
      </c>
      <c r="I5" s="45" t="s">
        <v>25</v>
      </c>
      <c r="J5" s="45" t="s">
        <v>24</v>
      </c>
      <c r="K5" s="45"/>
      <c r="L5" s="45" t="s">
        <v>21</v>
      </c>
      <c r="M5" s="45" t="s">
        <v>20</v>
      </c>
      <c r="N5" s="45" t="s">
        <v>19</v>
      </c>
      <c r="O5" s="45" t="s">
        <v>18</v>
      </c>
      <c r="P5" s="45" t="s">
        <v>25</v>
      </c>
      <c r="Q5" s="45" t="s">
        <v>24</v>
      </c>
    </row>
    <row r="6" spans="1:18" x14ac:dyDescent="0.3">
      <c r="B6" s="63">
        <v>1</v>
      </c>
      <c r="D6" s="6" t="str">
        <f t="shared" ref="D6:D35" si="0">IF($B6&gt;CoalDesired,"",IF($B6&gt;CoalCurrent,C6,""))</f>
        <v/>
      </c>
      <c r="E6" s="4">
        <v>30</v>
      </c>
      <c r="F6" s="6" t="str">
        <f t="shared" ref="F6:F35" si="1">IF($B6&gt;CoalDesired,"",IF($B6&gt;CoalCurrent,E6,""))</f>
        <v/>
      </c>
      <c r="H6" s="6" t="str">
        <f t="shared" ref="H6:H35" si="2">IF($B6&gt;CoalDesired,"",IF($B6&gt;CoalCurrent,G6,""))</f>
        <v/>
      </c>
      <c r="J6" s="6" t="str">
        <f t="shared" ref="J6:J35" si="3">IF($B6&gt;CoalDesired,"",IF($B6&gt;CoalCurrent,I6,""))</f>
        <v/>
      </c>
      <c r="L6" s="6"/>
      <c r="M6" s="6"/>
      <c r="N6" s="6"/>
      <c r="O6" s="6">
        <v>2</v>
      </c>
      <c r="P6" s="6">
        <f>O6+N6*60+M6*60*60+L6*60*60*24</f>
        <v>2</v>
      </c>
      <c r="Q6" s="6" t="str">
        <f t="shared" ref="Q6:Q35" si="4">IF($B6&gt;CoalDesired,"",IF($B6&gt;CoalCurrent,P6,""))</f>
        <v/>
      </c>
    </row>
    <row r="7" spans="1:18" x14ac:dyDescent="0.3">
      <c r="B7" s="63">
        <v>2</v>
      </c>
      <c r="D7" s="6" t="str">
        <f t="shared" si="0"/>
        <v/>
      </c>
      <c r="E7" s="4">
        <v>45</v>
      </c>
      <c r="F7" s="6" t="str">
        <f t="shared" si="1"/>
        <v/>
      </c>
      <c r="H7" s="6" t="str">
        <f t="shared" si="2"/>
        <v/>
      </c>
      <c r="J7" s="6" t="str">
        <f t="shared" si="3"/>
        <v/>
      </c>
      <c r="L7" s="6"/>
      <c r="M7" s="6"/>
      <c r="N7" s="6"/>
      <c r="O7" s="6">
        <v>3</v>
      </c>
      <c r="P7" s="6">
        <f t="shared" ref="P7:P35" si="5">O7+N7*60+M7*60*60+L7*60*60*24</f>
        <v>3</v>
      </c>
      <c r="Q7" s="6" t="str">
        <f t="shared" si="4"/>
        <v/>
      </c>
    </row>
    <row r="8" spans="1:18" x14ac:dyDescent="0.3">
      <c r="B8" s="63">
        <v>3</v>
      </c>
      <c r="D8" s="6" t="str">
        <f t="shared" si="0"/>
        <v/>
      </c>
      <c r="E8" s="4">
        <v>200</v>
      </c>
      <c r="F8" s="6" t="str">
        <f t="shared" si="1"/>
        <v/>
      </c>
      <c r="H8" s="6" t="str">
        <f t="shared" si="2"/>
        <v/>
      </c>
      <c r="J8" s="6" t="str">
        <f t="shared" si="3"/>
        <v/>
      </c>
      <c r="L8" s="6"/>
      <c r="M8" s="6"/>
      <c r="N8" s="6"/>
      <c r="O8" s="6">
        <v>10</v>
      </c>
      <c r="P8" s="6">
        <f t="shared" si="5"/>
        <v>10</v>
      </c>
      <c r="Q8" s="6" t="str">
        <f t="shared" si="4"/>
        <v/>
      </c>
    </row>
    <row r="9" spans="1:18" x14ac:dyDescent="0.3">
      <c r="B9" s="63">
        <v>4</v>
      </c>
      <c r="D9" s="6" t="str">
        <f t="shared" si="0"/>
        <v/>
      </c>
      <c r="E9" s="4">
        <v>450</v>
      </c>
      <c r="F9" s="6" t="str">
        <f t="shared" si="1"/>
        <v/>
      </c>
      <c r="G9" s="4">
        <v>90</v>
      </c>
      <c r="H9" s="6" t="str">
        <f t="shared" si="2"/>
        <v/>
      </c>
      <c r="J9" s="6" t="str">
        <f t="shared" si="3"/>
        <v/>
      </c>
      <c r="L9" s="6"/>
      <c r="M9" s="6"/>
      <c r="N9" s="6"/>
      <c r="O9" s="6">
        <v>35</v>
      </c>
      <c r="P9" s="6">
        <f t="shared" si="5"/>
        <v>35</v>
      </c>
      <c r="Q9" s="6" t="str">
        <f t="shared" si="4"/>
        <v/>
      </c>
    </row>
    <row r="10" spans="1:18" x14ac:dyDescent="0.3">
      <c r="B10" s="63">
        <v>5</v>
      </c>
      <c r="D10" s="6" t="str">
        <f t="shared" si="0"/>
        <v/>
      </c>
      <c r="E10" s="4">
        <v>1900</v>
      </c>
      <c r="F10" s="6" t="str">
        <f t="shared" si="1"/>
        <v/>
      </c>
      <c r="G10" s="4">
        <v>380</v>
      </c>
      <c r="H10" s="6" t="str">
        <f t="shared" si="2"/>
        <v/>
      </c>
      <c r="J10" s="6" t="str">
        <f t="shared" si="3"/>
        <v/>
      </c>
      <c r="L10" s="6"/>
      <c r="M10" s="6"/>
      <c r="N10" s="6">
        <v>1</v>
      </c>
      <c r="O10" s="6">
        <v>10</v>
      </c>
      <c r="P10" s="6">
        <f t="shared" si="5"/>
        <v>70</v>
      </c>
      <c r="Q10" s="6" t="str">
        <f t="shared" si="4"/>
        <v/>
      </c>
    </row>
    <row r="11" spans="1:18" x14ac:dyDescent="0.3">
      <c r="B11" s="63">
        <v>6</v>
      </c>
      <c r="D11" s="6" t="str">
        <f t="shared" si="0"/>
        <v/>
      </c>
      <c r="E11" s="4">
        <v>4800</v>
      </c>
      <c r="F11" s="6" t="str">
        <f t="shared" si="1"/>
        <v/>
      </c>
      <c r="G11" s="4">
        <v>960</v>
      </c>
      <c r="H11" s="6" t="str">
        <f t="shared" si="2"/>
        <v/>
      </c>
      <c r="I11" s="4">
        <v>240</v>
      </c>
      <c r="J11" s="6" t="str">
        <f t="shared" si="3"/>
        <v/>
      </c>
      <c r="L11" s="6"/>
      <c r="M11" s="6"/>
      <c r="N11" s="6">
        <v>2</v>
      </c>
      <c r="O11" s="6">
        <v>20</v>
      </c>
      <c r="P11" s="6">
        <f t="shared" si="5"/>
        <v>140</v>
      </c>
      <c r="Q11" s="6" t="str">
        <f t="shared" si="4"/>
        <v/>
      </c>
    </row>
    <row r="12" spans="1:18" x14ac:dyDescent="0.3">
      <c r="B12" s="63">
        <v>7</v>
      </c>
      <c r="D12" s="6" t="str">
        <f t="shared" si="0"/>
        <v/>
      </c>
      <c r="E12" s="4">
        <v>17000</v>
      </c>
      <c r="F12" s="6" t="str">
        <f t="shared" si="1"/>
        <v/>
      </c>
      <c r="G12" s="4">
        <v>3400</v>
      </c>
      <c r="H12" s="6" t="str">
        <f t="shared" si="2"/>
        <v/>
      </c>
      <c r="I12" s="4">
        <v>865</v>
      </c>
      <c r="J12" s="6" t="str">
        <f t="shared" si="3"/>
        <v/>
      </c>
      <c r="L12" s="6"/>
      <c r="M12" s="6"/>
      <c r="N12" s="6">
        <v>4</v>
      </c>
      <c r="O12" s="6">
        <v>45</v>
      </c>
      <c r="P12" s="6">
        <f t="shared" si="5"/>
        <v>285</v>
      </c>
      <c r="Q12" s="6" t="str">
        <f t="shared" si="4"/>
        <v/>
      </c>
    </row>
    <row r="13" spans="1:18" x14ac:dyDescent="0.3">
      <c r="B13" s="63">
        <v>8</v>
      </c>
      <c r="D13" s="6" t="str">
        <f t="shared" si="0"/>
        <v/>
      </c>
      <c r="E13" s="4">
        <v>31000</v>
      </c>
      <c r="F13" s="6" t="str">
        <f t="shared" si="1"/>
        <v/>
      </c>
      <c r="G13" s="4">
        <v>6300</v>
      </c>
      <c r="H13" s="6" t="str">
        <f t="shared" si="2"/>
        <v/>
      </c>
      <c r="I13" s="4">
        <v>1500</v>
      </c>
      <c r="J13" s="6" t="str">
        <f t="shared" si="3"/>
        <v/>
      </c>
      <c r="L13" s="6"/>
      <c r="M13" s="6"/>
      <c r="N13" s="6">
        <v>7</v>
      </c>
      <c r="O13" s="6">
        <v>10</v>
      </c>
      <c r="P13" s="6">
        <f t="shared" si="5"/>
        <v>430</v>
      </c>
      <c r="Q13" s="6" t="str">
        <f t="shared" si="4"/>
        <v/>
      </c>
    </row>
    <row r="14" spans="1:18" x14ac:dyDescent="0.3">
      <c r="B14" s="63">
        <v>9</v>
      </c>
      <c r="D14" s="6" t="str">
        <f t="shared" si="0"/>
        <v/>
      </c>
      <c r="E14" s="4">
        <v>65000</v>
      </c>
      <c r="F14" s="6" t="str">
        <f t="shared" si="1"/>
        <v/>
      </c>
      <c r="G14" s="4">
        <v>13000</v>
      </c>
      <c r="H14" s="6" t="str">
        <f t="shared" si="2"/>
        <v/>
      </c>
      <c r="I14" s="4">
        <v>3200</v>
      </c>
      <c r="J14" s="6" t="str">
        <f t="shared" si="3"/>
        <v/>
      </c>
      <c r="L14" s="6"/>
      <c r="M14" s="6"/>
      <c r="N14" s="6">
        <v>10</v>
      </c>
      <c r="O14" s="6">
        <v>30</v>
      </c>
      <c r="P14" s="6">
        <f t="shared" si="5"/>
        <v>630</v>
      </c>
      <c r="Q14" s="6" t="str">
        <f t="shared" si="4"/>
        <v/>
      </c>
    </row>
    <row r="15" spans="1:18" x14ac:dyDescent="0.3">
      <c r="B15" s="63">
        <v>10</v>
      </c>
      <c r="D15" s="6" t="str">
        <f t="shared" si="0"/>
        <v/>
      </c>
      <c r="E15" s="4">
        <v>110000</v>
      </c>
      <c r="F15" s="6" t="str">
        <f t="shared" si="1"/>
        <v/>
      </c>
      <c r="G15" s="4">
        <v>23000</v>
      </c>
      <c r="H15" s="6" t="str">
        <f t="shared" si="2"/>
        <v/>
      </c>
      <c r="I15" s="4">
        <v>5700</v>
      </c>
      <c r="J15" s="6" t="str">
        <f t="shared" si="3"/>
        <v/>
      </c>
      <c r="L15" s="6"/>
      <c r="M15" s="6"/>
      <c r="N15" s="6">
        <v>14</v>
      </c>
      <c r="O15" s="6"/>
      <c r="P15" s="6">
        <f t="shared" si="5"/>
        <v>840</v>
      </c>
      <c r="Q15" s="6" t="str">
        <f t="shared" si="4"/>
        <v/>
      </c>
    </row>
    <row r="16" spans="1:18" x14ac:dyDescent="0.3">
      <c r="B16" s="63">
        <v>11</v>
      </c>
      <c r="C16" s="4">
        <v>110000</v>
      </c>
      <c r="D16" s="6" t="str">
        <f t="shared" si="0"/>
        <v/>
      </c>
      <c r="E16" s="4">
        <v>110000</v>
      </c>
      <c r="F16" s="6" t="str">
        <f t="shared" si="1"/>
        <v/>
      </c>
      <c r="G16" s="4">
        <v>23000</v>
      </c>
      <c r="H16" s="6" t="str">
        <f t="shared" si="2"/>
        <v/>
      </c>
      <c r="I16" s="4">
        <v>5900</v>
      </c>
      <c r="J16" s="6" t="str">
        <f t="shared" si="3"/>
        <v/>
      </c>
      <c r="L16" s="6"/>
      <c r="M16" s="6"/>
      <c r="N16" s="6">
        <v>18</v>
      </c>
      <c r="O16" s="6"/>
      <c r="P16" s="6">
        <f t="shared" si="5"/>
        <v>1080</v>
      </c>
      <c r="Q16" s="6" t="str">
        <f t="shared" si="4"/>
        <v/>
      </c>
    </row>
    <row r="17" spans="2:17" x14ac:dyDescent="0.3">
      <c r="B17" s="63">
        <v>12</v>
      </c>
      <c r="C17" s="4">
        <v>150000</v>
      </c>
      <c r="D17" s="6" t="str">
        <f t="shared" si="0"/>
        <v/>
      </c>
      <c r="E17" s="4">
        <v>150000</v>
      </c>
      <c r="F17" s="6" t="str">
        <f t="shared" si="1"/>
        <v/>
      </c>
      <c r="G17" s="4">
        <v>30000</v>
      </c>
      <c r="H17" s="6" t="str">
        <f t="shared" si="2"/>
        <v/>
      </c>
      <c r="I17" s="4">
        <v>7500</v>
      </c>
      <c r="J17" s="6" t="str">
        <f t="shared" si="3"/>
        <v/>
      </c>
      <c r="L17" s="6"/>
      <c r="M17" s="6"/>
      <c r="N17" s="6">
        <v>21</v>
      </c>
      <c r="O17" s="6">
        <v>30</v>
      </c>
      <c r="P17" s="6">
        <f t="shared" si="5"/>
        <v>1290</v>
      </c>
      <c r="Q17" s="6" t="str">
        <f t="shared" si="4"/>
        <v/>
      </c>
    </row>
    <row r="18" spans="2:17" x14ac:dyDescent="0.3">
      <c r="B18" s="63">
        <v>13</v>
      </c>
      <c r="C18" s="4">
        <v>210000</v>
      </c>
      <c r="D18" s="6" t="str">
        <f t="shared" si="0"/>
        <v/>
      </c>
      <c r="E18" s="4">
        <v>210000</v>
      </c>
      <c r="F18" s="6" t="str">
        <f t="shared" si="1"/>
        <v/>
      </c>
      <c r="G18" s="4">
        <v>42000</v>
      </c>
      <c r="H18" s="6" t="str">
        <f t="shared" si="2"/>
        <v/>
      </c>
      <c r="I18" s="4">
        <v>10000</v>
      </c>
      <c r="J18" s="6" t="str">
        <f t="shared" si="3"/>
        <v/>
      </c>
      <c r="L18" s="6"/>
      <c r="M18" s="6"/>
      <c r="N18" s="6">
        <v>26</v>
      </c>
      <c r="O18" s="6"/>
      <c r="P18" s="6">
        <f t="shared" si="5"/>
        <v>1560</v>
      </c>
      <c r="Q18" s="6" t="str">
        <f t="shared" si="4"/>
        <v/>
      </c>
    </row>
    <row r="19" spans="2:17" x14ac:dyDescent="0.3">
      <c r="B19" s="63">
        <v>14</v>
      </c>
      <c r="C19" s="4">
        <v>280000</v>
      </c>
      <c r="D19" s="6" t="str">
        <f t="shared" si="0"/>
        <v/>
      </c>
      <c r="E19" s="4">
        <v>280000</v>
      </c>
      <c r="F19" s="6" t="str">
        <f t="shared" si="1"/>
        <v/>
      </c>
      <c r="G19" s="4">
        <v>56000</v>
      </c>
      <c r="H19" s="6" t="str">
        <f t="shared" si="2"/>
        <v/>
      </c>
      <c r="I19" s="4">
        <v>14000</v>
      </c>
      <c r="J19" s="6" t="str">
        <f t="shared" si="3"/>
        <v/>
      </c>
      <c r="L19" s="6"/>
      <c r="M19" s="6"/>
      <c r="N19" s="6">
        <v>33</v>
      </c>
      <c r="O19" s="6">
        <v>30</v>
      </c>
      <c r="P19" s="6">
        <f t="shared" si="5"/>
        <v>2010</v>
      </c>
      <c r="Q19" s="6" t="str">
        <f t="shared" si="4"/>
        <v/>
      </c>
    </row>
    <row r="20" spans="2:17" x14ac:dyDescent="0.3">
      <c r="B20" s="63">
        <v>15</v>
      </c>
      <c r="C20" s="4">
        <v>410000</v>
      </c>
      <c r="D20" s="6" t="str">
        <f t="shared" si="0"/>
        <v/>
      </c>
      <c r="E20" s="4">
        <v>410000</v>
      </c>
      <c r="F20" s="6" t="str">
        <f t="shared" si="1"/>
        <v/>
      </c>
      <c r="G20" s="4">
        <v>83000</v>
      </c>
      <c r="H20" s="6" t="str">
        <f t="shared" si="2"/>
        <v/>
      </c>
      <c r="I20" s="4">
        <v>20000</v>
      </c>
      <c r="J20" s="6" t="str">
        <f t="shared" si="3"/>
        <v/>
      </c>
      <c r="L20" s="6"/>
      <c r="M20" s="6"/>
      <c r="N20" s="6">
        <v>43</v>
      </c>
      <c r="O20" s="6"/>
      <c r="P20" s="6">
        <f t="shared" si="5"/>
        <v>2580</v>
      </c>
      <c r="Q20" s="6" t="str">
        <f t="shared" si="4"/>
        <v/>
      </c>
    </row>
    <row r="21" spans="2:17" x14ac:dyDescent="0.3">
      <c r="B21" s="63">
        <v>16</v>
      </c>
      <c r="C21" s="4">
        <v>530000</v>
      </c>
      <c r="D21" s="6" t="str">
        <f t="shared" si="0"/>
        <v/>
      </c>
      <c r="E21" s="4">
        <v>530000</v>
      </c>
      <c r="F21" s="6" t="str">
        <f t="shared" si="1"/>
        <v/>
      </c>
      <c r="G21" s="4">
        <v>100000</v>
      </c>
      <c r="H21" s="6" t="str">
        <f t="shared" si="2"/>
        <v/>
      </c>
      <c r="I21" s="4">
        <v>26000</v>
      </c>
      <c r="J21" s="6" t="str">
        <f t="shared" si="3"/>
        <v/>
      </c>
      <c r="L21" s="6"/>
      <c r="M21" s="6">
        <v>1</v>
      </c>
      <c r="N21" s="6">
        <v>13</v>
      </c>
      <c r="O21" s="6"/>
      <c r="P21" s="6">
        <f t="shared" si="5"/>
        <v>4380</v>
      </c>
      <c r="Q21" s="6" t="str">
        <f t="shared" si="4"/>
        <v/>
      </c>
    </row>
    <row r="22" spans="2:17" x14ac:dyDescent="0.3">
      <c r="B22" s="63">
        <v>17</v>
      </c>
      <c r="C22" s="4">
        <v>830000</v>
      </c>
      <c r="D22" s="6" t="str">
        <f t="shared" si="0"/>
        <v/>
      </c>
      <c r="E22" s="4">
        <v>830000</v>
      </c>
      <c r="F22" s="6" t="str">
        <f t="shared" si="1"/>
        <v/>
      </c>
      <c r="G22" s="4">
        <v>160000</v>
      </c>
      <c r="H22" s="6" t="str">
        <f t="shared" si="2"/>
        <v/>
      </c>
      <c r="I22" s="4">
        <v>41000</v>
      </c>
      <c r="J22" s="6" t="str">
        <f t="shared" si="3"/>
        <v/>
      </c>
      <c r="L22" s="6"/>
      <c r="M22" s="6">
        <v>1</v>
      </c>
      <c r="N22" s="6">
        <v>27</v>
      </c>
      <c r="O22" s="6">
        <v>30</v>
      </c>
      <c r="P22" s="6">
        <f t="shared" si="5"/>
        <v>5250</v>
      </c>
      <c r="Q22" s="6" t="str">
        <f t="shared" si="4"/>
        <v/>
      </c>
    </row>
    <row r="23" spans="2:17" x14ac:dyDescent="0.3">
      <c r="B23" s="63">
        <v>18</v>
      </c>
      <c r="C23" s="4">
        <v>1100000</v>
      </c>
      <c r="D23" s="6" t="str">
        <f t="shared" si="0"/>
        <v/>
      </c>
      <c r="E23" s="4">
        <v>1100000</v>
      </c>
      <c r="F23" s="6" t="str">
        <f t="shared" si="1"/>
        <v/>
      </c>
      <c r="G23" s="4">
        <v>220000</v>
      </c>
      <c r="H23" s="6" t="str">
        <f t="shared" si="2"/>
        <v/>
      </c>
      <c r="I23" s="4">
        <v>56000</v>
      </c>
      <c r="J23" s="6" t="str">
        <f t="shared" si="3"/>
        <v/>
      </c>
      <c r="L23" s="6"/>
      <c r="M23" s="6">
        <v>1</v>
      </c>
      <c r="N23" s="6">
        <v>45</v>
      </c>
      <c r="O23" s="6"/>
      <c r="P23" s="6">
        <f t="shared" si="5"/>
        <v>6300</v>
      </c>
      <c r="Q23" s="6" t="str">
        <f t="shared" si="4"/>
        <v/>
      </c>
    </row>
    <row r="24" spans="2:17" x14ac:dyDescent="0.3">
      <c r="B24" s="63">
        <v>19</v>
      </c>
      <c r="C24" s="4">
        <v>1400000</v>
      </c>
      <c r="D24" s="6" t="str">
        <f t="shared" si="0"/>
        <v/>
      </c>
      <c r="E24" s="4">
        <v>1400000</v>
      </c>
      <c r="F24" s="6" t="str">
        <f t="shared" si="1"/>
        <v/>
      </c>
      <c r="G24" s="4">
        <v>280000</v>
      </c>
      <c r="H24" s="6" t="str">
        <f t="shared" si="2"/>
        <v/>
      </c>
      <c r="I24" s="4">
        <v>70000</v>
      </c>
      <c r="J24" s="6" t="str">
        <f t="shared" si="3"/>
        <v/>
      </c>
      <c r="L24" s="6"/>
      <c r="M24" s="6">
        <v>2</v>
      </c>
      <c r="N24" s="6">
        <v>38</v>
      </c>
      <c r="O24" s="6"/>
      <c r="P24" s="6">
        <f t="shared" si="5"/>
        <v>9480</v>
      </c>
      <c r="Q24" s="6" t="str">
        <f t="shared" si="4"/>
        <v/>
      </c>
    </row>
    <row r="25" spans="2:17" x14ac:dyDescent="0.3">
      <c r="B25" s="63">
        <v>20</v>
      </c>
      <c r="C25" s="4">
        <v>1900000</v>
      </c>
      <c r="D25" s="6" t="str">
        <f t="shared" si="0"/>
        <v/>
      </c>
      <c r="E25" s="4">
        <v>1900000</v>
      </c>
      <c r="F25" s="6" t="str">
        <f t="shared" si="1"/>
        <v/>
      </c>
      <c r="G25" s="4">
        <v>300000</v>
      </c>
      <c r="H25" s="6" t="str">
        <f t="shared" si="2"/>
        <v/>
      </c>
      <c r="I25" s="4">
        <v>96000</v>
      </c>
      <c r="J25" s="6" t="str">
        <f t="shared" si="3"/>
        <v/>
      </c>
      <c r="L25" s="6"/>
      <c r="M25" s="6">
        <v>3</v>
      </c>
      <c r="N25" s="6">
        <v>17</v>
      </c>
      <c r="O25" s="6">
        <v>30</v>
      </c>
      <c r="P25" s="6">
        <f t="shared" si="5"/>
        <v>11850</v>
      </c>
      <c r="Q25" s="6" t="str">
        <f t="shared" si="4"/>
        <v/>
      </c>
    </row>
    <row r="26" spans="2:17" x14ac:dyDescent="0.3">
      <c r="B26" s="63">
        <v>21</v>
      </c>
      <c r="C26" s="4">
        <v>2400000</v>
      </c>
      <c r="D26" s="6" t="str">
        <f t="shared" si="0"/>
        <v/>
      </c>
      <c r="E26" s="4">
        <v>2400000</v>
      </c>
      <c r="F26" s="6" t="str">
        <f t="shared" si="1"/>
        <v/>
      </c>
      <c r="G26" s="4">
        <v>490000</v>
      </c>
      <c r="H26" s="6" t="str">
        <f t="shared" si="2"/>
        <v/>
      </c>
      <c r="I26" s="4">
        <v>120000</v>
      </c>
      <c r="J26" s="6" t="str">
        <f t="shared" si="3"/>
        <v/>
      </c>
      <c r="L26" s="6"/>
      <c r="M26" s="6">
        <v>4</v>
      </c>
      <c r="N26" s="6">
        <v>16</v>
      </c>
      <c r="O26" s="6">
        <v>30</v>
      </c>
      <c r="P26" s="6">
        <f t="shared" si="5"/>
        <v>15390</v>
      </c>
      <c r="Q26" s="6" t="str">
        <f t="shared" si="4"/>
        <v/>
      </c>
    </row>
    <row r="27" spans="2:17" x14ac:dyDescent="0.3">
      <c r="B27" s="63">
        <v>22</v>
      </c>
      <c r="C27" s="4">
        <v>3200000</v>
      </c>
      <c r="D27" s="6" t="str">
        <f t="shared" si="0"/>
        <v/>
      </c>
      <c r="E27" s="4">
        <v>3200000</v>
      </c>
      <c r="F27" s="6" t="str">
        <f t="shared" si="1"/>
        <v/>
      </c>
      <c r="G27" s="4">
        <v>640000</v>
      </c>
      <c r="H27" s="6" t="str">
        <f t="shared" si="2"/>
        <v/>
      </c>
      <c r="I27" s="4">
        <v>160000</v>
      </c>
      <c r="J27" s="6" t="str">
        <f t="shared" si="3"/>
        <v/>
      </c>
      <c r="L27" s="6"/>
      <c r="M27" s="6">
        <v>6</v>
      </c>
      <c r="N27" s="6">
        <v>25</v>
      </c>
      <c r="O27" s="6"/>
      <c r="P27" s="6">
        <f t="shared" si="5"/>
        <v>23100</v>
      </c>
      <c r="Q27" s="6" t="str">
        <f t="shared" si="4"/>
        <v/>
      </c>
    </row>
    <row r="28" spans="2:17" x14ac:dyDescent="0.3">
      <c r="B28" s="63">
        <v>23</v>
      </c>
      <c r="C28" s="4">
        <v>4000000</v>
      </c>
      <c r="D28" s="6" t="str">
        <f t="shared" si="0"/>
        <v/>
      </c>
      <c r="E28" s="4">
        <v>4000000</v>
      </c>
      <c r="F28" s="6" t="str">
        <f t="shared" si="1"/>
        <v/>
      </c>
      <c r="G28" s="4">
        <v>800000</v>
      </c>
      <c r="H28" s="6" t="str">
        <f t="shared" si="2"/>
        <v/>
      </c>
      <c r="I28" s="4">
        <v>200000</v>
      </c>
      <c r="J28" s="6" t="str">
        <f t="shared" si="3"/>
        <v/>
      </c>
      <c r="L28" s="6"/>
      <c r="M28" s="6">
        <v>8</v>
      </c>
      <c r="N28" s="6">
        <v>59</v>
      </c>
      <c r="O28" s="6"/>
      <c r="P28" s="6">
        <f t="shared" si="5"/>
        <v>32340</v>
      </c>
      <c r="Q28" s="6" t="str">
        <f t="shared" si="4"/>
        <v/>
      </c>
    </row>
    <row r="29" spans="2:17" x14ac:dyDescent="0.3">
      <c r="B29" s="63">
        <v>24</v>
      </c>
      <c r="C29" s="4">
        <v>5400000</v>
      </c>
      <c r="D29" s="6" t="str">
        <f t="shared" si="0"/>
        <v/>
      </c>
      <c r="E29" s="4">
        <v>5400000</v>
      </c>
      <c r="F29" s="6" t="str">
        <f t="shared" si="1"/>
        <v/>
      </c>
      <c r="G29" s="4">
        <v>1000000</v>
      </c>
      <c r="H29" s="6" t="str">
        <f t="shared" si="2"/>
        <v/>
      </c>
      <c r="I29" s="4">
        <v>270000</v>
      </c>
      <c r="J29" s="6" t="str">
        <f t="shared" si="3"/>
        <v/>
      </c>
      <c r="L29" s="6"/>
      <c r="M29" s="6">
        <v>12</v>
      </c>
      <c r="N29" s="6">
        <v>34</v>
      </c>
      <c r="O29" s="6">
        <v>30</v>
      </c>
      <c r="P29" s="6">
        <f t="shared" si="5"/>
        <v>45270</v>
      </c>
      <c r="Q29" s="6" t="str">
        <f t="shared" si="4"/>
        <v/>
      </c>
    </row>
    <row r="30" spans="2:17" x14ac:dyDescent="0.3">
      <c r="B30" s="63">
        <v>25</v>
      </c>
      <c r="C30" s="4">
        <v>7300000</v>
      </c>
      <c r="D30" s="6" t="str">
        <f t="shared" si="0"/>
        <v/>
      </c>
      <c r="E30" s="4">
        <v>7300000</v>
      </c>
      <c r="F30" s="6" t="str">
        <f t="shared" si="1"/>
        <v/>
      </c>
      <c r="G30" s="4">
        <v>1400000</v>
      </c>
      <c r="H30" s="6" t="str">
        <f t="shared" si="2"/>
        <v/>
      </c>
      <c r="I30" s="4">
        <v>360000</v>
      </c>
      <c r="J30" s="6" t="str">
        <f t="shared" si="3"/>
        <v/>
      </c>
      <c r="L30" s="6"/>
      <c r="M30" s="6">
        <v>17</v>
      </c>
      <c r="N30" s="6">
        <v>36</v>
      </c>
      <c r="O30" s="6">
        <v>30</v>
      </c>
      <c r="P30" s="6">
        <f t="shared" si="5"/>
        <v>63390</v>
      </c>
      <c r="Q30" s="6" t="str">
        <f t="shared" si="4"/>
        <v/>
      </c>
    </row>
    <row r="31" spans="2:17" x14ac:dyDescent="0.3">
      <c r="B31" s="63">
        <v>26</v>
      </c>
      <c r="C31" s="4">
        <v>9400000</v>
      </c>
      <c r="D31" s="6" t="str">
        <f t="shared" si="0"/>
        <v/>
      </c>
      <c r="E31" s="4">
        <v>9400000</v>
      </c>
      <c r="F31" s="6" t="str">
        <f t="shared" si="1"/>
        <v/>
      </c>
      <c r="G31" s="4">
        <v>1800000</v>
      </c>
      <c r="H31" s="6" t="str">
        <f t="shared" si="2"/>
        <v/>
      </c>
      <c r="I31" s="4">
        <v>470000</v>
      </c>
      <c r="J31" s="6" t="str">
        <f t="shared" si="3"/>
        <v/>
      </c>
      <c r="L31" s="6"/>
      <c r="M31" s="6">
        <v>20</v>
      </c>
      <c r="N31" s="6">
        <v>15</v>
      </c>
      <c r="O31" s="6"/>
      <c r="P31" s="6">
        <f t="shared" si="5"/>
        <v>72900</v>
      </c>
      <c r="Q31" s="6" t="str">
        <f t="shared" si="4"/>
        <v/>
      </c>
    </row>
    <row r="32" spans="2:17" x14ac:dyDescent="0.3">
      <c r="B32" s="63">
        <v>27</v>
      </c>
      <c r="C32" s="4">
        <v>13000000</v>
      </c>
      <c r="D32" s="6" t="str">
        <f t="shared" si="0"/>
        <v/>
      </c>
      <c r="E32" s="4">
        <v>13000000</v>
      </c>
      <c r="F32" s="6" t="str">
        <f t="shared" si="1"/>
        <v/>
      </c>
      <c r="G32" s="4">
        <v>2600000</v>
      </c>
      <c r="H32" s="6" t="str">
        <f t="shared" si="2"/>
        <v/>
      </c>
      <c r="I32" s="4">
        <v>670000</v>
      </c>
      <c r="J32" s="6" t="str">
        <f t="shared" si="3"/>
        <v/>
      </c>
      <c r="L32" s="6">
        <v>1</v>
      </c>
      <c r="M32" s="6"/>
      <c r="N32" s="6">
        <v>18</v>
      </c>
      <c r="O32" s="6"/>
      <c r="P32" s="6">
        <f t="shared" si="5"/>
        <v>87480</v>
      </c>
      <c r="Q32" s="6" t="str">
        <f t="shared" si="4"/>
        <v/>
      </c>
    </row>
    <row r="33" spans="2:17" x14ac:dyDescent="0.3">
      <c r="B33" s="63">
        <v>28</v>
      </c>
      <c r="C33" s="4">
        <v>17000000</v>
      </c>
      <c r="D33" s="6" t="str">
        <f t="shared" si="0"/>
        <v/>
      </c>
      <c r="E33" s="4">
        <v>17000000</v>
      </c>
      <c r="F33" s="6" t="str">
        <f t="shared" si="1"/>
        <v/>
      </c>
      <c r="G33" s="4">
        <v>3500000</v>
      </c>
      <c r="H33" s="6" t="str">
        <f t="shared" si="2"/>
        <v/>
      </c>
      <c r="I33" s="4">
        <v>890000</v>
      </c>
      <c r="J33" s="6" t="str">
        <f t="shared" si="3"/>
        <v/>
      </c>
      <c r="L33" s="6">
        <v>1</v>
      </c>
      <c r="M33" s="6">
        <v>3</v>
      </c>
      <c r="N33" s="6">
        <v>57</v>
      </c>
      <c r="O33" s="6"/>
      <c r="P33" s="6">
        <f t="shared" si="5"/>
        <v>100620</v>
      </c>
      <c r="Q33" s="6" t="str">
        <f t="shared" si="4"/>
        <v/>
      </c>
    </row>
    <row r="34" spans="2:17" x14ac:dyDescent="0.3">
      <c r="B34" s="63">
        <v>29</v>
      </c>
      <c r="C34" s="4">
        <v>22000000</v>
      </c>
      <c r="D34" s="6" t="str">
        <f t="shared" si="0"/>
        <v/>
      </c>
      <c r="E34" s="4">
        <v>22000000</v>
      </c>
      <c r="F34" s="6" t="str">
        <f t="shared" si="1"/>
        <v/>
      </c>
      <c r="G34" s="4">
        <v>4400000</v>
      </c>
      <c r="H34" s="6" t="str">
        <f t="shared" si="2"/>
        <v/>
      </c>
      <c r="I34" s="4">
        <v>1100000</v>
      </c>
      <c r="J34" s="6" t="str">
        <f t="shared" si="3"/>
        <v/>
      </c>
      <c r="L34" s="6">
        <v>1</v>
      </c>
      <c r="M34" s="6">
        <v>8</v>
      </c>
      <c r="N34" s="6">
        <v>8</v>
      </c>
      <c r="O34" s="6"/>
      <c r="P34" s="6">
        <f t="shared" si="5"/>
        <v>115680</v>
      </c>
      <c r="Q34" s="6" t="str">
        <f t="shared" si="4"/>
        <v/>
      </c>
    </row>
    <row r="35" spans="2:17" x14ac:dyDescent="0.3">
      <c r="B35" s="63">
        <v>30</v>
      </c>
      <c r="C35" s="4">
        <v>27000000</v>
      </c>
      <c r="D35" s="6" t="str">
        <f t="shared" si="0"/>
        <v/>
      </c>
      <c r="E35" s="4">
        <v>27000000</v>
      </c>
      <c r="F35" s="6" t="str">
        <f t="shared" si="1"/>
        <v/>
      </c>
      <c r="G35" s="4">
        <v>5400000</v>
      </c>
      <c r="H35" s="6" t="str">
        <f t="shared" si="2"/>
        <v/>
      </c>
      <c r="I35" s="4">
        <v>1300000</v>
      </c>
      <c r="J35" s="6" t="str">
        <f t="shared" si="3"/>
        <v/>
      </c>
      <c r="L35" s="6">
        <v>1</v>
      </c>
      <c r="M35" s="6">
        <v>14</v>
      </c>
      <c r="N35" s="6">
        <v>34</v>
      </c>
      <c r="O35" s="6"/>
      <c r="P35" s="6">
        <f t="shared" si="5"/>
        <v>138840</v>
      </c>
      <c r="Q35" s="6" t="str">
        <f t="shared" si="4"/>
        <v/>
      </c>
    </row>
    <row r="36" spans="2:17" x14ac:dyDescent="0.3">
      <c r="L36" s="6"/>
      <c r="M36" s="6"/>
      <c r="N36" s="6"/>
      <c r="O36" s="6"/>
      <c r="P36" s="6"/>
      <c r="Q36" s="6"/>
    </row>
    <row r="37" spans="2:17" x14ac:dyDescent="0.3">
      <c r="C37" s="4">
        <f>SUM(C6:C35)</f>
        <v>117620000</v>
      </c>
      <c r="D37" s="4">
        <f>SUM(D5:D35)</f>
        <v>0</v>
      </c>
      <c r="E37" s="4">
        <f>SUM(E6:E35)</f>
        <v>117850425</v>
      </c>
      <c r="F37" s="4">
        <f>SUM(F5:F35)</f>
        <v>0</v>
      </c>
      <c r="G37" s="4">
        <f>SUM(G6:G35)</f>
        <v>23371130</v>
      </c>
      <c r="H37" s="4">
        <f>SUM(H5:H35)</f>
        <v>0</v>
      </c>
      <c r="I37" s="4">
        <f>SUM(I6:I35)</f>
        <v>5897905</v>
      </c>
      <c r="J37" s="4">
        <f>SUM(J5:J35)</f>
        <v>0</v>
      </c>
      <c r="L37" s="6"/>
      <c r="M37" s="6"/>
      <c r="N37" s="6"/>
      <c r="O37" s="6"/>
      <c r="P37" s="12">
        <f>SUM(P5:P35)</f>
        <v>743235</v>
      </c>
      <c r="Q37" s="12">
        <f>SUM(Q6:Q35)</f>
        <v>0</v>
      </c>
    </row>
    <row r="39" spans="2:17" x14ac:dyDescent="0.3">
      <c r="O39" s="4" t="s">
        <v>21</v>
      </c>
      <c r="P39" s="4">
        <f>ROUNDDOWN(P37/60/60/24,0)</f>
        <v>8</v>
      </c>
      <c r="Q39" s="4">
        <f>ROUNDDOWN(Q37/60/60/24,0)</f>
        <v>0</v>
      </c>
    </row>
    <row r="40" spans="2:17" x14ac:dyDescent="0.3">
      <c r="O40" s="4" t="s">
        <v>20</v>
      </c>
      <c r="P40" s="4">
        <f>ROUNDDOWN((P37-P39*60*60*24)/60/60,0)</f>
        <v>14</v>
      </c>
      <c r="Q40" s="4">
        <f>ROUNDDOWN((Q37-Q39*60*60*24)/60/60,0)</f>
        <v>0</v>
      </c>
    </row>
    <row r="41" spans="2:17" x14ac:dyDescent="0.3">
      <c r="O41" s="4" t="s">
        <v>19</v>
      </c>
      <c r="P41" s="4">
        <f>ROUNDDOWN((P37-P39*60*60*24-P40*60*60)/60,0)</f>
        <v>27</v>
      </c>
      <c r="Q41" s="4">
        <f>ROUNDDOWN((Q37-Q39*60*60*24-Q40*60*60)/60,0)</f>
        <v>0</v>
      </c>
    </row>
    <row r="42" spans="2:17" x14ac:dyDescent="0.3">
      <c r="O42" s="4" t="s">
        <v>18</v>
      </c>
      <c r="P42" s="4">
        <f>ROUNDDOWN((P37-P39*60*60*24-P40*60*60-P41*60),0)</f>
        <v>15</v>
      </c>
      <c r="Q42" s="4">
        <f>ROUNDDOWN((Q37-Q39*60*60*24-Q40*60*60-Q41*60),0)</f>
        <v>0</v>
      </c>
    </row>
  </sheetData>
  <mergeCells count="7">
    <mergeCell ref="C3:J3"/>
    <mergeCell ref="L3:Q3"/>
    <mergeCell ref="C4:D4"/>
    <mergeCell ref="E4:F4"/>
    <mergeCell ref="G4:H4"/>
    <mergeCell ref="I4:J4"/>
    <mergeCell ref="P4:Q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F21FC-28CB-455B-B2DA-BA8B186885C9}">
  <sheetPr codeName="Sheet6"/>
  <dimension ref="A1:W92"/>
  <sheetViews>
    <sheetView workbookViewId="0">
      <pane xSplit="2" ySplit="5" topLeftCell="C51" activePane="bottomRight" state="frozen"/>
      <selection sqref="A1:R2"/>
      <selection pane="topRight" sqref="A1:R2"/>
      <selection pane="bottomLeft" sqref="A1:R2"/>
      <selection pane="bottomRight" activeCell="D87" sqref="D87:V87"/>
    </sheetView>
  </sheetViews>
  <sheetFormatPr baseColWidth="10" defaultColWidth="9.109375" defaultRowHeight="14.4" x14ac:dyDescent="0.3"/>
  <cols>
    <col min="1" max="1" width="9.109375" style="4"/>
    <col min="2" max="2" width="16" style="4" bestFit="1" customWidth="1"/>
    <col min="3" max="3" width="16" style="4" customWidth="1"/>
    <col min="4" max="4" width="15.33203125" style="4" bestFit="1" customWidth="1"/>
    <col min="5" max="5" width="14.33203125" style="4" customWidth="1"/>
    <col min="6" max="6" width="15.33203125" style="4" bestFit="1" customWidth="1"/>
    <col min="7" max="7" width="14.33203125" style="4" customWidth="1"/>
    <col min="8" max="8" width="15.33203125" style="4" bestFit="1" customWidth="1"/>
    <col min="9" max="9" width="12.5546875" style="4" customWidth="1"/>
    <col min="10" max="10" width="14.33203125" style="4" bestFit="1" customWidth="1"/>
    <col min="11" max="15" width="11.5546875" style="4" customWidth="1"/>
    <col min="16" max="16" width="9.33203125" style="4" bestFit="1" customWidth="1"/>
    <col min="17" max="18" width="8" style="4" bestFit="1" customWidth="1"/>
    <col min="19" max="19" width="9.5546875" style="4" bestFit="1" customWidth="1"/>
    <col min="20" max="20" width="8.88671875" style="4" bestFit="1" customWidth="1"/>
    <col min="21" max="21" width="14.44140625" style="4" bestFit="1" customWidth="1"/>
    <col min="22" max="22" width="13.33203125" style="4" customWidth="1"/>
    <col min="23" max="16384" width="9.109375" style="4"/>
  </cols>
  <sheetData>
    <row r="1" spans="1:23" x14ac:dyDescent="0.3">
      <c r="D1" s="4" t="s">
        <v>26</v>
      </c>
    </row>
    <row r="2" spans="1:23" x14ac:dyDescent="0.3">
      <c r="A2" s="45"/>
      <c r="D2" s="6">
        <f>LARGE(Furnace!Z4:Z35,1)</f>
        <v>29</v>
      </c>
      <c r="E2" s="6"/>
      <c r="F2" s="45"/>
      <c r="G2" s="45"/>
      <c r="H2" s="45"/>
      <c r="I2" s="45"/>
      <c r="J2" s="45"/>
      <c r="K2" s="45"/>
      <c r="L2" s="45"/>
      <c r="M2" s="45"/>
      <c r="N2" s="45"/>
      <c r="O2" s="45"/>
      <c r="P2" s="45"/>
      <c r="Q2" s="45"/>
      <c r="R2" s="45"/>
      <c r="S2" s="45"/>
      <c r="T2" s="45"/>
      <c r="U2" s="45"/>
      <c r="V2" s="45"/>
      <c r="W2" s="45"/>
    </row>
    <row r="3" spans="1:23" x14ac:dyDescent="0.3">
      <c r="B3" s="45" t="s">
        <v>10</v>
      </c>
      <c r="C3" s="45"/>
      <c r="D3" s="709" t="s">
        <v>16</v>
      </c>
      <c r="E3" s="709"/>
      <c r="F3" s="709"/>
      <c r="G3" s="709"/>
      <c r="H3" s="709"/>
      <c r="I3" s="709"/>
      <c r="J3" s="709"/>
      <c r="K3" s="709"/>
      <c r="L3" s="709"/>
      <c r="M3" s="709"/>
      <c r="N3" s="62"/>
      <c r="O3" s="62"/>
      <c r="Q3" s="709" t="s">
        <v>17</v>
      </c>
      <c r="R3" s="709"/>
      <c r="S3" s="709"/>
      <c r="T3" s="709"/>
      <c r="U3" s="709"/>
      <c r="V3" s="709"/>
    </row>
    <row r="4" spans="1:23" x14ac:dyDescent="0.3">
      <c r="B4" s="45" t="e">
        <f>#REF!</f>
        <v>#REF!</v>
      </c>
      <c r="C4" s="45"/>
      <c r="D4" s="705" t="s">
        <v>0</v>
      </c>
      <c r="E4" s="705"/>
      <c r="F4" s="705" t="s">
        <v>1</v>
      </c>
      <c r="G4" s="705"/>
      <c r="H4" s="705" t="s">
        <v>2</v>
      </c>
      <c r="I4" s="705"/>
      <c r="J4" s="705" t="s">
        <v>3</v>
      </c>
      <c r="K4" s="705"/>
      <c r="L4" s="705" t="s">
        <v>59</v>
      </c>
      <c r="M4" s="705"/>
      <c r="N4" s="705" t="s">
        <v>228</v>
      </c>
      <c r="O4" s="705"/>
      <c r="P4" s="45"/>
      <c r="Q4" s="45"/>
      <c r="R4" s="45"/>
      <c r="S4" s="45"/>
      <c r="T4" s="45"/>
      <c r="U4" s="705" t="s">
        <v>18</v>
      </c>
      <c r="V4" s="705"/>
    </row>
    <row r="5" spans="1:23" x14ac:dyDescent="0.3">
      <c r="B5" s="63">
        <v>0</v>
      </c>
      <c r="C5" s="45" t="s">
        <v>463</v>
      </c>
      <c r="D5" s="45" t="s">
        <v>25</v>
      </c>
      <c r="E5" s="45" t="s">
        <v>24</v>
      </c>
      <c r="F5" s="45" t="s">
        <v>25</v>
      </c>
      <c r="G5" s="45" t="s">
        <v>24</v>
      </c>
      <c r="H5" s="45" t="s">
        <v>25</v>
      </c>
      <c r="I5" s="45" t="s">
        <v>24</v>
      </c>
      <c r="J5" s="45" t="s">
        <v>25</v>
      </c>
      <c r="K5" s="45" t="s">
        <v>24</v>
      </c>
      <c r="L5" s="45" t="s">
        <v>25</v>
      </c>
      <c r="M5" s="45" t="s">
        <v>24</v>
      </c>
      <c r="N5" s="45" t="s">
        <v>25</v>
      </c>
      <c r="O5" s="45" t="s">
        <v>24</v>
      </c>
      <c r="P5" s="45"/>
      <c r="Q5" s="45" t="s">
        <v>21</v>
      </c>
      <c r="R5" s="45" t="s">
        <v>20</v>
      </c>
      <c r="S5" s="45" t="s">
        <v>19</v>
      </c>
      <c r="T5" s="45" t="s">
        <v>18</v>
      </c>
      <c r="U5" s="45" t="s">
        <v>25</v>
      </c>
      <c r="V5" s="45" t="s">
        <v>24</v>
      </c>
    </row>
    <row r="6" spans="1:23" x14ac:dyDescent="0.3">
      <c r="B6" s="64">
        <v>1</v>
      </c>
      <c r="C6" s="151">
        <v>1</v>
      </c>
      <c r="E6" s="6" t="str">
        <f t="shared" ref="E6:E37" si="0">IF($C6&gt;VLOOKUP(EmbassyDesired,$B$6:$C$85,2,FALSE),"",IF($C6&gt;VLOOKUP(EmbassyCurrent,$B$6:$C$85,2,FALSE),D6,""))</f>
        <v/>
      </c>
      <c r="F6" s="4">
        <v>60</v>
      </c>
      <c r="G6" s="6" t="str">
        <f t="shared" ref="G6:G37" si="1">IF($C6&gt;VLOOKUP(EmbassyDesired,$B$6:$C$85,2,FALSE),"",IF($C6&gt;VLOOKUP(EmbassyCurrent,$B$6:$C$85,2,FALSE),F6,""))</f>
        <v/>
      </c>
      <c r="I6" s="6" t="str">
        <f t="shared" ref="I6:I37" si="2">IF($C6&gt;VLOOKUP(EmbassyDesired,$B$6:$C$85,2,FALSE),"",IF($C6&gt;VLOOKUP(EmbassyCurrent,$B$6:$C$85,2,FALSE),H6,""))</f>
        <v/>
      </c>
      <c r="K6" s="6" t="str">
        <f t="shared" ref="K6:K37" si="3">IF($C6&gt;VLOOKUP(EmbassyDesired,$B$6:$C$85,2,FALSE),"",IF($C6&gt;VLOOKUP(EmbassyCurrent,$B$6:$C$85,2,FALSE),J6,""))</f>
        <v/>
      </c>
      <c r="L6" s="6"/>
      <c r="M6" s="6" t="str">
        <f t="shared" ref="M6:M37" si="4">IF($C6&gt;VLOOKUP(EmbassyDesired,$B$6:$C$85,2,FALSE),"",IF($C6&gt;VLOOKUP(EmbassyCurrent,$B$6:$C$85,2,FALSE),L6,""))</f>
        <v/>
      </c>
      <c r="N6" s="6"/>
      <c r="O6" s="6" t="str">
        <f t="shared" ref="O6:O37" si="5">IF($C6&gt;VLOOKUP(EmbassyDesired,$B$6:$C$85,2,FALSE),"",IF($C6&gt;VLOOKUP(EmbassyCurrent,$B$6:$C$85,2,FALSE),N6,""))</f>
        <v/>
      </c>
      <c r="Q6" s="6"/>
      <c r="R6" s="6"/>
      <c r="S6" s="6"/>
      <c r="T6" s="6">
        <v>2</v>
      </c>
      <c r="U6" s="6">
        <f>T6+S6*60+R6*60*60+Q6*60*60*24</f>
        <v>2</v>
      </c>
      <c r="V6" s="6" t="str">
        <f t="shared" ref="V6:V37" si="6">IF($C6&gt;VLOOKUP(EmbassyDesired,$B$6:$C$85,2,FALSE),"",IF($C6&gt;VLOOKUP(EmbassyCurrent,$B$6:$C$85,2,FALSE),U6,""))</f>
        <v/>
      </c>
    </row>
    <row r="7" spans="1:23" x14ac:dyDescent="0.3">
      <c r="B7" s="64">
        <v>2</v>
      </c>
      <c r="C7" s="151">
        <v>2</v>
      </c>
      <c r="E7" s="6" t="str">
        <f t="shared" si="0"/>
        <v/>
      </c>
      <c r="F7" s="4">
        <v>90</v>
      </c>
      <c r="G7" s="6" t="str">
        <f t="shared" si="1"/>
        <v/>
      </c>
      <c r="I7" s="6" t="str">
        <f t="shared" si="2"/>
        <v/>
      </c>
      <c r="K7" s="6" t="str">
        <f t="shared" si="3"/>
        <v/>
      </c>
      <c r="L7" s="6"/>
      <c r="M7" s="6" t="str">
        <f t="shared" si="4"/>
        <v/>
      </c>
      <c r="N7" s="6"/>
      <c r="O7" s="6" t="str">
        <f t="shared" si="5"/>
        <v/>
      </c>
      <c r="Q7" s="6"/>
      <c r="R7" s="6"/>
      <c r="S7" s="6"/>
      <c r="T7" s="6">
        <v>10</v>
      </c>
      <c r="U7" s="6">
        <f t="shared" ref="U7:U70" si="7">T7+S7*60+R7*60*60+Q7*60*60*24</f>
        <v>10</v>
      </c>
      <c r="V7" s="6" t="str">
        <f t="shared" si="6"/>
        <v/>
      </c>
    </row>
    <row r="8" spans="1:23" x14ac:dyDescent="0.3">
      <c r="B8" s="64">
        <v>3</v>
      </c>
      <c r="C8" s="151">
        <v>3</v>
      </c>
      <c r="E8" s="6" t="str">
        <f t="shared" si="0"/>
        <v/>
      </c>
      <c r="F8" s="4">
        <v>400</v>
      </c>
      <c r="G8" s="6" t="str">
        <f t="shared" si="1"/>
        <v/>
      </c>
      <c r="I8" s="6" t="str">
        <f t="shared" si="2"/>
        <v/>
      </c>
      <c r="K8" s="6" t="str">
        <f t="shared" si="3"/>
        <v/>
      </c>
      <c r="L8" s="6"/>
      <c r="M8" s="6" t="str">
        <f t="shared" si="4"/>
        <v/>
      </c>
      <c r="N8" s="6"/>
      <c r="O8" s="6" t="str">
        <f t="shared" si="5"/>
        <v/>
      </c>
      <c r="Q8" s="6"/>
      <c r="R8" s="6"/>
      <c r="S8" s="6">
        <v>1</v>
      </c>
      <c r="T8" s="6"/>
      <c r="U8" s="6">
        <f t="shared" si="7"/>
        <v>60</v>
      </c>
      <c r="V8" s="6" t="str">
        <f t="shared" si="6"/>
        <v/>
      </c>
      <c r="W8" s="6"/>
    </row>
    <row r="9" spans="1:23" x14ac:dyDescent="0.3">
      <c r="B9" s="64">
        <v>4</v>
      </c>
      <c r="C9" s="151">
        <v>4</v>
      </c>
      <c r="E9" s="6" t="str">
        <f t="shared" si="0"/>
        <v/>
      </c>
      <c r="F9" s="4">
        <v>900</v>
      </c>
      <c r="G9" s="6" t="str">
        <f t="shared" si="1"/>
        <v/>
      </c>
      <c r="H9" s="4">
        <v>180</v>
      </c>
      <c r="I9" s="6" t="str">
        <f t="shared" si="2"/>
        <v/>
      </c>
      <c r="K9" s="6" t="str">
        <f t="shared" si="3"/>
        <v/>
      </c>
      <c r="L9" s="6"/>
      <c r="M9" s="6" t="str">
        <f t="shared" si="4"/>
        <v/>
      </c>
      <c r="N9" s="6"/>
      <c r="O9" s="6" t="str">
        <f t="shared" si="5"/>
        <v/>
      </c>
      <c r="Q9" s="6"/>
      <c r="R9" s="6"/>
      <c r="S9" s="6">
        <v>2</v>
      </c>
      <c r="T9" s="6"/>
      <c r="U9" s="6">
        <f t="shared" si="7"/>
        <v>120</v>
      </c>
      <c r="V9" s="6" t="str">
        <f t="shared" si="6"/>
        <v/>
      </c>
    </row>
    <row r="10" spans="1:23" x14ac:dyDescent="0.3">
      <c r="B10" s="64">
        <v>5</v>
      </c>
      <c r="C10" s="151">
        <v>5</v>
      </c>
      <c r="E10" s="6" t="str">
        <f t="shared" si="0"/>
        <v/>
      </c>
      <c r="F10" s="4">
        <v>3800</v>
      </c>
      <c r="G10" s="6" t="str">
        <f t="shared" si="1"/>
        <v/>
      </c>
      <c r="H10" s="4">
        <v>760</v>
      </c>
      <c r="I10" s="6" t="str">
        <f t="shared" si="2"/>
        <v/>
      </c>
      <c r="K10" s="6" t="str">
        <f t="shared" si="3"/>
        <v/>
      </c>
      <c r="L10" s="6"/>
      <c r="M10" s="6" t="str">
        <f t="shared" si="4"/>
        <v/>
      </c>
      <c r="N10" s="6"/>
      <c r="O10" s="6" t="str">
        <f t="shared" si="5"/>
        <v/>
      </c>
      <c r="Q10" s="6"/>
      <c r="R10" s="6"/>
      <c r="S10" s="6">
        <v>6</v>
      </c>
      <c r="T10" s="6">
        <v>40</v>
      </c>
      <c r="U10" s="6">
        <f t="shared" si="7"/>
        <v>400</v>
      </c>
      <c r="V10" s="6" t="str">
        <f t="shared" si="6"/>
        <v/>
      </c>
    </row>
    <row r="11" spans="1:23" x14ac:dyDescent="0.3">
      <c r="B11" s="64">
        <v>6</v>
      </c>
      <c r="C11" s="151">
        <v>6</v>
      </c>
      <c r="E11" s="6" t="str">
        <f t="shared" si="0"/>
        <v/>
      </c>
      <c r="F11" s="4">
        <v>9600</v>
      </c>
      <c r="G11" s="6" t="str">
        <f t="shared" si="1"/>
        <v/>
      </c>
      <c r="H11" s="4">
        <v>1900</v>
      </c>
      <c r="I11" s="6" t="str">
        <f t="shared" si="2"/>
        <v/>
      </c>
      <c r="J11" s="4">
        <v>480</v>
      </c>
      <c r="K11" s="6" t="str">
        <f t="shared" si="3"/>
        <v/>
      </c>
      <c r="L11" s="6"/>
      <c r="M11" s="6" t="str">
        <f t="shared" si="4"/>
        <v/>
      </c>
      <c r="N11" s="6"/>
      <c r="O11" s="6" t="str">
        <f t="shared" si="5"/>
        <v/>
      </c>
      <c r="Q11" s="6"/>
      <c r="R11" s="6"/>
      <c r="S11" s="6">
        <v>13</v>
      </c>
      <c r="T11" s="6">
        <v>20</v>
      </c>
      <c r="U11" s="6">
        <f t="shared" si="7"/>
        <v>800</v>
      </c>
      <c r="V11" s="6" t="str">
        <f t="shared" si="6"/>
        <v/>
      </c>
    </row>
    <row r="12" spans="1:23" x14ac:dyDescent="0.3">
      <c r="B12" s="64">
        <v>7</v>
      </c>
      <c r="C12" s="151">
        <v>7</v>
      </c>
      <c r="E12" s="6" t="str">
        <f t="shared" si="0"/>
        <v/>
      </c>
      <c r="F12" s="4">
        <v>34000</v>
      </c>
      <c r="G12" s="6" t="str">
        <f t="shared" si="1"/>
        <v/>
      </c>
      <c r="H12" s="4">
        <v>6900</v>
      </c>
      <c r="I12" s="6" t="str">
        <f t="shared" si="2"/>
        <v/>
      </c>
      <c r="J12" s="4">
        <v>1700</v>
      </c>
      <c r="K12" s="6" t="str">
        <f t="shared" si="3"/>
        <v/>
      </c>
      <c r="L12" s="6"/>
      <c r="M12" s="6" t="str">
        <f t="shared" si="4"/>
        <v/>
      </c>
      <c r="N12" s="6"/>
      <c r="O12" s="6" t="str">
        <f t="shared" si="5"/>
        <v/>
      </c>
      <c r="Q12" s="6"/>
      <c r="R12" s="6"/>
      <c r="S12" s="6">
        <v>25</v>
      </c>
      <c r="T12" s="6"/>
      <c r="U12" s="6">
        <f t="shared" si="7"/>
        <v>1500</v>
      </c>
      <c r="V12" s="6" t="str">
        <f t="shared" si="6"/>
        <v/>
      </c>
    </row>
    <row r="13" spans="1:23" x14ac:dyDescent="0.3">
      <c r="B13" s="64">
        <v>8</v>
      </c>
      <c r="C13" s="151">
        <v>8</v>
      </c>
      <c r="E13" s="6" t="str">
        <f t="shared" si="0"/>
        <v/>
      </c>
      <c r="F13" s="4">
        <v>63000</v>
      </c>
      <c r="G13" s="6" t="str">
        <f t="shared" si="1"/>
        <v/>
      </c>
      <c r="H13" s="4">
        <v>12000</v>
      </c>
      <c r="I13" s="6" t="str">
        <f t="shared" si="2"/>
        <v/>
      </c>
      <c r="J13" s="4">
        <v>3100</v>
      </c>
      <c r="K13" s="6" t="str">
        <f t="shared" si="3"/>
        <v/>
      </c>
      <c r="L13" s="6"/>
      <c r="M13" s="6" t="str">
        <f t="shared" si="4"/>
        <v/>
      </c>
      <c r="N13" s="6"/>
      <c r="O13" s="6" t="str">
        <f t="shared" si="5"/>
        <v/>
      </c>
      <c r="Q13" s="6"/>
      <c r="R13" s="6"/>
      <c r="S13" s="6">
        <v>45</v>
      </c>
      <c r="T13" s="6"/>
      <c r="U13" s="6">
        <f t="shared" si="7"/>
        <v>2700</v>
      </c>
      <c r="V13" s="6" t="str">
        <f t="shared" si="6"/>
        <v/>
      </c>
    </row>
    <row r="14" spans="1:23" x14ac:dyDescent="0.3">
      <c r="B14" s="64">
        <v>9</v>
      </c>
      <c r="C14" s="151">
        <v>9</v>
      </c>
      <c r="E14" s="6" t="str">
        <f t="shared" si="0"/>
        <v/>
      </c>
      <c r="F14" s="4">
        <v>130000</v>
      </c>
      <c r="G14" s="6" t="str">
        <f t="shared" si="1"/>
        <v/>
      </c>
      <c r="H14" s="4">
        <v>26000</v>
      </c>
      <c r="I14" s="6" t="str">
        <f t="shared" si="2"/>
        <v/>
      </c>
      <c r="J14" s="4">
        <v>6500</v>
      </c>
      <c r="K14" s="6" t="str">
        <f t="shared" si="3"/>
        <v/>
      </c>
      <c r="L14" s="6"/>
      <c r="M14" s="6" t="str">
        <f t="shared" si="4"/>
        <v/>
      </c>
      <c r="N14" s="6"/>
      <c r="O14" s="6" t="str">
        <f t="shared" si="5"/>
        <v/>
      </c>
      <c r="Q14" s="6"/>
      <c r="R14" s="6">
        <v>2</v>
      </c>
      <c r="S14" s="6"/>
      <c r="T14" s="6"/>
      <c r="U14" s="6">
        <f t="shared" si="7"/>
        <v>7200</v>
      </c>
      <c r="V14" s="6" t="str">
        <f t="shared" si="6"/>
        <v/>
      </c>
    </row>
    <row r="15" spans="1:23" x14ac:dyDescent="0.3">
      <c r="B15" s="64">
        <v>10</v>
      </c>
      <c r="C15" s="151">
        <v>10</v>
      </c>
      <c r="E15" s="6" t="str">
        <f t="shared" si="0"/>
        <v/>
      </c>
      <c r="F15" s="4">
        <v>230000</v>
      </c>
      <c r="G15" s="6" t="str">
        <f t="shared" si="1"/>
        <v/>
      </c>
      <c r="H15" s="4">
        <v>46000</v>
      </c>
      <c r="I15" s="6" t="str">
        <f t="shared" si="2"/>
        <v/>
      </c>
      <c r="J15" s="4">
        <v>11000</v>
      </c>
      <c r="K15" s="6" t="str">
        <f t="shared" si="3"/>
        <v/>
      </c>
      <c r="L15" s="6"/>
      <c r="M15" s="6" t="str">
        <f t="shared" si="4"/>
        <v/>
      </c>
      <c r="N15" s="6"/>
      <c r="O15" s="6" t="str">
        <f t="shared" si="5"/>
        <v/>
      </c>
      <c r="Q15" s="6"/>
      <c r="R15" s="6">
        <v>3</v>
      </c>
      <c r="S15" s="6">
        <v>57</v>
      </c>
      <c r="T15" s="6">
        <v>30</v>
      </c>
      <c r="U15" s="6">
        <f t="shared" si="7"/>
        <v>14250</v>
      </c>
      <c r="V15" s="6" t="str">
        <f t="shared" si="6"/>
        <v/>
      </c>
    </row>
    <row r="16" spans="1:23" x14ac:dyDescent="0.3">
      <c r="B16" s="64">
        <v>11</v>
      </c>
      <c r="C16" s="151">
        <v>11</v>
      </c>
      <c r="D16" s="4">
        <v>260000</v>
      </c>
      <c r="E16" s="6" t="str">
        <f t="shared" si="0"/>
        <v/>
      </c>
      <c r="F16" s="4">
        <v>260000</v>
      </c>
      <c r="G16" s="6" t="str">
        <f t="shared" si="1"/>
        <v/>
      </c>
      <c r="H16" s="4">
        <v>52000</v>
      </c>
      <c r="I16" s="6" t="str">
        <f t="shared" si="2"/>
        <v/>
      </c>
      <c r="J16" s="4">
        <v>13000</v>
      </c>
      <c r="K16" s="6" t="str">
        <f t="shared" si="3"/>
        <v/>
      </c>
      <c r="L16" s="6"/>
      <c r="M16" s="6" t="str">
        <f t="shared" si="4"/>
        <v/>
      </c>
      <c r="N16" s="6"/>
      <c r="O16" s="6" t="str">
        <f t="shared" si="5"/>
        <v/>
      </c>
      <c r="Q16" s="6"/>
      <c r="R16" s="6">
        <v>4</v>
      </c>
      <c r="S16" s="6">
        <v>57</v>
      </c>
      <c r="T16" s="6"/>
      <c r="U16" s="6">
        <f t="shared" si="7"/>
        <v>17820</v>
      </c>
      <c r="V16" s="6" t="str">
        <f t="shared" si="6"/>
        <v/>
      </c>
    </row>
    <row r="17" spans="2:22" x14ac:dyDescent="0.3">
      <c r="B17" s="64">
        <v>12</v>
      </c>
      <c r="C17" s="151">
        <v>12</v>
      </c>
      <c r="D17" s="4">
        <v>330000</v>
      </c>
      <c r="E17" s="6" t="str">
        <f t="shared" si="0"/>
        <v/>
      </c>
      <c r="F17" s="4">
        <v>330000</v>
      </c>
      <c r="G17" s="6" t="str">
        <f t="shared" si="1"/>
        <v/>
      </c>
      <c r="H17" s="4">
        <v>67000</v>
      </c>
      <c r="I17" s="6" t="str">
        <f t="shared" si="2"/>
        <v/>
      </c>
      <c r="J17" s="4">
        <v>16000</v>
      </c>
      <c r="K17" s="6" t="str">
        <f t="shared" si="3"/>
        <v/>
      </c>
      <c r="L17" s="6"/>
      <c r="M17" s="6" t="str">
        <f t="shared" si="4"/>
        <v/>
      </c>
      <c r="N17" s="6"/>
      <c r="O17" s="6" t="str">
        <f t="shared" si="5"/>
        <v/>
      </c>
      <c r="Q17" s="6"/>
      <c r="R17" s="6">
        <v>5</v>
      </c>
      <c r="S17" s="6">
        <v>56</v>
      </c>
      <c r="T17" s="6"/>
      <c r="U17" s="6">
        <f t="shared" si="7"/>
        <v>21360</v>
      </c>
      <c r="V17" s="6" t="str">
        <f t="shared" si="6"/>
        <v/>
      </c>
    </row>
    <row r="18" spans="2:22" x14ac:dyDescent="0.3">
      <c r="B18" s="64">
        <v>13</v>
      </c>
      <c r="C18" s="151">
        <v>13</v>
      </c>
      <c r="D18" s="4">
        <v>470000</v>
      </c>
      <c r="E18" s="6" t="str">
        <f t="shared" si="0"/>
        <v/>
      </c>
      <c r="F18" s="4">
        <v>470000</v>
      </c>
      <c r="G18" s="6" t="str">
        <f t="shared" si="1"/>
        <v/>
      </c>
      <c r="H18" s="4">
        <v>95000</v>
      </c>
      <c r="I18" s="6" t="str">
        <f t="shared" si="2"/>
        <v/>
      </c>
      <c r="J18" s="4">
        <v>23000</v>
      </c>
      <c r="K18" s="6" t="str">
        <f t="shared" si="3"/>
        <v/>
      </c>
      <c r="L18" s="6"/>
      <c r="M18" s="6" t="str">
        <f t="shared" si="4"/>
        <v/>
      </c>
      <c r="N18" s="6"/>
      <c r="O18" s="6" t="str">
        <f t="shared" si="5"/>
        <v/>
      </c>
      <c r="Q18" s="6"/>
      <c r="R18" s="6">
        <v>7</v>
      </c>
      <c r="S18" s="6">
        <v>15</v>
      </c>
      <c r="T18" s="6">
        <v>30</v>
      </c>
      <c r="U18" s="6">
        <f t="shared" si="7"/>
        <v>26130</v>
      </c>
      <c r="V18" s="6" t="str">
        <f t="shared" si="6"/>
        <v/>
      </c>
    </row>
    <row r="19" spans="2:22" x14ac:dyDescent="0.3">
      <c r="B19" s="64">
        <v>14</v>
      </c>
      <c r="C19" s="151">
        <v>14</v>
      </c>
      <c r="D19" s="4">
        <v>630000</v>
      </c>
      <c r="E19" s="6" t="str">
        <f t="shared" si="0"/>
        <v/>
      </c>
      <c r="F19" s="4">
        <v>630000</v>
      </c>
      <c r="G19" s="6" t="str">
        <f t="shared" si="1"/>
        <v/>
      </c>
      <c r="H19" s="4">
        <v>120000</v>
      </c>
      <c r="I19" s="6" t="str">
        <f t="shared" si="2"/>
        <v/>
      </c>
      <c r="J19" s="4">
        <v>31000</v>
      </c>
      <c r="K19" s="6" t="str">
        <f t="shared" si="3"/>
        <v/>
      </c>
      <c r="L19" s="6"/>
      <c r="M19" s="6" t="str">
        <f t="shared" si="4"/>
        <v/>
      </c>
      <c r="N19" s="6"/>
      <c r="O19" s="6" t="str">
        <f t="shared" si="5"/>
        <v/>
      </c>
      <c r="Q19" s="6"/>
      <c r="R19" s="6">
        <v>9</v>
      </c>
      <c r="S19" s="6">
        <v>14</v>
      </c>
      <c r="T19" s="6"/>
      <c r="U19" s="6">
        <f t="shared" si="7"/>
        <v>33240</v>
      </c>
      <c r="V19" s="6" t="str">
        <f t="shared" si="6"/>
        <v/>
      </c>
    </row>
    <row r="20" spans="2:22" x14ac:dyDescent="0.3">
      <c r="B20" s="64">
        <v>15</v>
      </c>
      <c r="C20" s="151">
        <v>15</v>
      </c>
      <c r="D20" s="4">
        <v>930000</v>
      </c>
      <c r="E20" s="6" t="str">
        <f t="shared" si="0"/>
        <v/>
      </c>
      <c r="F20" s="4">
        <v>930000</v>
      </c>
      <c r="G20" s="6" t="str">
        <f t="shared" si="1"/>
        <v/>
      </c>
      <c r="H20" s="4">
        <v>180000</v>
      </c>
      <c r="I20" s="6" t="str">
        <f t="shared" si="2"/>
        <v/>
      </c>
      <c r="J20" s="4">
        <v>46000</v>
      </c>
      <c r="K20" s="6" t="str">
        <f t="shared" si="3"/>
        <v/>
      </c>
      <c r="L20" s="6"/>
      <c r="M20" s="6" t="str">
        <f t="shared" si="4"/>
        <v/>
      </c>
      <c r="N20" s="6"/>
      <c r="O20" s="6" t="str">
        <f t="shared" si="5"/>
        <v/>
      </c>
      <c r="Q20" s="6"/>
      <c r="R20" s="6">
        <v>11</v>
      </c>
      <c r="S20" s="6">
        <v>52</v>
      </c>
      <c r="T20" s="6">
        <v>30</v>
      </c>
      <c r="U20" s="6">
        <f t="shared" si="7"/>
        <v>42750</v>
      </c>
      <c r="V20" s="6" t="str">
        <f t="shared" si="6"/>
        <v/>
      </c>
    </row>
    <row r="21" spans="2:22" x14ac:dyDescent="0.3">
      <c r="B21" s="64">
        <v>16</v>
      </c>
      <c r="C21" s="151">
        <v>16</v>
      </c>
      <c r="D21" s="4">
        <v>1100000</v>
      </c>
      <c r="E21" s="6" t="str">
        <f t="shared" si="0"/>
        <v/>
      </c>
      <c r="F21" s="4">
        <v>1100000</v>
      </c>
      <c r="G21" s="6" t="str">
        <f t="shared" si="1"/>
        <v/>
      </c>
      <c r="H21" s="4">
        <v>230000</v>
      </c>
      <c r="I21" s="6" t="str">
        <f t="shared" si="2"/>
        <v/>
      </c>
      <c r="J21" s="4">
        <v>59000</v>
      </c>
      <c r="K21" s="6" t="str">
        <f t="shared" si="3"/>
        <v/>
      </c>
      <c r="L21" s="6"/>
      <c r="M21" s="6" t="str">
        <f t="shared" si="4"/>
        <v/>
      </c>
      <c r="N21" s="6"/>
      <c r="O21" s="6" t="str">
        <f t="shared" si="5"/>
        <v/>
      </c>
      <c r="Q21" s="6"/>
      <c r="R21" s="6">
        <v>20</v>
      </c>
      <c r="S21" s="6">
        <v>7</v>
      </c>
      <c r="T21" s="6"/>
      <c r="U21" s="6">
        <f t="shared" si="7"/>
        <v>72420</v>
      </c>
      <c r="V21" s="6" t="str">
        <f t="shared" si="6"/>
        <v/>
      </c>
    </row>
    <row r="22" spans="2:22" x14ac:dyDescent="0.3">
      <c r="B22" s="64">
        <v>17</v>
      </c>
      <c r="C22" s="151">
        <v>17</v>
      </c>
      <c r="D22" s="4">
        <v>1800000</v>
      </c>
      <c r="E22" s="6" t="str">
        <f t="shared" si="0"/>
        <v/>
      </c>
      <c r="F22" s="4">
        <v>1800000</v>
      </c>
      <c r="G22" s="6" t="str">
        <f t="shared" si="1"/>
        <v/>
      </c>
      <c r="H22" s="4">
        <v>370000</v>
      </c>
      <c r="I22" s="6" t="str">
        <f t="shared" si="2"/>
        <v/>
      </c>
      <c r="J22" s="4">
        <v>93000</v>
      </c>
      <c r="K22" s="6" t="str">
        <f t="shared" si="3"/>
        <v/>
      </c>
      <c r="L22" s="6"/>
      <c r="M22" s="6" t="str">
        <f t="shared" si="4"/>
        <v/>
      </c>
      <c r="N22" s="6"/>
      <c r="O22" s="6" t="str">
        <f t="shared" si="5"/>
        <v/>
      </c>
      <c r="Q22" s="6">
        <v>1</v>
      </c>
      <c r="R22" s="6"/>
      <c r="S22" s="6">
        <v>8</v>
      </c>
      <c r="T22" s="6"/>
      <c r="U22" s="6">
        <f t="shared" si="7"/>
        <v>86880</v>
      </c>
      <c r="V22" s="6" t="str">
        <f t="shared" si="6"/>
        <v/>
      </c>
    </row>
    <row r="23" spans="2:22" x14ac:dyDescent="0.3">
      <c r="B23" s="64">
        <v>18</v>
      </c>
      <c r="C23" s="151">
        <v>18</v>
      </c>
      <c r="D23" s="4">
        <v>2500000</v>
      </c>
      <c r="E23" s="6" t="str">
        <f t="shared" si="0"/>
        <v/>
      </c>
      <c r="F23" s="4">
        <v>2500000</v>
      </c>
      <c r="G23" s="6" t="str">
        <f t="shared" si="1"/>
        <v/>
      </c>
      <c r="H23" s="4">
        <v>500000</v>
      </c>
      <c r="I23" s="6" t="str">
        <f t="shared" si="2"/>
        <v/>
      </c>
      <c r="J23" s="4">
        <v>120000</v>
      </c>
      <c r="K23" s="6" t="str">
        <f t="shared" si="3"/>
        <v/>
      </c>
      <c r="L23" s="6"/>
      <c r="M23" s="6" t="str">
        <f t="shared" si="4"/>
        <v/>
      </c>
      <c r="N23" s="6"/>
      <c r="O23" s="6" t="str">
        <f t="shared" si="5"/>
        <v/>
      </c>
      <c r="Q23" s="6">
        <v>1</v>
      </c>
      <c r="R23" s="6">
        <v>4</v>
      </c>
      <c r="S23" s="6">
        <v>58</v>
      </c>
      <c r="T23" s="6"/>
      <c r="U23" s="6">
        <f t="shared" si="7"/>
        <v>104280</v>
      </c>
      <c r="V23" s="6" t="str">
        <f t="shared" si="6"/>
        <v/>
      </c>
    </row>
    <row r="24" spans="2:22" x14ac:dyDescent="0.3">
      <c r="B24" s="64">
        <v>19</v>
      </c>
      <c r="C24" s="151">
        <v>19</v>
      </c>
      <c r="D24" s="4">
        <v>3100000</v>
      </c>
      <c r="E24" s="6" t="str">
        <f t="shared" si="0"/>
        <v/>
      </c>
      <c r="F24" s="4">
        <v>3100000</v>
      </c>
      <c r="G24" s="6" t="str">
        <f t="shared" si="1"/>
        <v/>
      </c>
      <c r="H24" s="4">
        <v>620000</v>
      </c>
      <c r="I24" s="6" t="str">
        <f t="shared" si="2"/>
        <v/>
      </c>
      <c r="J24" s="4">
        <v>150000</v>
      </c>
      <c r="K24" s="6" t="str">
        <f t="shared" si="3"/>
        <v/>
      </c>
      <c r="L24" s="6"/>
      <c r="M24" s="6" t="str">
        <f t="shared" si="4"/>
        <v/>
      </c>
      <c r="N24" s="6"/>
      <c r="O24" s="6" t="str">
        <f t="shared" si="5"/>
        <v/>
      </c>
      <c r="Q24" s="6">
        <v>1</v>
      </c>
      <c r="R24" s="6">
        <v>19</v>
      </c>
      <c r="S24" s="6">
        <v>27</v>
      </c>
      <c r="T24" s="6"/>
      <c r="U24" s="6">
        <f t="shared" si="7"/>
        <v>156420</v>
      </c>
      <c r="V24" s="6" t="str">
        <f t="shared" si="6"/>
        <v/>
      </c>
    </row>
    <row r="25" spans="2:22" x14ac:dyDescent="0.3">
      <c r="B25" s="64">
        <v>20</v>
      </c>
      <c r="C25" s="151">
        <v>20</v>
      </c>
      <c r="D25" s="4">
        <v>4300000</v>
      </c>
      <c r="E25" s="6" t="str">
        <f t="shared" si="0"/>
        <v/>
      </c>
      <c r="F25" s="4">
        <v>4300000</v>
      </c>
      <c r="G25" s="6" t="str">
        <f t="shared" si="1"/>
        <v/>
      </c>
      <c r="H25" s="4">
        <v>860000</v>
      </c>
      <c r="I25" s="6" t="str">
        <f t="shared" si="2"/>
        <v/>
      </c>
      <c r="J25" s="4">
        <v>210000</v>
      </c>
      <c r="K25" s="6" t="str">
        <f t="shared" si="3"/>
        <v/>
      </c>
      <c r="L25" s="6"/>
      <c r="M25" s="6" t="str">
        <f t="shared" si="4"/>
        <v/>
      </c>
      <c r="N25" s="6"/>
      <c r="O25" s="6" t="str">
        <f t="shared" si="5"/>
        <v/>
      </c>
      <c r="Q25" s="6">
        <v>2</v>
      </c>
      <c r="R25" s="6">
        <v>6</v>
      </c>
      <c r="S25" s="6">
        <v>19</v>
      </c>
      <c r="T25" s="6"/>
      <c r="U25" s="6">
        <f t="shared" si="7"/>
        <v>195540</v>
      </c>
      <c r="V25" s="6" t="str">
        <f t="shared" si="6"/>
        <v/>
      </c>
    </row>
    <row r="26" spans="2:22" x14ac:dyDescent="0.3">
      <c r="B26" s="64">
        <v>21</v>
      </c>
      <c r="C26" s="151">
        <v>21</v>
      </c>
      <c r="D26" s="4">
        <v>5400000</v>
      </c>
      <c r="E26" s="6" t="str">
        <f t="shared" si="0"/>
        <v/>
      </c>
      <c r="F26" s="4">
        <v>5400000</v>
      </c>
      <c r="G26" s="6" t="str">
        <f t="shared" si="1"/>
        <v/>
      </c>
      <c r="H26" s="4">
        <v>1000000</v>
      </c>
      <c r="I26" s="6" t="str">
        <f t="shared" si="2"/>
        <v/>
      </c>
      <c r="J26" s="4">
        <v>270000</v>
      </c>
      <c r="K26" s="6" t="str">
        <f t="shared" si="3"/>
        <v/>
      </c>
      <c r="L26" s="6"/>
      <c r="M26" s="6" t="str">
        <f t="shared" si="4"/>
        <v/>
      </c>
      <c r="N26" s="6"/>
      <c r="O26" s="6" t="str">
        <f t="shared" si="5"/>
        <v/>
      </c>
      <c r="Q26" s="6">
        <v>2</v>
      </c>
      <c r="R26" s="6">
        <v>22</v>
      </c>
      <c r="S26" s="6">
        <v>36</v>
      </c>
      <c r="T26" s="6"/>
      <c r="U26" s="6">
        <f t="shared" si="7"/>
        <v>254160</v>
      </c>
      <c r="V26" s="6" t="str">
        <f t="shared" si="6"/>
        <v/>
      </c>
    </row>
    <row r="27" spans="2:22" x14ac:dyDescent="0.3">
      <c r="B27" s="64">
        <v>22</v>
      </c>
      <c r="C27" s="151">
        <v>22</v>
      </c>
      <c r="D27" s="4">
        <v>7200000</v>
      </c>
      <c r="E27" s="6" t="str">
        <f t="shared" si="0"/>
        <v/>
      </c>
      <c r="F27" s="4">
        <v>7200000</v>
      </c>
      <c r="G27" s="6" t="str">
        <f t="shared" si="1"/>
        <v/>
      </c>
      <c r="H27" s="4">
        <v>1400000</v>
      </c>
      <c r="I27" s="6" t="str">
        <f t="shared" si="2"/>
        <v/>
      </c>
      <c r="J27" s="4">
        <v>360000</v>
      </c>
      <c r="K27" s="6" t="str">
        <f t="shared" si="3"/>
        <v/>
      </c>
      <c r="L27" s="6"/>
      <c r="M27" s="6" t="str">
        <f t="shared" si="4"/>
        <v/>
      </c>
      <c r="N27" s="6"/>
      <c r="O27" s="6" t="str">
        <f t="shared" si="5"/>
        <v/>
      </c>
      <c r="Q27" s="6">
        <v>4</v>
      </c>
      <c r="R27" s="6">
        <v>9</v>
      </c>
      <c r="S27" s="6">
        <v>55</v>
      </c>
      <c r="T27" s="6"/>
      <c r="U27" s="6">
        <f t="shared" si="7"/>
        <v>381300</v>
      </c>
      <c r="V27" s="6" t="str">
        <f t="shared" si="6"/>
        <v/>
      </c>
    </row>
    <row r="28" spans="2:22" x14ac:dyDescent="0.3">
      <c r="B28" s="64">
        <v>23</v>
      </c>
      <c r="C28" s="151">
        <v>23</v>
      </c>
      <c r="D28" s="4">
        <v>8900000</v>
      </c>
      <c r="E28" s="6" t="str">
        <f t="shared" si="0"/>
        <v/>
      </c>
      <c r="F28" s="4">
        <v>8900000</v>
      </c>
      <c r="G28" s="6" t="str">
        <f t="shared" si="1"/>
        <v/>
      </c>
      <c r="H28" s="4">
        <v>1700000</v>
      </c>
      <c r="I28" s="6" t="str">
        <f t="shared" si="2"/>
        <v/>
      </c>
      <c r="J28" s="4">
        <v>440000</v>
      </c>
      <c r="K28" s="6" t="str">
        <f t="shared" si="3"/>
        <v/>
      </c>
      <c r="L28" s="6"/>
      <c r="M28" s="6" t="str">
        <f t="shared" si="4"/>
        <v/>
      </c>
      <c r="N28" s="6"/>
      <c r="O28" s="6" t="str">
        <f t="shared" si="5"/>
        <v/>
      </c>
      <c r="Q28" s="6">
        <v>6</v>
      </c>
      <c r="R28" s="6">
        <v>4</v>
      </c>
      <c r="S28" s="6">
        <v>17</v>
      </c>
      <c r="T28" s="6"/>
      <c r="U28" s="6">
        <f t="shared" si="7"/>
        <v>533820</v>
      </c>
      <c r="V28" s="6" t="str">
        <f t="shared" si="6"/>
        <v/>
      </c>
    </row>
    <row r="29" spans="2:22" x14ac:dyDescent="0.3">
      <c r="B29" s="64">
        <v>24</v>
      </c>
      <c r="C29" s="151">
        <v>24</v>
      </c>
      <c r="D29" s="4">
        <v>12000000</v>
      </c>
      <c r="E29" s="6" t="str">
        <f t="shared" si="0"/>
        <v/>
      </c>
      <c r="F29" s="4">
        <v>12000000</v>
      </c>
      <c r="G29" s="6" t="str">
        <f t="shared" si="1"/>
        <v/>
      </c>
      <c r="H29" s="4">
        <v>2400000</v>
      </c>
      <c r="I29" s="6" t="str">
        <f t="shared" si="2"/>
        <v/>
      </c>
      <c r="J29" s="4">
        <v>600000</v>
      </c>
      <c r="K29" s="6" t="str">
        <f t="shared" si="3"/>
        <v/>
      </c>
      <c r="L29" s="6"/>
      <c r="M29" s="6" t="str">
        <f t="shared" si="4"/>
        <v/>
      </c>
      <c r="N29" s="6"/>
      <c r="O29" s="6" t="str">
        <f t="shared" si="5"/>
        <v/>
      </c>
      <c r="Q29" s="6">
        <v>8</v>
      </c>
      <c r="R29" s="6">
        <v>15</v>
      </c>
      <c r="S29" s="6">
        <v>36</v>
      </c>
      <c r="T29" s="6"/>
      <c r="U29" s="6">
        <f t="shared" si="7"/>
        <v>747360</v>
      </c>
      <c r="V29" s="6" t="str">
        <f t="shared" si="6"/>
        <v/>
      </c>
    </row>
    <row r="30" spans="2:22" x14ac:dyDescent="0.3">
      <c r="B30" s="64">
        <v>25</v>
      </c>
      <c r="C30" s="151">
        <v>25</v>
      </c>
      <c r="D30" s="4">
        <v>16000000</v>
      </c>
      <c r="E30" s="6" t="str">
        <f t="shared" si="0"/>
        <v/>
      </c>
      <c r="F30" s="4">
        <v>16000000</v>
      </c>
      <c r="G30" s="6" t="str">
        <f t="shared" si="1"/>
        <v/>
      </c>
      <c r="H30" s="4">
        <v>3200000</v>
      </c>
      <c r="I30" s="6" t="str">
        <f t="shared" si="2"/>
        <v/>
      </c>
      <c r="J30" s="4">
        <v>810000</v>
      </c>
      <c r="K30" s="6" t="str">
        <f t="shared" si="3"/>
        <v/>
      </c>
      <c r="L30" s="6"/>
      <c r="M30" s="6" t="str">
        <f t="shared" si="4"/>
        <v/>
      </c>
      <c r="N30" s="6"/>
      <c r="O30" s="6" t="str">
        <f t="shared" si="5"/>
        <v/>
      </c>
      <c r="Q30" s="6">
        <v>12</v>
      </c>
      <c r="R30" s="6">
        <v>2</v>
      </c>
      <c r="S30" s="6">
        <v>38</v>
      </c>
      <c r="T30" s="6"/>
      <c r="U30" s="6">
        <f t="shared" si="7"/>
        <v>1046280</v>
      </c>
      <c r="V30" s="6" t="str">
        <f t="shared" si="6"/>
        <v/>
      </c>
    </row>
    <row r="31" spans="2:22" x14ac:dyDescent="0.3">
      <c r="B31" s="64">
        <v>26</v>
      </c>
      <c r="C31" s="151">
        <v>26</v>
      </c>
      <c r="D31" s="4">
        <v>21000000</v>
      </c>
      <c r="E31" s="6" t="str">
        <f t="shared" si="0"/>
        <v/>
      </c>
      <c r="F31" s="4">
        <v>21000000</v>
      </c>
      <c r="G31" s="6" t="str">
        <f t="shared" si="1"/>
        <v/>
      </c>
      <c r="H31" s="4">
        <v>4200000</v>
      </c>
      <c r="I31" s="6" t="str">
        <f t="shared" si="2"/>
        <v/>
      </c>
      <c r="J31" s="4">
        <v>1000000</v>
      </c>
      <c r="K31" s="6" t="str">
        <f t="shared" si="3"/>
        <v/>
      </c>
      <c r="L31" s="6"/>
      <c r="M31" s="6" t="str">
        <f t="shared" si="4"/>
        <v/>
      </c>
      <c r="N31" s="6"/>
      <c r="O31" s="6" t="str">
        <f t="shared" si="5"/>
        <v/>
      </c>
      <c r="Q31" s="6">
        <v>13</v>
      </c>
      <c r="R31" s="6">
        <v>22</v>
      </c>
      <c r="S31" s="6">
        <v>14</v>
      </c>
      <c r="T31" s="6"/>
      <c r="U31" s="6">
        <f t="shared" si="7"/>
        <v>1203240</v>
      </c>
      <c r="V31" s="6" t="str">
        <f t="shared" si="6"/>
        <v/>
      </c>
    </row>
    <row r="32" spans="2:22" x14ac:dyDescent="0.3">
      <c r="B32" s="64">
        <v>27</v>
      </c>
      <c r="C32" s="151">
        <v>27</v>
      </c>
      <c r="D32" s="4">
        <v>29000000</v>
      </c>
      <c r="E32" s="6" t="str">
        <f t="shared" si="0"/>
        <v/>
      </c>
      <c r="F32" s="4">
        <v>29000000</v>
      </c>
      <c r="G32" s="6" t="str">
        <f t="shared" si="1"/>
        <v/>
      </c>
      <c r="H32" s="4">
        <v>5900000</v>
      </c>
      <c r="I32" s="6" t="str">
        <f t="shared" si="2"/>
        <v/>
      </c>
      <c r="J32" s="4">
        <v>1400000</v>
      </c>
      <c r="K32" s="6" t="str">
        <f t="shared" si="3"/>
        <v/>
      </c>
      <c r="L32" s="6"/>
      <c r="M32" s="6" t="str">
        <f t="shared" si="4"/>
        <v/>
      </c>
      <c r="N32" s="6"/>
      <c r="O32" s="6" t="str">
        <f t="shared" si="5"/>
        <v/>
      </c>
      <c r="Q32" s="6">
        <v>16</v>
      </c>
      <c r="R32" s="6">
        <v>17</v>
      </c>
      <c r="S32" s="6">
        <v>5</v>
      </c>
      <c r="T32" s="6"/>
      <c r="U32" s="6">
        <f t="shared" si="7"/>
        <v>1443900</v>
      </c>
      <c r="V32" s="6" t="str">
        <f t="shared" si="6"/>
        <v/>
      </c>
    </row>
    <row r="33" spans="2:22" x14ac:dyDescent="0.3">
      <c r="B33" s="64">
        <v>28</v>
      </c>
      <c r="C33" s="151">
        <v>28</v>
      </c>
      <c r="D33" s="4">
        <v>39000000</v>
      </c>
      <c r="E33" s="6" t="str">
        <f t="shared" si="0"/>
        <v/>
      </c>
      <c r="F33" s="4">
        <v>39000000</v>
      </c>
      <c r="G33" s="6" t="str">
        <f t="shared" si="1"/>
        <v/>
      </c>
      <c r="H33" s="4">
        <v>7900000</v>
      </c>
      <c r="I33" s="6" t="str">
        <f t="shared" si="2"/>
        <v/>
      </c>
      <c r="J33" s="4">
        <v>1900000</v>
      </c>
      <c r="K33" s="6" t="str">
        <f t="shared" si="3"/>
        <v/>
      </c>
      <c r="L33" s="6"/>
      <c r="M33" s="6" t="str">
        <f t="shared" si="4"/>
        <v/>
      </c>
      <c r="N33" s="6"/>
      <c r="O33" s="6" t="str">
        <f t="shared" si="5"/>
        <v/>
      </c>
      <c r="Q33" s="6">
        <v>19</v>
      </c>
      <c r="R33" s="6">
        <v>5</v>
      </c>
      <c r="S33" s="6">
        <v>15</v>
      </c>
      <c r="T33" s="6"/>
      <c r="U33" s="6">
        <f t="shared" si="7"/>
        <v>1660500</v>
      </c>
      <c r="V33" s="6" t="str">
        <f t="shared" si="6"/>
        <v/>
      </c>
    </row>
    <row r="34" spans="2:22" x14ac:dyDescent="0.3">
      <c r="B34" s="64">
        <v>29</v>
      </c>
      <c r="C34" s="151">
        <v>29</v>
      </c>
      <c r="D34" s="4">
        <v>49000000</v>
      </c>
      <c r="E34" s="6" t="str">
        <f t="shared" si="0"/>
        <v/>
      </c>
      <c r="F34" s="4">
        <v>49000000</v>
      </c>
      <c r="G34" s="6" t="str">
        <f t="shared" si="1"/>
        <v/>
      </c>
      <c r="H34" s="4">
        <v>9800000</v>
      </c>
      <c r="I34" s="6" t="str">
        <f t="shared" si="2"/>
        <v/>
      </c>
      <c r="J34" s="4">
        <v>2400000</v>
      </c>
      <c r="K34" s="6" t="str">
        <f t="shared" si="3"/>
        <v/>
      </c>
      <c r="L34" s="6"/>
      <c r="M34" s="6" t="str">
        <f t="shared" si="4"/>
        <v/>
      </c>
      <c r="N34" s="6"/>
      <c r="O34" s="6" t="str">
        <f t="shared" si="5"/>
        <v/>
      </c>
      <c r="Q34" s="6">
        <v>22</v>
      </c>
      <c r="R34" s="6">
        <v>2</v>
      </c>
      <c r="S34" s="6">
        <v>26</v>
      </c>
      <c r="T34" s="6"/>
      <c r="U34" s="6">
        <f t="shared" si="7"/>
        <v>1909560</v>
      </c>
      <c r="V34" s="6" t="str">
        <f t="shared" si="6"/>
        <v/>
      </c>
    </row>
    <row r="35" spans="2:22" x14ac:dyDescent="0.3">
      <c r="B35" s="64">
        <v>30</v>
      </c>
      <c r="C35" s="151">
        <v>30</v>
      </c>
      <c r="D35" s="4">
        <v>60000000</v>
      </c>
      <c r="E35" s="6" t="str">
        <f t="shared" si="0"/>
        <v/>
      </c>
      <c r="F35" s="4">
        <v>60000000</v>
      </c>
      <c r="G35" s="6" t="str">
        <f t="shared" si="1"/>
        <v/>
      </c>
      <c r="H35" s="4">
        <v>12000000</v>
      </c>
      <c r="I35" s="6" t="str">
        <f t="shared" si="2"/>
        <v/>
      </c>
      <c r="J35" s="4">
        <v>3000000</v>
      </c>
      <c r="K35" s="6" t="str">
        <f t="shared" si="3"/>
        <v/>
      </c>
      <c r="L35" s="6"/>
      <c r="M35" s="6" t="str">
        <f t="shared" si="4"/>
        <v/>
      </c>
      <c r="N35" s="6"/>
      <c r="O35" s="6" t="str">
        <f t="shared" si="5"/>
        <v/>
      </c>
      <c r="Q35" s="6">
        <v>26</v>
      </c>
      <c r="R35" s="6">
        <v>12</v>
      </c>
      <c r="S35" s="6">
        <v>32</v>
      </c>
      <c r="T35" s="6"/>
      <c r="U35" s="6">
        <f t="shared" si="7"/>
        <v>2291520</v>
      </c>
      <c r="V35" s="6" t="str">
        <f t="shared" si="6"/>
        <v/>
      </c>
    </row>
    <row r="36" spans="2:22" x14ac:dyDescent="0.3">
      <c r="B36" s="64" t="s">
        <v>34</v>
      </c>
      <c r="C36" s="151">
        <v>31</v>
      </c>
      <c r="D36" s="4">
        <v>13000000</v>
      </c>
      <c r="E36" s="6" t="str">
        <f t="shared" si="0"/>
        <v/>
      </c>
      <c r="F36" s="4">
        <v>13000000</v>
      </c>
      <c r="G36" s="6" t="str">
        <f t="shared" si="1"/>
        <v/>
      </c>
      <c r="H36" s="4">
        <v>2700000</v>
      </c>
      <c r="I36" s="6" t="str">
        <f t="shared" si="2"/>
        <v/>
      </c>
      <c r="J36" s="4">
        <v>679000</v>
      </c>
      <c r="K36" s="6" t="str">
        <f t="shared" si="3"/>
        <v/>
      </c>
      <c r="L36" s="6">
        <v>33</v>
      </c>
      <c r="M36" s="6" t="str">
        <f t="shared" si="4"/>
        <v/>
      </c>
      <c r="N36" s="6"/>
      <c r="O36" s="6" t="str">
        <f t="shared" si="5"/>
        <v/>
      </c>
      <c r="Q36" s="6">
        <v>4</v>
      </c>
      <c r="R36" s="6">
        <v>14</v>
      </c>
      <c r="S36" s="6">
        <v>52</v>
      </c>
      <c r="T36" s="6"/>
      <c r="U36" s="6">
        <f t="shared" si="7"/>
        <v>399120</v>
      </c>
      <c r="V36" s="6" t="str">
        <f t="shared" si="6"/>
        <v/>
      </c>
    </row>
    <row r="37" spans="2:22" x14ac:dyDescent="0.3">
      <c r="B37" s="64" t="s">
        <v>35</v>
      </c>
      <c r="C37" s="151">
        <v>32</v>
      </c>
      <c r="D37" s="4">
        <v>13000000</v>
      </c>
      <c r="E37" s="6" t="str">
        <f t="shared" si="0"/>
        <v/>
      </c>
      <c r="F37" s="4">
        <v>13000000</v>
      </c>
      <c r="G37" s="6" t="str">
        <f t="shared" si="1"/>
        <v/>
      </c>
      <c r="H37" s="4">
        <v>2700000</v>
      </c>
      <c r="I37" s="6" t="str">
        <f t="shared" si="2"/>
        <v/>
      </c>
      <c r="J37" s="4">
        <v>679000</v>
      </c>
      <c r="K37" s="6" t="str">
        <f t="shared" si="3"/>
        <v/>
      </c>
      <c r="L37" s="6">
        <v>33</v>
      </c>
      <c r="M37" s="6" t="str">
        <f t="shared" si="4"/>
        <v/>
      </c>
      <c r="N37" s="6"/>
      <c r="O37" s="6" t="str">
        <f t="shared" si="5"/>
        <v/>
      </c>
      <c r="Q37" s="6">
        <v>4</v>
      </c>
      <c r="R37" s="6">
        <v>14</v>
      </c>
      <c r="S37" s="6">
        <v>52</v>
      </c>
      <c r="T37" s="6"/>
      <c r="U37" s="6">
        <f t="shared" si="7"/>
        <v>399120</v>
      </c>
      <c r="V37" s="6" t="str">
        <f t="shared" si="6"/>
        <v/>
      </c>
    </row>
    <row r="38" spans="2:22" x14ac:dyDescent="0.3">
      <c r="B38" s="64" t="s">
        <v>36</v>
      </c>
      <c r="C38" s="151">
        <v>33</v>
      </c>
      <c r="D38" s="4">
        <v>13000000</v>
      </c>
      <c r="E38" s="6" t="str">
        <f t="shared" ref="E38:E69" si="8">IF($C38&gt;VLOOKUP(EmbassyDesired,$B$6:$C$85,2,FALSE),"",IF($C38&gt;VLOOKUP(EmbassyCurrent,$B$6:$C$85,2,FALSE),D38,""))</f>
        <v/>
      </c>
      <c r="F38" s="4">
        <v>13000000</v>
      </c>
      <c r="G38" s="6" t="str">
        <f t="shared" ref="G38:G69" si="9">IF($C38&gt;VLOOKUP(EmbassyDesired,$B$6:$C$85,2,FALSE),"",IF($C38&gt;VLOOKUP(EmbassyCurrent,$B$6:$C$85,2,FALSE),F38,""))</f>
        <v/>
      </c>
      <c r="H38" s="4">
        <v>2700000</v>
      </c>
      <c r="I38" s="6" t="str">
        <f t="shared" ref="I38:I69" si="10">IF($C38&gt;VLOOKUP(EmbassyDesired,$B$6:$C$85,2,FALSE),"",IF($C38&gt;VLOOKUP(EmbassyCurrent,$B$6:$C$85,2,FALSE),H38,""))</f>
        <v/>
      </c>
      <c r="J38" s="4">
        <v>679000</v>
      </c>
      <c r="K38" s="6" t="str">
        <f t="shared" ref="K38:K69" si="11">IF($C38&gt;VLOOKUP(EmbassyDesired,$B$6:$C$85,2,FALSE),"",IF($C38&gt;VLOOKUP(EmbassyCurrent,$B$6:$C$85,2,FALSE),J38,""))</f>
        <v/>
      </c>
      <c r="L38" s="6">
        <v>33</v>
      </c>
      <c r="M38" s="6" t="str">
        <f t="shared" ref="M38:M69" si="12">IF($C38&gt;VLOOKUP(EmbassyDesired,$B$6:$C$85,2,FALSE),"",IF($C38&gt;VLOOKUP(EmbassyCurrent,$B$6:$C$85,2,FALSE),L38,""))</f>
        <v/>
      </c>
      <c r="N38" s="6"/>
      <c r="O38" s="6" t="str">
        <f t="shared" ref="O38:O69" si="13">IF($C38&gt;VLOOKUP(EmbassyDesired,$B$6:$C$85,2,FALSE),"",IF($C38&gt;VLOOKUP(EmbassyCurrent,$B$6:$C$85,2,FALSE),N38,""))</f>
        <v/>
      </c>
      <c r="Q38" s="6">
        <v>4</v>
      </c>
      <c r="R38" s="6">
        <v>14</v>
      </c>
      <c r="S38" s="6">
        <v>52</v>
      </c>
      <c r="T38" s="6"/>
      <c r="U38" s="6">
        <f t="shared" si="7"/>
        <v>399120</v>
      </c>
      <c r="V38" s="6" t="str">
        <f t="shared" ref="V38:V69" si="14">IF($C38&gt;VLOOKUP(EmbassyDesired,$B$6:$C$85,2,FALSE),"",IF($C38&gt;VLOOKUP(EmbassyCurrent,$B$6:$C$85,2,FALSE),U38,""))</f>
        <v/>
      </c>
    </row>
    <row r="39" spans="2:22" x14ac:dyDescent="0.3">
      <c r="B39" s="64" t="s">
        <v>37</v>
      </c>
      <c r="C39" s="151">
        <v>34</v>
      </c>
      <c r="D39" s="4">
        <v>13000000</v>
      </c>
      <c r="E39" s="6" t="str">
        <f t="shared" si="8"/>
        <v/>
      </c>
      <c r="F39" s="4">
        <v>13000000</v>
      </c>
      <c r="G39" s="6" t="str">
        <f t="shared" si="9"/>
        <v/>
      </c>
      <c r="H39" s="4">
        <v>2700000</v>
      </c>
      <c r="I39" s="6" t="str">
        <f t="shared" si="10"/>
        <v/>
      </c>
      <c r="J39" s="4">
        <v>679000</v>
      </c>
      <c r="K39" s="6" t="str">
        <f t="shared" si="11"/>
        <v/>
      </c>
      <c r="L39" s="6">
        <v>33</v>
      </c>
      <c r="M39" s="6" t="str">
        <f t="shared" si="12"/>
        <v/>
      </c>
      <c r="N39" s="6"/>
      <c r="O39" s="6" t="str">
        <f t="shared" si="13"/>
        <v/>
      </c>
      <c r="Q39" s="6">
        <v>4</v>
      </c>
      <c r="R39" s="6">
        <v>14</v>
      </c>
      <c r="S39" s="6">
        <v>52</v>
      </c>
      <c r="T39" s="6"/>
      <c r="U39" s="6">
        <f t="shared" si="7"/>
        <v>399120</v>
      </c>
      <c r="V39" s="6" t="str">
        <f t="shared" si="14"/>
        <v/>
      </c>
    </row>
    <row r="40" spans="2:22" x14ac:dyDescent="0.3">
      <c r="B40" s="64" t="s">
        <v>38</v>
      </c>
      <c r="C40" s="151">
        <v>35</v>
      </c>
      <c r="D40" s="4">
        <v>13000000</v>
      </c>
      <c r="E40" s="6" t="str">
        <f t="shared" si="8"/>
        <v/>
      </c>
      <c r="F40" s="4">
        <v>13000000</v>
      </c>
      <c r="G40" s="6" t="str">
        <f t="shared" si="9"/>
        <v/>
      </c>
      <c r="H40" s="4">
        <v>2700000</v>
      </c>
      <c r="I40" s="6" t="str">
        <f t="shared" si="10"/>
        <v/>
      </c>
      <c r="J40" s="4">
        <v>679000</v>
      </c>
      <c r="K40" s="6" t="str">
        <f t="shared" si="11"/>
        <v/>
      </c>
      <c r="L40" s="6">
        <v>33</v>
      </c>
      <c r="M40" s="6" t="str">
        <f t="shared" si="12"/>
        <v/>
      </c>
      <c r="N40" s="6"/>
      <c r="O40" s="6" t="str">
        <f t="shared" si="13"/>
        <v/>
      </c>
      <c r="Q40" s="6">
        <v>4</v>
      </c>
      <c r="R40" s="6">
        <v>14</v>
      </c>
      <c r="S40" s="6">
        <v>52</v>
      </c>
      <c r="T40" s="6"/>
      <c r="U40" s="6">
        <f t="shared" si="7"/>
        <v>399120</v>
      </c>
      <c r="V40" s="6" t="str">
        <f t="shared" si="14"/>
        <v/>
      </c>
    </row>
    <row r="41" spans="2:22" x14ac:dyDescent="0.3">
      <c r="B41" s="64" t="s">
        <v>39</v>
      </c>
      <c r="C41" s="151">
        <v>36</v>
      </c>
      <c r="D41" s="4">
        <v>14000000</v>
      </c>
      <c r="E41" s="6" t="str">
        <f t="shared" si="8"/>
        <v/>
      </c>
      <c r="F41" s="4">
        <v>14000000</v>
      </c>
      <c r="G41" s="6" t="str">
        <f t="shared" si="9"/>
        <v/>
      </c>
      <c r="H41" s="4">
        <v>2900000</v>
      </c>
      <c r="I41" s="6" t="str">
        <f t="shared" si="10"/>
        <v/>
      </c>
      <c r="J41" s="4">
        <v>720000</v>
      </c>
      <c r="K41" s="6" t="str">
        <f t="shared" si="11"/>
        <v/>
      </c>
      <c r="L41" s="6">
        <v>39</v>
      </c>
      <c r="M41" s="6" t="str">
        <f t="shared" si="12"/>
        <v/>
      </c>
      <c r="N41" s="6"/>
      <c r="O41" s="6" t="str">
        <f t="shared" si="13"/>
        <v/>
      </c>
      <c r="Q41" s="6">
        <v>5</v>
      </c>
      <c r="R41" s="6">
        <v>22</v>
      </c>
      <c r="S41" s="6">
        <v>33</v>
      </c>
      <c r="T41" s="6"/>
      <c r="U41" s="6">
        <f t="shared" si="7"/>
        <v>513180</v>
      </c>
      <c r="V41" s="6" t="str">
        <f t="shared" si="14"/>
        <v/>
      </c>
    </row>
    <row r="42" spans="2:22" x14ac:dyDescent="0.3">
      <c r="B42" s="64" t="s">
        <v>40</v>
      </c>
      <c r="C42" s="151">
        <v>37</v>
      </c>
      <c r="D42" s="4">
        <v>14000000</v>
      </c>
      <c r="E42" s="6" t="str">
        <f t="shared" si="8"/>
        <v/>
      </c>
      <c r="F42" s="4">
        <v>14000000</v>
      </c>
      <c r="G42" s="6" t="str">
        <f t="shared" si="9"/>
        <v/>
      </c>
      <c r="H42" s="4">
        <v>2900000</v>
      </c>
      <c r="I42" s="6" t="str">
        <f t="shared" si="10"/>
        <v/>
      </c>
      <c r="J42" s="4">
        <v>720000</v>
      </c>
      <c r="K42" s="6" t="str">
        <f t="shared" si="11"/>
        <v/>
      </c>
      <c r="L42" s="6">
        <v>39</v>
      </c>
      <c r="M42" s="6" t="str">
        <f t="shared" si="12"/>
        <v/>
      </c>
      <c r="N42" s="6"/>
      <c r="O42" s="6" t="str">
        <f t="shared" si="13"/>
        <v/>
      </c>
      <c r="Q42" s="6">
        <v>5</v>
      </c>
      <c r="R42" s="6">
        <v>22</v>
      </c>
      <c r="S42" s="6">
        <v>33</v>
      </c>
      <c r="T42" s="6"/>
      <c r="U42" s="6">
        <f t="shared" si="7"/>
        <v>513180</v>
      </c>
      <c r="V42" s="6" t="str">
        <f t="shared" si="14"/>
        <v/>
      </c>
    </row>
    <row r="43" spans="2:22" x14ac:dyDescent="0.3">
      <c r="B43" s="64" t="s">
        <v>41</v>
      </c>
      <c r="C43" s="151">
        <v>38</v>
      </c>
      <c r="D43" s="4">
        <v>14000000</v>
      </c>
      <c r="E43" s="6" t="str">
        <f t="shared" si="8"/>
        <v/>
      </c>
      <c r="F43" s="4">
        <v>14000000</v>
      </c>
      <c r="G43" s="6" t="str">
        <f t="shared" si="9"/>
        <v/>
      </c>
      <c r="H43" s="4">
        <v>2900000</v>
      </c>
      <c r="I43" s="6" t="str">
        <f t="shared" si="10"/>
        <v/>
      </c>
      <c r="J43" s="4">
        <v>720000</v>
      </c>
      <c r="K43" s="6" t="str">
        <f t="shared" si="11"/>
        <v/>
      </c>
      <c r="L43" s="6">
        <v>39</v>
      </c>
      <c r="M43" s="6" t="str">
        <f t="shared" si="12"/>
        <v/>
      </c>
      <c r="N43" s="6"/>
      <c r="O43" s="6" t="str">
        <f t="shared" si="13"/>
        <v/>
      </c>
      <c r="Q43" s="6">
        <v>5</v>
      </c>
      <c r="R43" s="6">
        <v>22</v>
      </c>
      <c r="S43" s="6">
        <v>33</v>
      </c>
      <c r="T43" s="6"/>
      <c r="U43" s="6">
        <f t="shared" si="7"/>
        <v>513180</v>
      </c>
      <c r="V43" s="6" t="str">
        <f t="shared" si="14"/>
        <v/>
      </c>
    </row>
    <row r="44" spans="2:22" x14ac:dyDescent="0.3">
      <c r="B44" s="64" t="s">
        <v>42</v>
      </c>
      <c r="C44" s="151">
        <v>39</v>
      </c>
      <c r="D44" s="4">
        <v>14000000</v>
      </c>
      <c r="E44" s="6" t="str">
        <f t="shared" si="8"/>
        <v/>
      </c>
      <c r="F44" s="4">
        <v>14000000</v>
      </c>
      <c r="G44" s="6" t="str">
        <f t="shared" si="9"/>
        <v/>
      </c>
      <c r="H44" s="4">
        <v>2900000</v>
      </c>
      <c r="I44" s="6" t="str">
        <f t="shared" si="10"/>
        <v/>
      </c>
      <c r="J44" s="4">
        <v>720000</v>
      </c>
      <c r="K44" s="6" t="str">
        <f t="shared" si="11"/>
        <v/>
      </c>
      <c r="L44" s="6">
        <v>39</v>
      </c>
      <c r="M44" s="6" t="str">
        <f t="shared" si="12"/>
        <v/>
      </c>
      <c r="N44" s="6"/>
      <c r="O44" s="6" t="str">
        <f t="shared" si="13"/>
        <v/>
      </c>
      <c r="Q44" s="6">
        <v>5</v>
      </c>
      <c r="R44" s="6">
        <v>22</v>
      </c>
      <c r="S44" s="6">
        <v>33</v>
      </c>
      <c r="T44" s="6"/>
      <c r="U44" s="6">
        <f t="shared" si="7"/>
        <v>513180</v>
      </c>
      <c r="V44" s="6" t="str">
        <f t="shared" si="14"/>
        <v/>
      </c>
    </row>
    <row r="45" spans="2:22" x14ac:dyDescent="0.3">
      <c r="B45" s="64" t="s">
        <v>43</v>
      </c>
      <c r="C45" s="151">
        <v>40</v>
      </c>
      <c r="D45" s="4">
        <v>14000000</v>
      </c>
      <c r="E45" s="6" t="str">
        <f t="shared" si="8"/>
        <v/>
      </c>
      <c r="F45" s="4">
        <v>14000000</v>
      </c>
      <c r="G45" s="6" t="str">
        <f t="shared" si="9"/>
        <v/>
      </c>
      <c r="H45" s="4">
        <v>2900000</v>
      </c>
      <c r="I45" s="6" t="str">
        <f t="shared" si="10"/>
        <v/>
      </c>
      <c r="J45" s="4">
        <v>720000</v>
      </c>
      <c r="K45" s="6" t="str">
        <f t="shared" si="11"/>
        <v/>
      </c>
      <c r="L45" s="6">
        <v>39</v>
      </c>
      <c r="M45" s="6" t="str">
        <f t="shared" si="12"/>
        <v/>
      </c>
      <c r="N45" s="6"/>
      <c r="O45" s="6" t="str">
        <f t="shared" si="13"/>
        <v/>
      </c>
      <c r="Q45" s="6">
        <v>5</v>
      </c>
      <c r="R45" s="6">
        <v>22</v>
      </c>
      <c r="S45" s="6">
        <v>33</v>
      </c>
      <c r="T45" s="6"/>
      <c r="U45" s="6">
        <f t="shared" si="7"/>
        <v>513180</v>
      </c>
      <c r="V45" s="6" t="str">
        <f t="shared" si="14"/>
        <v/>
      </c>
    </row>
    <row r="46" spans="2:22" x14ac:dyDescent="0.3">
      <c r="B46" s="64" t="s">
        <v>44</v>
      </c>
      <c r="C46" s="151">
        <v>41</v>
      </c>
      <c r="D46" s="4">
        <v>15000000</v>
      </c>
      <c r="E46" s="6" t="str">
        <f t="shared" si="8"/>
        <v/>
      </c>
      <c r="F46" s="4">
        <v>15000000</v>
      </c>
      <c r="G46" s="6" t="str">
        <f t="shared" si="9"/>
        <v/>
      </c>
      <c r="H46" s="4">
        <v>3100000</v>
      </c>
      <c r="I46" s="6" t="str">
        <f t="shared" si="10"/>
        <v/>
      </c>
      <c r="J46" s="4">
        <v>790000</v>
      </c>
      <c r="K46" s="6" t="str">
        <f t="shared" si="11"/>
        <v/>
      </c>
      <c r="L46" s="6">
        <v>59</v>
      </c>
      <c r="M46" s="6" t="str">
        <f t="shared" si="12"/>
        <v/>
      </c>
      <c r="N46" s="6"/>
      <c r="O46" s="6" t="str">
        <f t="shared" si="13"/>
        <v/>
      </c>
      <c r="Q46" s="6">
        <v>7</v>
      </c>
      <c r="R46" s="6">
        <v>6</v>
      </c>
      <c r="S46" s="6">
        <v>14</v>
      </c>
      <c r="T46" s="6"/>
      <c r="U46" s="6">
        <f t="shared" si="7"/>
        <v>627240</v>
      </c>
      <c r="V46" s="6" t="str">
        <f t="shared" si="14"/>
        <v/>
      </c>
    </row>
    <row r="47" spans="2:22" x14ac:dyDescent="0.3">
      <c r="B47" s="64" t="s">
        <v>45</v>
      </c>
      <c r="C47" s="151">
        <v>42</v>
      </c>
      <c r="D47" s="4">
        <v>15000000</v>
      </c>
      <c r="E47" s="6" t="str">
        <f t="shared" si="8"/>
        <v/>
      </c>
      <c r="F47" s="4">
        <v>15000000</v>
      </c>
      <c r="G47" s="6" t="str">
        <f t="shared" si="9"/>
        <v/>
      </c>
      <c r="H47" s="4">
        <v>3100000</v>
      </c>
      <c r="I47" s="6" t="str">
        <f t="shared" si="10"/>
        <v/>
      </c>
      <c r="J47" s="4">
        <v>790000</v>
      </c>
      <c r="K47" s="6" t="str">
        <f t="shared" si="11"/>
        <v/>
      </c>
      <c r="L47" s="6">
        <v>59</v>
      </c>
      <c r="M47" s="6" t="str">
        <f t="shared" si="12"/>
        <v/>
      </c>
      <c r="N47" s="6"/>
      <c r="O47" s="6" t="str">
        <f t="shared" si="13"/>
        <v/>
      </c>
      <c r="Q47" s="6">
        <v>7</v>
      </c>
      <c r="R47" s="6">
        <v>6</v>
      </c>
      <c r="S47" s="6">
        <v>14</v>
      </c>
      <c r="T47" s="6"/>
      <c r="U47" s="6">
        <f t="shared" si="7"/>
        <v>627240</v>
      </c>
      <c r="V47" s="6" t="str">
        <f t="shared" si="14"/>
        <v/>
      </c>
    </row>
    <row r="48" spans="2:22" x14ac:dyDescent="0.3">
      <c r="B48" s="64" t="s">
        <v>46</v>
      </c>
      <c r="C48" s="151">
        <v>43</v>
      </c>
      <c r="D48" s="4">
        <v>15000000</v>
      </c>
      <c r="E48" s="6" t="str">
        <f t="shared" si="8"/>
        <v/>
      </c>
      <c r="F48" s="4">
        <v>15000000</v>
      </c>
      <c r="G48" s="6" t="str">
        <f t="shared" si="9"/>
        <v/>
      </c>
      <c r="H48" s="4">
        <v>3100000</v>
      </c>
      <c r="I48" s="6" t="str">
        <f t="shared" si="10"/>
        <v/>
      </c>
      <c r="J48" s="4">
        <v>790000</v>
      </c>
      <c r="K48" s="6" t="str">
        <f t="shared" si="11"/>
        <v/>
      </c>
      <c r="L48" s="6">
        <v>59</v>
      </c>
      <c r="M48" s="6" t="str">
        <f t="shared" si="12"/>
        <v/>
      </c>
      <c r="N48" s="6"/>
      <c r="O48" s="6" t="str">
        <f t="shared" si="13"/>
        <v/>
      </c>
      <c r="Q48" s="6">
        <v>7</v>
      </c>
      <c r="R48" s="6">
        <v>6</v>
      </c>
      <c r="S48" s="6">
        <v>14</v>
      </c>
      <c r="T48" s="6"/>
      <c r="U48" s="6">
        <f t="shared" si="7"/>
        <v>627240</v>
      </c>
      <c r="V48" s="6" t="str">
        <f t="shared" si="14"/>
        <v/>
      </c>
    </row>
    <row r="49" spans="2:22" x14ac:dyDescent="0.3">
      <c r="B49" s="64" t="s">
        <v>47</v>
      </c>
      <c r="C49" s="151">
        <v>44</v>
      </c>
      <c r="D49" s="4">
        <v>15000000</v>
      </c>
      <c r="E49" s="6" t="str">
        <f t="shared" si="8"/>
        <v/>
      </c>
      <c r="F49" s="4">
        <v>15000000</v>
      </c>
      <c r="G49" s="6" t="str">
        <f t="shared" si="9"/>
        <v/>
      </c>
      <c r="H49" s="4">
        <v>3100000</v>
      </c>
      <c r="I49" s="6" t="str">
        <f t="shared" si="10"/>
        <v/>
      </c>
      <c r="J49" s="4">
        <v>790000</v>
      </c>
      <c r="K49" s="6" t="str">
        <f t="shared" si="11"/>
        <v/>
      </c>
      <c r="L49" s="6">
        <v>59</v>
      </c>
      <c r="M49" s="6" t="str">
        <f t="shared" si="12"/>
        <v/>
      </c>
      <c r="N49" s="6"/>
      <c r="O49" s="6" t="str">
        <f t="shared" si="13"/>
        <v/>
      </c>
      <c r="Q49" s="6">
        <v>7</v>
      </c>
      <c r="R49" s="6">
        <v>6</v>
      </c>
      <c r="S49" s="6">
        <v>14</v>
      </c>
      <c r="T49" s="6"/>
      <c r="U49" s="6">
        <f t="shared" si="7"/>
        <v>627240</v>
      </c>
      <c r="V49" s="6" t="str">
        <f t="shared" si="14"/>
        <v/>
      </c>
    </row>
    <row r="50" spans="2:22" x14ac:dyDescent="0.3">
      <c r="B50" s="64" t="s">
        <v>48</v>
      </c>
      <c r="C50" s="151">
        <v>45</v>
      </c>
      <c r="D50" s="4">
        <v>15000000</v>
      </c>
      <c r="E50" s="6" t="str">
        <f t="shared" si="8"/>
        <v/>
      </c>
      <c r="F50" s="4">
        <v>15000000</v>
      </c>
      <c r="G50" s="6" t="str">
        <f t="shared" si="9"/>
        <v/>
      </c>
      <c r="H50" s="4">
        <v>3100000</v>
      </c>
      <c r="I50" s="6" t="str">
        <f t="shared" si="10"/>
        <v/>
      </c>
      <c r="J50" s="4">
        <v>790000</v>
      </c>
      <c r="K50" s="6" t="str">
        <f t="shared" si="11"/>
        <v/>
      </c>
      <c r="L50" s="6">
        <v>59</v>
      </c>
      <c r="M50" s="6" t="str">
        <f t="shared" si="12"/>
        <v/>
      </c>
      <c r="N50" s="6"/>
      <c r="O50" s="6" t="str">
        <f t="shared" si="13"/>
        <v/>
      </c>
      <c r="Q50" s="6">
        <v>7</v>
      </c>
      <c r="R50" s="6">
        <v>6</v>
      </c>
      <c r="S50" s="6">
        <v>14</v>
      </c>
      <c r="T50" s="6"/>
      <c r="U50" s="6">
        <f t="shared" si="7"/>
        <v>627240</v>
      </c>
      <c r="V50" s="6" t="str">
        <f t="shared" si="14"/>
        <v/>
      </c>
    </row>
    <row r="51" spans="2:22" x14ac:dyDescent="0.3">
      <c r="B51" s="64" t="s">
        <v>49</v>
      </c>
      <c r="C51" s="151">
        <v>46</v>
      </c>
      <c r="D51" s="4">
        <v>16000000</v>
      </c>
      <c r="E51" s="6" t="str">
        <f t="shared" si="8"/>
        <v/>
      </c>
      <c r="F51" s="4">
        <v>16000000</v>
      </c>
      <c r="G51" s="6" t="str">
        <f t="shared" si="9"/>
        <v/>
      </c>
      <c r="H51" s="4">
        <v>3200000</v>
      </c>
      <c r="I51" s="6" t="str">
        <f t="shared" si="10"/>
        <v/>
      </c>
      <c r="J51" s="4">
        <v>820000</v>
      </c>
      <c r="K51" s="6" t="str">
        <f t="shared" si="11"/>
        <v/>
      </c>
      <c r="L51" s="6">
        <v>70</v>
      </c>
      <c r="M51" s="6" t="str">
        <f t="shared" si="12"/>
        <v/>
      </c>
      <c r="N51" s="6"/>
      <c r="O51" s="6" t="str">
        <f t="shared" si="13"/>
        <v/>
      </c>
      <c r="Q51" s="6">
        <v>7</v>
      </c>
      <c r="R51" s="6">
        <v>22</v>
      </c>
      <c r="S51" s="6">
        <v>4</v>
      </c>
      <c r="T51" s="6"/>
      <c r="U51" s="6">
        <f t="shared" si="7"/>
        <v>684240</v>
      </c>
      <c r="V51" s="6" t="str">
        <f t="shared" si="14"/>
        <v/>
      </c>
    </row>
    <row r="52" spans="2:22" x14ac:dyDescent="0.3">
      <c r="B52" s="64" t="s">
        <v>50</v>
      </c>
      <c r="C52" s="151">
        <v>47</v>
      </c>
      <c r="D52" s="4">
        <v>16000000</v>
      </c>
      <c r="E52" s="6" t="str">
        <f t="shared" si="8"/>
        <v/>
      </c>
      <c r="F52" s="4">
        <v>16000000</v>
      </c>
      <c r="G52" s="6" t="str">
        <f t="shared" si="9"/>
        <v/>
      </c>
      <c r="H52" s="4">
        <v>3200000</v>
      </c>
      <c r="I52" s="6" t="str">
        <f t="shared" si="10"/>
        <v/>
      </c>
      <c r="J52" s="4">
        <v>820000</v>
      </c>
      <c r="K52" s="6" t="str">
        <f t="shared" si="11"/>
        <v/>
      </c>
      <c r="L52" s="6">
        <v>70</v>
      </c>
      <c r="M52" s="6" t="str">
        <f t="shared" si="12"/>
        <v/>
      </c>
      <c r="N52" s="6"/>
      <c r="O52" s="6" t="str">
        <f t="shared" si="13"/>
        <v/>
      </c>
      <c r="Q52" s="6">
        <v>7</v>
      </c>
      <c r="R52" s="6">
        <v>22</v>
      </c>
      <c r="S52" s="6">
        <v>4</v>
      </c>
      <c r="T52" s="6"/>
      <c r="U52" s="6">
        <f t="shared" si="7"/>
        <v>684240</v>
      </c>
      <c r="V52" s="6" t="str">
        <f t="shared" si="14"/>
        <v/>
      </c>
    </row>
    <row r="53" spans="2:22" x14ac:dyDescent="0.3">
      <c r="B53" s="64" t="s">
        <v>51</v>
      </c>
      <c r="C53" s="151">
        <v>48</v>
      </c>
      <c r="D53" s="4">
        <v>16000000</v>
      </c>
      <c r="E53" s="6" t="str">
        <f t="shared" si="8"/>
        <v/>
      </c>
      <c r="F53" s="4">
        <v>16000000</v>
      </c>
      <c r="G53" s="6" t="str">
        <f t="shared" si="9"/>
        <v/>
      </c>
      <c r="H53" s="4">
        <v>3200000</v>
      </c>
      <c r="I53" s="6" t="str">
        <f t="shared" si="10"/>
        <v/>
      </c>
      <c r="J53" s="4">
        <v>820000</v>
      </c>
      <c r="K53" s="6" t="str">
        <f t="shared" si="11"/>
        <v/>
      </c>
      <c r="L53" s="6">
        <v>70</v>
      </c>
      <c r="M53" s="6" t="str">
        <f t="shared" si="12"/>
        <v/>
      </c>
      <c r="N53" s="6"/>
      <c r="O53" s="6" t="str">
        <f t="shared" si="13"/>
        <v/>
      </c>
      <c r="Q53" s="6">
        <v>7</v>
      </c>
      <c r="R53" s="6">
        <v>22</v>
      </c>
      <c r="S53" s="6">
        <v>4</v>
      </c>
      <c r="T53" s="6"/>
      <c r="U53" s="6">
        <f t="shared" si="7"/>
        <v>684240</v>
      </c>
      <c r="V53" s="6" t="str">
        <f t="shared" si="14"/>
        <v/>
      </c>
    </row>
    <row r="54" spans="2:22" x14ac:dyDescent="0.3">
      <c r="B54" s="64" t="s">
        <v>52</v>
      </c>
      <c r="C54" s="151">
        <v>49</v>
      </c>
      <c r="D54" s="4">
        <v>16000000</v>
      </c>
      <c r="E54" s="6" t="str">
        <f t="shared" si="8"/>
        <v/>
      </c>
      <c r="F54" s="4">
        <v>16000000</v>
      </c>
      <c r="G54" s="6" t="str">
        <f t="shared" si="9"/>
        <v/>
      </c>
      <c r="H54" s="4">
        <v>3200000</v>
      </c>
      <c r="I54" s="6" t="str">
        <f t="shared" si="10"/>
        <v/>
      </c>
      <c r="J54" s="4">
        <v>820000</v>
      </c>
      <c r="K54" s="6" t="str">
        <f t="shared" si="11"/>
        <v/>
      </c>
      <c r="L54" s="6">
        <v>70</v>
      </c>
      <c r="M54" s="6" t="str">
        <f t="shared" si="12"/>
        <v/>
      </c>
      <c r="N54" s="6"/>
      <c r="O54" s="6" t="str">
        <f t="shared" si="13"/>
        <v/>
      </c>
      <c r="Q54" s="6">
        <v>7</v>
      </c>
      <c r="R54" s="6">
        <v>22</v>
      </c>
      <c r="S54" s="6">
        <v>4</v>
      </c>
      <c r="T54" s="6"/>
      <c r="U54" s="6">
        <f t="shared" si="7"/>
        <v>684240</v>
      </c>
      <c r="V54" s="6" t="str">
        <f t="shared" si="14"/>
        <v/>
      </c>
    </row>
    <row r="55" spans="2:22" x14ac:dyDescent="0.3">
      <c r="B55" s="64" t="s">
        <v>53</v>
      </c>
      <c r="C55" s="151">
        <v>50</v>
      </c>
      <c r="D55" s="4">
        <v>16000000</v>
      </c>
      <c r="E55" s="6" t="str">
        <f t="shared" si="8"/>
        <v/>
      </c>
      <c r="F55" s="4">
        <v>16000000</v>
      </c>
      <c r="G55" s="6" t="str">
        <f t="shared" si="9"/>
        <v/>
      </c>
      <c r="H55" s="4">
        <v>3200000</v>
      </c>
      <c r="I55" s="6" t="str">
        <f t="shared" si="10"/>
        <v/>
      </c>
      <c r="J55" s="4">
        <v>820000</v>
      </c>
      <c r="K55" s="6" t="str">
        <f t="shared" si="11"/>
        <v/>
      </c>
      <c r="L55" s="6">
        <v>70</v>
      </c>
      <c r="M55" s="6" t="str">
        <f t="shared" si="12"/>
        <v/>
      </c>
      <c r="N55" s="6"/>
      <c r="O55" s="6" t="str">
        <f t="shared" si="13"/>
        <v/>
      </c>
      <c r="Q55" s="6">
        <v>7</v>
      </c>
      <c r="R55" s="6">
        <v>22</v>
      </c>
      <c r="S55" s="6">
        <v>4</v>
      </c>
      <c r="T55" s="6"/>
      <c r="U55" s="6">
        <f t="shared" si="7"/>
        <v>684240</v>
      </c>
      <c r="V55" s="6" t="str">
        <f t="shared" si="14"/>
        <v/>
      </c>
    </row>
    <row r="56" spans="2:22" x14ac:dyDescent="0.3">
      <c r="B56" s="64" t="s">
        <v>54</v>
      </c>
      <c r="C56" s="151">
        <v>51</v>
      </c>
      <c r="D56" s="4">
        <v>16000000</v>
      </c>
      <c r="E56" s="6" t="str">
        <f t="shared" si="8"/>
        <v/>
      </c>
      <c r="F56" s="4">
        <v>16000000</v>
      </c>
      <c r="G56" s="6" t="str">
        <f t="shared" si="9"/>
        <v/>
      </c>
      <c r="H56" s="4">
        <v>3300000</v>
      </c>
      <c r="I56" s="6" t="str">
        <f t="shared" si="10"/>
        <v/>
      </c>
      <c r="J56" s="4">
        <v>840000</v>
      </c>
      <c r="K56" s="6" t="str">
        <f t="shared" si="11"/>
        <v/>
      </c>
      <c r="L56" s="6">
        <v>83</v>
      </c>
      <c r="M56" s="6" t="str">
        <f t="shared" si="12"/>
        <v/>
      </c>
      <c r="N56" s="6"/>
      <c r="O56" s="6" t="str">
        <f t="shared" si="13"/>
        <v/>
      </c>
      <c r="Q56" s="6">
        <v>9</v>
      </c>
      <c r="R56" s="6">
        <v>5</v>
      </c>
      <c r="S56" s="6">
        <v>45</v>
      </c>
      <c r="T56" s="6"/>
      <c r="U56" s="6">
        <f t="shared" si="7"/>
        <v>798300</v>
      </c>
      <c r="V56" s="6" t="str">
        <f t="shared" si="14"/>
        <v/>
      </c>
    </row>
    <row r="57" spans="2:22" x14ac:dyDescent="0.3">
      <c r="B57" s="64" t="s">
        <v>55</v>
      </c>
      <c r="C57" s="151">
        <v>52</v>
      </c>
      <c r="D57" s="4">
        <v>16000000</v>
      </c>
      <c r="E57" s="6" t="str">
        <f t="shared" si="8"/>
        <v/>
      </c>
      <c r="F57" s="4">
        <v>16000000</v>
      </c>
      <c r="G57" s="6" t="str">
        <f t="shared" si="9"/>
        <v/>
      </c>
      <c r="H57" s="4">
        <v>3300000</v>
      </c>
      <c r="I57" s="6" t="str">
        <f t="shared" si="10"/>
        <v/>
      </c>
      <c r="J57" s="4">
        <v>840000</v>
      </c>
      <c r="K57" s="6" t="str">
        <f t="shared" si="11"/>
        <v/>
      </c>
      <c r="L57" s="6">
        <v>83</v>
      </c>
      <c r="M57" s="6" t="str">
        <f t="shared" si="12"/>
        <v/>
      </c>
      <c r="N57" s="6"/>
      <c r="O57" s="6" t="str">
        <f t="shared" si="13"/>
        <v/>
      </c>
      <c r="Q57" s="6">
        <v>9</v>
      </c>
      <c r="R57" s="6">
        <v>5</v>
      </c>
      <c r="S57" s="6">
        <v>45</v>
      </c>
      <c r="T57" s="6"/>
      <c r="U57" s="6">
        <f t="shared" si="7"/>
        <v>798300</v>
      </c>
      <c r="V57" s="6" t="str">
        <f t="shared" si="14"/>
        <v/>
      </c>
    </row>
    <row r="58" spans="2:22" x14ac:dyDescent="0.3">
      <c r="B58" s="64" t="s">
        <v>56</v>
      </c>
      <c r="C58" s="151">
        <v>53</v>
      </c>
      <c r="D58" s="4">
        <v>16000000</v>
      </c>
      <c r="E58" s="6" t="str">
        <f t="shared" si="8"/>
        <v/>
      </c>
      <c r="F58" s="4">
        <v>16000000</v>
      </c>
      <c r="G58" s="6" t="str">
        <f t="shared" si="9"/>
        <v/>
      </c>
      <c r="H58" s="4">
        <v>3300000</v>
      </c>
      <c r="I58" s="6" t="str">
        <f t="shared" si="10"/>
        <v/>
      </c>
      <c r="J58" s="4">
        <v>840000</v>
      </c>
      <c r="K58" s="6" t="str">
        <f t="shared" si="11"/>
        <v/>
      </c>
      <c r="L58" s="6">
        <v>83</v>
      </c>
      <c r="M58" s="6" t="str">
        <f t="shared" si="12"/>
        <v/>
      </c>
      <c r="N58" s="6"/>
      <c r="O58" s="6" t="str">
        <f t="shared" si="13"/>
        <v/>
      </c>
      <c r="Q58" s="6">
        <v>9</v>
      </c>
      <c r="R58" s="6">
        <v>5</v>
      </c>
      <c r="S58" s="6">
        <v>45</v>
      </c>
      <c r="T58" s="6"/>
      <c r="U58" s="6">
        <f t="shared" si="7"/>
        <v>798300</v>
      </c>
      <c r="V58" s="6" t="str">
        <f t="shared" si="14"/>
        <v/>
      </c>
    </row>
    <row r="59" spans="2:22" x14ac:dyDescent="0.3">
      <c r="B59" s="64" t="s">
        <v>57</v>
      </c>
      <c r="C59" s="151">
        <v>54</v>
      </c>
      <c r="D59" s="4">
        <v>16000000</v>
      </c>
      <c r="E59" s="6" t="str">
        <f t="shared" si="8"/>
        <v/>
      </c>
      <c r="F59" s="4">
        <v>16000000</v>
      </c>
      <c r="G59" s="6" t="str">
        <f t="shared" si="9"/>
        <v/>
      </c>
      <c r="H59" s="4">
        <v>3300000</v>
      </c>
      <c r="I59" s="6" t="str">
        <f t="shared" si="10"/>
        <v/>
      </c>
      <c r="J59" s="4">
        <v>840000</v>
      </c>
      <c r="K59" s="6" t="str">
        <f t="shared" si="11"/>
        <v/>
      </c>
      <c r="L59" s="6">
        <v>83</v>
      </c>
      <c r="M59" s="6" t="str">
        <f t="shared" si="12"/>
        <v/>
      </c>
      <c r="N59" s="6"/>
      <c r="O59" s="6" t="str">
        <f t="shared" si="13"/>
        <v/>
      </c>
      <c r="Q59" s="6">
        <v>9</v>
      </c>
      <c r="R59" s="6">
        <v>5</v>
      </c>
      <c r="S59" s="6">
        <v>45</v>
      </c>
      <c r="T59" s="6"/>
      <c r="U59" s="6">
        <f t="shared" si="7"/>
        <v>798300</v>
      </c>
      <c r="V59" s="6" t="str">
        <f t="shared" si="14"/>
        <v/>
      </c>
    </row>
    <row r="60" spans="2:22" x14ac:dyDescent="0.3">
      <c r="B60" s="64" t="s">
        <v>58</v>
      </c>
      <c r="C60" s="151">
        <v>55</v>
      </c>
      <c r="D60" s="4">
        <v>16000000</v>
      </c>
      <c r="E60" s="6" t="str">
        <f t="shared" si="8"/>
        <v/>
      </c>
      <c r="F60" s="4">
        <v>16000000</v>
      </c>
      <c r="G60" s="6" t="str">
        <f t="shared" si="9"/>
        <v/>
      </c>
      <c r="H60" s="4">
        <v>3300000</v>
      </c>
      <c r="I60" s="6" t="str">
        <f t="shared" si="10"/>
        <v/>
      </c>
      <c r="J60" s="4">
        <v>840000</v>
      </c>
      <c r="K60" s="6" t="str">
        <f t="shared" si="11"/>
        <v/>
      </c>
      <c r="L60" s="6">
        <v>83</v>
      </c>
      <c r="M60" s="6" t="str">
        <f t="shared" si="12"/>
        <v/>
      </c>
      <c r="N60" s="6"/>
      <c r="O60" s="6" t="str">
        <f t="shared" si="13"/>
        <v/>
      </c>
      <c r="Q60" s="6">
        <v>9</v>
      </c>
      <c r="R60" s="6">
        <v>5</v>
      </c>
      <c r="S60" s="6">
        <v>45</v>
      </c>
      <c r="T60" s="6"/>
      <c r="U60" s="6">
        <f t="shared" si="7"/>
        <v>798300</v>
      </c>
      <c r="V60" s="6" t="str">
        <f t="shared" si="14"/>
        <v/>
      </c>
    </row>
    <row r="61" spans="2:22" x14ac:dyDescent="0.3">
      <c r="B61" s="64" t="s">
        <v>230</v>
      </c>
      <c r="C61" s="151">
        <v>56</v>
      </c>
      <c r="D61" s="4">
        <v>19900000</v>
      </c>
      <c r="E61" s="6" t="str">
        <f t="shared" si="8"/>
        <v/>
      </c>
      <c r="F61" s="4">
        <v>19900000</v>
      </c>
      <c r="G61" s="6" t="str">
        <f t="shared" si="9"/>
        <v/>
      </c>
      <c r="H61" s="4">
        <v>3800000</v>
      </c>
      <c r="I61" s="6" t="str">
        <f t="shared" si="10"/>
        <v/>
      </c>
      <c r="J61" s="4">
        <v>960000</v>
      </c>
      <c r="K61" s="6" t="str">
        <f t="shared" si="11"/>
        <v/>
      </c>
      <c r="L61" s="6">
        <v>50</v>
      </c>
      <c r="M61" s="6" t="str">
        <f t="shared" si="12"/>
        <v/>
      </c>
      <c r="N61" s="6">
        <v>2</v>
      </c>
      <c r="O61" s="6" t="str">
        <f t="shared" si="13"/>
        <v/>
      </c>
      <c r="Q61" s="6">
        <v>9</v>
      </c>
      <c r="R61" s="6">
        <v>21</v>
      </c>
      <c r="S61" s="6">
        <v>36</v>
      </c>
      <c r="T61" s="6"/>
      <c r="U61" s="6">
        <f t="shared" si="7"/>
        <v>855360</v>
      </c>
      <c r="V61" s="6" t="str">
        <f t="shared" si="14"/>
        <v/>
      </c>
    </row>
    <row r="62" spans="2:22" x14ac:dyDescent="0.3">
      <c r="B62" s="64" t="s">
        <v>231</v>
      </c>
      <c r="C62" s="151">
        <v>57</v>
      </c>
      <c r="D62" s="4">
        <v>19900000</v>
      </c>
      <c r="E62" s="6" t="str">
        <f t="shared" si="8"/>
        <v/>
      </c>
      <c r="F62" s="4">
        <v>19900000</v>
      </c>
      <c r="G62" s="6" t="str">
        <f t="shared" si="9"/>
        <v/>
      </c>
      <c r="H62" s="4">
        <v>3800000</v>
      </c>
      <c r="I62" s="6" t="str">
        <f t="shared" si="10"/>
        <v/>
      </c>
      <c r="J62" s="4">
        <v>960000</v>
      </c>
      <c r="K62" s="6" t="str">
        <f t="shared" si="11"/>
        <v/>
      </c>
      <c r="L62" s="6">
        <v>50</v>
      </c>
      <c r="M62" s="6" t="str">
        <f t="shared" si="12"/>
        <v/>
      </c>
      <c r="N62" s="6">
        <v>2</v>
      </c>
      <c r="O62" s="6" t="str">
        <f t="shared" si="13"/>
        <v/>
      </c>
      <c r="Q62" s="6">
        <v>9</v>
      </c>
      <c r="R62" s="6">
        <v>21</v>
      </c>
      <c r="S62" s="6">
        <v>36</v>
      </c>
      <c r="T62" s="6"/>
      <c r="U62" s="6">
        <f t="shared" si="7"/>
        <v>855360</v>
      </c>
      <c r="V62" s="6" t="str">
        <f t="shared" si="14"/>
        <v/>
      </c>
    </row>
    <row r="63" spans="2:22" x14ac:dyDescent="0.3">
      <c r="B63" s="64" t="s">
        <v>232</v>
      </c>
      <c r="C63" s="151">
        <v>58</v>
      </c>
      <c r="D63" s="4">
        <v>19900000</v>
      </c>
      <c r="E63" s="6" t="str">
        <f t="shared" si="8"/>
        <v/>
      </c>
      <c r="F63" s="4">
        <v>19900000</v>
      </c>
      <c r="G63" s="6" t="str">
        <f t="shared" si="9"/>
        <v/>
      </c>
      <c r="H63" s="4">
        <v>3800000</v>
      </c>
      <c r="I63" s="6" t="str">
        <f t="shared" si="10"/>
        <v/>
      </c>
      <c r="J63" s="4">
        <v>960000</v>
      </c>
      <c r="K63" s="6" t="str">
        <f t="shared" si="11"/>
        <v/>
      </c>
      <c r="L63" s="6">
        <v>50</v>
      </c>
      <c r="M63" s="6" t="str">
        <f t="shared" si="12"/>
        <v/>
      </c>
      <c r="N63" s="6">
        <v>2</v>
      </c>
      <c r="O63" s="6" t="str">
        <f t="shared" si="13"/>
        <v/>
      </c>
      <c r="Q63" s="6">
        <v>9</v>
      </c>
      <c r="R63" s="6">
        <v>21</v>
      </c>
      <c r="S63" s="6">
        <v>36</v>
      </c>
      <c r="T63" s="6"/>
      <c r="U63" s="6">
        <f t="shared" si="7"/>
        <v>855360</v>
      </c>
      <c r="V63" s="6" t="str">
        <f t="shared" si="14"/>
        <v/>
      </c>
    </row>
    <row r="64" spans="2:22" x14ac:dyDescent="0.3">
      <c r="B64" s="64" t="s">
        <v>233</v>
      </c>
      <c r="C64" s="151">
        <v>59</v>
      </c>
      <c r="D64" s="4">
        <v>19900000</v>
      </c>
      <c r="E64" s="6" t="str">
        <f t="shared" si="8"/>
        <v/>
      </c>
      <c r="F64" s="4">
        <v>19900000</v>
      </c>
      <c r="G64" s="6" t="str">
        <f t="shared" si="9"/>
        <v/>
      </c>
      <c r="H64" s="4">
        <v>3800000</v>
      </c>
      <c r="I64" s="6" t="str">
        <f t="shared" si="10"/>
        <v/>
      </c>
      <c r="J64" s="4">
        <v>960000</v>
      </c>
      <c r="K64" s="6" t="str">
        <f t="shared" si="11"/>
        <v/>
      </c>
      <c r="L64" s="6">
        <v>50</v>
      </c>
      <c r="M64" s="6" t="str">
        <f t="shared" si="12"/>
        <v/>
      </c>
      <c r="N64" s="6">
        <v>2</v>
      </c>
      <c r="O64" s="6" t="str">
        <f t="shared" si="13"/>
        <v/>
      </c>
      <c r="Q64" s="6">
        <v>9</v>
      </c>
      <c r="R64" s="6">
        <v>21</v>
      </c>
      <c r="S64" s="6">
        <v>36</v>
      </c>
      <c r="T64" s="6"/>
      <c r="U64" s="6">
        <f t="shared" si="7"/>
        <v>855360</v>
      </c>
      <c r="V64" s="6" t="str">
        <f t="shared" si="14"/>
        <v/>
      </c>
    </row>
    <row r="65" spans="2:22" x14ac:dyDescent="0.3">
      <c r="B65" s="64" t="s">
        <v>234</v>
      </c>
      <c r="C65" s="151">
        <v>60</v>
      </c>
      <c r="D65" s="4">
        <v>19900000</v>
      </c>
      <c r="E65" s="6" t="str">
        <f t="shared" si="8"/>
        <v/>
      </c>
      <c r="F65" s="4">
        <v>19900000</v>
      </c>
      <c r="G65" s="6" t="str">
        <f t="shared" si="9"/>
        <v/>
      </c>
      <c r="H65" s="4">
        <v>3800000</v>
      </c>
      <c r="I65" s="6" t="str">
        <f t="shared" si="10"/>
        <v/>
      </c>
      <c r="J65" s="4">
        <v>960000</v>
      </c>
      <c r="K65" s="6" t="str">
        <f t="shared" si="11"/>
        <v/>
      </c>
      <c r="L65" s="6">
        <v>25</v>
      </c>
      <c r="M65" s="6" t="str">
        <f t="shared" si="12"/>
        <v/>
      </c>
      <c r="N65" s="6">
        <v>5</v>
      </c>
      <c r="O65" s="6" t="str">
        <f t="shared" si="13"/>
        <v/>
      </c>
      <c r="Q65" s="6">
        <v>9</v>
      </c>
      <c r="R65" s="6">
        <v>21</v>
      </c>
      <c r="S65" s="6">
        <v>36</v>
      </c>
      <c r="T65" s="6"/>
      <c r="U65" s="6">
        <f t="shared" si="7"/>
        <v>855360</v>
      </c>
      <c r="V65" s="6" t="str">
        <f t="shared" si="14"/>
        <v/>
      </c>
    </row>
    <row r="66" spans="2:22" x14ac:dyDescent="0.3">
      <c r="B66" s="64" t="s">
        <v>235</v>
      </c>
      <c r="C66" s="151">
        <v>61</v>
      </c>
      <c r="D66" s="4">
        <v>21000000</v>
      </c>
      <c r="E66" s="6" t="str">
        <f t="shared" si="8"/>
        <v/>
      </c>
      <c r="F66" s="4">
        <v>21000000</v>
      </c>
      <c r="G66" s="6" t="str">
        <f t="shared" si="9"/>
        <v/>
      </c>
      <c r="H66" s="4">
        <v>4300000</v>
      </c>
      <c r="I66" s="6" t="str">
        <f t="shared" si="10"/>
        <v/>
      </c>
      <c r="J66" s="4">
        <v>1000000</v>
      </c>
      <c r="K66" s="6" t="str">
        <f t="shared" si="11"/>
        <v/>
      </c>
      <c r="L66" s="6">
        <v>60</v>
      </c>
      <c r="M66" s="6" t="str">
        <f t="shared" si="12"/>
        <v/>
      </c>
      <c r="N66" s="6">
        <v>3</v>
      </c>
      <c r="O66" s="6" t="str">
        <f t="shared" si="13"/>
        <v/>
      </c>
      <c r="Q66" s="6">
        <v>11</v>
      </c>
      <c r="R66" s="6">
        <v>21</v>
      </c>
      <c r="S66" s="6">
        <v>7</v>
      </c>
      <c r="T66" s="6"/>
      <c r="U66" s="6">
        <f t="shared" si="7"/>
        <v>1026420</v>
      </c>
      <c r="V66" s="6" t="str">
        <f t="shared" si="14"/>
        <v/>
      </c>
    </row>
    <row r="67" spans="2:22" x14ac:dyDescent="0.3">
      <c r="B67" s="64" t="s">
        <v>236</v>
      </c>
      <c r="C67" s="151">
        <v>62</v>
      </c>
      <c r="D67" s="4">
        <v>21000000</v>
      </c>
      <c r="E67" s="6" t="str">
        <f t="shared" si="8"/>
        <v/>
      </c>
      <c r="F67" s="4">
        <v>21000000</v>
      </c>
      <c r="G67" s="6" t="str">
        <f t="shared" si="9"/>
        <v/>
      </c>
      <c r="H67" s="4">
        <v>4300000</v>
      </c>
      <c r="I67" s="6" t="str">
        <f t="shared" si="10"/>
        <v/>
      </c>
      <c r="J67" s="4">
        <v>1000000</v>
      </c>
      <c r="K67" s="6" t="str">
        <f t="shared" si="11"/>
        <v/>
      </c>
      <c r="L67" s="6">
        <v>60</v>
      </c>
      <c r="M67" s="6" t="str">
        <f t="shared" si="12"/>
        <v/>
      </c>
      <c r="N67" s="6">
        <v>3</v>
      </c>
      <c r="O67" s="6" t="str">
        <f t="shared" si="13"/>
        <v/>
      </c>
      <c r="Q67" s="6">
        <v>11</v>
      </c>
      <c r="R67" s="6">
        <v>21</v>
      </c>
      <c r="S67" s="6">
        <v>7</v>
      </c>
      <c r="T67" s="6"/>
      <c r="U67" s="6">
        <f t="shared" si="7"/>
        <v>1026420</v>
      </c>
      <c r="V67" s="6" t="str">
        <f t="shared" si="14"/>
        <v/>
      </c>
    </row>
    <row r="68" spans="2:22" x14ac:dyDescent="0.3">
      <c r="B68" s="64" t="s">
        <v>237</v>
      </c>
      <c r="C68" s="151">
        <v>63</v>
      </c>
      <c r="D68" s="4">
        <v>21000000</v>
      </c>
      <c r="E68" s="6" t="str">
        <f t="shared" si="8"/>
        <v/>
      </c>
      <c r="F68" s="4">
        <v>21000000</v>
      </c>
      <c r="G68" s="6" t="str">
        <f t="shared" si="9"/>
        <v/>
      </c>
      <c r="H68" s="4">
        <v>4300000</v>
      </c>
      <c r="I68" s="6" t="str">
        <f t="shared" si="10"/>
        <v/>
      </c>
      <c r="J68" s="4">
        <v>1000000</v>
      </c>
      <c r="K68" s="6" t="str">
        <f t="shared" si="11"/>
        <v/>
      </c>
      <c r="L68" s="6">
        <v>60</v>
      </c>
      <c r="M68" s="6" t="str">
        <f t="shared" si="12"/>
        <v/>
      </c>
      <c r="N68" s="6">
        <v>3</v>
      </c>
      <c r="O68" s="6" t="str">
        <f t="shared" si="13"/>
        <v/>
      </c>
      <c r="Q68" s="6">
        <v>11</v>
      </c>
      <c r="R68" s="6">
        <v>21</v>
      </c>
      <c r="S68" s="6">
        <v>7</v>
      </c>
      <c r="T68" s="6"/>
      <c r="U68" s="6">
        <f t="shared" si="7"/>
        <v>1026420</v>
      </c>
      <c r="V68" s="6" t="str">
        <f t="shared" si="14"/>
        <v/>
      </c>
    </row>
    <row r="69" spans="2:22" x14ac:dyDescent="0.3">
      <c r="B69" s="64" t="s">
        <v>238</v>
      </c>
      <c r="C69" s="151">
        <v>64</v>
      </c>
      <c r="D69" s="4">
        <v>21000000</v>
      </c>
      <c r="E69" s="6" t="str">
        <f t="shared" si="8"/>
        <v/>
      </c>
      <c r="F69" s="4">
        <v>21000000</v>
      </c>
      <c r="G69" s="6" t="str">
        <f t="shared" si="9"/>
        <v/>
      </c>
      <c r="H69" s="4">
        <v>4300000</v>
      </c>
      <c r="I69" s="6" t="str">
        <f t="shared" si="10"/>
        <v/>
      </c>
      <c r="J69" s="4">
        <v>1000000</v>
      </c>
      <c r="K69" s="6" t="str">
        <f t="shared" si="11"/>
        <v/>
      </c>
      <c r="L69" s="6">
        <v>60</v>
      </c>
      <c r="M69" s="6" t="str">
        <f t="shared" si="12"/>
        <v/>
      </c>
      <c r="N69" s="6">
        <v>3</v>
      </c>
      <c r="O69" s="6" t="str">
        <f t="shared" si="13"/>
        <v/>
      </c>
      <c r="Q69" s="6">
        <v>11</v>
      </c>
      <c r="R69" s="6">
        <v>21</v>
      </c>
      <c r="S69" s="6">
        <v>7</v>
      </c>
      <c r="T69" s="6"/>
      <c r="U69" s="6">
        <f t="shared" si="7"/>
        <v>1026420</v>
      </c>
      <c r="V69" s="6" t="str">
        <f t="shared" si="14"/>
        <v/>
      </c>
    </row>
    <row r="70" spans="2:22" x14ac:dyDescent="0.3">
      <c r="B70" s="64" t="s">
        <v>239</v>
      </c>
      <c r="C70" s="151">
        <v>65</v>
      </c>
      <c r="D70" s="4">
        <v>21000000</v>
      </c>
      <c r="E70" s="6" t="str">
        <f t="shared" ref="E70:E85" si="15">IF($C70&gt;VLOOKUP(EmbassyDesired,$B$6:$C$85,2,FALSE),"",IF($C70&gt;VLOOKUP(EmbassyCurrent,$B$6:$C$85,2,FALSE),D70,""))</f>
        <v/>
      </c>
      <c r="F70" s="4">
        <v>21000000</v>
      </c>
      <c r="G70" s="6" t="str">
        <f t="shared" ref="G70:G85" si="16">IF($C70&gt;VLOOKUP(EmbassyDesired,$B$6:$C$85,2,FALSE),"",IF($C70&gt;VLOOKUP(EmbassyCurrent,$B$6:$C$85,2,FALSE),F70,""))</f>
        <v/>
      </c>
      <c r="H70" s="4">
        <v>4300000</v>
      </c>
      <c r="I70" s="6" t="str">
        <f t="shared" ref="I70:I85" si="17">IF($C70&gt;VLOOKUP(EmbassyDesired,$B$6:$C$85,2,FALSE),"",IF($C70&gt;VLOOKUP(EmbassyCurrent,$B$6:$C$85,2,FALSE),H70,""))</f>
        <v/>
      </c>
      <c r="J70" s="4">
        <v>1000000</v>
      </c>
      <c r="K70" s="6" t="str">
        <f t="shared" ref="K70:K85" si="18">IF($C70&gt;VLOOKUP(EmbassyDesired,$B$6:$C$85,2,FALSE),"",IF($C70&gt;VLOOKUP(EmbassyCurrent,$B$6:$C$85,2,FALSE),J70,""))</f>
        <v/>
      </c>
      <c r="L70" s="6">
        <v>30</v>
      </c>
      <c r="M70" s="6" t="str">
        <f t="shared" ref="M70:M85" si="19">IF($C70&gt;VLOOKUP(EmbassyDesired,$B$6:$C$85,2,FALSE),"",IF($C70&gt;VLOOKUP(EmbassyCurrent,$B$6:$C$85,2,FALSE),L70,""))</f>
        <v/>
      </c>
      <c r="N70" s="6">
        <v>7</v>
      </c>
      <c r="O70" s="6" t="str">
        <f t="shared" ref="O70:O85" si="20">IF($C70&gt;VLOOKUP(EmbassyDesired,$B$6:$C$85,2,FALSE),"",IF($C70&gt;VLOOKUP(EmbassyCurrent,$B$6:$C$85,2,FALSE),N70,""))</f>
        <v/>
      </c>
      <c r="Q70" s="6">
        <v>11</v>
      </c>
      <c r="R70" s="6">
        <v>21</v>
      </c>
      <c r="S70" s="6">
        <v>7</v>
      </c>
      <c r="T70" s="6"/>
      <c r="U70" s="6">
        <f t="shared" si="7"/>
        <v>1026420</v>
      </c>
      <c r="V70" s="6" t="str">
        <f t="shared" ref="V70:V85" si="21">IF($C70&gt;VLOOKUP(EmbassyDesired,$B$6:$C$85,2,FALSE),"",IF($C70&gt;VLOOKUP(EmbassyCurrent,$B$6:$C$85,2,FALSE),U70,""))</f>
        <v/>
      </c>
    </row>
    <row r="71" spans="2:22" x14ac:dyDescent="0.3">
      <c r="B71" s="64" t="s">
        <v>240</v>
      </c>
      <c r="C71" s="151">
        <v>66</v>
      </c>
      <c r="D71" s="4">
        <v>26000000</v>
      </c>
      <c r="E71" s="6" t="str">
        <f t="shared" si="15"/>
        <v/>
      </c>
      <c r="F71" s="4">
        <v>26000000</v>
      </c>
      <c r="G71" s="6" t="str">
        <f t="shared" si="16"/>
        <v/>
      </c>
      <c r="H71" s="4">
        <v>5300000</v>
      </c>
      <c r="I71" s="6" t="str">
        <f t="shared" si="17"/>
        <v/>
      </c>
      <c r="J71" s="4">
        <v>1300000</v>
      </c>
      <c r="K71" s="6" t="str">
        <f t="shared" si="18"/>
        <v/>
      </c>
      <c r="L71" s="6">
        <v>60</v>
      </c>
      <c r="M71" s="6" t="str">
        <f t="shared" si="19"/>
        <v/>
      </c>
      <c r="N71" s="6">
        <v>5</v>
      </c>
      <c r="O71" s="6" t="str">
        <f t="shared" si="20"/>
        <v/>
      </c>
      <c r="Q71" s="6">
        <v>13</v>
      </c>
      <c r="R71" s="6">
        <v>4</v>
      </c>
      <c r="S71" s="6">
        <v>48</v>
      </c>
      <c r="T71" s="6"/>
      <c r="U71" s="6">
        <f t="shared" ref="U71:U85" si="22">T71+S71*60+R71*60*60+Q71*60*60*24</f>
        <v>1140480</v>
      </c>
      <c r="V71" s="6" t="str">
        <f t="shared" si="21"/>
        <v/>
      </c>
    </row>
    <row r="72" spans="2:22" x14ac:dyDescent="0.3">
      <c r="B72" s="64" t="s">
        <v>241</v>
      </c>
      <c r="C72" s="151">
        <v>67</v>
      </c>
      <c r="D72" s="4">
        <v>26000000</v>
      </c>
      <c r="E72" s="6" t="str">
        <f t="shared" si="15"/>
        <v/>
      </c>
      <c r="F72" s="4">
        <v>26000000</v>
      </c>
      <c r="G72" s="6" t="str">
        <f t="shared" si="16"/>
        <v/>
      </c>
      <c r="H72" s="4">
        <v>5300000</v>
      </c>
      <c r="I72" s="6" t="str">
        <f t="shared" si="17"/>
        <v/>
      </c>
      <c r="J72" s="4">
        <v>1300000</v>
      </c>
      <c r="K72" s="6" t="str">
        <f t="shared" si="18"/>
        <v/>
      </c>
      <c r="L72" s="6">
        <v>60</v>
      </c>
      <c r="M72" s="6" t="str">
        <f t="shared" si="19"/>
        <v/>
      </c>
      <c r="N72" s="6">
        <v>5</v>
      </c>
      <c r="O72" s="6" t="str">
        <f t="shared" si="20"/>
        <v/>
      </c>
      <c r="Q72" s="6">
        <v>13</v>
      </c>
      <c r="R72" s="6">
        <v>4</v>
      </c>
      <c r="S72" s="6">
        <v>48</v>
      </c>
      <c r="T72" s="6"/>
      <c r="U72" s="6">
        <f t="shared" si="22"/>
        <v>1140480</v>
      </c>
      <c r="V72" s="6" t="str">
        <f t="shared" si="21"/>
        <v/>
      </c>
    </row>
    <row r="73" spans="2:22" x14ac:dyDescent="0.3">
      <c r="B73" s="64" t="s">
        <v>242</v>
      </c>
      <c r="C73" s="151">
        <v>68</v>
      </c>
      <c r="D73" s="4">
        <v>26000000</v>
      </c>
      <c r="E73" s="6" t="str">
        <f t="shared" si="15"/>
        <v/>
      </c>
      <c r="F73" s="4">
        <v>26000000</v>
      </c>
      <c r="G73" s="6" t="str">
        <f t="shared" si="16"/>
        <v/>
      </c>
      <c r="H73" s="4">
        <v>5300000</v>
      </c>
      <c r="I73" s="6" t="str">
        <f t="shared" si="17"/>
        <v/>
      </c>
      <c r="J73" s="4">
        <v>1300000</v>
      </c>
      <c r="K73" s="6" t="str">
        <f t="shared" si="18"/>
        <v/>
      </c>
      <c r="L73" s="6">
        <v>60</v>
      </c>
      <c r="M73" s="6" t="str">
        <f t="shared" si="19"/>
        <v/>
      </c>
      <c r="N73" s="6">
        <v>5</v>
      </c>
      <c r="O73" s="6" t="str">
        <f t="shared" si="20"/>
        <v/>
      </c>
      <c r="Q73" s="6">
        <v>13</v>
      </c>
      <c r="R73" s="6">
        <v>4</v>
      </c>
      <c r="S73" s="6">
        <v>48</v>
      </c>
      <c r="T73" s="6"/>
      <c r="U73" s="6">
        <f t="shared" si="22"/>
        <v>1140480</v>
      </c>
      <c r="V73" s="6" t="str">
        <f t="shared" si="21"/>
        <v/>
      </c>
    </row>
    <row r="74" spans="2:22" x14ac:dyDescent="0.3">
      <c r="B74" s="64" t="s">
        <v>243</v>
      </c>
      <c r="C74" s="151">
        <v>69</v>
      </c>
      <c r="D74" s="4">
        <v>26000000</v>
      </c>
      <c r="E74" s="6" t="str">
        <f t="shared" si="15"/>
        <v/>
      </c>
      <c r="F74" s="4">
        <v>26000000</v>
      </c>
      <c r="G74" s="6" t="str">
        <f t="shared" si="16"/>
        <v/>
      </c>
      <c r="H74" s="4">
        <v>5300000</v>
      </c>
      <c r="I74" s="6" t="str">
        <f t="shared" si="17"/>
        <v/>
      </c>
      <c r="J74" s="4">
        <v>1300000</v>
      </c>
      <c r="K74" s="6" t="str">
        <f t="shared" si="18"/>
        <v/>
      </c>
      <c r="L74" s="6">
        <v>60</v>
      </c>
      <c r="M74" s="6" t="str">
        <f t="shared" si="19"/>
        <v/>
      </c>
      <c r="N74" s="6">
        <v>5</v>
      </c>
      <c r="O74" s="6" t="str">
        <f t="shared" si="20"/>
        <v/>
      </c>
      <c r="Q74" s="6">
        <v>13</v>
      </c>
      <c r="R74" s="6">
        <v>4</v>
      </c>
      <c r="S74" s="6">
        <v>48</v>
      </c>
      <c r="T74" s="6"/>
      <c r="U74" s="6">
        <f t="shared" si="22"/>
        <v>1140480</v>
      </c>
      <c r="V74" s="6" t="str">
        <f t="shared" si="21"/>
        <v/>
      </c>
    </row>
    <row r="75" spans="2:22" x14ac:dyDescent="0.3">
      <c r="B75" s="64" t="s">
        <v>244</v>
      </c>
      <c r="C75" s="151">
        <v>70</v>
      </c>
      <c r="D75" s="4">
        <v>26000000</v>
      </c>
      <c r="E75" s="6" t="str">
        <f t="shared" si="15"/>
        <v/>
      </c>
      <c r="F75" s="4">
        <v>26000000</v>
      </c>
      <c r="G75" s="6" t="str">
        <f t="shared" si="16"/>
        <v/>
      </c>
      <c r="H75" s="4">
        <v>5300000</v>
      </c>
      <c r="I75" s="6" t="str">
        <f t="shared" si="17"/>
        <v/>
      </c>
      <c r="J75" s="4">
        <v>1300000</v>
      </c>
      <c r="K75" s="6" t="str">
        <f t="shared" si="18"/>
        <v/>
      </c>
      <c r="L75" s="6">
        <v>30</v>
      </c>
      <c r="M75" s="6" t="str">
        <f t="shared" si="19"/>
        <v/>
      </c>
      <c r="N75" s="6">
        <v>11</v>
      </c>
      <c r="O75" s="6" t="str">
        <f t="shared" si="20"/>
        <v/>
      </c>
      <c r="Q75" s="6">
        <v>13</v>
      </c>
      <c r="R75" s="6">
        <v>4</v>
      </c>
      <c r="S75" s="6">
        <v>48</v>
      </c>
      <c r="T75" s="6"/>
      <c r="U75" s="6">
        <f t="shared" si="22"/>
        <v>1140480</v>
      </c>
      <c r="V75" s="6" t="str">
        <f t="shared" si="21"/>
        <v/>
      </c>
    </row>
    <row r="76" spans="2:22" x14ac:dyDescent="0.3">
      <c r="B76" s="64" t="s">
        <v>450</v>
      </c>
      <c r="C76" s="151">
        <v>71</v>
      </c>
      <c r="D76" s="4">
        <v>29000000</v>
      </c>
      <c r="E76" s="6">
        <f t="shared" si="15"/>
        <v>29000000</v>
      </c>
      <c r="F76" s="4">
        <v>29000000</v>
      </c>
      <c r="G76" s="6">
        <f t="shared" si="16"/>
        <v>29000000</v>
      </c>
      <c r="H76" s="4">
        <v>5800000</v>
      </c>
      <c r="I76" s="6">
        <f t="shared" si="17"/>
        <v>5800000</v>
      </c>
      <c r="J76" s="4">
        <v>1400000</v>
      </c>
      <c r="K76" s="6">
        <f t="shared" si="18"/>
        <v>1400000</v>
      </c>
      <c r="L76" s="6">
        <v>70</v>
      </c>
      <c r="M76" s="6">
        <f t="shared" si="19"/>
        <v>70</v>
      </c>
      <c r="N76" s="6">
        <v>7</v>
      </c>
      <c r="O76" s="6">
        <f t="shared" si="20"/>
        <v>7</v>
      </c>
      <c r="Q76" s="6">
        <v>8</v>
      </c>
      <c r="R76" s="6">
        <v>13</v>
      </c>
      <c r="S76" s="6">
        <v>55</v>
      </c>
      <c r="T76" s="6"/>
      <c r="U76" s="6">
        <f t="shared" si="22"/>
        <v>741300</v>
      </c>
      <c r="V76" s="6">
        <f t="shared" si="21"/>
        <v>741300</v>
      </c>
    </row>
    <row r="77" spans="2:22" x14ac:dyDescent="0.3">
      <c r="B77" s="64" t="s">
        <v>451</v>
      </c>
      <c r="C77" s="151">
        <v>72</v>
      </c>
      <c r="D77" s="4">
        <v>29000000</v>
      </c>
      <c r="E77" s="6">
        <f t="shared" si="15"/>
        <v>29000000</v>
      </c>
      <c r="F77" s="4">
        <v>29000000</v>
      </c>
      <c r="G77" s="6">
        <f t="shared" si="16"/>
        <v>29000000</v>
      </c>
      <c r="H77" s="4">
        <v>5800000</v>
      </c>
      <c r="I77" s="6">
        <f t="shared" si="17"/>
        <v>5800000</v>
      </c>
      <c r="J77" s="4">
        <v>1400000</v>
      </c>
      <c r="K77" s="6">
        <f t="shared" si="18"/>
        <v>1400000</v>
      </c>
      <c r="L77" s="6">
        <v>70</v>
      </c>
      <c r="M77" s="6">
        <f t="shared" si="19"/>
        <v>70</v>
      </c>
      <c r="N77" s="6">
        <v>7</v>
      </c>
      <c r="O77" s="6">
        <f t="shared" si="20"/>
        <v>7</v>
      </c>
      <c r="Q77" s="6">
        <v>8</v>
      </c>
      <c r="R77" s="6">
        <v>13</v>
      </c>
      <c r="S77" s="6">
        <v>55</v>
      </c>
      <c r="T77" s="6"/>
      <c r="U77" s="6">
        <f t="shared" si="22"/>
        <v>741300</v>
      </c>
      <c r="V77" s="6">
        <f t="shared" si="21"/>
        <v>741300</v>
      </c>
    </row>
    <row r="78" spans="2:22" x14ac:dyDescent="0.3">
      <c r="B78" s="64" t="s">
        <v>452</v>
      </c>
      <c r="C78" s="151">
        <v>73</v>
      </c>
      <c r="D78" s="4">
        <v>29000000</v>
      </c>
      <c r="E78" s="6">
        <f t="shared" si="15"/>
        <v>29000000</v>
      </c>
      <c r="F78" s="4">
        <v>29000000</v>
      </c>
      <c r="G78" s="6">
        <f t="shared" si="16"/>
        <v>29000000</v>
      </c>
      <c r="H78" s="4">
        <v>5800000</v>
      </c>
      <c r="I78" s="6">
        <f t="shared" si="17"/>
        <v>5800000</v>
      </c>
      <c r="J78" s="4">
        <v>1400000</v>
      </c>
      <c r="K78" s="6">
        <f t="shared" si="18"/>
        <v>1400000</v>
      </c>
      <c r="L78" s="6">
        <v>70</v>
      </c>
      <c r="M78" s="6">
        <f t="shared" si="19"/>
        <v>70</v>
      </c>
      <c r="N78" s="6">
        <v>7</v>
      </c>
      <c r="O78" s="6">
        <f t="shared" si="20"/>
        <v>7</v>
      </c>
      <c r="Q78" s="6">
        <v>8</v>
      </c>
      <c r="R78" s="6">
        <v>13</v>
      </c>
      <c r="S78" s="6">
        <v>55</v>
      </c>
      <c r="T78" s="6"/>
      <c r="U78" s="6">
        <f t="shared" si="22"/>
        <v>741300</v>
      </c>
      <c r="V78" s="6">
        <f t="shared" si="21"/>
        <v>741300</v>
      </c>
    </row>
    <row r="79" spans="2:22" x14ac:dyDescent="0.3">
      <c r="B79" s="64" t="s">
        <v>453</v>
      </c>
      <c r="C79" s="151">
        <v>74</v>
      </c>
      <c r="D79" s="4">
        <v>29000000</v>
      </c>
      <c r="E79" s="6">
        <f t="shared" si="15"/>
        <v>29000000</v>
      </c>
      <c r="F79" s="4">
        <v>29000000</v>
      </c>
      <c r="G79" s="6">
        <f t="shared" si="16"/>
        <v>29000000</v>
      </c>
      <c r="H79" s="4">
        <v>5800000</v>
      </c>
      <c r="I79" s="6">
        <f t="shared" si="17"/>
        <v>5800000</v>
      </c>
      <c r="J79" s="4">
        <v>1400000</v>
      </c>
      <c r="K79" s="6">
        <f t="shared" si="18"/>
        <v>1400000</v>
      </c>
      <c r="L79" s="6">
        <v>70</v>
      </c>
      <c r="M79" s="6">
        <f t="shared" si="19"/>
        <v>70</v>
      </c>
      <c r="N79" s="6">
        <v>7</v>
      </c>
      <c r="O79" s="6">
        <f t="shared" si="20"/>
        <v>7</v>
      </c>
      <c r="Q79" s="6">
        <v>8</v>
      </c>
      <c r="R79" s="6">
        <v>13</v>
      </c>
      <c r="S79" s="6">
        <v>55</v>
      </c>
      <c r="T79" s="6"/>
      <c r="U79" s="6">
        <f t="shared" si="22"/>
        <v>741300</v>
      </c>
      <c r="V79" s="6">
        <f t="shared" si="21"/>
        <v>741300</v>
      </c>
    </row>
    <row r="80" spans="2:22" x14ac:dyDescent="0.3">
      <c r="B80" s="64" t="s">
        <v>454</v>
      </c>
      <c r="C80" s="151">
        <v>75</v>
      </c>
      <c r="D80" s="4">
        <v>29000000</v>
      </c>
      <c r="E80" s="6">
        <f t="shared" si="15"/>
        <v>29000000</v>
      </c>
      <c r="F80" s="4">
        <v>29000000</v>
      </c>
      <c r="G80" s="6">
        <f t="shared" si="16"/>
        <v>29000000</v>
      </c>
      <c r="H80" s="4">
        <v>5800000</v>
      </c>
      <c r="I80" s="6">
        <f t="shared" si="17"/>
        <v>5800000</v>
      </c>
      <c r="J80" s="4">
        <v>1400000</v>
      </c>
      <c r="K80" s="6">
        <f t="shared" si="18"/>
        <v>1400000</v>
      </c>
      <c r="L80" s="6">
        <v>35</v>
      </c>
      <c r="M80" s="6">
        <f t="shared" si="19"/>
        <v>35</v>
      </c>
      <c r="N80" s="6">
        <v>15</v>
      </c>
      <c r="O80" s="6">
        <f t="shared" si="20"/>
        <v>15</v>
      </c>
      <c r="Q80" s="6">
        <v>8</v>
      </c>
      <c r="R80" s="6">
        <v>13</v>
      </c>
      <c r="S80" s="6">
        <v>55</v>
      </c>
      <c r="T80" s="6"/>
      <c r="U80" s="6">
        <f t="shared" si="22"/>
        <v>741300</v>
      </c>
      <c r="V80" s="6">
        <f t="shared" si="21"/>
        <v>741300</v>
      </c>
    </row>
    <row r="81" spans="2:22" x14ac:dyDescent="0.3">
      <c r="B81" s="64" t="s">
        <v>455</v>
      </c>
      <c r="C81" s="151">
        <v>76</v>
      </c>
      <c r="D81" s="4">
        <v>33000000</v>
      </c>
      <c r="E81" s="6" t="str">
        <f t="shared" si="15"/>
        <v/>
      </c>
      <c r="F81" s="4">
        <v>33000000</v>
      </c>
      <c r="G81" s="6" t="str">
        <f t="shared" si="16"/>
        <v/>
      </c>
      <c r="H81" s="4">
        <v>6700000</v>
      </c>
      <c r="I81" s="6" t="str">
        <f t="shared" si="17"/>
        <v/>
      </c>
      <c r="J81" s="4">
        <v>1600000</v>
      </c>
      <c r="K81" s="6" t="str">
        <f t="shared" si="18"/>
        <v/>
      </c>
      <c r="L81" s="6">
        <v>87</v>
      </c>
      <c r="M81" s="6" t="str">
        <f t="shared" si="19"/>
        <v/>
      </c>
      <c r="N81" s="6">
        <v>17</v>
      </c>
      <c r="O81" s="6" t="str">
        <f t="shared" si="20"/>
        <v/>
      </c>
      <c r="Q81" s="6">
        <v>13</v>
      </c>
      <c r="R81" s="6">
        <v>4</v>
      </c>
      <c r="S81" s="6">
        <v>48</v>
      </c>
      <c r="T81" s="6"/>
      <c r="U81" s="6">
        <f t="shared" si="22"/>
        <v>1140480</v>
      </c>
      <c r="V81" s="6" t="str">
        <f t="shared" si="21"/>
        <v/>
      </c>
    </row>
    <row r="82" spans="2:22" x14ac:dyDescent="0.3">
      <c r="B82" s="64" t="s">
        <v>456</v>
      </c>
      <c r="C82" s="151">
        <v>77</v>
      </c>
      <c r="D82" s="4">
        <v>33000000</v>
      </c>
      <c r="E82" s="6" t="str">
        <f t="shared" si="15"/>
        <v/>
      </c>
      <c r="F82" s="4">
        <v>33000000</v>
      </c>
      <c r="G82" s="6" t="str">
        <f t="shared" si="16"/>
        <v/>
      </c>
      <c r="H82" s="4">
        <v>6700000</v>
      </c>
      <c r="I82" s="6" t="str">
        <f t="shared" si="17"/>
        <v/>
      </c>
      <c r="J82" s="4">
        <v>1600000</v>
      </c>
      <c r="K82" s="6" t="str">
        <f t="shared" si="18"/>
        <v/>
      </c>
      <c r="L82" s="6">
        <v>87</v>
      </c>
      <c r="M82" s="6" t="str">
        <f t="shared" si="19"/>
        <v/>
      </c>
      <c r="N82" s="6">
        <v>17</v>
      </c>
      <c r="O82" s="6" t="str">
        <f t="shared" si="20"/>
        <v/>
      </c>
      <c r="Q82" s="6">
        <v>13</v>
      </c>
      <c r="R82" s="6">
        <v>4</v>
      </c>
      <c r="S82" s="6">
        <v>48</v>
      </c>
      <c r="T82" s="6"/>
      <c r="U82" s="6">
        <f t="shared" si="22"/>
        <v>1140480</v>
      </c>
      <c r="V82" s="6" t="str">
        <f t="shared" si="21"/>
        <v/>
      </c>
    </row>
    <row r="83" spans="2:22" x14ac:dyDescent="0.3">
      <c r="B83" s="64" t="s">
        <v>457</v>
      </c>
      <c r="C83" s="151">
        <v>78</v>
      </c>
      <c r="D83" s="4">
        <v>33000000</v>
      </c>
      <c r="E83" s="6" t="str">
        <f t="shared" si="15"/>
        <v/>
      </c>
      <c r="F83" s="4">
        <v>33000000</v>
      </c>
      <c r="G83" s="6" t="str">
        <f t="shared" si="16"/>
        <v/>
      </c>
      <c r="H83" s="4">
        <v>6700000</v>
      </c>
      <c r="I83" s="6" t="str">
        <f t="shared" si="17"/>
        <v/>
      </c>
      <c r="J83" s="4">
        <v>1600000</v>
      </c>
      <c r="K83" s="6" t="str">
        <f t="shared" si="18"/>
        <v/>
      </c>
      <c r="L83" s="6">
        <v>87</v>
      </c>
      <c r="M83" s="6" t="str">
        <f t="shared" si="19"/>
        <v/>
      </c>
      <c r="N83" s="6">
        <v>17</v>
      </c>
      <c r="O83" s="6" t="str">
        <f t="shared" si="20"/>
        <v/>
      </c>
      <c r="Q83" s="6">
        <v>13</v>
      </c>
      <c r="R83" s="6">
        <v>4</v>
      </c>
      <c r="S83" s="6">
        <v>48</v>
      </c>
      <c r="T83" s="6"/>
      <c r="U83" s="6">
        <f t="shared" si="22"/>
        <v>1140480</v>
      </c>
      <c r="V83" s="6" t="str">
        <f t="shared" si="21"/>
        <v/>
      </c>
    </row>
    <row r="84" spans="2:22" x14ac:dyDescent="0.3">
      <c r="B84" s="64" t="s">
        <v>458</v>
      </c>
      <c r="C84" s="151">
        <v>79</v>
      </c>
      <c r="D84" s="4">
        <v>33000000</v>
      </c>
      <c r="E84" s="6" t="str">
        <f t="shared" si="15"/>
        <v/>
      </c>
      <c r="F84" s="4">
        <v>33000000</v>
      </c>
      <c r="G84" s="6" t="str">
        <f t="shared" si="16"/>
        <v/>
      </c>
      <c r="H84" s="4">
        <v>6700000</v>
      </c>
      <c r="I84" s="6" t="str">
        <f t="shared" si="17"/>
        <v/>
      </c>
      <c r="J84" s="4">
        <v>1600000</v>
      </c>
      <c r="K84" s="6" t="str">
        <f t="shared" si="18"/>
        <v/>
      </c>
      <c r="L84" s="6">
        <v>87</v>
      </c>
      <c r="M84" s="6" t="str">
        <f t="shared" si="19"/>
        <v/>
      </c>
      <c r="N84" s="6">
        <v>17</v>
      </c>
      <c r="O84" s="6" t="str">
        <f t="shared" si="20"/>
        <v/>
      </c>
      <c r="Q84" s="6">
        <v>13</v>
      </c>
      <c r="R84" s="6">
        <v>4</v>
      </c>
      <c r="S84" s="6">
        <v>48</v>
      </c>
      <c r="T84" s="6"/>
      <c r="U84" s="6">
        <f t="shared" si="22"/>
        <v>1140480</v>
      </c>
      <c r="V84" s="6" t="str">
        <f t="shared" si="21"/>
        <v/>
      </c>
    </row>
    <row r="85" spans="2:22" x14ac:dyDescent="0.3">
      <c r="B85" s="148" t="s">
        <v>459</v>
      </c>
      <c r="C85" s="151">
        <v>80</v>
      </c>
      <c r="D85" s="4">
        <v>33000000</v>
      </c>
      <c r="E85" s="6" t="str">
        <f t="shared" si="15"/>
        <v/>
      </c>
      <c r="F85" s="4">
        <v>33000000</v>
      </c>
      <c r="G85" s="6" t="str">
        <f t="shared" si="16"/>
        <v/>
      </c>
      <c r="H85" s="4">
        <v>6700000</v>
      </c>
      <c r="I85" s="6" t="str">
        <f t="shared" si="17"/>
        <v/>
      </c>
      <c r="J85" s="4">
        <v>1600000</v>
      </c>
      <c r="K85" s="6" t="str">
        <f t="shared" si="18"/>
        <v/>
      </c>
      <c r="L85" s="6">
        <v>43</v>
      </c>
      <c r="M85" s="6" t="str">
        <f t="shared" si="19"/>
        <v/>
      </c>
      <c r="N85" s="6">
        <v>35</v>
      </c>
      <c r="O85" s="6" t="str">
        <f t="shared" si="20"/>
        <v/>
      </c>
      <c r="Q85" s="6">
        <v>13</v>
      </c>
      <c r="R85" s="6">
        <v>4</v>
      </c>
      <c r="S85" s="6">
        <v>48</v>
      </c>
      <c r="T85" s="6"/>
      <c r="U85" s="6">
        <f t="shared" si="22"/>
        <v>1140480</v>
      </c>
      <c r="V85" s="6" t="str">
        <f t="shared" si="21"/>
        <v/>
      </c>
    </row>
    <row r="86" spans="2:22" x14ac:dyDescent="0.3">
      <c r="Q86" s="6"/>
      <c r="R86" s="6"/>
      <c r="S86" s="6"/>
      <c r="T86" s="6"/>
      <c r="U86" s="6"/>
      <c r="V86" s="6"/>
    </row>
    <row r="87" spans="2:22" x14ac:dyDescent="0.3">
      <c r="B87" s="64" t="s">
        <v>25</v>
      </c>
      <c r="C87" s="64"/>
      <c r="D87" s="4">
        <f>SUM(D6:D85)</f>
        <v>1277420000</v>
      </c>
      <c r="E87" s="4">
        <f t="shared" ref="E87:V87" si="23">SUM(E6:E85)</f>
        <v>145000000</v>
      </c>
      <c r="F87" s="4">
        <f t="shared" si="23"/>
        <v>1277891850</v>
      </c>
      <c r="G87" s="4">
        <f t="shared" si="23"/>
        <v>145000000</v>
      </c>
      <c r="H87" s="4">
        <f t="shared" si="23"/>
        <v>258187740</v>
      </c>
      <c r="I87" s="4">
        <f t="shared" si="23"/>
        <v>29000000</v>
      </c>
      <c r="J87" s="4">
        <f t="shared" si="23"/>
        <v>63508780</v>
      </c>
      <c r="K87" s="4">
        <f t="shared" si="23"/>
        <v>7000000</v>
      </c>
      <c r="L87" s="4">
        <f t="shared" si="23"/>
        <v>2891</v>
      </c>
      <c r="M87" s="4">
        <f t="shared" si="23"/>
        <v>315</v>
      </c>
      <c r="N87" s="4">
        <f t="shared" si="23"/>
        <v>209</v>
      </c>
      <c r="O87" s="4">
        <f t="shared" si="23"/>
        <v>43</v>
      </c>
      <c r="P87" s="4">
        <f t="shared" si="23"/>
        <v>0</v>
      </c>
      <c r="Q87" s="4">
        <f t="shared" si="23"/>
        <v>563</v>
      </c>
      <c r="R87" s="4">
        <f t="shared" si="23"/>
        <v>860</v>
      </c>
      <c r="S87" s="4">
        <f t="shared" si="23"/>
        <v>2446</v>
      </c>
      <c r="T87" s="4">
        <f t="shared" si="23"/>
        <v>162</v>
      </c>
      <c r="U87" s="4">
        <f t="shared" si="23"/>
        <v>51886122</v>
      </c>
      <c r="V87" s="4">
        <f t="shared" si="23"/>
        <v>3706500</v>
      </c>
    </row>
    <row r="89" spans="2:22" x14ac:dyDescent="0.3">
      <c r="T89" s="4" t="s">
        <v>21</v>
      </c>
      <c r="U89" s="4">
        <f>ROUNDDOWN(U87/60/60/24,0)</f>
        <v>600</v>
      </c>
      <c r="V89" s="4">
        <f>ROUNDDOWN(V87/60/60/24,0)</f>
        <v>42</v>
      </c>
    </row>
    <row r="90" spans="2:22" x14ac:dyDescent="0.3">
      <c r="T90" s="4" t="s">
        <v>20</v>
      </c>
      <c r="U90" s="4">
        <f>ROUNDDOWN((U87-U89*60*60*24)/60/60,0)</f>
        <v>12</v>
      </c>
      <c r="V90" s="4">
        <f>ROUNDDOWN((V87-V89*60*60*24)/60/60,0)</f>
        <v>21</v>
      </c>
    </row>
    <row r="91" spans="2:22" x14ac:dyDescent="0.3">
      <c r="T91" s="4" t="s">
        <v>19</v>
      </c>
      <c r="U91" s="4">
        <f>ROUNDDOWN((U87-U89*60*60*24-U90*60*60)/60,0)</f>
        <v>48</v>
      </c>
      <c r="V91" s="4">
        <f>ROUNDDOWN((V87-V89*60*60*24-V90*60*60)/60,0)</f>
        <v>35</v>
      </c>
    </row>
    <row r="92" spans="2:22" x14ac:dyDescent="0.3">
      <c r="T92" s="4" t="s">
        <v>18</v>
      </c>
      <c r="U92" s="4">
        <f>ROUNDDOWN((U87-U89*60*60*24-U90*60*60-U91*60),0)</f>
        <v>42</v>
      </c>
      <c r="V92" s="4">
        <f>ROUNDDOWN((V87-V89*60*60*24-V90*60*60-V91*60),0)</f>
        <v>0</v>
      </c>
    </row>
  </sheetData>
  <sheetProtection sheet="1" objects="1" scenarios="1"/>
  <mergeCells count="9">
    <mergeCell ref="D3:M3"/>
    <mergeCell ref="Q3:V3"/>
    <mergeCell ref="D4:E4"/>
    <mergeCell ref="F4:G4"/>
    <mergeCell ref="H4:I4"/>
    <mergeCell ref="J4:K4"/>
    <mergeCell ref="U4:V4"/>
    <mergeCell ref="L4:M4"/>
    <mergeCell ref="N4:O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1D80-FB84-4158-ADC9-760749CB6135}">
  <sheetPr codeName="Sheet9"/>
  <dimension ref="A1:W92"/>
  <sheetViews>
    <sheetView workbookViewId="0">
      <pane xSplit="2" ySplit="5" topLeftCell="C51" activePane="bottomRight" state="frozen"/>
      <selection sqref="A1:R2"/>
      <selection pane="topRight" sqref="A1:R2"/>
      <selection pane="bottomLeft" sqref="A1:R2"/>
      <selection pane="bottomRight" activeCell="V75" sqref="V75:V85"/>
    </sheetView>
  </sheetViews>
  <sheetFormatPr baseColWidth="10" defaultColWidth="9.109375" defaultRowHeight="14.4" x14ac:dyDescent="0.3"/>
  <cols>
    <col min="1" max="1" width="9.109375" style="4"/>
    <col min="2" max="2" width="16" style="4" bestFit="1" customWidth="1"/>
    <col min="3" max="3" width="16" style="4" customWidth="1"/>
    <col min="4" max="4" width="16.88671875" style="4" bestFit="1" customWidth="1"/>
    <col min="5" max="5" width="14.33203125" style="4" customWidth="1"/>
    <col min="6" max="6" width="16.88671875" style="4" bestFit="1" customWidth="1"/>
    <col min="7" max="7" width="14.33203125" style="4" customWidth="1"/>
    <col min="8" max="8" width="15.33203125" style="4" bestFit="1" customWidth="1"/>
    <col min="9" max="9" width="12.5546875" style="4" customWidth="1"/>
    <col min="10" max="10" width="14.33203125" style="4" bestFit="1" customWidth="1"/>
    <col min="11" max="15" width="11.5546875" style="4" customWidth="1"/>
    <col min="16" max="16" width="9.33203125" style="4" bestFit="1" customWidth="1"/>
    <col min="17" max="17" width="7" style="4" bestFit="1" customWidth="1"/>
    <col min="18" max="18" width="8" style="4" bestFit="1" customWidth="1"/>
    <col min="19" max="19" width="9.5546875" style="4" bestFit="1" customWidth="1"/>
    <col min="20" max="20" width="8.88671875" style="4" bestFit="1" customWidth="1"/>
    <col min="21" max="21" width="13.44140625" style="4" bestFit="1" customWidth="1"/>
    <col min="22" max="22" width="13.33203125" style="4" customWidth="1"/>
    <col min="23" max="16384" width="9.109375" style="4"/>
  </cols>
  <sheetData>
    <row r="1" spans="1:23" x14ac:dyDescent="0.3">
      <c r="D1" s="4" t="s">
        <v>26</v>
      </c>
    </row>
    <row r="2" spans="1:23" x14ac:dyDescent="0.3">
      <c r="A2" s="45"/>
      <c r="D2" s="6">
        <f>LARGE(Furnace!AC4:AC35,1)</f>
        <v>1</v>
      </c>
      <c r="E2" s="6"/>
      <c r="F2" s="45"/>
      <c r="G2" s="45"/>
      <c r="H2" s="45"/>
      <c r="I2" s="45"/>
      <c r="J2" s="45"/>
      <c r="K2" s="45"/>
      <c r="L2" s="45"/>
      <c r="M2" s="45"/>
      <c r="N2" s="45"/>
      <c r="O2" s="45"/>
      <c r="P2" s="45"/>
      <c r="Q2" s="45"/>
      <c r="R2" s="45"/>
      <c r="S2" s="45"/>
      <c r="T2" s="45"/>
      <c r="U2" s="45"/>
      <c r="V2" s="45"/>
      <c r="W2" s="45"/>
    </row>
    <row r="3" spans="1:23" x14ac:dyDescent="0.3">
      <c r="B3" s="45" t="s">
        <v>11</v>
      </c>
      <c r="C3" s="45"/>
      <c r="D3" s="709" t="s">
        <v>16</v>
      </c>
      <c r="E3" s="709"/>
      <c r="F3" s="709"/>
      <c r="G3" s="709"/>
      <c r="H3" s="709"/>
      <c r="I3" s="709"/>
      <c r="J3" s="709"/>
      <c r="K3" s="709"/>
      <c r="L3" s="709"/>
      <c r="M3" s="709"/>
      <c r="N3" s="62"/>
      <c r="O3" s="62"/>
      <c r="Q3" s="709" t="s">
        <v>17</v>
      </c>
      <c r="R3" s="709"/>
      <c r="S3" s="709"/>
      <c r="T3" s="709"/>
      <c r="U3" s="709"/>
      <c r="V3" s="709"/>
    </row>
    <row r="4" spans="1:23" x14ac:dyDescent="0.3">
      <c r="B4" s="45" t="e">
        <f>#REF!</f>
        <v>#REF!</v>
      </c>
      <c r="C4" s="45"/>
      <c r="D4" s="705" t="s">
        <v>0</v>
      </c>
      <c r="E4" s="705"/>
      <c r="F4" s="705" t="s">
        <v>1</v>
      </c>
      <c r="G4" s="705"/>
      <c r="H4" s="705" t="s">
        <v>2</v>
      </c>
      <c r="I4" s="705"/>
      <c r="J4" s="705" t="s">
        <v>3</v>
      </c>
      <c r="K4" s="705"/>
      <c r="L4" s="705" t="s">
        <v>59</v>
      </c>
      <c r="M4" s="705"/>
      <c r="N4" s="705" t="s">
        <v>228</v>
      </c>
      <c r="O4" s="705"/>
      <c r="P4" s="45"/>
      <c r="Q4" s="45"/>
      <c r="R4" s="45"/>
      <c r="S4" s="45"/>
      <c r="T4" s="45"/>
      <c r="U4" s="705" t="s">
        <v>18</v>
      </c>
      <c r="V4" s="705"/>
    </row>
    <row r="5" spans="1:23" x14ac:dyDescent="0.3">
      <c r="B5" s="63">
        <v>0</v>
      </c>
      <c r="C5" s="45" t="s">
        <v>463</v>
      </c>
      <c r="D5" s="45" t="s">
        <v>25</v>
      </c>
      <c r="E5" s="45" t="s">
        <v>24</v>
      </c>
      <c r="F5" s="45" t="s">
        <v>25</v>
      </c>
      <c r="G5" s="45" t="s">
        <v>24</v>
      </c>
      <c r="H5" s="45" t="s">
        <v>25</v>
      </c>
      <c r="I5" s="45" t="s">
        <v>24</v>
      </c>
      <c r="J5" s="45" t="s">
        <v>25</v>
      </c>
      <c r="K5" s="45" t="s">
        <v>24</v>
      </c>
      <c r="L5" s="45" t="s">
        <v>25</v>
      </c>
      <c r="M5" s="45" t="s">
        <v>24</v>
      </c>
      <c r="N5" s="45" t="s">
        <v>25</v>
      </c>
      <c r="O5" s="45" t="s">
        <v>24</v>
      </c>
      <c r="P5" s="45"/>
      <c r="Q5" s="45" t="s">
        <v>21</v>
      </c>
      <c r="R5" s="45" t="s">
        <v>20</v>
      </c>
      <c r="S5" s="45" t="s">
        <v>19</v>
      </c>
      <c r="T5" s="45" t="s">
        <v>18</v>
      </c>
      <c r="U5" s="45" t="s">
        <v>25</v>
      </c>
      <c r="V5" s="45" t="s">
        <v>24</v>
      </c>
    </row>
    <row r="6" spans="1:23" x14ac:dyDescent="0.3">
      <c r="B6" s="64">
        <v>1</v>
      </c>
      <c r="C6" s="151">
        <v>1</v>
      </c>
      <c r="E6" s="6" t="e">
        <f t="shared" ref="E6:E37" si="0">IF($C6&gt;VLOOKUP(InfirmaryDesired,$B$6:$C$85,2,FALSE),"",IF($C6&gt;VLOOKUP(InfirmaryCurrent,$B$6:$C$85,2,FALSE),D6,""))</f>
        <v>#N/A</v>
      </c>
      <c r="G6" s="6" t="e">
        <f t="shared" ref="G6:G37" si="1">IF($C6&gt;VLOOKUP(InfirmaryDesired,$B$6:$C$85,2,FALSE),"",IF($C6&gt;VLOOKUP(InfirmaryCurrent,$B$6:$C$85,2,FALSE),F6,""))</f>
        <v>#N/A</v>
      </c>
      <c r="I6" s="6" t="e">
        <f t="shared" ref="I6:I37" si="2">IF($C6&gt;VLOOKUP(InfirmaryDesired,$B$6:$C$85,2,FALSE),"",IF($C6&gt;VLOOKUP(InfirmaryCurrent,$B$6:$C$85,2,FALSE),H6,""))</f>
        <v>#N/A</v>
      </c>
      <c r="K6" s="6" t="e">
        <f t="shared" ref="K6:K37" si="3">IF($C6&gt;VLOOKUP(InfirmaryDesired,$B$6:$C$85,2,FALSE),"",IF($C6&gt;VLOOKUP(InfirmaryCurrent,$B$6:$C$85,2,FALSE),J6,""))</f>
        <v>#N/A</v>
      </c>
      <c r="L6" s="6"/>
      <c r="M6" s="6" t="e">
        <f t="shared" ref="M6:M37" si="4">IF($C6&gt;VLOOKUP(InfirmaryDesired,$B$6:$C$85,2,FALSE),"",IF($C6&gt;VLOOKUP(InfirmaryCurrent,$B$6:$C$85,2,FALSE),L6,""))</f>
        <v>#N/A</v>
      </c>
      <c r="N6" s="6"/>
      <c r="O6" s="6" t="e">
        <f t="shared" ref="O6:O37" si="5">IF($C6&gt;VLOOKUP(InfirmaryDesired,$B$6:$C$85,2,FALSE),"",IF($C6&gt;VLOOKUP(InfirmaryCurrent,$B$6:$C$85,2,FALSE),N6,""))</f>
        <v>#N/A</v>
      </c>
      <c r="Q6" s="6"/>
      <c r="R6" s="6"/>
      <c r="S6" s="6"/>
      <c r="T6" s="6">
        <v>2</v>
      </c>
      <c r="U6" s="6">
        <f>T6+S6*60+R6*60*60+Q6*60*60*24</f>
        <v>2</v>
      </c>
      <c r="V6" s="6" t="e">
        <f t="shared" ref="V6:V37" si="6">IF($C6&gt;VLOOKUP(InfirmaryDesired,$B$6:$C$85,2,FALSE),"",IF($C6&gt;VLOOKUP(InfirmaryCurrent,$B$6:$C$85,2,FALSE),U6,""))</f>
        <v>#N/A</v>
      </c>
    </row>
    <row r="7" spans="1:23" x14ac:dyDescent="0.3">
      <c r="B7" s="64">
        <v>2</v>
      </c>
      <c r="C7" s="151">
        <v>2</v>
      </c>
      <c r="E7" s="6" t="e">
        <f t="shared" si="0"/>
        <v>#N/A</v>
      </c>
      <c r="F7" s="4">
        <v>100</v>
      </c>
      <c r="G7" s="6" t="e">
        <f t="shared" si="1"/>
        <v>#N/A</v>
      </c>
      <c r="I7" s="6" t="e">
        <f t="shared" si="2"/>
        <v>#N/A</v>
      </c>
      <c r="K7" s="6" t="e">
        <f t="shared" si="3"/>
        <v>#N/A</v>
      </c>
      <c r="L7" s="6"/>
      <c r="M7" s="6" t="e">
        <f t="shared" si="4"/>
        <v>#N/A</v>
      </c>
      <c r="N7" s="6"/>
      <c r="O7" s="6" t="e">
        <f t="shared" si="5"/>
        <v>#N/A</v>
      </c>
      <c r="Q7" s="6"/>
      <c r="R7" s="6"/>
      <c r="S7" s="6"/>
      <c r="T7" s="6">
        <v>9</v>
      </c>
      <c r="U7" s="6">
        <f t="shared" ref="U7:U70" si="7">T7+S7*60+R7*60*60+Q7*60*60*24</f>
        <v>9</v>
      </c>
      <c r="V7" s="6" t="e">
        <f t="shared" si="6"/>
        <v>#N/A</v>
      </c>
    </row>
    <row r="8" spans="1:23" x14ac:dyDescent="0.3">
      <c r="B8" s="64">
        <v>3</v>
      </c>
      <c r="C8" s="151">
        <v>3</v>
      </c>
      <c r="E8" s="6" t="e">
        <f t="shared" si="0"/>
        <v>#N/A</v>
      </c>
      <c r="F8" s="4">
        <v>460</v>
      </c>
      <c r="G8" s="6" t="e">
        <f t="shared" si="1"/>
        <v>#N/A</v>
      </c>
      <c r="I8" s="6" t="e">
        <f t="shared" si="2"/>
        <v>#N/A</v>
      </c>
      <c r="K8" s="6" t="e">
        <f t="shared" si="3"/>
        <v>#N/A</v>
      </c>
      <c r="L8" s="6"/>
      <c r="M8" s="6" t="e">
        <f t="shared" si="4"/>
        <v>#N/A</v>
      </c>
      <c r="N8" s="6"/>
      <c r="O8" s="6" t="e">
        <f t="shared" si="5"/>
        <v>#N/A</v>
      </c>
      <c r="Q8" s="6"/>
      <c r="R8" s="6"/>
      <c r="S8" s="6"/>
      <c r="T8" s="6">
        <v>40</v>
      </c>
      <c r="U8" s="6">
        <f t="shared" si="7"/>
        <v>40</v>
      </c>
      <c r="V8" s="6" t="e">
        <f t="shared" si="6"/>
        <v>#N/A</v>
      </c>
    </row>
    <row r="9" spans="1:23" x14ac:dyDescent="0.3">
      <c r="B9" s="64">
        <v>4</v>
      </c>
      <c r="C9" s="151">
        <v>4</v>
      </c>
      <c r="E9" s="6" t="e">
        <f t="shared" si="0"/>
        <v>#N/A</v>
      </c>
      <c r="F9" s="4">
        <v>1000</v>
      </c>
      <c r="G9" s="6" t="e">
        <f t="shared" si="1"/>
        <v>#N/A</v>
      </c>
      <c r="H9" s="4">
        <v>205</v>
      </c>
      <c r="I9" s="6" t="e">
        <f t="shared" si="2"/>
        <v>#N/A</v>
      </c>
      <c r="K9" s="6" t="e">
        <f t="shared" si="3"/>
        <v>#N/A</v>
      </c>
      <c r="L9" s="6"/>
      <c r="M9" s="6" t="e">
        <f t="shared" si="4"/>
        <v>#N/A</v>
      </c>
      <c r="N9" s="6"/>
      <c r="O9" s="6" t="e">
        <f t="shared" si="5"/>
        <v>#N/A</v>
      </c>
      <c r="Q9" s="6"/>
      <c r="R9" s="6"/>
      <c r="S9" s="6">
        <v>2</v>
      </c>
      <c r="T9" s="6">
        <v>5</v>
      </c>
      <c r="U9" s="6">
        <f t="shared" si="7"/>
        <v>125</v>
      </c>
      <c r="V9" s="6" t="e">
        <f t="shared" si="6"/>
        <v>#N/A</v>
      </c>
    </row>
    <row r="10" spans="1:23" x14ac:dyDescent="0.3">
      <c r="B10" s="64">
        <v>5</v>
      </c>
      <c r="C10" s="151">
        <v>5</v>
      </c>
      <c r="E10" s="6" t="e">
        <f t="shared" si="0"/>
        <v>#N/A</v>
      </c>
      <c r="F10" s="4">
        <v>4300</v>
      </c>
      <c r="G10" s="6" t="e">
        <f t="shared" si="1"/>
        <v>#N/A</v>
      </c>
      <c r="H10" s="4">
        <v>865</v>
      </c>
      <c r="I10" s="6" t="e">
        <f t="shared" si="2"/>
        <v>#N/A</v>
      </c>
      <c r="K10" s="6" t="e">
        <f t="shared" si="3"/>
        <v>#N/A</v>
      </c>
      <c r="L10" s="6"/>
      <c r="M10" s="6" t="e">
        <f t="shared" si="4"/>
        <v>#N/A</v>
      </c>
      <c r="N10" s="6"/>
      <c r="O10" s="6" t="e">
        <f t="shared" si="5"/>
        <v>#N/A</v>
      </c>
      <c r="Q10" s="6"/>
      <c r="R10" s="6"/>
      <c r="S10" s="6">
        <v>4</v>
      </c>
      <c r="T10" s="6">
        <v>10</v>
      </c>
      <c r="U10" s="6">
        <f t="shared" si="7"/>
        <v>250</v>
      </c>
      <c r="V10" s="6" t="e">
        <f t="shared" si="6"/>
        <v>#N/A</v>
      </c>
    </row>
    <row r="11" spans="1:23" x14ac:dyDescent="0.3">
      <c r="B11" s="64">
        <v>6</v>
      </c>
      <c r="C11" s="151">
        <v>6</v>
      </c>
      <c r="E11" s="6" t="e">
        <f t="shared" si="0"/>
        <v>#N/A</v>
      </c>
      <c r="F11" s="4">
        <v>10000</v>
      </c>
      <c r="G11" s="6" t="e">
        <f t="shared" si="1"/>
        <v>#N/A</v>
      </c>
      <c r="H11" s="4">
        <v>2100</v>
      </c>
      <c r="I11" s="6" t="e">
        <f t="shared" si="2"/>
        <v>#N/A</v>
      </c>
      <c r="J11" s="4">
        <v>545</v>
      </c>
      <c r="K11" s="6" t="e">
        <f t="shared" si="3"/>
        <v>#N/A</v>
      </c>
      <c r="L11" s="6"/>
      <c r="M11" s="6" t="e">
        <f t="shared" si="4"/>
        <v>#N/A</v>
      </c>
      <c r="N11" s="6"/>
      <c r="O11" s="6" t="e">
        <f t="shared" si="5"/>
        <v>#N/A</v>
      </c>
      <c r="Q11" s="6"/>
      <c r="R11" s="6"/>
      <c r="S11" s="6">
        <v>8</v>
      </c>
      <c r="T11" s="6">
        <v>20</v>
      </c>
      <c r="U11" s="6">
        <f t="shared" si="7"/>
        <v>500</v>
      </c>
      <c r="V11" s="6" t="e">
        <f t="shared" si="6"/>
        <v>#N/A</v>
      </c>
    </row>
    <row r="12" spans="1:23" x14ac:dyDescent="0.3">
      <c r="B12" s="64">
        <v>7</v>
      </c>
      <c r="C12" s="151">
        <v>7</v>
      </c>
      <c r="E12" s="6" t="e">
        <f t="shared" si="0"/>
        <v>#N/A</v>
      </c>
      <c r="F12" s="4">
        <v>39000</v>
      </c>
      <c r="G12" s="6" t="e">
        <f t="shared" si="1"/>
        <v>#N/A</v>
      </c>
      <c r="H12" s="4">
        <v>7800</v>
      </c>
      <c r="I12" s="6" t="e">
        <f t="shared" si="2"/>
        <v>#N/A</v>
      </c>
      <c r="J12" s="4">
        <v>1900</v>
      </c>
      <c r="K12" s="6" t="e">
        <f t="shared" si="3"/>
        <v>#N/A</v>
      </c>
      <c r="L12" s="6"/>
      <c r="M12" s="6" t="e">
        <f t="shared" si="4"/>
        <v>#N/A</v>
      </c>
      <c r="N12" s="6"/>
      <c r="O12" s="6" t="e">
        <f t="shared" si="5"/>
        <v>#N/A</v>
      </c>
      <c r="Q12" s="6"/>
      <c r="R12" s="6"/>
      <c r="S12" s="6">
        <v>16</v>
      </c>
      <c r="T12" s="6">
        <v>30</v>
      </c>
      <c r="U12" s="6">
        <f t="shared" si="7"/>
        <v>990</v>
      </c>
      <c r="V12" s="6" t="e">
        <f t="shared" si="6"/>
        <v>#N/A</v>
      </c>
    </row>
    <row r="13" spans="1:23" x14ac:dyDescent="0.3">
      <c r="B13" s="64">
        <v>8</v>
      </c>
      <c r="C13" s="151">
        <v>8</v>
      </c>
      <c r="E13" s="6" t="e">
        <f t="shared" si="0"/>
        <v>#N/A</v>
      </c>
      <c r="F13" s="4">
        <v>72000</v>
      </c>
      <c r="G13" s="6" t="e">
        <f t="shared" si="1"/>
        <v>#N/A</v>
      </c>
      <c r="H13" s="4">
        <v>14000</v>
      </c>
      <c r="I13" s="6" t="e">
        <f t="shared" si="2"/>
        <v>#N/A</v>
      </c>
      <c r="J13" s="4">
        <v>3600</v>
      </c>
      <c r="K13" s="6" t="e">
        <f t="shared" si="3"/>
        <v>#N/A</v>
      </c>
      <c r="L13" s="6"/>
      <c r="M13" s="6" t="e">
        <f t="shared" si="4"/>
        <v>#N/A</v>
      </c>
      <c r="N13" s="6"/>
      <c r="O13" s="6" t="e">
        <f t="shared" si="5"/>
        <v>#N/A</v>
      </c>
      <c r="Q13" s="6"/>
      <c r="R13" s="6"/>
      <c r="S13" s="6">
        <v>25</v>
      </c>
      <c r="T13" s="6"/>
      <c r="U13" s="6">
        <f t="shared" si="7"/>
        <v>1500</v>
      </c>
      <c r="V13" s="6" t="e">
        <f t="shared" si="6"/>
        <v>#N/A</v>
      </c>
    </row>
    <row r="14" spans="1:23" x14ac:dyDescent="0.3">
      <c r="B14" s="64">
        <v>9</v>
      </c>
      <c r="C14" s="151">
        <v>9</v>
      </c>
      <c r="E14" s="6" t="e">
        <f t="shared" si="0"/>
        <v>#N/A</v>
      </c>
      <c r="F14" s="4">
        <v>140000</v>
      </c>
      <c r="G14" s="6" t="e">
        <f t="shared" si="1"/>
        <v>#N/A</v>
      </c>
      <c r="H14" s="4">
        <v>29000</v>
      </c>
      <c r="I14" s="6" t="e">
        <f t="shared" si="2"/>
        <v>#N/A</v>
      </c>
      <c r="J14" s="4">
        <v>7400</v>
      </c>
      <c r="K14" s="6" t="e">
        <f t="shared" si="3"/>
        <v>#N/A</v>
      </c>
      <c r="L14" s="6"/>
      <c r="M14" s="6" t="e">
        <f t="shared" si="4"/>
        <v>#N/A</v>
      </c>
      <c r="N14" s="6"/>
      <c r="O14" s="6" t="e">
        <f t="shared" si="5"/>
        <v>#N/A</v>
      </c>
      <c r="Q14" s="6"/>
      <c r="R14" s="6"/>
      <c r="S14" s="6">
        <v>27</v>
      </c>
      <c r="T14" s="6">
        <v>30</v>
      </c>
      <c r="U14" s="6">
        <f t="shared" si="7"/>
        <v>1650</v>
      </c>
      <c r="V14" s="6" t="e">
        <f t="shared" si="6"/>
        <v>#N/A</v>
      </c>
    </row>
    <row r="15" spans="1:23" x14ac:dyDescent="0.3">
      <c r="B15" s="64">
        <v>10</v>
      </c>
      <c r="C15" s="151">
        <v>10</v>
      </c>
      <c r="E15" s="6" t="e">
        <f t="shared" si="0"/>
        <v>#N/A</v>
      </c>
      <c r="F15" s="4">
        <v>260000</v>
      </c>
      <c r="G15" s="6" t="e">
        <f t="shared" si="1"/>
        <v>#N/A</v>
      </c>
      <c r="H15" s="4">
        <v>52000</v>
      </c>
      <c r="I15" s="6" t="e">
        <f t="shared" si="2"/>
        <v>#N/A</v>
      </c>
      <c r="J15" s="4">
        <v>13000</v>
      </c>
      <c r="K15" s="6" t="e">
        <f t="shared" si="3"/>
        <v>#N/A</v>
      </c>
      <c r="L15" s="6"/>
      <c r="M15" s="6" t="e">
        <f t="shared" si="4"/>
        <v>#N/A</v>
      </c>
      <c r="N15" s="6"/>
      <c r="O15" s="6" t="e">
        <f t="shared" si="5"/>
        <v>#N/A</v>
      </c>
      <c r="Q15" s="6"/>
      <c r="R15" s="6"/>
      <c r="S15" s="6">
        <v>50</v>
      </c>
      <c r="T15" s="6"/>
      <c r="U15" s="6">
        <f t="shared" si="7"/>
        <v>3000</v>
      </c>
      <c r="V15" s="6" t="e">
        <f t="shared" si="6"/>
        <v>#N/A</v>
      </c>
    </row>
    <row r="16" spans="1:23" x14ac:dyDescent="0.3">
      <c r="B16" s="64">
        <v>11</v>
      </c>
      <c r="C16" s="151">
        <v>11</v>
      </c>
      <c r="D16" s="4">
        <v>320000</v>
      </c>
      <c r="E16" s="6" t="e">
        <f t="shared" si="0"/>
        <v>#N/A</v>
      </c>
      <c r="F16" s="4">
        <v>320000</v>
      </c>
      <c r="G16" s="6" t="e">
        <f t="shared" si="1"/>
        <v>#N/A</v>
      </c>
      <c r="H16" s="4">
        <v>65000</v>
      </c>
      <c r="I16" s="6" t="e">
        <f t="shared" si="2"/>
        <v>#N/A</v>
      </c>
      <c r="J16" s="4">
        <v>16000</v>
      </c>
      <c r="K16" s="6" t="e">
        <f t="shared" si="3"/>
        <v>#N/A</v>
      </c>
      <c r="L16" s="6"/>
      <c r="M16" s="6" t="e">
        <f t="shared" si="4"/>
        <v>#N/A</v>
      </c>
      <c r="N16" s="6"/>
      <c r="O16" s="6" t="e">
        <f t="shared" si="5"/>
        <v>#N/A</v>
      </c>
      <c r="Q16" s="6"/>
      <c r="R16" s="6">
        <v>1</v>
      </c>
      <c r="S16" s="6">
        <v>3</v>
      </c>
      <c r="T16" s="6"/>
      <c r="U16" s="6">
        <f t="shared" si="7"/>
        <v>3780</v>
      </c>
      <c r="V16" s="6" t="e">
        <f t="shared" si="6"/>
        <v>#N/A</v>
      </c>
    </row>
    <row r="17" spans="2:22" x14ac:dyDescent="0.3">
      <c r="B17" s="64">
        <v>12</v>
      </c>
      <c r="C17" s="151">
        <v>12</v>
      </c>
      <c r="D17" s="4">
        <v>420000</v>
      </c>
      <c r="E17" s="6" t="e">
        <f t="shared" si="0"/>
        <v>#N/A</v>
      </c>
      <c r="F17" s="4">
        <v>420000</v>
      </c>
      <c r="G17" s="6" t="e">
        <f t="shared" si="1"/>
        <v>#N/A</v>
      </c>
      <c r="H17" s="4">
        <v>54000</v>
      </c>
      <c r="I17" s="6" t="e">
        <f t="shared" si="2"/>
        <v>#N/A</v>
      </c>
      <c r="J17" s="4">
        <v>21000</v>
      </c>
      <c r="K17" s="6" t="e">
        <f t="shared" si="3"/>
        <v>#N/A</v>
      </c>
      <c r="L17" s="6"/>
      <c r="M17" s="6" t="e">
        <f t="shared" si="4"/>
        <v>#N/A</v>
      </c>
      <c r="N17" s="6"/>
      <c r="O17" s="6" t="e">
        <f t="shared" si="5"/>
        <v>#N/A</v>
      </c>
      <c r="Q17" s="6"/>
      <c r="R17" s="6">
        <v>1</v>
      </c>
      <c r="S17" s="6">
        <v>15</v>
      </c>
      <c r="T17" s="6">
        <v>30</v>
      </c>
      <c r="U17" s="6">
        <f t="shared" si="7"/>
        <v>4530</v>
      </c>
      <c r="V17" s="6" t="e">
        <f t="shared" si="6"/>
        <v>#N/A</v>
      </c>
    </row>
    <row r="18" spans="2:22" x14ac:dyDescent="0.3">
      <c r="B18" s="64">
        <v>13</v>
      </c>
      <c r="C18" s="151">
        <v>13</v>
      </c>
      <c r="D18" s="4">
        <v>590000</v>
      </c>
      <c r="E18" s="6" t="e">
        <f t="shared" si="0"/>
        <v>#N/A</v>
      </c>
      <c r="F18" s="4">
        <v>590000</v>
      </c>
      <c r="G18" s="6" t="e">
        <f t="shared" si="1"/>
        <v>#N/A</v>
      </c>
      <c r="H18" s="4">
        <v>110000</v>
      </c>
      <c r="I18" s="6" t="e">
        <f t="shared" si="2"/>
        <v>#N/A</v>
      </c>
      <c r="J18" s="4">
        <v>29000</v>
      </c>
      <c r="K18" s="6" t="e">
        <f t="shared" si="3"/>
        <v>#N/A</v>
      </c>
      <c r="L18" s="6"/>
      <c r="M18" s="6" t="e">
        <f t="shared" si="4"/>
        <v>#N/A</v>
      </c>
      <c r="N18" s="6"/>
      <c r="O18" s="6" t="e">
        <f t="shared" si="5"/>
        <v>#N/A</v>
      </c>
      <c r="Q18" s="6"/>
      <c r="R18" s="6">
        <v>1</v>
      </c>
      <c r="S18" s="6">
        <v>32</v>
      </c>
      <c r="T18" s="6"/>
      <c r="U18" s="6">
        <f t="shared" si="7"/>
        <v>5520</v>
      </c>
      <c r="V18" s="6" t="e">
        <f t="shared" si="6"/>
        <v>#N/A</v>
      </c>
    </row>
    <row r="19" spans="2:22" x14ac:dyDescent="0.3">
      <c r="B19" s="64">
        <v>14</v>
      </c>
      <c r="C19" s="151">
        <v>14</v>
      </c>
      <c r="D19" s="4">
        <v>780000</v>
      </c>
      <c r="E19" s="6" t="e">
        <f t="shared" si="0"/>
        <v>#N/A</v>
      </c>
      <c r="F19" s="4">
        <v>780000</v>
      </c>
      <c r="G19" s="6" t="e">
        <f t="shared" si="1"/>
        <v>#N/A</v>
      </c>
      <c r="H19" s="4">
        <v>150000</v>
      </c>
      <c r="I19" s="6" t="e">
        <f t="shared" si="2"/>
        <v>#N/A</v>
      </c>
      <c r="J19" s="4">
        <v>39000</v>
      </c>
      <c r="K19" s="6" t="e">
        <f t="shared" si="3"/>
        <v>#N/A</v>
      </c>
      <c r="L19" s="6"/>
      <c r="M19" s="6" t="e">
        <f t="shared" si="4"/>
        <v>#N/A</v>
      </c>
      <c r="N19" s="6"/>
      <c r="O19" s="6" t="e">
        <f t="shared" si="5"/>
        <v>#N/A</v>
      </c>
      <c r="Q19" s="6"/>
      <c r="R19" s="6">
        <v>1</v>
      </c>
      <c r="S19" s="6">
        <v>57</v>
      </c>
      <c r="T19" s="6">
        <v>30</v>
      </c>
      <c r="U19" s="6">
        <f t="shared" si="7"/>
        <v>7050</v>
      </c>
      <c r="V19" s="6" t="e">
        <f t="shared" si="6"/>
        <v>#N/A</v>
      </c>
    </row>
    <row r="20" spans="2:22" x14ac:dyDescent="0.3">
      <c r="B20" s="64">
        <v>15</v>
      </c>
      <c r="C20" s="151">
        <v>15</v>
      </c>
      <c r="D20" s="4">
        <v>1100000</v>
      </c>
      <c r="E20" s="6" t="e">
        <f t="shared" si="0"/>
        <v>#N/A</v>
      </c>
      <c r="F20" s="4">
        <v>1100000</v>
      </c>
      <c r="G20" s="6" t="e">
        <f t="shared" si="1"/>
        <v>#N/A</v>
      </c>
      <c r="H20" s="4">
        <v>230000</v>
      </c>
      <c r="I20" s="6" t="e">
        <f t="shared" si="2"/>
        <v>#N/A</v>
      </c>
      <c r="J20" s="4">
        <v>58000</v>
      </c>
      <c r="K20" s="6" t="e">
        <f t="shared" si="3"/>
        <v>#N/A</v>
      </c>
      <c r="L20" s="6"/>
      <c r="M20" s="6" t="e">
        <f t="shared" si="4"/>
        <v>#N/A</v>
      </c>
      <c r="N20" s="6"/>
      <c r="O20" s="6" t="e">
        <f t="shared" si="5"/>
        <v>#N/A</v>
      </c>
      <c r="Q20" s="6"/>
      <c r="R20" s="6">
        <v>2</v>
      </c>
      <c r="S20" s="6">
        <v>31</v>
      </c>
      <c r="T20" s="6"/>
      <c r="U20" s="6">
        <f t="shared" si="7"/>
        <v>9060</v>
      </c>
      <c r="V20" s="6" t="e">
        <f t="shared" si="6"/>
        <v>#N/A</v>
      </c>
    </row>
    <row r="21" spans="2:22" x14ac:dyDescent="0.3">
      <c r="B21" s="64">
        <v>16</v>
      </c>
      <c r="C21" s="151">
        <v>16</v>
      </c>
      <c r="D21" s="4">
        <v>1400000</v>
      </c>
      <c r="E21" s="6" t="e">
        <f t="shared" si="0"/>
        <v>#N/A</v>
      </c>
      <c r="F21" s="4">
        <v>1400000</v>
      </c>
      <c r="G21" s="6" t="e">
        <f t="shared" si="1"/>
        <v>#N/A</v>
      </c>
      <c r="H21" s="4">
        <v>290000</v>
      </c>
      <c r="I21" s="6" t="e">
        <f t="shared" si="2"/>
        <v>#N/A</v>
      </c>
      <c r="J21" s="4">
        <v>74000</v>
      </c>
      <c r="K21" s="6" t="e">
        <f t="shared" si="3"/>
        <v>#N/A</v>
      </c>
      <c r="L21" s="6"/>
      <c r="M21" s="6" t="e">
        <f t="shared" si="4"/>
        <v>#N/A</v>
      </c>
      <c r="N21" s="6"/>
      <c r="O21" s="6" t="e">
        <f t="shared" si="5"/>
        <v>#N/A</v>
      </c>
      <c r="Q21" s="6"/>
      <c r="R21" s="6">
        <v>4</v>
      </c>
      <c r="S21" s="6">
        <v>16</v>
      </c>
      <c r="T21" s="6"/>
      <c r="U21" s="6">
        <f t="shared" si="7"/>
        <v>15360</v>
      </c>
      <c r="V21" s="6" t="e">
        <f t="shared" si="6"/>
        <v>#N/A</v>
      </c>
    </row>
    <row r="22" spans="2:22" x14ac:dyDescent="0.3">
      <c r="B22" s="64">
        <v>17</v>
      </c>
      <c r="C22" s="151">
        <v>17</v>
      </c>
      <c r="D22" s="4">
        <v>2300000</v>
      </c>
      <c r="E22" s="6" t="e">
        <f t="shared" si="0"/>
        <v>#N/A</v>
      </c>
      <c r="F22" s="4">
        <v>2300000</v>
      </c>
      <c r="G22" s="6" t="e">
        <f t="shared" si="1"/>
        <v>#N/A</v>
      </c>
      <c r="H22" s="4">
        <v>460000</v>
      </c>
      <c r="I22" s="6" t="e">
        <f t="shared" si="2"/>
        <v>#N/A</v>
      </c>
      <c r="J22" s="4">
        <v>110000</v>
      </c>
      <c r="K22" s="6" t="e">
        <f t="shared" si="3"/>
        <v>#N/A</v>
      </c>
      <c r="L22" s="6"/>
      <c r="M22" s="6" t="e">
        <f t="shared" si="4"/>
        <v>#N/A</v>
      </c>
      <c r="N22" s="6"/>
      <c r="O22" s="6" t="e">
        <f t="shared" si="5"/>
        <v>#N/A</v>
      </c>
      <c r="Q22" s="6"/>
      <c r="R22" s="6">
        <v>5</v>
      </c>
      <c r="S22" s="6">
        <v>7</v>
      </c>
      <c r="T22" s="6"/>
      <c r="U22" s="6">
        <f t="shared" si="7"/>
        <v>18420</v>
      </c>
      <c r="V22" s="6" t="e">
        <f t="shared" si="6"/>
        <v>#N/A</v>
      </c>
    </row>
    <row r="23" spans="2:22" x14ac:dyDescent="0.3">
      <c r="B23" s="64">
        <v>18</v>
      </c>
      <c r="C23" s="151">
        <v>18</v>
      </c>
      <c r="D23" s="4">
        <v>3100000</v>
      </c>
      <c r="E23" s="6" t="e">
        <f t="shared" si="0"/>
        <v>#N/A</v>
      </c>
      <c r="F23" s="4">
        <v>3100000</v>
      </c>
      <c r="G23" s="6" t="e">
        <f t="shared" si="1"/>
        <v>#N/A</v>
      </c>
      <c r="H23" s="4">
        <v>620000</v>
      </c>
      <c r="I23" s="6" t="e">
        <f t="shared" si="2"/>
        <v>#N/A</v>
      </c>
      <c r="J23" s="4">
        <v>150000</v>
      </c>
      <c r="K23" s="6" t="e">
        <f t="shared" si="3"/>
        <v>#N/A</v>
      </c>
      <c r="L23" s="6"/>
      <c r="M23" s="6" t="e">
        <f t="shared" si="4"/>
        <v>#N/A</v>
      </c>
      <c r="N23" s="6"/>
      <c r="O23" s="6" t="e">
        <f t="shared" si="5"/>
        <v>#N/A</v>
      </c>
      <c r="Q23" s="6"/>
      <c r="R23" s="6">
        <v>6</v>
      </c>
      <c r="S23" s="6">
        <v>8</v>
      </c>
      <c r="T23" s="6">
        <v>30</v>
      </c>
      <c r="U23" s="6">
        <f t="shared" si="7"/>
        <v>22110</v>
      </c>
      <c r="V23" s="6" t="e">
        <f t="shared" si="6"/>
        <v>#N/A</v>
      </c>
    </row>
    <row r="24" spans="2:22" x14ac:dyDescent="0.3">
      <c r="B24" s="64">
        <v>19</v>
      </c>
      <c r="C24" s="151">
        <v>19</v>
      </c>
      <c r="D24" s="4">
        <v>3900000</v>
      </c>
      <c r="E24" s="6" t="e">
        <f t="shared" si="0"/>
        <v>#N/A</v>
      </c>
      <c r="F24" s="4">
        <v>3900000</v>
      </c>
      <c r="G24" s="6" t="e">
        <f t="shared" si="1"/>
        <v>#N/A</v>
      </c>
      <c r="H24" s="4">
        <v>780000</v>
      </c>
      <c r="I24" s="6" t="e">
        <f t="shared" si="2"/>
        <v>#N/A</v>
      </c>
      <c r="J24" s="4">
        <v>190000</v>
      </c>
      <c r="K24" s="6" t="e">
        <f t="shared" si="3"/>
        <v>#N/A</v>
      </c>
      <c r="L24" s="6"/>
      <c r="M24" s="6" t="e">
        <f t="shared" si="4"/>
        <v>#N/A</v>
      </c>
      <c r="N24" s="6"/>
      <c r="O24" s="6" t="e">
        <f t="shared" si="5"/>
        <v>#N/A</v>
      </c>
      <c r="Q24" s="6"/>
      <c r="R24" s="6">
        <v>9</v>
      </c>
      <c r="S24" s="6">
        <v>13</v>
      </c>
      <c r="T24" s="6"/>
      <c r="U24" s="6">
        <f t="shared" si="7"/>
        <v>33180</v>
      </c>
      <c r="V24" s="6" t="e">
        <f t="shared" si="6"/>
        <v>#N/A</v>
      </c>
    </row>
    <row r="25" spans="2:22" x14ac:dyDescent="0.3">
      <c r="B25" s="64">
        <v>20</v>
      </c>
      <c r="C25" s="151">
        <v>20</v>
      </c>
      <c r="D25" s="4">
        <v>5300000</v>
      </c>
      <c r="E25" s="6" t="e">
        <f t="shared" si="0"/>
        <v>#N/A</v>
      </c>
      <c r="F25" s="4">
        <v>5300000</v>
      </c>
      <c r="G25" s="6" t="e">
        <f t="shared" si="1"/>
        <v>#N/A</v>
      </c>
      <c r="H25" s="4">
        <v>1000000</v>
      </c>
      <c r="I25" s="6" t="e">
        <f t="shared" si="2"/>
        <v>#N/A</v>
      </c>
      <c r="J25" s="4">
        <v>260000</v>
      </c>
      <c r="K25" s="6" t="e">
        <f t="shared" si="3"/>
        <v>#N/A</v>
      </c>
      <c r="L25" s="6"/>
      <c r="M25" s="6" t="e">
        <f t="shared" si="4"/>
        <v>#N/A</v>
      </c>
      <c r="N25" s="6"/>
      <c r="O25" s="6" t="e">
        <f t="shared" si="5"/>
        <v>#N/A</v>
      </c>
      <c r="Q25" s="6"/>
      <c r="R25" s="6">
        <v>11</v>
      </c>
      <c r="S25" s="6">
        <v>31</v>
      </c>
      <c r="T25" s="6"/>
      <c r="U25" s="6">
        <f t="shared" si="7"/>
        <v>41460</v>
      </c>
      <c r="V25" s="6" t="e">
        <f t="shared" si="6"/>
        <v>#N/A</v>
      </c>
    </row>
    <row r="26" spans="2:22" x14ac:dyDescent="0.3">
      <c r="B26" s="64">
        <v>21</v>
      </c>
      <c r="C26" s="151">
        <v>21</v>
      </c>
      <c r="D26" s="4">
        <v>6800000</v>
      </c>
      <c r="E26" s="6" t="e">
        <f t="shared" si="0"/>
        <v>#N/A</v>
      </c>
      <c r="F26" s="4">
        <v>6800000</v>
      </c>
      <c r="G26" s="6" t="e">
        <f t="shared" si="1"/>
        <v>#N/A</v>
      </c>
      <c r="H26" s="4">
        <v>1300000</v>
      </c>
      <c r="I26" s="6" t="e">
        <f t="shared" si="2"/>
        <v>#N/A</v>
      </c>
      <c r="J26" s="4">
        <v>340000</v>
      </c>
      <c r="K26" s="6" t="e">
        <f t="shared" si="3"/>
        <v>#N/A</v>
      </c>
      <c r="L26" s="6"/>
      <c r="M26" s="6" t="e">
        <f t="shared" si="4"/>
        <v>#N/A</v>
      </c>
      <c r="N26" s="6"/>
      <c r="O26" s="6" t="e">
        <f t="shared" si="5"/>
        <v>#N/A</v>
      </c>
      <c r="Q26" s="6"/>
      <c r="R26" s="6">
        <v>14</v>
      </c>
      <c r="S26" s="6">
        <v>58</v>
      </c>
      <c r="T26" s="6">
        <v>30</v>
      </c>
      <c r="U26" s="6">
        <f t="shared" si="7"/>
        <v>53910</v>
      </c>
      <c r="V26" s="6" t="e">
        <f t="shared" si="6"/>
        <v>#N/A</v>
      </c>
    </row>
    <row r="27" spans="2:22" x14ac:dyDescent="0.3">
      <c r="B27" s="64">
        <v>22</v>
      </c>
      <c r="C27" s="151">
        <v>22</v>
      </c>
      <c r="D27" s="4">
        <v>9000000</v>
      </c>
      <c r="E27" s="6" t="e">
        <f t="shared" si="0"/>
        <v>#N/A</v>
      </c>
      <c r="F27" s="4">
        <v>9000000</v>
      </c>
      <c r="G27" s="6" t="e">
        <f t="shared" si="1"/>
        <v>#N/A</v>
      </c>
      <c r="H27" s="4">
        <v>1800000</v>
      </c>
      <c r="I27" s="6" t="e">
        <f t="shared" si="2"/>
        <v>#N/A</v>
      </c>
      <c r="J27" s="4">
        <v>450000</v>
      </c>
      <c r="K27" s="6" t="e">
        <f t="shared" si="3"/>
        <v>#N/A</v>
      </c>
      <c r="L27" s="6"/>
      <c r="M27" s="6" t="e">
        <f t="shared" si="4"/>
        <v>#N/A</v>
      </c>
      <c r="N27" s="6"/>
      <c r="O27" s="6" t="e">
        <f t="shared" si="5"/>
        <v>#N/A</v>
      </c>
      <c r="Q27" s="6"/>
      <c r="R27" s="6">
        <v>22</v>
      </c>
      <c r="S27" s="6">
        <v>28</v>
      </c>
      <c r="T27" s="6"/>
      <c r="U27" s="6">
        <f t="shared" si="7"/>
        <v>80880</v>
      </c>
      <c r="V27" s="6" t="e">
        <f t="shared" si="6"/>
        <v>#N/A</v>
      </c>
    </row>
    <row r="28" spans="2:22" x14ac:dyDescent="0.3">
      <c r="B28" s="64">
        <v>23</v>
      </c>
      <c r="C28" s="151">
        <v>23</v>
      </c>
      <c r="D28" s="4">
        <v>11000000</v>
      </c>
      <c r="E28" s="6" t="e">
        <f t="shared" si="0"/>
        <v>#N/A</v>
      </c>
      <c r="F28" s="4">
        <v>11000000</v>
      </c>
      <c r="G28" s="6" t="e">
        <f t="shared" si="1"/>
        <v>#N/A</v>
      </c>
      <c r="H28" s="4">
        <v>2200000</v>
      </c>
      <c r="I28" s="6" t="e">
        <f t="shared" si="2"/>
        <v>#N/A</v>
      </c>
      <c r="J28" s="4">
        <v>560000</v>
      </c>
      <c r="K28" s="6" t="e">
        <f t="shared" si="3"/>
        <v>#N/A</v>
      </c>
      <c r="L28" s="6"/>
      <c r="M28" s="6" t="e">
        <f t="shared" si="4"/>
        <v>#N/A</v>
      </c>
      <c r="N28" s="6"/>
      <c r="O28" s="6" t="e">
        <f t="shared" si="5"/>
        <v>#N/A</v>
      </c>
      <c r="Q28" s="6">
        <v>1</v>
      </c>
      <c r="R28" s="6">
        <v>7</v>
      </c>
      <c r="S28" s="6">
        <v>27</v>
      </c>
      <c r="T28" s="6"/>
      <c r="U28" s="6">
        <f t="shared" si="7"/>
        <v>113220</v>
      </c>
      <c r="V28" s="6" t="e">
        <f t="shared" si="6"/>
        <v>#N/A</v>
      </c>
    </row>
    <row r="29" spans="2:22" x14ac:dyDescent="0.3">
      <c r="B29" s="64">
        <v>24</v>
      </c>
      <c r="C29" s="151">
        <v>24</v>
      </c>
      <c r="D29" s="4">
        <v>15000000</v>
      </c>
      <c r="E29" s="6" t="e">
        <f t="shared" si="0"/>
        <v>#N/A</v>
      </c>
      <c r="F29" s="4">
        <v>15000000</v>
      </c>
      <c r="G29" s="6" t="e">
        <f t="shared" si="1"/>
        <v>#N/A</v>
      </c>
      <c r="H29" s="4">
        <v>3000000</v>
      </c>
      <c r="I29" s="6" t="e">
        <f t="shared" si="2"/>
        <v>#N/A</v>
      </c>
      <c r="J29" s="4">
        <v>750000</v>
      </c>
      <c r="K29" s="6" t="e">
        <f t="shared" si="3"/>
        <v>#N/A</v>
      </c>
      <c r="L29" s="6"/>
      <c r="M29" s="6" t="e">
        <f t="shared" si="4"/>
        <v>#N/A</v>
      </c>
      <c r="N29" s="6"/>
      <c r="O29" s="6" t="e">
        <f t="shared" si="5"/>
        <v>#N/A</v>
      </c>
      <c r="Q29" s="6">
        <v>1</v>
      </c>
      <c r="R29" s="6">
        <v>20</v>
      </c>
      <c r="S29" s="6">
        <v>2</v>
      </c>
      <c r="T29" s="6"/>
      <c r="U29" s="6">
        <f t="shared" si="7"/>
        <v>158520</v>
      </c>
      <c r="V29" s="6" t="e">
        <f t="shared" si="6"/>
        <v>#N/A</v>
      </c>
    </row>
    <row r="30" spans="2:22" x14ac:dyDescent="0.3">
      <c r="B30" s="64">
        <v>25</v>
      </c>
      <c r="C30" s="151">
        <v>25</v>
      </c>
      <c r="D30" s="4">
        <v>20000000</v>
      </c>
      <c r="E30" s="6" t="e">
        <f t="shared" si="0"/>
        <v>#N/A</v>
      </c>
      <c r="F30" s="4">
        <v>20000000</v>
      </c>
      <c r="G30" s="6" t="e">
        <f t="shared" si="1"/>
        <v>#N/A</v>
      </c>
      <c r="H30" s="4">
        <v>4000000</v>
      </c>
      <c r="I30" s="6" t="e">
        <f t="shared" si="2"/>
        <v>#N/A</v>
      </c>
      <c r="J30" s="4">
        <v>1000000</v>
      </c>
      <c r="K30" s="6" t="e">
        <f t="shared" si="3"/>
        <v>#N/A</v>
      </c>
      <c r="L30" s="6"/>
      <c r="M30" s="6" t="e">
        <f t="shared" si="4"/>
        <v>#N/A</v>
      </c>
      <c r="N30" s="6"/>
      <c r="O30" s="6" t="e">
        <f t="shared" si="5"/>
        <v>#N/A</v>
      </c>
      <c r="Q30" s="6">
        <v>2</v>
      </c>
      <c r="R30" s="6">
        <v>13</v>
      </c>
      <c r="S30" s="6">
        <v>39</v>
      </c>
      <c r="T30" s="6"/>
      <c r="U30" s="6">
        <f t="shared" si="7"/>
        <v>221940</v>
      </c>
      <c r="V30" s="6" t="e">
        <f t="shared" si="6"/>
        <v>#N/A</v>
      </c>
    </row>
    <row r="31" spans="2:22" x14ac:dyDescent="0.3">
      <c r="B31" s="64">
        <v>26</v>
      </c>
      <c r="C31" s="151">
        <v>26</v>
      </c>
      <c r="D31" s="4">
        <v>26000000</v>
      </c>
      <c r="E31" s="6" t="e">
        <f t="shared" si="0"/>
        <v>#N/A</v>
      </c>
      <c r="F31" s="4">
        <v>26000000</v>
      </c>
      <c r="G31" s="6" t="e">
        <f t="shared" si="1"/>
        <v>#N/A</v>
      </c>
      <c r="H31" s="4">
        <v>5200000</v>
      </c>
      <c r="I31" s="6" t="e">
        <f t="shared" si="2"/>
        <v>#N/A</v>
      </c>
      <c r="J31" s="4">
        <v>1300000</v>
      </c>
      <c r="K31" s="6" t="e">
        <f t="shared" si="3"/>
        <v>#N/A</v>
      </c>
      <c r="L31" s="6"/>
      <c r="M31" s="6" t="e">
        <f t="shared" si="4"/>
        <v>#N/A</v>
      </c>
      <c r="N31" s="6"/>
      <c r="O31" s="6" t="e">
        <f t="shared" si="5"/>
        <v>#N/A</v>
      </c>
      <c r="Q31" s="6">
        <v>2</v>
      </c>
      <c r="R31" s="6">
        <v>22</v>
      </c>
      <c r="S31" s="6">
        <v>54</v>
      </c>
      <c r="T31" s="6"/>
      <c r="U31" s="6">
        <f t="shared" si="7"/>
        <v>255240</v>
      </c>
      <c r="V31" s="6" t="e">
        <f t="shared" si="6"/>
        <v>#N/A</v>
      </c>
    </row>
    <row r="32" spans="2:22" x14ac:dyDescent="0.3">
      <c r="B32" s="64">
        <v>27</v>
      </c>
      <c r="C32" s="151">
        <v>27</v>
      </c>
      <c r="D32" s="4">
        <v>37000000</v>
      </c>
      <c r="E32" s="6" t="e">
        <f t="shared" si="0"/>
        <v>#N/A</v>
      </c>
      <c r="F32" s="4">
        <v>37000000</v>
      </c>
      <c r="G32" s="6" t="e">
        <f t="shared" si="1"/>
        <v>#N/A</v>
      </c>
      <c r="H32" s="4">
        <v>7400000</v>
      </c>
      <c r="I32" s="6" t="e">
        <f t="shared" si="2"/>
        <v>#N/A</v>
      </c>
      <c r="J32" s="4">
        <v>1800000</v>
      </c>
      <c r="K32" s="6" t="e">
        <f t="shared" si="3"/>
        <v>#N/A</v>
      </c>
      <c r="L32" s="6"/>
      <c r="M32" s="6" t="e">
        <f t="shared" si="4"/>
        <v>#N/A</v>
      </c>
      <c r="N32" s="6"/>
      <c r="O32" s="6" t="e">
        <f t="shared" si="5"/>
        <v>#N/A</v>
      </c>
      <c r="Q32" s="6">
        <v>3</v>
      </c>
      <c r="R32" s="6">
        <v>13</v>
      </c>
      <c r="S32" s="6">
        <v>4</v>
      </c>
      <c r="T32" s="6"/>
      <c r="U32" s="6">
        <f t="shared" si="7"/>
        <v>306240</v>
      </c>
      <c r="V32" s="6" t="e">
        <f t="shared" si="6"/>
        <v>#N/A</v>
      </c>
    </row>
    <row r="33" spans="2:22" x14ac:dyDescent="0.3">
      <c r="B33" s="64">
        <v>28</v>
      </c>
      <c r="C33" s="151">
        <v>28</v>
      </c>
      <c r="D33" s="4">
        <v>49000000</v>
      </c>
      <c r="E33" s="6" t="e">
        <f t="shared" si="0"/>
        <v>#N/A</v>
      </c>
      <c r="F33" s="4">
        <v>49000000</v>
      </c>
      <c r="G33" s="6" t="e">
        <f t="shared" si="1"/>
        <v>#N/A</v>
      </c>
      <c r="H33" s="4">
        <v>9900000</v>
      </c>
      <c r="I33" s="6" t="e">
        <f t="shared" si="2"/>
        <v>#N/A</v>
      </c>
      <c r="J33" s="4">
        <v>2400000</v>
      </c>
      <c r="K33" s="6" t="e">
        <f t="shared" si="3"/>
        <v>#N/A</v>
      </c>
      <c r="L33" s="6"/>
      <c r="M33" s="6" t="e">
        <f t="shared" si="4"/>
        <v>#N/A</v>
      </c>
      <c r="N33" s="6"/>
      <c r="O33" s="6" t="e">
        <f t="shared" si="5"/>
        <v>#N/A</v>
      </c>
      <c r="Q33" s="6">
        <v>4</v>
      </c>
      <c r="R33" s="6">
        <v>1</v>
      </c>
      <c r="S33" s="6">
        <v>50</v>
      </c>
      <c r="T33" s="6"/>
      <c r="U33" s="6">
        <f t="shared" si="7"/>
        <v>352200</v>
      </c>
      <c r="V33" s="6" t="e">
        <f t="shared" si="6"/>
        <v>#N/A</v>
      </c>
    </row>
    <row r="34" spans="2:22" x14ac:dyDescent="0.3">
      <c r="B34" s="64">
        <v>29</v>
      </c>
      <c r="C34" s="151">
        <v>29</v>
      </c>
      <c r="D34" s="4">
        <v>61000000</v>
      </c>
      <c r="E34" s="6" t="e">
        <f t="shared" si="0"/>
        <v>#N/A</v>
      </c>
      <c r="F34" s="4">
        <v>61000000</v>
      </c>
      <c r="G34" s="6" t="e">
        <f t="shared" si="1"/>
        <v>#N/A</v>
      </c>
      <c r="H34" s="4">
        <v>12000000</v>
      </c>
      <c r="I34" s="6" t="e">
        <f t="shared" si="2"/>
        <v>#N/A</v>
      </c>
      <c r="J34" s="4">
        <v>3000000</v>
      </c>
      <c r="K34" s="6" t="e">
        <f t="shared" si="3"/>
        <v>#N/A</v>
      </c>
      <c r="L34" s="6"/>
      <c r="M34" s="6" t="e">
        <f t="shared" si="4"/>
        <v>#N/A</v>
      </c>
      <c r="N34" s="6"/>
      <c r="O34" s="6" t="e">
        <f t="shared" si="5"/>
        <v>#N/A</v>
      </c>
      <c r="Q34" s="6">
        <v>4</v>
      </c>
      <c r="R34" s="6">
        <v>16</v>
      </c>
      <c r="S34" s="6">
        <v>31</v>
      </c>
      <c r="T34" s="6"/>
      <c r="U34" s="6">
        <f t="shared" si="7"/>
        <v>405060</v>
      </c>
      <c r="V34" s="6" t="e">
        <f t="shared" si="6"/>
        <v>#N/A</v>
      </c>
    </row>
    <row r="35" spans="2:22" x14ac:dyDescent="0.3">
      <c r="B35" s="64">
        <v>30</v>
      </c>
      <c r="C35" s="151">
        <v>30</v>
      </c>
      <c r="D35" s="4">
        <v>75000000</v>
      </c>
      <c r="E35" s="6" t="e">
        <f t="shared" si="0"/>
        <v>#N/A</v>
      </c>
      <c r="F35" s="4">
        <v>75000000</v>
      </c>
      <c r="G35" s="6" t="e">
        <f t="shared" si="1"/>
        <v>#N/A</v>
      </c>
      <c r="H35" s="4">
        <v>15000000</v>
      </c>
      <c r="I35" s="6" t="e">
        <f t="shared" si="2"/>
        <v>#N/A</v>
      </c>
      <c r="J35" s="4">
        <v>3700000</v>
      </c>
      <c r="K35" s="6" t="e">
        <f t="shared" si="3"/>
        <v>#N/A</v>
      </c>
      <c r="L35" s="6"/>
      <c r="M35" s="6" t="e">
        <f t="shared" si="4"/>
        <v>#N/A</v>
      </c>
      <c r="N35" s="6"/>
      <c r="O35" s="6" t="e">
        <f t="shared" si="5"/>
        <v>#N/A</v>
      </c>
      <c r="Q35" s="6">
        <v>5</v>
      </c>
      <c r="R35" s="6">
        <v>15</v>
      </c>
      <c r="S35" s="6">
        <v>1</v>
      </c>
      <c r="T35" s="6"/>
      <c r="U35" s="6">
        <f t="shared" si="7"/>
        <v>486060</v>
      </c>
      <c r="V35" s="6" t="e">
        <f t="shared" si="6"/>
        <v>#N/A</v>
      </c>
    </row>
    <row r="36" spans="2:22" x14ac:dyDescent="0.3">
      <c r="B36" s="64" t="s">
        <v>34</v>
      </c>
      <c r="C36" s="151">
        <v>31</v>
      </c>
      <c r="D36" s="4">
        <v>16000000</v>
      </c>
      <c r="E36" s="6" t="e">
        <f t="shared" si="0"/>
        <v>#N/A</v>
      </c>
      <c r="F36" s="4">
        <v>16000000</v>
      </c>
      <c r="G36" s="6" t="e">
        <f t="shared" si="1"/>
        <v>#N/A</v>
      </c>
      <c r="H36" s="4">
        <v>3300000</v>
      </c>
      <c r="I36" s="6" t="e">
        <f t="shared" si="2"/>
        <v>#N/A</v>
      </c>
      <c r="J36" s="4">
        <v>840000</v>
      </c>
      <c r="K36" s="6" t="e">
        <f t="shared" si="3"/>
        <v>#N/A</v>
      </c>
      <c r="L36" s="6">
        <v>26</v>
      </c>
      <c r="M36" s="6" t="e">
        <f t="shared" si="4"/>
        <v>#N/A</v>
      </c>
      <c r="N36" s="6"/>
      <c r="O36" s="6" t="e">
        <f t="shared" si="5"/>
        <v>#N/A</v>
      </c>
      <c r="Q36" s="6"/>
      <c r="R36" s="6">
        <v>23</v>
      </c>
      <c r="S36" s="6">
        <v>31</v>
      </c>
      <c r="T36" s="6"/>
      <c r="U36" s="6">
        <f t="shared" si="7"/>
        <v>84660</v>
      </c>
      <c r="V36" s="6" t="e">
        <f t="shared" si="6"/>
        <v>#N/A</v>
      </c>
    </row>
    <row r="37" spans="2:22" x14ac:dyDescent="0.3">
      <c r="B37" s="64" t="s">
        <v>35</v>
      </c>
      <c r="C37" s="151">
        <v>32</v>
      </c>
      <c r="D37" s="4">
        <v>16000000</v>
      </c>
      <c r="E37" s="6" t="e">
        <f t="shared" si="0"/>
        <v>#N/A</v>
      </c>
      <c r="F37" s="4">
        <v>16000000</v>
      </c>
      <c r="G37" s="6" t="e">
        <f t="shared" si="1"/>
        <v>#N/A</v>
      </c>
      <c r="H37" s="4">
        <v>3300000</v>
      </c>
      <c r="I37" s="6" t="e">
        <f t="shared" si="2"/>
        <v>#N/A</v>
      </c>
      <c r="J37" s="4">
        <v>840000</v>
      </c>
      <c r="K37" s="6" t="e">
        <f t="shared" si="3"/>
        <v>#N/A</v>
      </c>
      <c r="L37" s="6">
        <v>26</v>
      </c>
      <c r="M37" s="6" t="e">
        <f t="shared" si="4"/>
        <v>#N/A</v>
      </c>
      <c r="N37" s="6"/>
      <c r="O37" s="6" t="e">
        <f t="shared" si="5"/>
        <v>#N/A</v>
      </c>
      <c r="Q37" s="6"/>
      <c r="R37" s="6">
        <v>23</v>
      </c>
      <c r="S37" s="6">
        <v>31</v>
      </c>
      <c r="T37" s="6"/>
      <c r="U37" s="6">
        <f t="shared" si="7"/>
        <v>84660</v>
      </c>
      <c r="V37" s="6" t="e">
        <f t="shared" si="6"/>
        <v>#N/A</v>
      </c>
    </row>
    <row r="38" spans="2:22" x14ac:dyDescent="0.3">
      <c r="B38" s="64" t="s">
        <v>36</v>
      </c>
      <c r="C38" s="151">
        <v>33</v>
      </c>
      <c r="D38" s="4">
        <v>16000000</v>
      </c>
      <c r="E38" s="6" t="e">
        <f t="shared" ref="E38:E69" si="8">IF($C38&gt;VLOOKUP(InfirmaryDesired,$B$6:$C$85,2,FALSE),"",IF($C38&gt;VLOOKUP(InfirmaryCurrent,$B$6:$C$85,2,FALSE),D38,""))</f>
        <v>#N/A</v>
      </c>
      <c r="F38" s="4">
        <v>16000000</v>
      </c>
      <c r="G38" s="6" t="e">
        <f t="shared" ref="G38:G69" si="9">IF($C38&gt;VLOOKUP(InfirmaryDesired,$B$6:$C$85,2,FALSE),"",IF($C38&gt;VLOOKUP(InfirmaryCurrent,$B$6:$C$85,2,FALSE),F38,""))</f>
        <v>#N/A</v>
      </c>
      <c r="H38" s="4">
        <v>3300000</v>
      </c>
      <c r="I38" s="6" t="e">
        <f t="shared" ref="I38:I69" si="10">IF($C38&gt;VLOOKUP(InfirmaryDesired,$B$6:$C$85,2,FALSE),"",IF($C38&gt;VLOOKUP(InfirmaryCurrent,$B$6:$C$85,2,FALSE),H38,""))</f>
        <v>#N/A</v>
      </c>
      <c r="J38" s="4">
        <v>840000</v>
      </c>
      <c r="K38" s="6" t="e">
        <f t="shared" ref="K38:K69" si="11">IF($C38&gt;VLOOKUP(InfirmaryDesired,$B$6:$C$85,2,FALSE),"",IF($C38&gt;VLOOKUP(InfirmaryCurrent,$B$6:$C$85,2,FALSE),J38,""))</f>
        <v>#N/A</v>
      </c>
      <c r="L38" s="6">
        <v>26</v>
      </c>
      <c r="M38" s="6" t="e">
        <f t="shared" ref="M38:M69" si="12">IF($C38&gt;VLOOKUP(InfirmaryDesired,$B$6:$C$85,2,FALSE),"",IF($C38&gt;VLOOKUP(InfirmaryCurrent,$B$6:$C$85,2,FALSE),L38,""))</f>
        <v>#N/A</v>
      </c>
      <c r="N38" s="6"/>
      <c r="O38" s="6" t="e">
        <f t="shared" ref="O38:O69" si="13">IF($C38&gt;VLOOKUP(InfirmaryDesired,$B$6:$C$85,2,FALSE),"",IF($C38&gt;VLOOKUP(InfirmaryCurrent,$B$6:$C$85,2,FALSE),N38,""))</f>
        <v>#N/A</v>
      </c>
      <c r="Q38" s="6"/>
      <c r="R38" s="6">
        <v>23</v>
      </c>
      <c r="S38" s="6">
        <v>31</v>
      </c>
      <c r="T38" s="6"/>
      <c r="U38" s="6">
        <f t="shared" si="7"/>
        <v>84660</v>
      </c>
      <c r="V38" s="6" t="e">
        <f t="shared" ref="V38:V69" si="14">IF($C38&gt;VLOOKUP(InfirmaryDesired,$B$6:$C$85,2,FALSE),"",IF($C38&gt;VLOOKUP(InfirmaryCurrent,$B$6:$C$85,2,FALSE),U38,""))</f>
        <v>#N/A</v>
      </c>
    </row>
    <row r="39" spans="2:22" x14ac:dyDescent="0.3">
      <c r="B39" s="64" t="s">
        <v>37</v>
      </c>
      <c r="C39" s="151">
        <v>34</v>
      </c>
      <c r="D39" s="4">
        <v>16000000</v>
      </c>
      <c r="E39" s="6" t="e">
        <f t="shared" si="8"/>
        <v>#N/A</v>
      </c>
      <c r="F39" s="4">
        <v>16000000</v>
      </c>
      <c r="G39" s="6" t="e">
        <f t="shared" si="9"/>
        <v>#N/A</v>
      </c>
      <c r="H39" s="4">
        <v>3300000</v>
      </c>
      <c r="I39" s="6" t="e">
        <f t="shared" si="10"/>
        <v>#N/A</v>
      </c>
      <c r="J39" s="4">
        <v>840000</v>
      </c>
      <c r="K39" s="6" t="e">
        <f t="shared" si="11"/>
        <v>#N/A</v>
      </c>
      <c r="L39" s="6">
        <v>26</v>
      </c>
      <c r="M39" s="6" t="e">
        <f t="shared" si="12"/>
        <v>#N/A</v>
      </c>
      <c r="N39" s="6"/>
      <c r="O39" s="6" t="e">
        <f t="shared" si="13"/>
        <v>#N/A</v>
      </c>
      <c r="Q39" s="6"/>
      <c r="R39" s="6">
        <v>23</v>
      </c>
      <c r="S39" s="6">
        <v>31</v>
      </c>
      <c r="T39" s="6"/>
      <c r="U39" s="6">
        <f t="shared" si="7"/>
        <v>84660</v>
      </c>
      <c r="V39" s="6" t="e">
        <f t="shared" si="14"/>
        <v>#N/A</v>
      </c>
    </row>
    <row r="40" spans="2:22" x14ac:dyDescent="0.3">
      <c r="B40" s="64" t="s">
        <v>38</v>
      </c>
      <c r="C40" s="151">
        <v>35</v>
      </c>
      <c r="D40" s="4">
        <v>16000000</v>
      </c>
      <c r="E40" s="6" t="e">
        <f t="shared" si="8"/>
        <v>#N/A</v>
      </c>
      <c r="F40" s="4">
        <v>16000000</v>
      </c>
      <c r="G40" s="6" t="e">
        <f t="shared" si="9"/>
        <v>#N/A</v>
      </c>
      <c r="H40" s="4">
        <v>3300000</v>
      </c>
      <c r="I40" s="6" t="e">
        <f t="shared" si="10"/>
        <v>#N/A</v>
      </c>
      <c r="J40" s="4">
        <v>840000</v>
      </c>
      <c r="K40" s="6" t="e">
        <f t="shared" si="11"/>
        <v>#N/A</v>
      </c>
      <c r="L40" s="6">
        <v>26</v>
      </c>
      <c r="M40" s="6" t="e">
        <f t="shared" si="12"/>
        <v>#N/A</v>
      </c>
      <c r="N40" s="6"/>
      <c r="O40" s="6" t="e">
        <f t="shared" si="13"/>
        <v>#N/A</v>
      </c>
      <c r="Q40" s="6"/>
      <c r="R40" s="6">
        <v>23</v>
      </c>
      <c r="S40" s="6">
        <v>31</v>
      </c>
      <c r="T40" s="6"/>
      <c r="U40" s="6">
        <f t="shared" si="7"/>
        <v>84660</v>
      </c>
      <c r="V40" s="6" t="e">
        <f t="shared" si="14"/>
        <v>#N/A</v>
      </c>
    </row>
    <row r="41" spans="2:22" x14ac:dyDescent="0.3">
      <c r="B41" s="64" t="s">
        <v>39</v>
      </c>
      <c r="C41" s="151">
        <v>36</v>
      </c>
      <c r="D41" s="4">
        <v>18000000</v>
      </c>
      <c r="E41" s="6" t="e">
        <f t="shared" si="8"/>
        <v>#N/A</v>
      </c>
      <c r="F41" s="4">
        <v>18000000</v>
      </c>
      <c r="G41" s="6" t="e">
        <f t="shared" si="9"/>
        <v>#N/A</v>
      </c>
      <c r="H41" s="4">
        <v>3600000</v>
      </c>
      <c r="I41" s="6" t="e">
        <f t="shared" si="10"/>
        <v>#N/A</v>
      </c>
      <c r="J41" s="4">
        <v>900000</v>
      </c>
      <c r="K41" s="6" t="e">
        <f t="shared" si="11"/>
        <v>#N/A</v>
      </c>
      <c r="L41" s="6">
        <v>31</v>
      </c>
      <c r="M41" s="6" t="e">
        <f t="shared" si="12"/>
        <v>#N/A</v>
      </c>
      <c r="N41" s="6"/>
      <c r="O41" s="6" t="e">
        <f t="shared" si="13"/>
        <v>#N/A</v>
      </c>
      <c r="Q41" s="6">
        <v>1</v>
      </c>
      <c r="R41" s="6">
        <v>6</v>
      </c>
      <c r="S41" s="6">
        <v>14</v>
      </c>
      <c r="T41" s="6"/>
      <c r="U41" s="6">
        <f t="shared" si="7"/>
        <v>108840</v>
      </c>
      <c r="V41" s="6" t="e">
        <f t="shared" si="14"/>
        <v>#N/A</v>
      </c>
    </row>
    <row r="42" spans="2:22" x14ac:dyDescent="0.3">
      <c r="B42" s="64" t="s">
        <v>40</v>
      </c>
      <c r="C42" s="151">
        <v>37</v>
      </c>
      <c r="D42" s="4">
        <v>18000000</v>
      </c>
      <c r="E42" s="6" t="e">
        <f t="shared" si="8"/>
        <v>#N/A</v>
      </c>
      <c r="F42" s="4">
        <v>18000000</v>
      </c>
      <c r="G42" s="6" t="e">
        <f t="shared" si="9"/>
        <v>#N/A</v>
      </c>
      <c r="H42" s="4">
        <v>3600000</v>
      </c>
      <c r="I42" s="6" t="e">
        <f t="shared" si="10"/>
        <v>#N/A</v>
      </c>
      <c r="J42" s="4">
        <v>900000</v>
      </c>
      <c r="K42" s="6" t="e">
        <f t="shared" si="11"/>
        <v>#N/A</v>
      </c>
      <c r="L42" s="6">
        <v>31</v>
      </c>
      <c r="M42" s="6" t="e">
        <f t="shared" si="12"/>
        <v>#N/A</v>
      </c>
      <c r="N42" s="6"/>
      <c r="O42" s="6" t="e">
        <f t="shared" si="13"/>
        <v>#N/A</v>
      </c>
      <c r="Q42" s="6">
        <v>1</v>
      </c>
      <c r="R42" s="6">
        <v>6</v>
      </c>
      <c r="S42" s="6">
        <v>14</v>
      </c>
      <c r="T42" s="6"/>
      <c r="U42" s="6">
        <f t="shared" si="7"/>
        <v>108840</v>
      </c>
      <c r="V42" s="6" t="e">
        <f t="shared" si="14"/>
        <v>#N/A</v>
      </c>
    </row>
    <row r="43" spans="2:22" x14ac:dyDescent="0.3">
      <c r="B43" s="64" t="s">
        <v>41</v>
      </c>
      <c r="C43" s="151">
        <v>38</v>
      </c>
      <c r="D43" s="4">
        <v>18000000</v>
      </c>
      <c r="E43" s="6" t="e">
        <f t="shared" si="8"/>
        <v>#N/A</v>
      </c>
      <c r="F43" s="4">
        <v>18000000</v>
      </c>
      <c r="G43" s="6" t="e">
        <f t="shared" si="9"/>
        <v>#N/A</v>
      </c>
      <c r="H43" s="4">
        <v>3600000</v>
      </c>
      <c r="I43" s="6" t="e">
        <f t="shared" si="10"/>
        <v>#N/A</v>
      </c>
      <c r="J43" s="4">
        <v>900000</v>
      </c>
      <c r="K43" s="6" t="e">
        <f t="shared" si="11"/>
        <v>#N/A</v>
      </c>
      <c r="L43" s="6">
        <v>31</v>
      </c>
      <c r="M43" s="6" t="e">
        <f t="shared" si="12"/>
        <v>#N/A</v>
      </c>
      <c r="N43" s="6"/>
      <c r="O43" s="6" t="e">
        <f t="shared" si="13"/>
        <v>#N/A</v>
      </c>
      <c r="Q43" s="6">
        <v>1</v>
      </c>
      <c r="R43" s="6">
        <v>6</v>
      </c>
      <c r="S43" s="6">
        <v>14</v>
      </c>
      <c r="T43" s="6"/>
      <c r="U43" s="6">
        <f t="shared" si="7"/>
        <v>108840</v>
      </c>
      <c r="V43" s="6" t="e">
        <f t="shared" si="14"/>
        <v>#N/A</v>
      </c>
    </row>
    <row r="44" spans="2:22" x14ac:dyDescent="0.3">
      <c r="B44" s="64" t="s">
        <v>42</v>
      </c>
      <c r="C44" s="151">
        <v>39</v>
      </c>
      <c r="D44" s="4">
        <v>18000000</v>
      </c>
      <c r="E44" s="6" t="e">
        <f t="shared" si="8"/>
        <v>#N/A</v>
      </c>
      <c r="F44" s="4">
        <v>18000000</v>
      </c>
      <c r="G44" s="6" t="e">
        <f t="shared" si="9"/>
        <v>#N/A</v>
      </c>
      <c r="H44" s="4">
        <v>3600000</v>
      </c>
      <c r="I44" s="6" t="e">
        <f t="shared" si="10"/>
        <v>#N/A</v>
      </c>
      <c r="J44" s="4">
        <v>900000</v>
      </c>
      <c r="K44" s="6" t="e">
        <f t="shared" si="11"/>
        <v>#N/A</v>
      </c>
      <c r="L44" s="6">
        <v>31</v>
      </c>
      <c r="M44" s="6" t="e">
        <f t="shared" si="12"/>
        <v>#N/A</v>
      </c>
      <c r="N44" s="6"/>
      <c r="O44" s="6" t="e">
        <f t="shared" si="13"/>
        <v>#N/A</v>
      </c>
      <c r="Q44" s="6">
        <v>1</v>
      </c>
      <c r="R44" s="6">
        <v>6</v>
      </c>
      <c r="S44" s="6">
        <v>14</v>
      </c>
      <c r="T44" s="6"/>
      <c r="U44" s="6">
        <f t="shared" si="7"/>
        <v>108840</v>
      </c>
      <c r="V44" s="6" t="e">
        <f t="shared" si="14"/>
        <v>#N/A</v>
      </c>
    </row>
    <row r="45" spans="2:22" x14ac:dyDescent="0.3">
      <c r="B45" s="64" t="s">
        <v>43</v>
      </c>
      <c r="C45" s="151">
        <v>40</v>
      </c>
      <c r="D45" s="4">
        <v>18000000</v>
      </c>
      <c r="E45" s="6" t="e">
        <f t="shared" si="8"/>
        <v>#N/A</v>
      </c>
      <c r="F45" s="4">
        <v>18000000</v>
      </c>
      <c r="G45" s="6" t="e">
        <f t="shared" si="9"/>
        <v>#N/A</v>
      </c>
      <c r="H45" s="4">
        <v>3600000</v>
      </c>
      <c r="I45" s="6" t="e">
        <f t="shared" si="10"/>
        <v>#N/A</v>
      </c>
      <c r="J45" s="4">
        <v>900000</v>
      </c>
      <c r="K45" s="6" t="e">
        <f t="shared" si="11"/>
        <v>#N/A</v>
      </c>
      <c r="L45" s="6">
        <v>31</v>
      </c>
      <c r="M45" s="6" t="e">
        <f t="shared" si="12"/>
        <v>#N/A</v>
      </c>
      <c r="N45" s="6"/>
      <c r="O45" s="6" t="e">
        <f t="shared" si="13"/>
        <v>#N/A</v>
      </c>
      <c r="Q45" s="6">
        <v>1</v>
      </c>
      <c r="R45" s="6">
        <v>6</v>
      </c>
      <c r="S45" s="6">
        <v>14</v>
      </c>
      <c r="T45" s="6"/>
      <c r="U45" s="6">
        <f t="shared" si="7"/>
        <v>108840</v>
      </c>
      <c r="V45" s="6" t="e">
        <f t="shared" si="14"/>
        <v>#N/A</v>
      </c>
    </row>
    <row r="46" spans="2:22" x14ac:dyDescent="0.3">
      <c r="B46" s="64" t="s">
        <v>44</v>
      </c>
      <c r="C46" s="151">
        <v>41</v>
      </c>
      <c r="D46" s="4">
        <v>19000000</v>
      </c>
      <c r="E46" s="6" t="e">
        <f t="shared" si="8"/>
        <v>#N/A</v>
      </c>
      <c r="F46" s="4">
        <v>19000000</v>
      </c>
      <c r="G46" s="6" t="e">
        <f t="shared" si="9"/>
        <v>#N/A</v>
      </c>
      <c r="H46" s="4">
        <v>3900000</v>
      </c>
      <c r="I46" s="6" t="e">
        <f t="shared" si="10"/>
        <v>#N/A</v>
      </c>
      <c r="J46" s="4">
        <v>990000</v>
      </c>
      <c r="K46" s="6" t="e">
        <f t="shared" si="11"/>
        <v>#N/A</v>
      </c>
      <c r="L46" s="6">
        <v>47</v>
      </c>
      <c r="M46" s="6" t="e">
        <f t="shared" si="12"/>
        <v>#N/A</v>
      </c>
      <c r="N46" s="6"/>
      <c r="O46" s="6" t="e">
        <f t="shared" si="13"/>
        <v>#N/A</v>
      </c>
      <c r="Q46" s="6">
        <v>1</v>
      </c>
      <c r="R46" s="6">
        <v>12</v>
      </c>
      <c r="S46" s="6">
        <v>57</v>
      </c>
      <c r="T46" s="6"/>
      <c r="U46" s="6">
        <f t="shared" si="7"/>
        <v>133020</v>
      </c>
      <c r="V46" s="6" t="e">
        <f t="shared" si="14"/>
        <v>#N/A</v>
      </c>
    </row>
    <row r="47" spans="2:22" x14ac:dyDescent="0.3">
      <c r="B47" s="64" t="s">
        <v>45</v>
      </c>
      <c r="C47" s="151">
        <v>42</v>
      </c>
      <c r="D47" s="4">
        <v>19000000</v>
      </c>
      <c r="E47" s="6" t="e">
        <f t="shared" si="8"/>
        <v>#N/A</v>
      </c>
      <c r="F47" s="4">
        <v>19000000</v>
      </c>
      <c r="G47" s="6" t="e">
        <f t="shared" si="9"/>
        <v>#N/A</v>
      </c>
      <c r="H47" s="4">
        <v>3900000</v>
      </c>
      <c r="I47" s="6" t="e">
        <f t="shared" si="10"/>
        <v>#N/A</v>
      </c>
      <c r="J47" s="4">
        <v>990000</v>
      </c>
      <c r="K47" s="6" t="e">
        <f t="shared" si="11"/>
        <v>#N/A</v>
      </c>
      <c r="L47" s="6">
        <v>47</v>
      </c>
      <c r="M47" s="6" t="e">
        <f t="shared" si="12"/>
        <v>#N/A</v>
      </c>
      <c r="N47" s="6"/>
      <c r="O47" s="6" t="e">
        <f t="shared" si="13"/>
        <v>#N/A</v>
      </c>
      <c r="Q47" s="6">
        <v>1</v>
      </c>
      <c r="R47" s="6">
        <v>12</v>
      </c>
      <c r="S47" s="6">
        <v>57</v>
      </c>
      <c r="T47" s="6"/>
      <c r="U47" s="6">
        <f t="shared" si="7"/>
        <v>133020</v>
      </c>
      <c r="V47" s="6" t="e">
        <f t="shared" si="14"/>
        <v>#N/A</v>
      </c>
    </row>
    <row r="48" spans="2:22" x14ac:dyDescent="0.3">
      <c r="B48" s="64" t="s">
        <v>46</v>
      </c>
      <c r="C48" s="151">
        <v>43</v>
      </c>
      <c r="D48" s="4">
        <v>19000000</v>
      </c>
      <c r="E48" s="6" t="e">
        <f t="shared" si="8"/>
        <v>#N/A</v>
      </c>
      <c r="F48" s="4">
        <v>19000000</v>
      </c>
      <c r="G48" s="6" t="e">
        <f t="shared" si="9"/>
        <v>#N/A</v>
      </c>
      <c r="H48" s="4">
        <v>3900000</v>
      </c>
      <c r="I48" s="6" t="e">
        <f t="shared" si="10"/>
        <v>#N/A</v>
      </c>
      <c r="J48" s="4">
        <v>990000</v>
      </c>
      <c r="K48" s="6" t="e">
        <f t="shared" si="11"/>
        <v>#N/A</v>
      </c>
      <c r="L48" s="6">
        <v>47</v>
      </c>
      <c r="M48" s="6" t="e">
        <f t="shared" si="12"/>
        <v>#N/A</v>
      </c>
      <c r="N48" s="6"/>
      <c r="O48" s="6" t="e">
        <f t="shared" si="13"/>
        <v>#N/A</v>
      </c>
      <c r="Q48" s="6">
        <v>1</v>
      </c>
      <c r="R48" s="6">
        <v>12</v>
      </c>
      <c r="S48" s="6">
        <v>57</v>
      </c>
      <c r="T48" s="6"/>
      <c r="U48" s="6">
        <f t="shared" si="7"/>
        <v>133020</v>
      </c>
      <c r="V48" s="6" t="e">
        <f t="shared" si="14"/>
        <v>#N/A</v>
      </c>
    </row>
    <row r="49" spans="2:22" x14ac:dyDescent="0.3">
      <c r="B49" s="64" t="s">
        <v>47</v>
      </c>
      <c r="C49" s="151">
        <v>44</v>
      </c>
      <c r="D49" s="4">
        <v>19000000</v>
      </c>
      <c r="E49" s="6" t="e">
        <f t="shared" si="8"/>
        <v>#N/A</v>
      </c>
      <c r="F49" s="4">
        <v>19000000</v>
      </c>
      <c r="G49" s="6" t="e">
        <f t="shared" si="9"/>
        <v>#N/A</v>
      </c>
      <c r="H49" s="4">
        <v>3900000</v>
      </c>
      <c r="I49" s="6" t="e">
        <f t="shared" si="10"/>
        <v>#N/A</v>
      </c>
      <c r="J49" s="4">
        <v>990000</v>
      </c>
      <c r="K49" s="6" t="e">
        <f t="shared" si="11"/>
        <v>#N/A</v>
      </c>
      <c r="L49" s="6">
        <v>47</v>
      </c>
      <c r="M49" s="6" t="e">
        <f t="shared" si="12"/>
        <v>#N/A</v>
      </c>
      <c r="N49" s="6"/>
      <c r="O49" s="6" t="e">
        <f t="shared" si="13"/>
        <v>#N/A</v>
      </c>
      <c r="Q49" s="6">
        <v>1</v>
      </c>
      <c r="R49" s="6">
        <v>12</v>
      </c>
      <c r="S49" s="6">
        <v>57</v>
      </c>
      <c r="T49" s="6"/>
      <c r="U49" s="6">
        <f t="shared" si="7"/>
        <v>133020</v>
      </c>
      <c r="V49" s="6" t="e">
        <f t="shared" si="14"/>
        <v>#N/A</v>
      </c>
    </row>
    <row r="50" spans="2:22" x14ac:dyDescent="0.3">
      <c r="B50" s="64" t="s">
        <v>48</v>
      </c>
      <c r="C50" s="151">
        <v>45</v>
      </c>
      <c r="D50" s="4">
        <v>19000000</v>
      </c>
      <c r="E50" s="6" t="e">
        <f t="shared" si="8"/>
        <v>#N/A</v>
      </c>
      <c r="F50" s="4">
        <v>19000000</v>
      </c>
      <c r="G50" s="6" t="e">
        <f t="shared" si="9"/>
        <v>#N/A</v>
      </c>
      <c r="H50" s="4">
        <v>3900000</v>
      </c>
      <c r="I50" s="6" t="e">
        <f t="shared" si="10"/>
        <v>#N/A</v>
      </c>
      <c r="J50" s="4">
        <v>990000</v>
      </c>
      <c r="K50" s="6" t="e">
        <f t="shared" si="11"/>
        <v>#N/A</v>
      </c>
      <c r="L50" s="6">
        <v>47</v>
      </c>
      <c r="M50" s="6" t="e">
        <f t="shared" si="12"/>
        <v>#N/A</v>
      </c>
      <c r="N50" s="6"/>
      <c r="O50" s="6" t="e">
        <f t="shared" si="13"/>
        <v>#N/A</v>
      </c>
      <c r="Q50" s="6">
        <v>1</v>
      </c>
      <c r="R50" s="6">
        <v>12</v>
      </c>
      <c r="S50" s="6">
        <v>57</v>
      </c>
      <c r="T50" s="6"/>
      <c r="U50" s="6">
        <f t="shared" si="7"/>
        <v>133020</v>
      </c>
      <c r="V50" s="6" t="e">
        <f t="shared" si="14"/>
        <v>#N/A</v>
      </c>
    </row>
    <row r="51" spans="2:22" x14ac:dyDescent="0.3">
      <c r="B51" s="64" t="s">
        <v>49</v>
      </c>
      <c r="C51" s="151">
        <v>46</v>
      </c>
      <c r="D51" s="4">
        <v>20000000</v>
      </c>
      <c r="E51" s="6" t="e">
        <f t="shared" si="8"/>
        <v>#N/A</v>
      </c>
      <c r="F51" s="4">
        <v>20000000</v>
      </c>
      <c r="G51" s="6" t="e">
        <f t="shared" si="9"/>
        <v>#N/A</v>
      </c>
      <c r="H51" s="4">
        <v>4100000</v>
      </c>
      <c r="I51" s="6" t="e">
        <f t="shared" si="10"/>
        <v>#N/A</v>
      </c>
      <c r="J51" s="4">
        <v>1000000</v>
      </c>
      <c r="K51" s="6" t="e">
        <f t="shared" si="11"/>
        <v>#N/A</v>
      </c>
      <c r="L51" s="6">
        <v>56</v>
      </c>
      <c r="M51" s="6" t="e">
        <f t="shared" si="12"/>
        <v>#N/A</v>
      </c>
      <c r="N51" s="6"/>
      <c r="O51" s="6" t="e">
        <f t="shared" si="13"/>
        <v>#N/A</v>
      </c>
      <c r="Q51" s="6">
        <v>1</v>
      </c>
      <c r="R51" s="6">
        <v>16</v>
      </c>
      <c r="S51" s="6">
        <v>19</v>
      </c>
      <c r="T51" s="6"/>
      <c r="U51" s="6">
        <f t="shared" si="7"/>
        <v>145140</v>
      </c>
      <c r="V51" s="6" t="e">
        <f t="shared" si="14"/>
        <v>#N/A</v>
      </c>
    </row>
    <row r="52" spans="2:22" x14ac:dyDescent="0.3">
      <c r="B52" s="64" t="s">
        <v>50</v>
      </c>
      <c r="C52" s="151">
        <v>47</v>
      </c>
      <c r="D52" s="4">
        <v>20000000</v>
      </c>
      <c r="E52" s="6" t="e">
        <f t="shared" si="8"/>
        <v>#N/A</v>
      </c>
      <c r="F52" s="4">
        <v>20000000</v>
      </c>
      <c r="G52" s="6" t="e">
        <f t="shared" si="9"/>
        <v>#N/A</v>
      </c>
      <c r="H52" s="4">
        <v>4100000</v>
      </c>
      <c r="I52" s="6" t="e">
        <f t="shared" si="10"/>
        <v>#N/A</v>
      </c>
      <c r="J52" s="4">
        <v>1000000</v>
      </c>
      <c r="K52" s="6" t="e">
        <f t="shared" si="11"/>
        <v>#N/A</v>
      </c>
      <c r="L52" s="6">
        <v>56</v>
      </c>
      <c r="M52" s="6" t="e">
        <f t="shared" si="12"/>
        <v>#N/A</v>
      </c>
      <c r="N52" s="6"/>
      <c r="O52" s="6" t="e">
        <f t="shared" si="13"/>
        <v>#N/A</v>
      </c>
      <c r="Q52" s="6">
        <v>1</v>
      </c>
      <c r="R52" s="6">
        <v>16</v>
      </c>
      <c r="S52" s="6">
        <v>19</v>
      </c>
      <c r="T52" s="6"/>
      <c r="U52" s="6">
        <f t="shared" si="7"/>
        <v>145140</v>
      </c>
      <c r="V52" s="6" t="e">
        <f t="shared" si="14"/>
        <v>#N/A</v>
      </c>
    </row>
    <row r="53" spans="2:22" x14ac:dyDescent="0.3">
      <c r="B53" s="64" t="s">
        <v>51</v>
      </c>
      <c r="C53" s="151">
        <v>48</v>
      </c>
      <c r="D53" s="4">
        <v>20000000</v>
      </c>
      <c r="E53" s="6" t="e">
        <f t="shared" si="8"/>
        <v>#N/A</v>
      </c>
      <c r="F53" s="4">
        <v>20000000</v>
      </c>
      <c r="G53" s="6" t="e">
        <f t="shared" si="9"/>
        <v>#N/A</v>
      </c>
      <c r="H53" s="4">
        <v>4100000</v>
      </c>
      <c r="I53" s="6" t="e">
        <f t="shared" si="10"/>
        <v>#N/A</v>
      </c>
      <c r="J53" s="4">
        <v>1000000</v>
      </c>
      <c r="K53" s="6" t="e">
        <f t="shared" si="11"/>
        <v>#N/A</v>
      </c>
      <c r="L53" s="6">
        <v>56</v>
      </c>
      <c r="M53" s="6" t="e">
        <f t="shared" si="12"/>
        <v>#N/A</v>
      </c>
      <c r="N53" s="6"/>
      <c r="O53" s="6" t="e">
        <f t="shared" si="13"/>
        <v>#N/A</v>
      </c>
      <c r="Q53" s="6">
        <v>1</v>
      </c>
      <c r="R53" s="6">
        <v>16</v>
      </c>
      <c r="S53" s="6">
        <v>19</v>
      </c>
      <c r="T53" s="6"/>
      <c r="U53" s="6">
        <f t="shared" si="7"/>
        <v>145140</v>
      </c>
      <c r="V53" s="6" t="e">
        <f t="shared" si="14"/>
        <v>#N/A</v>
      </c>
    </row>
    <row r="54" spans="2:22" x14ac:dyDescent="0.3">
      <c r="B54" s="64" t="s">
        <v>52</v>
      </c>
      <c r="C54" s="151">
        <v>49</v>
      </c>
      <c r="D54" s="4">
        <v>20000000</v>
      </c>
      <c r="E54" s="6" t="e">
        <f t="shared" si="8"/>
        <v>#N/A</v>
      </c>
      <c r="F54" s="4">
        <v>20000000</v>
      </c>
      <c r="G54" s="6" t="e">
        <f t="shared" si="9"/>
        <v>#N/A</v>
      </c>
      <c r="H54" s="4">
        <v>4100000</v>
      </c>
      <c r="I54" s="6" t="e">
        <f t="shared" si="10"/>
        <v>#N/A</v>
      </c>
      <c r="J54" s="4">
        <v>1000000</v>
      </c>
      <c r="K54" s="6" t="e">
        <f t="shared" si="11"/>
        <v>#N/A</v>
      </c>
      <c r="L54" s="6">
        <v>56</v>
      </c>
      <c r="M54" s="6" t="e">
        <f t="shared" si="12"/>
        <v>#N/A</v>
      </c>
      <c r="N54" s="6"/>
      <c r="O54" s="6" t="e">
        <f t="shared" si="13"/>
        <v>#N/A</v>
      </c>
      <c r="Q54" s="6">
        <v>1</v>
      </c>
      <c r="R54" s="6">
        <v>16</v>
      </c>
      <c r="S54" s="6">
        <v>19</v>
      </c>
      <c r="T54" s="6"/>
      <c r="U54" s="6">
        <f t="shared" si="7"/>
        <v>145140</v>
      </c>
      <c r="V54" s="6" t="e">
        <f t="shared" si="14"/>
        <v>#N/A</v>
      </c>
    </row>
    <row r="55" spans="2:22" x14ac:dyDescent="0.3">
      <c r="B55" s="64" t="s">
        <v>53</v>
      </c>
      <c r="C55" s="151">
        <v>50</v>
      </c>
      <c r="D55" s="4">
        <v>20000000</v>
      </c>
      <c r="E55" s="6" t="e">
        <f t="shared" si="8"/>
        <v>#N/A</v>
      </c>
      <c r="F55" s="4">
        <v>20000000</v>
      </c>
      <c r="G55" s="6" t="e">
        <f t="shared" si="9"/>
        <v>#N/A</v>
      </c>
      <c r="H55" s="4">
        <v>4100000</v>
      </c>
      <c r="I55" s="6" t="e">
        <f t="shared" si="10"/>
        <v>#N/A</v>
      </c>
      <c r="J55" s="4">
        <v>1000000</v>
      </c>
      <c r="K55" s="6" t="e">
        <f t="shared" si="11"/>
        <v>#N/A</v>
      </c>
      <c r="L55" s="6">
        <v>56</v>
      </c>
      <c r="M55" s="6" t="e">
        <f t="shared" si="12"/>
        <v>#N/A</v>
      </c>
      <c r="N55" s="6"/>
      <c r="O55" s="6" t="e">
        <f t="shared" si="13"/>
        <v>#N/A</v>
      </c>
      <c r="Q55" s="6">
        <v>1</v>
      </c>
      <c r="R55" s="6">
        <v>16</v>
      </c>
      <c r="S55" s="6">
        <v>19</v>
      </c>
      <c r="T55" s="6"/>
      <c r="U55" s="6">
        <f t="shared" si="7"/>
        <v>145140</v>
      </c>
      <c r="V55" s="6" t="e">
        <f t="shared" si="14"/>
        <v>#N/A</v>
      </c>
    </row>
    <row r="56" spans="2:22" x14ac:dyDescent="0.3">
      <c r="B56" s="64" t="s">
        <v>54</v>
      </c>
      <c r="C56" s="151">
        <v>51</v>
      </c>
      <c r="D56" s="4">
        <v>21000000</v>
      </c>
      <c r="E56" s="6" t="e">
        <f t="shared" si="8"/>
        <v>#N/A</v>
      </c>
      <c r="F56" s="4">
        <v>21000000</v>
      </c>
      <c r="G56" s="6" t="e">
        <f t="shared" si="9"/>
        <v>#N/A</v>
      </c>
      <c r="H56" s="4">
        <v>4200000</v>
      </c>
      <c r="I56" s="6" t="e">
        <f t="shared" si="10"/>
        <v>#N/A</v>
      </c>
      <c r="J56" s="4">
        <v>1000000</v>
      </c>
      <c r="K56" s="6" t="e">
        <f t="shared" si="11"/>
        <v>#N/A</v>
      </c>
      <c r="L56" s="6">
        <v>67</v>
      </c>
      <c r="M56" s="6" t="e">
        <f t="shared" si="12"/>
        <v>#N/A</v>
      </c>
      <c r="N56" s="6"/>
      <c r="O56" s="6" t="e">
        <f t="shared" si="13"/>
        <v>#N/A</v>
      </c>
      <c r="Q56" s="6">
        <v>1</v>
      </c>
      <c r="R56" s="6">
        <v>23</v>
      </c>
      <c r="S56" s="6">
        <v>2</v>
      </c>
      <c r="T56" s="6"/>
      <c r="U56" s="6">
        <f t="shared" si="7"/>
        <v>169320</v>
      </c>
      <c r="V56" s="6" t="e">
        <f t="shared" si="14"/>
        <v>#N/A</v>
      </c>
    </row>
    <row r="57" spans="2:22" x14ac:dyDescent="0.3">
      <c r="B57" s="64" t="s">
        <v>55</v>
      </c>
      <c r="C57" s="151">
        <v>52</v>
      </c>
      <c r="D57" s="4">
        <v>21000000</v>
      </c>
      <c r="E57" s="6" t="e">
        <f t="shared" si="8"/>
        <v>#N/A</v>
      </c>
      <c r="F57" s="4">
        <v>21000000</v>
      </c>
      <c r="G57" s="6" t="e">
        <f t="shared" si="9"/>
        <v>#N/A</v>
      </c>
      <c r="H57" s="4">
        <v>4200000</v>
      </c>
      <c r="I57" s="6" t="e">
        <f t="shared" si="10"/>
        <v>#N/A</v>
      </c>
      <c r="J57" s="4">
        <v>1000000</v>
      </c>
      <c r="K57" s="6" t="e">
        <f t="shared" si="11"/>
        <v>#N/A</v>
      </c>
      <c r="L57" s="6">
        <v>67</v>
      </c>
      <c r="M57" s="6" t="e">
        <f t="shared" si="12"/>
        <v>#N/A</v>
      </c>
      <c r="N57" s="6"/>
      <c r="O57" s="6" t="e">
        <f t="shared" si="13"/>
        <v>#N/A</v>
      </c>
      <c r="Q57" s="6">
        <v>1</v>
      </c>
      <c r="R57" s="6">
        <v>23</v>
      </c>
      <c r="S57" s="6">
        <v>2</v>
      </c>
      <c r="T57" s="6"/>
      <c r="U57" s="6">
        <f t="shared" si="7"/>
        <v>169320</v>
      </c>
      <c r="V57" s="6" t="e">
        <f t="shared" si="14"/>
        <v>#N/A</v>
      </c>
    </row>
    <row r="58" spans="2:22" x14ac:dyDescent="0.3">
      <c r="B58" s="64" t="s">
        <v>56</v>
      </c>
      <c r="C58" s="151">
        <v>53</v>
      </c>
      <c r="D58" s="4">
        <v>21000000</v>
      </c>
      <c r="E58" s="6" t="e">
        <f t="shared" si="8"/>
        <v>#N/A</v>
      </c>
      <c r="F58" s="4">
        <v>21000000</v>
      </c>
      <c r="G58" s="6" t="e">
        <f t="shared" si="9"/>
        <v>#N/A</v>
      </c>
      <c r="H58" s="4">
        <v>4200000</v>
      </c>
      <c r="I58" s="6" t="e">
        <f t="shared" si="10"/>
        <v>#N/A</v>
      </c>
      <c r="J58" s="4">
        <v>1000000</v>
      </c>
      <c r="K58" s="6" t="e">
        <f t="shared" si="11"/>
        <v>#N/A</v>
      </c>
      <c r="L58" s="6">
        <v>67</v>
      </c>
      <c r="M58" s="6" t="e">
        <f t="shared" si="12"/>
        <v>#N/A</v>
      </c>
      <c r="N58" s="6"/>
      <c r="O58" s="6" t="e">
        <f t="shared" si="13"/>
        <v>#N/A</v>
      </c>
      <c r="Q58" s="6">
        <v>1</v>
      </c>
      <c r="R58" s="6">
        <v>23</v>
      </c>
      <c r="S58" s="6">
        <v>2</v>
      </c>
      <c r="T58" s="6"/>
      <c r="U58" s="6">
        <f t="shared" si="7"/>
        <v>169320</v>
      </c>
      <c r="V58" s="6" t="e">
        <f t="shared" si="14"/>
        <v>#N/A</v>
      </c>
    </row>
    <row r="59" spans="2:22" x14ac:dyDescent="0.3">
      <c r="B59" s="64" t="s">
        <v>57</v>
      </c>
      <c r="C59" s="151">
        <v>54</v>
      </c>
      <c r="D59" s="4">
        <v>21000000</v>
      </c>
      <c r="E59" s="6" t="e">
        <f t="shared" si="8"/>
        <v>#N/A</v>
      </c>
      <c r="F59" s="4">
        <v>21000000</v>
      </c>
      <c r="G59" s="6" t="e">
        <f t="shared" si="9"/>
        <v>#N/A</v>
      </c>
      <c r="H59" s="4">
        <v>4200000</v>
      </c>
      <c r="I59" s="6" t="e">
        <f t="shared" si="10"/>
        <v>#N/A</v>
      </c>
      <c r="J59" s="4">
        <v>1000000</v>
      </c>
      <c r="K59" s="6" t="e">
        <f t="shared" si="11"/>
        <v>#N/A</v>
      </c>
      <c r="L59" s="6">
        <v>67</v>
      </c>
      <c r="M59" s="6" t="e">
        <f t="shared" si="12"/>
        <v>#N/A</v>
      </c>
      <c r="N59" s="6"/>
      <c r="O59" s="6" t="e">
        <f t="shared" si="13"/>
        <v>#N/A</v>
      </c>
      <c r="Q59" s="6">
        <v>1</v>
      </c>
      <c r="R59" s="6">
        <v>23</v>
      </c>
      <c r="S59" s="6">
        <v>2</v>
      </c>
      <c r="T59" s="6"/>
      <c r="U59" s="6">
        <f t="shared" si="7"/>
        <v>169320</v>
      </c>
      <c r="V59" s="6" t="e">
        <f t="shared" si="14"/>
        <v>#N/A</v>
      </c>
    </row>
    <row r="60" spans="2:22" x14ac:dyDescent="0.3">
      <c r="B60" s="64" t="s">
        <v>58</v>
      </c>
      <c r="C60" s="151">
        <v>55</v>
      </c>
      <c r="D60" s="4">
        <v>21000000</v>
      </c>
      <c r="E60" s="6" t="e">
        <f t="shared" si="8"/>
        <v>#N/A</v>
      </c>
      <c r="F60" s="4">
        <v>21000000</v>
      </c>
      <c r="G60" s="6" t="e">
        <f t="shared" si="9"/>
        <v>#N/A</v>
      </c>
      <c r="H60" s="4">
        <v>4200000</v>
      </c>
      <c r="I60" s="6" t="e">
        <f t="shared" si="10"/>
        <v>#N/A</v>
      </c>
      <c r="J60" s="4">
        <v>1000000</v>
      </c>
      <c r="K60" s="6" t="e">
        <f t="shared" si="11"/>
        <v>#N/A</v>
      </c>
      <c r="L60" s="6">
        <v>67</v>
      </c>
      <c r="M60" s="6" t="e">
        <f t="shared" si="12"/>
        <v>#N/A</v>
      </c>
      <c r="N60" s="6"/>
      <c r="O60" s="6" t="e">
        <f t="shared" si="13"/>
        <v>#N/A</v>
      </c>
      <c r="Q60" s="6">
        <v>1</v>
      </c>
      <c r="R60" s="6">
        <v>23</v>
      </c>
      <c r="S60" s="6">
        <v>2</v>
      </c>
      <c r="T60" s="6"/>
      <c r="U60" s="6">
        <f t="shared" si="7"/>
        <v>169320</v>
      </c>
      <c r="V60" s="6" t="e">
        <f t="shared" si="14"/>
        <v>#N/A</v>
      </c>
    </row>
    <row r="61" spans="2:22" x14ac:dyDescent="0.3">
      <c r="B61" s="64" t="s">
        <v>230</v>
      </c>
      <c r="C61" s="151">
        <v>56</v>
      </c>
      <c r="D61" s="4">
        <v>24000000</v>
      </c>
      <c r="E61" s="6" t="e">
        <f t="shared" si="8"/>
        <v>#N/A</v>
      </c>
      <c r="F61" s="4">
        <v>24000000</v>
      </c>
      <c r="G61" s="6" t="e">
        <f t="shared" si="9"/>
        <v>#N/A</v>
      </c>
      <c r="H61" s="4">
        <v>4800000</v>
      </c>
      <c r="I61" s="6" t="e">
        <f t="shared" si="10"/>
        <v>#N/A</v>
      </c>
      <c r="J61" s="4">
        <v>1200000</v>
      </c>
      <c r="K61" s="6" t="e">
        <f t="shared" si="11"/>
        <v>#N/A</v>
      </c>
      <c r="L61" s="6">
        <v>40</v>
      </c>
      <c r="M61" s="6" t="e">
        <f t="shared" si="12"/>
        <v>#N/A</v>
      </c>
      <c r="N61" s="6">
        <v>2</v>
      </c>
      <c r="O61" s="6" t="e">
        <f t="shared" si="13"/>
        <v>#N/A</v>
      </c>
      <c r="Q61" s="6">
        <v>2</v>
      </c>
      <c r="R61" s="6">
        <v>2</v>
      </c>
      <c r="S61" s="6">
        <v>24</v>
      </c>
      <c r="T61" s="6"/>
      <c r="U61" s="6">
        <f t="shared" si="7"/>
        <v>181440</v>
      </c>
      <c r="V61" s="6" t="e">
        <f t="shared" si="14"/>
        <v>#N/A</v>
      </c>
    </row>
    <row r="62" spans="2:22" x14ac:dyDescent="0.3">
      <c r="B62" s="64" t="s">
        <v>231</v>
      </c>
      <c r="C62" s="151">
        <v>57</v>
      </c>
      <c r="D62" s="4">
        <v>24000000</v>
      </c>
      <c r="E62" s="6" t="e">
        <f t="shared" si="8"/>
        <v>#N/A</v>
      </c>
      <c r="F62" s="4">
        <v>24000000</v>
      </c>
      <c r="G62" s="6" t="e">
        <f t="shared" si="9"/>
        <v>#N/A</v>
      </c>
      <c r="H62" s="4">
        <v>4800000</v>
      </c>
      <c r="I62" s="6" t="e">
        <f t="shared" si="10"/>
        <v>#N/A</v>
      </c>
      <c r="J62" s="4">
        <v>1200000</v>
      </c>
      <c r="K62" s="6" t="e">
        <f t="shared" si="11"/>
        <v>#N/A</v>
      </c>
      <c r="L62" s="6">
        <v>40</v>
      </c>
      <c r="M62" s="6" t="e">
        <f t="shared" si="12"/>
        <v>#N/A</v>
      </c>
      <c r="N62" s="6">
        <v>2</v>
      </c>
      <c r="O62" s="6" t="e">
        <f t="shared" si="13"/>
        <v>#N/A</v>
      </c>
      <c r="Q62" s="6">
        <v>2</v>
      </c>
      <c r="R62" s="6">
        <v>2</v>
      </c>
      <c r="S62" s="6">
        <v>24</v>
      </c>
      <c r="T62" s="6"/>
      <c r="U62" s="6">
        <f t="shared" si="7"/>
        <v>181440</v>
      </c>
      <c r="V62" s="6" t="e">
        <f t="shared" si="14"/>
        <v>#N/A</v>
      </c>
    </row>
    <row r="63" spans="2:22" x14ac:dyDescent="0.3">
      <c r="B63" s="64" t="s">
        <v>232</v>
      </c>
      <c r="C63" s="151">
        <v>58</v>
      </c>
      <c r="D63" s="4">
        <v>24000000</v>
      </c>
      <c r="E63" s="6" t="e">
        <f t="shared" si="8"/>
        <v>#N/A</v>
      </c>
      <c r="F63" s="4">
        <v>24000000</v>
      </c>
      <c r="G63" s="6" t="e">
        <f t="shared" si="9"/>
        <v>#N/A</v>
      </c>
      <c r="H63" s="4">
        <v>4800000</v>
      </c>
      <c r="I63" s="6" t="e">
        <f t="shared" si="10"/>
        <v>#N/A</v>
      </c>
      <c r="J63" s="4">
        <v>1200000</v>
      </c>
      <c r="K63" s="6" t="e">
        <f t="shared" si="11"/>
        <v>#N/A</v>
      </c>
      <c r="L63" s="6">
        <v>40</v>
      </c>
      <c r="M63" s="6" t="e">
        <f t="shared" si="12"/>
        <v>#N/A</v>
      </c>
      <c r="N63" s="6">
        <v>2</v>
      </c>
      <c r="O63" s="6" t="e">
        <f t="shared" si="13"/>
        <v>#N/A</v>
      </c>
      <c r="Q63" s="6">
        <v>2</v>
      </c>
      <c r="R63" s="6">
        <v>2</v>
      </c>
      <c r="S63" s="6">
        <v>24</v>
      </c>
      <c r="T63" s="6"/>
      <c r="U63" s="6">
        <f t="shared" si="7"/>
        <v>181440</v>
      </c>
      <c r="V63" s="6" t="e">
        <f t="shared" si="14"/>
        <v>#N/A</v>
      </c>
    </row>
    <row r="64" spans="2:22" x14ac:dyDescent="0.3">
      <c r="B64" s="64" t="s">
        <v>233</v>
      </c>
      <c r="C64" s="151">
        <v>59</v>
      </c>
      <c r="D64" s="4">
        <v>24000000</v>
      </c>
      <c r="E64" s="6" t="e">
        <f t="shared" si="8"/>
        <v>#N/A</v>
      </c>
      <c r="F64" s="4">
        <v>24000000</v>
      </c>
      <c r="G64" s="6" t="e">
        <f t="shared" si="9"/>
        <v>#N/A</v>
      </c>
      <c r="H64" s="4">
        <v>4800000</v>
      </c>
      <c r="I64" s="6" t="e">
        <f t="shared" si="10"/>
        <v>#N/A</v>
      </c>
      <c r="J64" s="4">
        <v>1200000</v>
      </c>
      <c r="K64" s="6" t="e">
        <f t="shared" si="11"/>
        <v>#N/A</v>
      </c>
      <c r="L64" s="6">
        <v>40</v>
      </c>
      <c r="M64" s="6" t="e">
        <f t="shared" si="12"/>
        <v>#N/A</v>
      </c>
      <c r="N64" s="6">
        <v>2</v>
      </c>
      <c r="O64" s="6" t="e">
        <f t="shared" si="13"/>
        <v>#N/A</v>
      </c>
      <c r="Q64" s="6">
        <v>2</v>
      </c>
      <c r="R64" s="6">
        <v>2</v>
      </c>
      <c r="S64" s="6">
        <v>24</v>
      </c>
      <c r="T64" s="6"/>
      <c r="U64" s="6">
        <f t="shared" si="7"/>
        <v>181440</v>
      </c>
      <c r="V64" s="6" t="e">
        <f t="shared" si="14"/>
        <v>#N/A</v>
      </c>
    </row>
    <row r="65" spans="2:22" x14ac:dyDescent="0.3">
      <c r="B65" s="64" t="s">
        <v>234</v>
      </c>
      <c r="C65" s="151">
        <v>60</v>
      </c>
      <c r="D65" s="4">
        <v>24000000</v>
      </c>
      <c r="E65" s="6" t="e">
        <f t="shared" si="8"/>
        <v>#N/A</v>
      </c>
      <c r="F65" s="4">
        <v>24000000</v>
      </c>
      <c r="G65" s="6" t="e">
        <f t="shared" si="9"/>
        <v>#N/A</v>
      </c>
      <c r="H65" s="4">
        <v>4800000</v>
      </c>
      <c r="I65" s="6" t="e">
        <f t="shared" si="10"/>
        <v>#N/A</v>
      </c>
      <c r="J65" s="4">
        <v>1200000</v>
      </c>
      <c r="K65" s="6" t="e">
        <f t="shared" si="11"/>
        <v>#N/A</v>
      </c>
      <c r="L65" s="6">
        <v>20</v>
      </c>
      <c r="M65" s="6" t="e">
        <f t="shared" si="12"/>
        <v>#N/A</v>
      </c>
      <c r="N65" s="6">
        <v>4</v>
      </c>
      <c r="O65" s="6" t="e">
        <f t="shared" si="13"/>
        <v>#N/A</v>
      </c>
      <c r="Q65" s="6">
        <v>2</v>
      </c>
      <c r="R65" s="6">
        <v>2</v>
      </c>
      <c r="S65" s="6">
        <v>24</v>
      </c>
      <c r="T65" s="6"/>
      <c r="U65" s="6">
        <f t="shared" si="7"/>
        <v>181440</v>
      </c>
      <c r="V65" s="6" t="e">
        <f t="shared" si="14"/>
        <v>#N/A</v>
      </c>
    </row>
    <row r="66" spans="2:22" x14ac:dyDescent="0.3">
      <c r="B66" s="64" t="s">
        <v>235</v>
      </c>
      <c r="C66" s="151">
        <v>61</v>
      </c>
      <c r="D66" s="4">
        <v>27000000</v>
      </c>
      <c r="E66" s="6" t="e">
        <f t="shared" si="8"/>
        <v>#N/A</v>
      </c>
      <c r="F66" s="4">
        <v>27000000</v>
      </c>
      <c r="G66" s="6" t="e">
        <f t="shared" si="9"/>
        <v>#N/A</v>
      </c>
      <c r="H66" s="4">
        <v>5400000</v>
      </c>
      <c r="I66" s="6" t="e">
        <f t="shared" si="10"/>
        <v>#N/A</v>
      </c>
      <c r="J66" s="4">
        <v>1300000</v>
      </c>
      <c r="K66" s="6" t="e">
        <f t="shared" si="11"/>
        <v>#N/A</v>
      </c>
      <c r="L66" s="6">
        <v>48</v>
      </c>
      <c r="M66" s="6" t="e">
        <f t="shared" si="12"/>
        <v>#N/A</v>
      </c>
      <c r="N66" s="6">
        <v>3</v>
      </c>
      <c r="O66" s="6" t="e">
        <f t="shared" si="13"/>
        <v>#N/A</v>
      </c>
      <c r="Q66" s="6">
        <v>2</v>
      </c>
      <c r="R66" s="6">
        <v>12</v>
      </c>
      <c r="S66" s="6">
        <v>28</v>
      </c>
      <c r="T66" s="6"/>
      <c r="U66" s="6">
        <f t="shared" si="7"/>
        <v>217680</v>
      </c>
      <c r="V66" s="6" t="e">
        <f t="shared" si="14"/>
        <v>#N/A</v>
      </c>
    </row>
    <row r="67" spans="2:22" x14ac:dyDescent="0.3">
      <c r="B67" s="64" t="s">
        <v>236</v>
      </c>
      <c r="C67" s="151">
        <v>62</v>
      </c>
      <c r="D67" s="4">
        <v>27000000</v>
      </c>
      <c r="E67" s="6" t="e">
        <f t="shared" si="8"/>
        <v>#N/A</v>
      </c>
      <c r="F67" s="4">
        <v>27000000</v>
      </c>
      <c r="G67" s="6" t="e">
        <f t="shared" si="9"/>
        <v>#N/A</v>
      </c>
      <c r="H67" s="4">
        <v>5400000</v>
      </c>
      <c r="I67" s="6" t="e">
        <f t="shared" si="10"/>
        <v>#N/A</v>
      </c>
      <c r="J67" s="4">
        <v>1300000</v>
      </c>
      <c r="K67" s="6" t="e">
        <f t="shared" si="11"/>
        <v>#N/A</v>
      </c>
      <c r="L67" s="6">
        <v>48</v>
      </c>
      <c r="M67" s="6" t="e">
        <f t="shared" si="12"/>
        <v>#N/A</v>
      </c>
      <c r="N67" s="6">
        <v>3</v>
      </c>
      <c r="O67" s="6" t="e">
        <f t="shared" si="13"/>
        <v>#N/A</v>
      </c>
      <c r="Q67" s="6">
        <v>2</v>
      </c>
      <c r="R67" s="6">
        <v>12</v>
      </c>
      <c r="S67" s="6">
        <v>28</v>
      </c>
      <c r="T67" s="6"/>
      <c r="U67" s="6">
        <f t="shared" si="7"/>
        <v>217680</v>
      </c>
      <c r="V67" s="6" t="e">
        <f t="shared" si="14"/>
        <v>#N/A</v>
      </c>
    </row>
    <row r="68" spans="2:22" x14ac:dyDescent="0.3">
      <c r="B68" s="64" t="s">
        <v>237</v>
      </c>
      <c r="C68" s="151">
        <v>63</v>
      </c>
      <c r="D68" s="4">
        <v>27000000</v>
      </c>
      <c r="E68" s="6" t="e">
        <f t="shared" si="8"/>
        <v>#N/A</v>
      </c>
      <c r="F68" s="4">
        <v>27000000</v>
      </c>
      <c r="G68" s="6" t="e">
        <f t="shared" si="9"/>
        <v>#N/A</v>
      </c>
      <c r="H68" s="4">
        <v>5400000</v>
      </c>
      <c r="I68" s="6" t="e">
        <f t="shared" si="10"/>
        <v>#N/A</v>
      </c>
      <c r="J68" s="4">
        <v>1300000</v>
      </c>
      <c r="K68" s="6" t="e">
        <f t="shared" si="11"/>
        <v>#N/A</v>
      </c>
      <c r="L68" s="6">
        <v>48</v>
      </c>
      <c r="M68" s="6" t="e">
        <f t="shared" si="12"/>
        <v>#N/A</v>
      </c>
      <c r="N68" s="6">
        <v>3</v>
      </c>
      <c r="O68" s="6" t="e">
        <f t="shared" si="13"/>
        <v>#N/A</v>
      </c>
      <c r="Q68" s="6">
        <v>2</v>
      </c>
      <c r="R68" s="6">
        <v>12</v>
      </c>
      <c r="S68" s="6">
        <v>28</v>
      </c>
      <c r="T68" s="6"/>
      <c r="U68" s="6">
        <f t="shared" si="7"/>
        <v>217680</v>
      </c>
      <c r="V68" s="6" t="e">
        <f t="shared" si="14"/>
        <v>#N/A</v>
      </c>
    </row>
    <row r="69" spans="2:22" x14ac:dyDescent="0.3">
      <c r="B69" s="64" t="s">
        <v>238</v>
      </c>
      <c r="C69" s="151">
        <v>64</v>
      </c>
      <c r="D69" s="4">
        <v>27000000</v>
      </c>
      <c r="E69" s="6" t="e">
        <f t="shared" si="8"/>
        <v>#N/A</v>
      </c>
      <c r="F69" s="4">
        <v>27000000</v>
      </c>
      <c r="G69" s="6" t="e">
        <f t="shared" si="9"/>
        <v>#N/A</v>
      </c>
      <c r="H69" s="4">
        <v>5400000</v>
      </c>
      <c r="I69" s="6" t="e">
        <f t="shared" si="10"/>
        <v>#N/A</v>
      </c>
      <c r="J69" s="4">
        <v>1300000</v>
      </c>
      <c r="K69" s="6" t="e">
        <f t="shared" si="11"/>
        <v>#N/A</v>
      </c>
      <c r="L69" s="6">
        <v>48</v>
      </c>
      <c r="M69" s="6" t="e">
        <f t="shared" si="12"/>
        <v>#N/A</v>
      </c>
      <c r="N69" s="6">
        <v>3</v>
      </c>
      <c r="O69" s="6" t="e">
        <f t="shared" si="13"/>
        <v>#N/A</v>
      </c>
      <c r="Q69" s="6">
        <v>2</v>
      </c>
      <c r="R69" s="6">
        <v>12</v>
      </c>
      <c r="S69" s="6">
        <v>28</v>
      </c>
      <c r="T69" s="6"/>
      <c r="U69" s="6">
        <f t="shared" si="7"/>
        <v>217680</v>
      </c>
      <c r="V69" s="6" t="e">
        <f t="shared" si="14"/>
        <v>#N/A</v>
      </c>
    </row>
    <row r="70" spans="2:22" x14ac:dyDescent="0.3">
      <c r="B70" s="64" t="s">
        <v>239</v>
      </c>
      <c r="C70" s="151">
        <v>65</v>
      </c>
      <c r="D70" s="4">
        <v>27000000</v>
      </c>
      <c r="E70" s="6" t="e">
        <f t="shared" ref="E70:E85" si="15">IF($C70&gt;VLOOKUP(InfirmaryDesired,$B$6:$C$85,2,FALSE),"",IF($C70&gt;VLOOKUP(InfirmaryCurrent,$B$6:$C$85,2,FALSE),D70,""))</f>
        <v>#N/A</v>
      </c>
      <c r="F70" s="4">
        <v>27000000</v>
      </c>
      <c r="G70" s="6" t="e">
        <f t="shared" ref="G70:G85" si="16">IF($C70&gt;VLOOKUP(InfirmaryDesired,$B$6:$C$85,2,FALSE),"",IF($C70&gt;VLOOKUP(InfirmaryCurrent,$B$6:$C$85,2,FALSE),F70,""))</f>
        <v>#N/A</v>
      </c>
      <c r="H70" s="4">
        <v>5400000</v>
      </c>
      <c r="I70" s="6" t="e">
        <f t="shared" ref="I70:I85" si="17">IF($C70&gt;VLOOKUP(InfirmaryDesired,$B$6:$C$85,2,FALSE),"",IF($C70&gt;VLOOKUP(InfirmaryCurrent,$B$6:$C$85,2,FALSE),H70,""))</f>
        <v>#N/A</v>
      </c>
      <c r="J70" s="4">
        <v>1300000</v>
      </c>
      <c r="K70" s="6" t="e">
        <f t="shared" ref="K70:K85" si="18">IF($C70&gt;VLOOKUP(InfirmaryDesired,$B$6:$C$85,2,FALSE),"",IF($C70&gt;VLOOKUP(InfirmaryCurrent,$B$6:$C$85,2,FALSE),J70,""))</f>
        <v>#N/A</v>
      </c>
      <c r="L70" s="6">
        <v>24</v>
      </c>
      <c r="M70" s="6" t="e">
        <f t="shared" ref="M70:M85" si="19">IF($C70&gt;VLOOKUP(InfirmaryDesired,$B$6:$C$85,2,FALSE),"",IF($C70&gt;VLOOKUP(InfirmaryCurrent,$B$6:$C$85,2,FALSE),L70,""))</f>
        <v>#N/A</v>
      </c>
      <c r="N70" s="6">
        <v>6</v>
      </c>
      <c r="O70" s="6" t="e">
        <f t="shared" ref="O70:O85" si="20">IF($C70&gt;VLOOKUP(InfirmaryDesired,$B$6:$C$85,2,FALSE),"",IF($C70&gt;VLOOKUP(InfirmaryCurrent,$B$6:$C$85,2,FALSE),N70,""))</f>
        <v>#N/A</v>
      </c>
      <c r="Q70" s="6">
        <v>2</v>
      </c>
      <c r="R70" s="6">
        <v>12</v>
      </c>
      <c r="S70" s="6">
        <v>28</v>
      </c>
      <c r="T70" s="6"/>
      <c r="U70" s="6">
        <f t="shared" si="7"/>
        <v>217680</v>
      </c>
      <c r="V70" s="6" t="e">
        <f t="shared" ref="V70:V85" si="21">IF($C70&gt;VLOOKUP(InfirmaryDesired,$B$6:$C$85,2,FALSE),"",IF($C70&gt;VLOOKUP(InfirmaryCurrent,$B$6:$C$85,2,FALSE),U70,""))</f>
        <v>#N/A</v>
      </c>
    </row>
    <row r="71" spans="2:22" x14ac:dyDescent="0.3">
      <c r="B71" s="64" t="s">
        <v>240</v>
      </c>
      <c r="C71" s="151">
        <v>66</v>
      </c>
      <c r="D71" s="4">
        <v>33000000</v>
      </c>
      <c r="E71" s="6" t="e">
        <f t="shared" si="15"/>
        <v>#N/A</v>
      </c>
      <c r="F71" s="4">
        <v>33000000</v>
      </c>
      <c r="G71" s="6" t="e">
        <f t="shared" si="16"/>
        <v>#N/A</v>
      </c>
      <c r="H71" s="4">
        <v>6600000</v>
      </c>
      <c r="I71" s="6" t="e">
        <f t="shared" si="17"/>
        <v>#N/A</v>
      </c>
      <c r="J71" s="4">
        <v>1600000</v>
      </c>
      <c r="K71" s="6" t="e">
        <f t="shared" si="18"/>
        <v>#N/A</v>
      </c>
      <c r="L71" s="6">
        <v>48</v>
      </c>
      <c r="M71" s="6" t="e">
        <f t="shared" si="19"/>
        <v>#N/A</v>
      </c>
      <c r="N71" s="6">
        <v>4</v>
      </c>
      <c r="O71" s="6" t="e">
        <f t="shared" si="20"/>
        <v>#N/A</v>
      </c>
      <c r="Q71" s="6">
        <v>2</v>
      </c>
      <c r="R71" s="6">
        <v>12</v>
      </c>
      <c r="S71" s="6">
        <v>28</v>
      </c>
      <c r="T71" s="6"/>
      <c r="U71" s="6">
        <f t="shared" ref="U71:U85" si="22">T71+S71*60+R71*60*60+Q71*60*60*24</f>
        <v>217680</v>
      </c>
      <c r="V71" s="6" t="e">
        <f t="shared" si="21"/>
        <v>#N/A</v>
      </c>
    </row>
    <row r="72" spans="2:22" x14ac:dyDescent="0.3">
      <c r="B72" s="64" t="s">
        <v>241</v>
      </c>
      <c r="C72" s="151">
        <v>67</v>
      </c>
      <c r="D72" s="4">
        <v>33000000</v>
      </c>
      <c r="E72" s="6" t="e">
        <f t="shared" si="15"/>
        <v>#N/A</v>
      </c>
      <c r="F72" s="4">
        <v>33000000</v>
      </c>
      <c r="G72" s="6" t="e">
        <f t="shared" si="16"/>
        <v>#N/A</v>
      </c>
      <c r="H72" s="4">
        <v>6600000</v>
      </c>
      <c r="I72" s="6" t="e">
        <f t="shared" si="17"/>
        <v>#N/A</v>
      </c>
      <c r="J72" s="4">
        <v>1600000</v>
      </c>
      <c r="K72" s="6" t="e">
        <f t="shared" si="18"/>
        <v>#N/A</v>
      </c>
      <c r="L72" s="6">
        <v>48</v>
      </c>
      <c r="M72" s="6" t="e">
        <f t="shared" si="19"/>
        <v>#N/A</v>
      </c>
      <c r="N72" s="6">
        <v>4</v>
      </c>
      <c r="O72" s="6" t="e">
        <f t="shared" si="20"/>
        <v>#N/A</v>
      </c>
      <c r="Q72" s="6">
        <v>2</v>
      </c>
      <c r="R72" s="6">
        <v>19</v>
      </c>
      <c r="S72" s="6">
        <v>12</v>
      </c>
      <c r="T72" s="6"/>
      <c r="U72" s="6">
        <f t="shared" si="22"/>
        <v>241920</v>
      </c>
      <c r="V72" s="6" t="e">
        <f t="shared" si="21"/>
        <v>#N/A</v>
      </c>
    </row>
    <row r="73" spans="2:22" x14ac:dyDescent="0.3">
      <c r="B73" s="64" t="s">
        <v>242</v>
      </c>
      <c r="C73" s="151">
        <v>68</v>
      </c>
      <c r="D73" s="4">
        <v>33000000</v>
      </c>
      <c r="E73" s="6" t="e">
        <f t="shared" si="15"/>
        <v>#N/A</v>
      </c>
      <c r="F73" s="4">
        <v>33000000</v>
      </c>
      <c r="G73" s="6" t="e">
        <f t="shared" si="16"/>
        <v>#N/A</v>
      </c>
      <c r="H73" s="4">
        <v>6600000</v>
      </c>
      <c r="I73" s="6" t="e">
        <f t="shared" si="17"/>
        <v>#N/A</v>
      </c>
      <c r="J73" s="4">
        <v>1600000</v>
      </c>
      <c r="K73" s="6" t="e">
        <f t="shared" si="18"/>
        <v>#N/A</v>
      </c>
      <c r="L73" s="6">
        <v>48</v>
      </c>
      <c r="M73" s="6" t="e">
        <f t="shared" si="19"/>
        <v>#N/A</v>
      </c>
      <c r="N73" s="6">
        <v>4</v>
      </c>
      <c r="O73" s="6" t="e">
        <f t="shared" si="20"/>
        <v>#N/A</v>
      </c>
      <c r="Q73" s="6">
        <v>2</v>
      </c>
      <c r="R73" s="6">
        <v>19</v>
      </c>
      <c r="S73" s="6">
        <v>12</v>
      </c>
      <c r="T73" s="6"/>
      <c r="U73" s="6">
        <f t="shared" si="22"/>
        <v>241920</v>
      </c>
      <c r="V73" s="6" t="e">
        <f t="shared" si="21"/>
        <v>#N/A</v>
      </c>
    </row>
    <row r="74" spans="2:22" x14ac:dyDescent="0.3">
      <c r="B74" s="64" t="s">
        <v>243</v>
      </c>
      <c r="C74" s="151">
        <v>69</v>
      </c>
      <c r="D74" s="4">
        <v>33000000</v>
      </c>
      <c r="E74" s="6" t="e">
        <f t="shared" si="15"/>
        <v>#N/A</v>
      </c>
      <c r="F74" s="4">
        <v>33000000</v>
      </c>
      <c r="G74" s="6" t="e">
        <f t="shared" si="16"/>
        <v>#N/A</v>
      </c>
      <c r="H74" s="4">
        <v>6600000</v>
      </c>
      <c r="I74" s="6" t="e">
        <f t="shared" si="17"/>
        <v>#N/A</v>
      </c>
      <c r="J74" s="4">
        <v>1600000</v>
      </c>
      <c r="K74" s="6" t="e">
        <f t="shared" si="18"/>
        <v>#N/A</v>
      </c>
      <c r="L74" s="6">
        <v>48</v>
      </c>
      <c r="M74" s="6" t="e">
        <f t="shared" si="19"/>
        <v>#N/A</v>
      </c>
      <c r="N74" s="6">
        <v>4</v>
      </c>
      <c r="O74" s="6" t="e">
        <f t="shared" si="20"/>
        <v>#N/A</v>
      </c>
      <c r="Q74" s="6">
        <v>2</v>
      </c>
      <c r="R74" s="6">
        <v>19</v>
      </c>
      <c r="S74" s="6">
        <v>12</v>
      </c>
      <c r="T74" s="6"/>
      <c r="U74" s="6">
        <f t="shared" si="22"/>
        <v>241920</v>
      </c>
      <c r="V74" s="6" t="e">
        <f t="shared" si="21"/>
        <v>#N/A</v>
      </c>
    </row>
    <row r="75" spans="2:22" x14ac:dyDescent="0.3">
      <c r="B75" s="64" t="s">
        <v>244</v>
      </c>
      <c r="C75" s="151">
        <v>70</v>
      </c>
      <c r="D75" s="4">
        <v>33000000</v>
      </c>
      <c r="E75" s="6" t="e">
        <f t="shared" si="15"/>
        <v>#N/A</v>
      </c>
      <c r="F75" s="4">
        <v>33000000</v>
      </c>
      <c r="G75" s="6" t="e">
        <f t="shared" si="16"/>
        <v>#N/A</v>
      </c>
      <c r="H75" s="4">
        <v>6600000</v>
      </c>
      <c r="I75" s="6" t="e">
        <f t="shared" si="17"/>
        <v>#N/A</v>
      </c>
      <c r="J75" s="4">
        <v>1600000</v>
      </c>
      <c r="K75" s="6" t="e">
        <f t="shared" si="18"/>
        <v>#N/A</v>
      </c>
      <c r="L75" s="6">
        <v>24</v>
      </c>
      <c r="M75" s="6" t="e">
        <f t="shared" si="19"/>
        <v>#N/A</v>
      </c>
      <c r="N75" s="6">
        <v>8</v>
      </c>
      <c r="O75" s="6" t="e">
        <f t="shared" si="20"/>
        <v>#N/A</v>
      </c>
      <c r="Q75" s="6">
        <v>2</v>
      </c>
      <c r="R75" s="6">
        <v>19</v>
      </c>
      <c r="S75" s="6">
        <v>12</v>
      </c>
      <c r="T75" s="6"/>
      <c r="U75" s="6">
        <f t="shared" si="22"/>
        <v>241920</v>
      </c>
      <c r="V75" s="6" t="e">
        <f t="shared" si="21"/>
        <v>#N/A</v>
      </c>
    </row>
    <row r="76" spans="2:22" x14ac:dyDescent="0.3">
      <c r="B76" s="64" t="s">
        <v>450</v>
      </c>
      <c r="C76" s="151">
        <v>71</v>
      </c>
      <c r="D76" s="4">
        <v>36000000</v>
      </c>
      <c r="E76" s="6" t="e">
        <f t="shared" si="15"/>
        <v>#N/A</v>
      </c>
      <c r="F76" s="4">
        <v>36000000</v>
      </c>
      <c r="G76" s="6" t="e">
        <f t="shared" si="16"/>
        <v>#N/A</v>
      </c>
      <c r="H76" s="4">
        <v>7200000</v>
      </c>
      <c r="I76" s="6" t="e">
        <f t="shared" si="17"/>
        <v>#N/A</v>
      </c>
      <c r="J76" s="4">
        <v>1800000</v>
      </c>
      <c r="K76" s="6" t="e">
        <f t="shared" si="18"/>
        <v>#N/A</v>
      </c>
      <c r="L76" s="6">
        <v>56</v>
      </c>
      <c r="M76" s="6" t="e">
        <f t="shared" si="19"/>
        <v>#N/A</v>
      </c>
      <c r="N76" s="6">
        <v>6</v>
      </c>
      <c r="O76" s="6" t="e">
        <f t="shared" si="20"/>
        <v>#N/A</v>
      </c>
      <c r="Q76" s="6">
        <v>1</v>
      </c>
      <c r="R76" s="6">
        <v>19</v>
      </c>
      <c r="S76" s="6">
        <v>40</v>
      </c>
      <c r="T76" s="6"/>
      <c r="U76" s="6">
        <f t="shared" si="22"/>
        <v>157200</v>
      </c>
      <c r="V76" s="6" t="e">
        <f t="shared" si="21"/>
        <v>#N/A</v>
      </c>
    </row>
    <row r="77" spans="2:22" x14ac:dyDescent="0.3">
      <c r="B77" s="64" t="s">
        <v>451</v>
      </c>
      <c r="C77" s="151">
        <v>72</v>
      </c>
      <c r="D77" s="4">
        <v>36000000</v>
      </c>
      <c r="E77" s="6" t="e">
        <f t="shared" si="15"/>
        <v>#N/A</v>
      </c>
      <c r="F77" s="4">
        <v>36000000</v>
      </c>
      <c r="G77" s="6" t="e">
        <f t="shared" si="16"/>
        <v>#N/A</v>
      </c>
      <c r="H77" s="4">
        <v>7200000</v>
      </c>
      <c r="I77" s="6" t="e">
        <f t="shared" si="17"/>
        <v>#N/A</v>
      </c>
      <c r="J77" s="4">
        <v>1800000</v>
      </c>
      <c r="K77" s="6" t="e">
        <f t="shared" si="18"/>
        <v>#N/A</v>
      </c>
      <c r="L77" s="6">
        <v>56</v>
      </c>
      <c r="M77" s="6" t="e">
        <f t="shared" si="19"/>
        <v>#N/A</v>
      </c>
      <c r="N77" s="6">
        <v>6</v>
      </c>
      <c r="O77" s="6" t="e">
        <f t="shared" si="20"/>
        <v>#N/A</v>
      </c>
      <c r="Q77" s="6">
        <v>1</v>
      </c>
      <c r="R77" s="6">
        <v>19</v>
      </c>
      <c r="S77" s="6">
        <v>40</v>
      </c>
      <c r="T77" s="6"/>
      <c r="U77" s="6">
        <f t="shared" si="22"/>
        <v>157200</v>
      </c>
      <c r="V77" s="6" t="e">
        <f t="shared" si="21"/>
        <v>#N/A</v>
      </c>
    </row>
    <row r="78" spans="2:22" x14ac:dyDescent="0.3">
      <c r="B78" s="64" t="s">
        <v>452</v>
      </c>
      <c r="C78" s="151">
        <v>73</v>
      </c>
      <c r="D78" s="4">
        <v>36000000</v>
      </c>
      <c r="E78" s="6" t="e">
        <f t="shared" si="15"/>
        <v>#N/A</v>
      </c>
      <c r="F78" s="4">
        <v>36000000</v>
      </c>
      <c r="G78" s="6" t="e">
        <f t="shared" si="16"/>
        <v>#N/A</v>
      </c>
      <c r="H78" s="4">
        <v>7200000</v>
      </c>
      <c r="I78" s="6" t="e">
        <f t="shared" si="17"/>
        <v>#N/A</v>
      </c>
      <c r="J78" s="4">
        <v>1800000</v>
      </c>
      <c r="K78" s="6" t="e">
        <f t="shared" si="18"/>
        <v>#N/A</v>
      </c>
      <c r="L78" s="6">
        <v>56</v>
      </c>
      <c r="M78" s="6" t="e">
        <f t="shared" si="19"/>
        <v>#N/A</v>
      </c>
      <c r="N78" s="6">
        <v>6</v>
      </c>
      <c r="O78" s="6" t="e">
        <f t="shared" si="20"/>
        <v>#N/A</v>
      </c>
      <c r="Q78" s="6">
        <v>1</v>
      </c>
      <c r="R78" s="6">
        <v>19</v>
      </c>
      <c r="S78" s="6">
        <v>40</v>
      </c>
      <c r="T78" s="6"/>
      <c r="U78" s="6">
        <f t="shared" si="22"/>
        <v>157200</v>
      </c>
      <c r="V78" s="6" t="e">
        <f t="shared" si="21"/>
        <v>#N/A</v>
      </c>
    </row>
    <row r="79" spans="2:22" x14ac:dyDescent="0.3">
      <c r="B79" s="64" t="s">
        <v>453</v>
      </c>
      <c r="C79" s="151">
        <v>74</v>
      </c>
      <c r="D79" s="4">
        <v>36000000</v>
      </c>
      <c r="E79" s="6" t="e">
        <f t="shared" si="15"/>
        <v>#N/A</v>
      </c>
      <c r="F79" s="4">
        <v>36000000</v>
      </c>
      <c r="G79" s="6" t="e">
        <f t="shared" si="16"/>
        <v>#N/A</v>
      </c>
      <c r="H79" s="4">
        <v>7200000</v>
      </c>
      <c r="I79" s="6" t="e">
        <f t="shared" si="17"/>
        <v>#N/A</v>
      </c>
      <c r="J79" s="4">
        <v>1800000</v>
      </c>
      <c r="K79" s="6" t="e">
        <f t="shared" si="18"/>
        <v>#N/A</v>
      </c>
      <c r="L79" s="6">
        <v>56</v>
      </c>
      <c r="M79" s="6" t="e">
        <f t="shared" si="19"/>
        <v>#N/A</v>
      </c>
      <c r="N79" s="6">
        <v>6</v>
      </c>
      <c r="O79" s="6" t="e">
        <f t="shared" si="20"/>
        <v>#N/A</v>
      </c>
      <c r="Q79" s="6">
        <v>1</v>
      </c>
      <c r="R79" s="6">
        <v>19</v>
      </c>
      <c r="S79" s="6">
        <v>40</v>
      </c>
      <c r="T79" s="6"/>
      <c r="U79" s="6">
        <f t="shared" si="22"/>
        <v>157200</v>
      </c>
      <c r="V79" s="6" t="e">
        <f t="shared" si="21"/>
        <v>#N/A</v>
      </c>
    </row>
    <row r="80" spans="2:22" x14ac:dyDescent="0.3">
      <c r="B80" s="64" t="s">
        <v>454</v>
      </c>
      <c r="C80" s="151">
        <v>75</v>
      </c>
      <c r="D80" s="4">
        <v>36000000</v>
      </c>
      <c r="E80" s="6" t="e">
        <f t="shared" si="15"/>
        <v>#N/A</v>
      </c>
      <c r="F80" s="4">
        <v>36000000</v>
      </c>
      <c r="G80" s="6" t="e">
        <f t="shared" si="16"/>
        <v>#N/A</v>
      </c>
      <c r="H80" s="4">
        <v>7200000</v>
      </c>
      <c r="I80" s="6" t="e">
        <f t="shared" si="17"/>
        <v>#N/A</v>
      </c>
      <c r="J80" s="4">
        <v>1800000</v>
      </c>
      <c r="K80" s="6" t="e">
        <f t="shared" si="18"/>
        <v>#N/A</v>
      </c>
      <c r="L80" s="6">
        <v>28</v>
      </c>
      <c r="M80" s="6" t="e">
        <f t="shared" si="19"/>
        <v>#N/A</v>
      </c>
      <c r="N80" s="6">
        <v>12</v>
      </c>
      <c r="O80" s="6" t="e">
        <f t="shared" si="20"/>
        <v>#N/A</v>
      </c>
      <c r="Q80" s="6">
        <v>1</v>
      </c>
      <c r="R80" s="6">
        <v>19</v>
      </c>
      <c r="S80" s="6">
        <v>40</v>
      </c>
      <c r="T80" s="6"/>
      <c r="U80" s="6">
        <f t="shared" si="22"/>
        <v>157200</v>
      </c>
      <c r="V80" s="6" t="e">
        <f t="shared" si="21"/>
        <v>#N/A</v>
      </c>
    </row>
    <row r="81" spans="2:22" x14ac:dyDescent="0.3">
      <c r="B81" s="64" t="s">
        <v>455</v>
      </c>
      <c r="C81" s="151">
        <v>76</v>
      </c>
      <c r="D81" s="4">
        <v>42000000</v>
      </c>
      <c r="E81" s="6" t="e">
        <f t="shared" si="15"/>
        <v>#N/A</v>
      </c>
      <c r="F81" s="4">
        <v>42000000</v>
      </c>
      <c r="G81" s="6" t="e">
        <f t="shared" si="16"/>
        <v>#N/A</v>
      </c>
      <c r="H81" s="4">
        <v>8400000</v>
      </c>
      <c r="I81" s="6" t="e">
        <f t="shared" si="17"/>
        <v>#N/A</v>
      </c>
      <c r="J81" s="4">
        <v>2100000</v>
      </c>
      <c r="K81" s="6" t="e">
        <f t="shared" si="18"/>
        <v>#N/A</v>
      </c>
      <c r="L81" s="6">
        <v>70</v>
      </c>
      <c r="M81" s="6" t="e">
        <f t="shared" si="19"/>
        <v>#N/A</v>
      </c>
      <c r="N81" s="6">
        <v>14</v>
      </c>
      <c r="O81" s="6" t="e">
        <f t="shared" si="20"/>
        <v>#N/A</v>
      </c>
      <c r="Q81" s="6">
        <v>2</v>
      </c>
      <c r="R81" s="6">
        <v>19</v>
      </c>
      <c r="S81" s="6">
        <v>12</v>
      </c>
      <c r="T81" s="6"/>
      <c r="U81" s="6">
        <f t="shared" si="22"/>
        <v>241920</v>
      </c>
      <c r="V81" s="6" t="e">
        <f t="shared" si="21"/>
        <v>#N/A</v>
      </c>
    </row>
    <row r="82" spans="2:22" x14ac:dyDescent="0.3">
      <c r="B82" s="64" t="s">
        <v>456</v>
      </c>
      <c r="C82" s="151">
        <v>77</v>
      </c>
      <c r="D82" s="4">
        <v>42000000</v>
      </c>
      <c r="E82" s="6" t="e">
        <f t="shared" si="15"/>
        <v>#N/A</v>
      </c>
      <c r="F82" s="4">
        <v>42000000</v>
      </c>
      <c r="G82" s="6" t="e">
        <f t="shared" si="16"/>
        <v>#N/A</v>
      </c>
      <c r="H82" s="4">
        <v>8400000</v>
      </c>
      <c r="I82" s="6" t="e">
        <f t="shared" si="17"/>
        <v>#N/A</v>
      </c>
      <c r="J82" s="4">
        <v>2100000</v>
      </c>
      <c r="K82" s="6" t="e">
        <f t="shared" si="18"/>
        <v>#N/A</v>
      </c>
      <c r="L82" s="6">
        <v>70</v>
      </c>
      <c r="M82" s="6" t="e">
        <f t="shared" si="19"/>
        <v>#N/A</v>
      </c>
      <c r="N82" s="6">
        <v>14</v>
      </c>
      <c r="O82" s="6" t="e">
        <f t="shared" si="20"/>
        <v>#N/A</v>
      </c>
      <c r="Q82" s="6">
        <v>2</v>
      </c>
      <c r="R82" s="6">
        <v>19</v>
      </c>
      <c r="S82" s="6">
        <v>12</v>
      </c>
      <c r="T82" s="6"/>
      <c r="U82" s="6">
        <f t="shared" si="22"/>
        <v>241920</v>
      </c>
      <c r="V82" s="6" t="e">
        <f t="shared" si="21"/>
        <v>#N/A</v>
      </c>
    </row>
    <row r="83" spans="2:22" x14ac:dyDescent="0.3">
      <c r="B83" s="64" t="s">
        <v>457</v>
      </c>
      <c r="C83" s="151">
        <v>78</v>
      </c>
      <c r="D83" s="4">
        <v>42000000</v>
      </c>
      <c r="E83" s="6" t="e">
        <f t="shared" si="15"/>
        <v>#N/A</v>
      </c>
      <c r="F83" s="4">
        <v>42000000</v>
      </c>
      <c r="G83" s="6" t="e">
        <f t="shared" si="16"/>
        <v>#N/A</v>
      </c>
      <c r="H83" s="4">
        <v>8400000</v>
      </c>
      <c r="I83" s="6" t="e">
        <f t="shared" si="17"/>
        <v>#N/A</v>
      </c>
      <c r="J83" s="4">
        <v>2100000</v>
      </c>
      <c r="K83" s="6" t="e">
        <f t="shared" si="18"/>
        <v>#N/A</v>
      </c>
      <c r="L83" s="6">
        <v>70</v>
      </c>
      <c r="M83" s="6" t="e">
        <f t="shared" si="19"/>
        <v>#N/A</v>
      </c>
      <c r="N83" s="6">
        <v>14</v>
      </c>
      <c r="O83" s="6" t="e">
        <f t="shared" si="20"/>
        <v>#N/A</v>
      </c>
      <c r="Q83" s="6">
        <v>2</v>
      </c>
      <c r="R83" s="6">
        <v>19</v>
      </c>
      <c r="S83" s="6">
        <v>12</v>
      </c>
      <c r="T83" s="6"/>
      <c r="U83" s="6">
        <f t="shared" si="22"/>
        <v>241920</v>
      </c>
      <c r="V83" s="6" t="e">
        <f t="shared" si="21"/>
        <v>#N/A</v>
      </c>
    </row>
    <row r="84" spans="2:22" x14ac:dyDescent="0.3">
      <c r="B84" s="64" t="s">
        <v>458</v>
      </c>
      <c r="C84" s="151">
        <v>79</v>
      </c>
      <c r="D84" s="4">
        <v>42000000</v>
      </c>
      <c r="E84" s="6" t="e">
        <f t="shared" si="15"/>
        <v>#N/A</v>
      </c>
      <c r="F84" s="4">
        <v>42000000</v>
      </c>
      <c r="G84" s="6" t="e">
        <f t="shared" si="16"/>
        <v>#N/A</v>
      </c>
      <c r="H84" s="4">
        <v>8400000</v>
      </c>
      <c r="I84" s="6" t="e">
        <f t="shared" si="17"/>
        <v>#N/A</v>
      </c>
      <c r="J84" s="4">
        <v>2100000</v>
      </c>
      <c r="K84" s="6" t="e">
        <f t="shared" si="18"/>
        <v>#N/A</v>
      </c>
      <c r="L84" s="6">
        <v>70</v>
      </c>
      <c r="M84" s="6" t="e">
        <f t="shared" si="19"/>
        <v>#N/A</v>
      </c>
      <c r="N84" s="6">
        <v>14</v>
      </c>
      <c r="O84" s="6" t="e">
        <f t="shared" si="20"/>
        <v>#N/A</v>
      </c>
      <c r="Q84" s="6">
        <v>2</v>
      </c>
      <c r="R84" s="6">
        <v>19</v>
      </c>
      <c r="S84" s="6">
        <v>12</v>
      </c>
      <c r="T84" s="6"/>
      <c r="U84" s="6">
        <f t="shared" si="22"/>
        <v>241920</v>
      </c>
      <c r="V84" s="6" t="e">
        <f t="shared" si="21"/>
        <v>#N/A</v>
      </c>
    </row>
    <row r="85" spans="2:22" x14ac:dyDescent="0.3">
      <c r="B85" s="148" t="s">
        <v>459</v>
      </c>
      <c r="C85" s="151">
        <v>80</v>
      </c>
      <c r="D85" s="4">
        <v>42000000</v>
      </c>
      <c r="E85" s="6" t="e">
        <f t="shared" si="15"/>
        <v>#N/A</v>
      </c>
      <c r="F85" s="4">
        <v>42000000</v>
      </c>
      <c r="G85" s="6" t="e">
        <f t="shared" si="16"/>
        <v>#N/A</v>
      </c>
      <c r="H85" s="4">
        <v>8400000</v>
      </c>
      <c r="I85" s="6" t="e">
        <f t="shared" si="17"/>
        <v>#N/A</v>
      </c>
      <c r="J85" s="4">
        <v>2100000</v>
      </c>
      <c r="K85" s="6" t="e">
        <f t="shared" si="18"/>
        <v>#N/A</v>
      </c>
      <c r="L85" s="6">
        <v>35</v>
      </c>
      <c r="M85" s="6" t="e">
        <f t="shared" si="19"/>
        <v>#N/A</v>
      </c>
      <c r="N85" s="6">
        <v>28</v>
      </c>
      <c r="O85" s="6" t="e">
        <f t="shared" si="20"/>
        <v>#N/A</v>
      </c>
      <c r="Q85" s="6">
        <v>2</v>
      </c>
      <c r="R85" s="6">
        <v>19</v>
      </c>
      <c r="S85" s="6">
        <v>12</v>
      </c>
      <c r="T85" s="6"/>
      <c r="U85" s="6">
        <f t="shared" si="22"/>
        <v>241920</v>
      </c>
      <c r="V85" s="6" t="e">
        <f t="shared" si="21"/>
        <v>#N/A</v>
      </c>
    </row>
    <row r="86" spans="2:22" x14ac:dyDescent="0.3">
      <c r="Q86" s="6"/>
      <c r="R86" s="6"/>
      <c r="S86" s="6"/>
      <c r="T86" s="6"/>
      <c r="U86" s="6"/>
      <c r="V86" s="6"/>
    </row>
    <row r="87" spans="2:22" x14ac:dyDescent="0.3">
      <c r="D87" s="4">
        <f>SUM(D6:D85)</f>
        <v>1609010000</v>
      </c>
      <c r="E87" s="4" t="e">
        <f t="shared" ref="E87:V87" si="23">SUM(E6:E85)</f>
        <v>#N/A</v>
      </c>
      <c r="F87" s="4">
        <f t="shared" si="23"/>
        <v>1609536860</v>
      </c>
      <c r="G87" s="4" t="e">
        <f t="shared" si="23"/>
        <v>#N/A</v>
      </c>
      <c r="H87" s="4">
        <f t="shared" si="23"/>
        <v>323164970</v>
      </c>
      <c r="I87" s="4" t="e">
        <f t="shared" si="23"/>
        <v>#N/A</v>
      </c>
      <c r="J87" s="4">
        <f t="shared" si="23"/>
        <v>79923445</v>
      </c>
      <c r="K87" s="4" t="e">
        <f t="shared" si="23"/>
        <v>#N/A</v>
      </c>
      <c r="L87" s="4">
        <f t="shared" si="23"/>
        <v>2314</v>
      </c>
      <c r="M87" s="4" t="e">
        <f t="shared" si="23"/>
        <v>#N/A</v>
      </c>
      <c r="N87" s="4">
        <f t="shared" si="23"/>
        <v>174</v>
      </c>
      <c r="O87" s="4" t="e">
        <f t="shared" si="23"/>
        <v>#N/A</v>
      </c>
      <c r="P87" s="4">
        <f t="shared" si="23"/>
        <v>0</v>
      </c>
      <c r="Q87" s="4">
        <f t="shared" si="23"/>
        <v>87</v>
      </c>
      <c r="R87" s="4">
        <f t="shared" si="23"/>
        <v>932</v>
      </c>
      <c r="S87" s="4">
        <f t="shared" si="23"/>
        <v>1850</v>
      </c>
      <c r="T87" s="4">
        <f t="shared" si="23"/>
        <v>266</v>
      </c>
      <c r="U87" s="4">
        <f t="shared" si="23"/>
        <v>10983266</v>
      </c>
      <c r="V87" s="4" t="e">
        <f t="shared" si="23"/>
        <v>#N/A</v>
      </c>
    </row>
    <row r="89" spans="2:22" x14ac:dyDescent="0.3">
      <c r="T89" s="4" t="s">
        <v>21</v>
      </c>
      <c r="U89" s="4">
        <f>ROUNDDOWN(U87/60/60/24,0)</f>
        <v>127</v>
      </c>
      <c r="V89" s="4" t="e">
        <f>ROUNDDOWN(V87/60/60/24,0)</f>
        <v>#N/A</v>
      </c>
    </row>
    <row r="90" spans="2:22" x14ac:dyDescent="0.3">
      <c r="T90" s="4" t="s">
        <v>20</v>
      </c>
      <c r="U90" s="4">
        <f>ROUNDDOWN((U87-U89*60*60*24)/60/60,0)</f>
        <v>2</v>
      </c>
      <c r="V90" s="4" t="e">
        <f>ROUNDDOWN((V87-V89*60*60*24)/60/60,0)</f>
        <v>#N/A</v>
      </c>
    </row>
    <row r="91" spans="2:22" x14ac:dyDescent="0.3">
      <c r="T91" s="4" t="s">
        <v>19</v>
      </c>
      <c r="U91" s="4">
        <f>ROUNDDOWN((U87-U89*60*60*24-U90*60*60)/60,0)</f>
        <v>54</v>
      </c>
      <c r="V91" s="4" t="e">
        <f>ROUNDDOWN((V87-V89*60*60*24-V90*60*60)/60,0)</f>
        <v>#N/A</v>
      </c>
    </row>
    <row r="92" spans="2:22" x14ac:dyDescent="0.3">
      <c r="T92" s="4" t="s">
        <v>18</v>
      </c>
      <c r="U92" s="4">
        <f>ROUNDDOWN((U87-U89*60*60*24-U90*60*60-U91*60),0)</f>
        <v>26</v>
      </c>
      <c r="V92" s="4" t="e">
        <f>ROUNDDOWN((V87-V89*60*60*24-V90*60*60-V91*60),0)</f>
        <v>#N/A</v>
      </c>
    </row>
  </sheetData>
  <sheetProtection sheet="1" objects="1" scenarios="1"/>
  <mergeCells count="9">
    <mergeCell ref="D3:M3"/>
    <mergeCell ref="Q3:V3"/>
    <mergeCell ref="D4:E4"/>
    <mergeCell ref="F4:G4"/>
    <mergeCell ref="H4:I4"/>
    <mergeCell ref="J4:K4"/>
    <mergeCell ref="U4:V4"/>
    <mergeCell ref="L4:M4"/>
    <mergeCell ref="N4:O4"/>
  </mergeCells>
  <phoneticPr fontId="13"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E3E5-6047-43B9-A904-E1DAE20CDC29}">
  <sheetPr codeName="Sheet7"/>
  <dimension ref="A1:R42"/>
  <sheetViews>
    <sheetView workbookViewId="0">
      <pane xSplit="2" ySplit="5" topLeftCell="C6" activePane="bottomRight" state="frozen"/>
      <selection sqref="A1:R2"/>
      <selection pane="topRight" sqref="A1:R2"/>
      <selection pane="bottomLeft" sqref="A1:R2"/>
      <selection pane="bottomRight" activeCell="Q37" sqref="Q37"/>
    </sheetView>
  </sheetViews>
  <sheetFormatPr baseColWidth="10" defaultColWidth="9.109375" defaultRowHeight="14.4" x14ac:dyDescent="0.3"/>
  <cols>
    <col min="1" max="1" width="9.109375" style="4" customWidth="1"/>
    <col min="2" max="2" width="16" style="4" bestFit="1" customWidth="1"/>
    <col min="3" max="3" width="15.33203125" style="4" bestFit="1" customWidth="1"/>
    <col min="4" max="4" width="14.33203125" style="4" customWidth="1"/>
    <col min="5" max="5" width="15.33203125" style="4" bestFit="1" customWidth="1"/>
    <col min="6" max="6" width="14.33203125" style="4" customWidth="1"/>
    <col min="7" max="7" width="14.33203125" style="4" bestFit="1" customWidth="1"/>
    <col min="8" max="8" width="12.5546875" style="4" customWidth="1"/>
    <col min="9" max="9" width="13.33203125" style="4" bestFit="1" customWidth="1"/>
    <col min="10" max="10" width="11.5546875" style="4" customWidth="1"/>
    <col min="11" max="11" width="9.109375" style="4"/>
    <col min="12" max="12" width="6" style="4" bestFit="1" customWidth="1"/>
    <col min="13" max="13" width="8" style="4" bestFit="1" customWidth="1"/>
    <col min="14" max="14" width="8.44140625" style="4" bestFit="1" customWidth="1"/>
    <col min="15" max="15" width="8.88671875" style="4" bestFit="1" customWidth="1"/>
    <col min="16" max="16" width="13.44140625" style="4" bestFit="1" customWidth="1"/>
    <col min="17" max="17" width="13.33203125" style="4" customWidth="1"/>
    <col min="18" max="16384" width="9.109375" style="4"/>
  </cols>
  <sheetData>
    <row r="1" spans="1:18" x14ac:dyDescent="0.3">
      <c r="C1" s="4" t="s">
        <v>26</v>
      </c>
    </row>
    <row r="2" spans="1:18" x14ac:dyDescent="0.3">
      <c r="A2" s="45"/>
      <c r="C2" s="6">
        <f>LARGE(Furnace!AA4:AA35,1)</f>
        <v>6</v>
      </c>
      <c r="D2" s="6"/>
      <c r="E2" s="45"/>
      <c r="F2" s="45"/>
      <c r="G2" s="45"/>
      <c r="H2" s="45"/>
      <c r="I2" s="45"/>
      <c r="J2" s="45"/>
      <c r="K2" s="45"/>
      <c r="L2" s="45"/>
      <c r="M2" s="45"/>
      <c r="N2" s="45"/>
      <c r="O2" s="45"/>
      <c r="P2" s="45"/>
      <c r="Q2" s="45"/>
      <c r="R2" s="45"/>
    </row>
    <row r="3" spans="1:18" x14ac:dyDescent="0.3">
      <c r="B3" s="45" t="s">
        <v>8</v>
      </c>
      <c r="C3" s="709" t="s">
        <v>16</v>
      </c>
      <c r="D3" s="709"/>
      <c r="E3" s="709"/>
      <c r="F3" s="709"/>
      <c r="G3" s="709"/>
      <c r="H3" s="709"/>
      <c r="I3" s="709"/>
      <c r="J3" s="709"/>
      <c r="L3" s="709" t="s">
        <v>17</v>
      </c>
      <c r="M3" s="709"/>
      <c r="N3" s="709"/>
      <c r="O3" s="709"/>
      <c r="P3" s="709"/>
      <c r="Q3" s="709"/>
    </row>
    <row r="4" spans="1:18" x14ac:dyDescent="0.3">
      <c r="B4" s="45" t="e">
        <f>#REF!</f>
        <v>#REF!</v>
      </c>
      <c r="C4" s="705" t="s">
        <v>0</v>
      </c>
      <c r="D4" s="705"/>
      <c r="E4" s="705" t="s">
        <v>1</v>
      </c>
      <c r="F4" s="705"/>
      <c r="G4" s="705" t="s">
        <v>2</v>
      </c>
      <c r="H4" s="705"/>
      <c r="I4" s="705" t="s">
        <v>3</v>
      </c>
      <c r="J4" s="705"/>
      <c r="K4" s="45"/>
      <c r="L4" s="45"/>
      <c r="M4" s="45"/>
      <c r="N4" s="45"/>
      <c r="O4" s="45"/>
      <c r="P4" s="705" t="s">
        <v>18</v>
      </c>
      <c r="Q4" s="705"/>
    </row>
    <row r="5" spans="1:18" x14ac:dyDescent="0.3">
      <c r="B5" s="64">
        <v>0</v>
      </c>
      <c r="C5" s="45" t="s">
        <v>25</v>
      </c>
      <c r="D5" s="45" t="s">
        <v>24</v>
      </c>
      <c r="E5" s="45" t="s">
        <v>25</v>
      </c>
      <c r="F5" s="45" t="s">
        <v>24</v>
      </c>
      <c r="G5" s="45" t="s">
        <v>25</v>
      </c>
      <c r="H5" s="45" t="s">
        <v>24</v>
      </c>
      <c r="I5" s="45" t="s">
        <v>25</v>
      </c>
      <c r="J5" s="45" t="s">
        <v>24</v>
      </c>
      <c r="K5" s="45"/>
      <c r="L5" s="45" t="s">
        <v>21</v>
      </c>
      <c r="M5" s="45" t="s">
        <v>20</v>
      </c>
      <c r="N5" s="45" t="s">
        <v>19</v>
      </c>
      <c r="O5" s="45" t="s">
        <v>18</v>
      </c>
      <c r="P5" s="45" t="s">
        <v>25</v>
      </c>
      <c r="Q5" s="45" t="s">
        <v>24</v>
      </c>
    </row>
    <row r="6" spans="1:18" x14ac:dyDescent="0.3">
      <c r="B6" s="63">
        <v>1</v>
      </c>
      <c r="D6" s="6" t="str">
        <f t="shared" ref="D6:D35" si="0">IF($B6&gt;HunterDesired,"",IF($B6&gt;HunterCurrent,C6,""))</f>
        <v/>
      </c>
      <c r="E6" s="4">
        <v>30</v>
      </c>
      <c r="F6" s="6" t="str">
        <f t="shared" ref="F6:F35" si="1">IF($B6&gt;HunterDesired,"",IF($B6&gt;HunterCurrent,E6,""))</f>
        <v/>
      </c>
      <c r="H6" s="6" t="str">
        <f t="shared" ref="H6:H35" si="2">IF($B6&gt;HunterDesired,"",IF($B6&gt;HunterCurrent,G6,""))</f>
        <v/>
      </c>
      <c r="J6" s="6" t="str">
        <f t="shared" ref="J6:J35" si="3">IF($B6&gt;HunterDesired,"",IF($B6&gt;HunterCurrent,I6,""))</f>
        <v/>
      </c>
      <c r="L6" s="6"/>
      <c r="M6" s="6"/>
      <c r="N6" s="6"/>
      <c r="O6" s="6">
        <v>2</v>
      </c>
      <c r="P6" s="6">
        <f>O6+N6*60+M6*60*60+L6*60*60*24</f>
        <v>2</v>
      </c>
      <c r="Q6" s="6" t="str">
        <f t="shared" ref="Q6:Q35" si="4">IF($B6&gt;HunterDesired,"",IF($B6&gt;HunterCurrent,P6,""))</f>
        <v/>
      </c>
    </row>
    <row r="7" spans="1:18" x14ac:dyDescent="0.3">
      <c r="B7" s="63">
        <v>2</v>
      </c>
      <c r="D7" s="6" t="str">
        <f t="shared" si="0"/>
        <v/>
      </c>
      <c r="E7" s="4">
        <v>45</v>
      </c>
      <c r="F7" s="6" t="str">
        <f t="shared" si="1"/>
        <v/>
      </c>
      <c r="H7" s="6" t="str">
        <f t="shared" si="2"/>
        <v/>
      </c>
      <c r="J7" s="6" t="str">
        <f t="shared" si="3"/>
        <v/>
      </c>
      <c r="L7" s="6"/>
      <c r="M7" s="6"/>
      <c r="N7" s="6"/>
      <c r="O7" s="6">
        <v>3</v>
      </c>
      <c r="P7" s="6">
        <f t="shared" ref="P7:P35" si="5">O7+N7*60+M7*60*60+L7*60*60*24</f>
        <v>3</v>
      </c>
      <c r="Q7" s="6" t="str">
        <f t="shared" si="4"/>
        <v/>
      </c>
    </row>
    <row r="8" spans="1:18" x14ac:dyDescent="0.3">
      <c r="B8" s="63">
        <v>3</v>
      </c>
      <c r="D8" s="6" t="str">
        <f t="shared" si="0"/>
        <v/>
      </c>
      <c r="E8" s="4">
        <v>200</v>
      </c>
      <c r="F8" s="6" t="str">
        <f t="shared" si="1"/>
        <v/>
      </c>
      <c r="H8" s="6" t="str">
        <f t="shared" si="2"/>
        <v/>
      </c>
      <c r="J8" s="6" t="str">
        <f t="shared" si="3"/>
        <v/>
      </c>
      <c r="L8" s="6"/>
      <c r="M8" s="6"/>
      <c r="N8" s="6"/>
      <c r="O8" s="6">
        <v>10</v>
      </c>
      <c r="P8" s="6">
        <f t="shared" si="5"/>
        <v>10</v>
      </c>
      <c r="Q8" s="6" t="str">
        <f t="shared" si="4"/>
        <v/>
      </c>
    </row>
    <row r="9" spans="1:18" x14ac:dyDescent="0.3">
      <c r="B9" s="63">
        <v>4</v>
      </c>
      <c r="D9" s="6" t="str">
        <f t="shared" si="0"/>
        <v/>
      </c>
      <c r="E9" s="4">
        <v>450</v>
      </c>
      <c r="F9" s="6" t="str">
        <f t="shared" si="1"/>
        <v/>
      </c>
      <c r="G9" s="4">
        <v>90</v>
      </c>
      <c r="H9" s="6" t="str">
        <f t="shared" si="2"/>
        <v/>
      </c>
      <c r="J9" s="6" t="str">
        <f t="shared" si="3"/>
        <v/>
      </c>
      <c r="L9" s="6"/>
      <c r="M9" s="6"/>
      <c r="N9" s="6"/>
      <c r="O9" s="6">
        <v>35</v>
      </c>
      <c r="P9" s="6">
        <f t="shared" si="5"/>
        <v>35</v>
      </c>
      <c r="Q9" s="6" t="str">
        <f t="shared" si="4"/>
        <v/>
      </c>
    </row>
    <row r="10" spans="1:18" x14ac:dyDescent="0.3">
      <c r="B10" s="63">
        <v>5</v>
      </c>
      <c r="D10" s="6" t="str">
        <f t="shared" si="0"/>
        <v/>
      </c>
      <c r="E10" s="4">
        <v>1900</v>
      </c>
      <c r="F10" s="6" t="str">
        <f t="shared" si="1"/>
        <v/>
      </c>
      <c r="G10" s="4">
        <v>380</v>
      </c>
      <c r="H10" s="6" t="str">
        <f t="shared" si="2"/>
        <v/>
      </c>
      <c r="J10" s="6" t="str">
        <f t="shared" si="3"/>
        <v/>
      </c>
      <c r="L10" s="6"/>
      <c r="M10" s="6"/>
      <c r="N10" s="6">
        <v>1</v>
      </c>
      <c r="O10" s="6">
        <v>10</v>
      </c>
      <c r="P10" s="6">
        <f t="shared" si="5"/>
        <v>70</v>
      </c>
      <c r="Q10" s="6" t="str">
        <f t="shared" si="4"/>
        <v/>
      </c>
    </row>
    <row r="11" spans="1:18" x14ac:dyDescent="0.3">
      <c r="B11" s="63">
        <v>6</v>
      </c>
      <c r="D11" s="6" t="str">
        <f t="shared" si="0"/>
        <v/>
      </c>
      <c r="E11" s="4">
        <v>4800</v>
      </c>
      <c r="F11" s="6" t="str">
        <f t="shared" si="1"/>
        <v/>
      </c>
      <c r="G11" s="4">
        <v>960</v>
      </c>
      <c r="H11" s="6" t="str">
        <f t="shared" si="2"/>
        <v/>
      </c>
      <c r="I11" s="4">
        <v>240</v>
      </c>
      <c r="J11" s="6" t="str">
        <f t="shared" si="3"/>
        <v/>
      </c>
      <c r="L11" s="6"/>
      <c r="M11" s="6"/>
      <c r="N11" s="6">
        <v>2</v>
      </c>
      <c r="O11" s="6">
        <v>20</v>
      </c>
      <c r="P11" s="6">
        <f t="shared" si="5"/>
        <v>140</v>
      </c>
      <c r="Q11" s="6" t="str">
        <f t="shared" si="4"/>
        <v/>
      </c>
    </row>
    <row r="12" spans="1:18" x14ac:dyDescent="0.3">
      <c r="B12" s="63">
        <v>7</v>
      </c>
      <c r="D12" s="6" t="str">
        <f t="shared" si="0"/>
        <v/>
      </c>
      <c r="E12" s="4">
        <v>17000</v>
      </c>
      <c r="F12" s="6" t="str">
        <f t="shared" si="1"/>
        <v/>
      </c>
      <c r="G12" s="4">
        <v>3400</v>
      </c>
      <c r="H12" s="6" t="str">
        <f t="shared" si="2"/>
        <v/>
      </c>
      <c r="I12" s="4">
        <v>865</v>
      </c>
      <c r="J12" s="6" t="str">
        <f t="shared" si="3"/>
        <v/>
      </c>
      <c r="L12" s="6"/>
      <c r="M12" s="6"/>
      <c r="N12" s="6">
        <v>4</v>
      </c>
      <c r="O12" s="6">
        <v>45</v>
      </c>
      <c r="P12" s="6">
        <f t="shared" si="5"/>
        <v>285</v>
      </c>
      <c r="Q12" s="6" t="str">
        <f t="shared" si="4"/>
        <v/>
      </c>
    </row>
    <row r="13" spans="1:18" x14ac:dyDescent="0.3">
      <c r="B13" s="63">
        <v>8</v>
      </c>
      <c r="D13" s="6" t="str">
        <f t="shared" si="0"/>
        <v/>
      </c>
      <c r="E13" s="4">
        <v>31000</v>
      </c>
      <c r="F13" s="6" t="str">
        <f t="shared" si="1"/>
        <v/>
      </c>
      <c r="G13" s="4">
        <v>6300</v>
      </c>
      <c r="H13" s="6" t="str">
        <f t="shared" si="2"/>
        <v/>
      </c>
      <c r="I13" s="4">
        <v>1500</v>
      </c>
      <c r="J13" s="6" t="str">
        <f t="shared" si="3"/>
        <v/>
      </c>
      <c r="L13" s="6"/>
      <c r="M13" s="6"/>
      <c r="N13" s="6">
        <v>7</v>
      </c>
      <c r="O13" s="6">
        <v>10</v>
      </c>
      <c r="P13" s="6">
        <f t="shared" si="5"/>
        <v>430</v>
      </c>
      <c r="Q13" s="6" t="str">
        <f t="shared" si="4"/>
        <v/>
      </c>
    </row>
    <row r="14" spans="1:18" x14ac:dyDescent="0.3">
      <c r="B14" s="63">
        <v>9</v>
      </c>
      <c r="D14" s="6" t="str">
        <f t="shared" si="0"/>
        <v/>
      </c>
      <c r="E14" s="4">
        <v>65000</v>
      </c>
      <c r="F14" s="6" t="str">
        <f t="shared" si="1"/>
        <v/>
      </c>
      <c r="G14" s="4">
        <v>13000</v>
      </c>
      <c r="H14" s="6" t="str">
        <f t="shared" si="2"/>
        <v/>
      </c>
      <c r="I14" s="4">
        <v>3200</v>
      </c>
      <c r="J14" s="6" t="str">
        <f t="shared" si="3"/>
        <v/>
      </c>
      <c r="L14" s="6"/>
      <c r="M14" s="6"/>
      <c r="N14" s="6">
        <v>10</v>
      </c>
      <c r="O14" s="6">
        <v>30</v>
      </c>
      <c r="P14" s="6">
        <f t="shared" si="5"/>
        <v>630</v>
      </c>
      <c r="Q14" s="6" t="str">
        <f t="shared" si="4"/>
        <v/>
      </c>
    </row>
    <row r="15" spans="1:18" x14ac:dyDescent="0.3">
      <c r="B15" s="63">
        <v>10</v>
      </c>
      <c r="D15" s="6" t="str">
        <f t="shared" si="0"/>
        <v/>
      </c>
      <c r="E15" s="4">
        <v>110000</v>
      </c>
      <c r="F15" s="6" t="str">
        <f t="shared" si="1"/>
        <v/>
      </c>
      <c r="G15" s="4">
        <v>23000</v>
      </c>
      <c r="H15" s="6" t="str">
        <f t="shared" si="2"/>
        <v/>
      </c>
      <c r="I15" s="4">
        <v>5700</v>
      </c>
      <c r="J15" s="6" t="str">
        <f t="shared" si="3"/>
        <v/>
      </c>
      <c r="L15" s="6"/>
      <c r="M15" s="6"/>
      <c r="N15" s="6">
        <v>14</v>
      </c>
      <c r="O15" s="6"/>
      <c r="P15" s="6">
        <f t="shared" si="5"/>
        <v>840</v>
      </c>
      <c r="Q15" s="6" t="str">
        <f t="shared" si="4"/>
        <v/>
      </c>
    </row>
    <row r="16" spans="1:18" x14ac:dyDescent="0.3">
      <c r="B16" s="63">
        <v>11</v>
      </c>
      <c r="C16" s="4">
        <v>110000</v>
      </c>
      <c r="D16" s="6" t="str">
        <f t="shared" si="0"/>
        <v/>
      </c>
      <c r="E16" s="4">
        <v>110000</v>
      </c>
      <c r="F16" s="6" t="str">
        <f t="shared" si="1"/>
        <v/>
      </c>
      <c r="G16" s="4">
        <v>23000</v>
      </c>
      <c r="H16" s="6" t="str">
        <f t="shared" si="2"/>
        <v/>
      </c>
      <c r="I16" s="4">
        <v>5900</v>
      </c>
      <c r="J16" s="6" t="str">
        <f t="shared" si="3"/>
        <v/>
      </c>
      <c r="L16" s="6"/>
      <c r="M16" s="6"/>
      <c r="N16" s="6">
        <v>18</v>
      </c>
      <c r="O16" s="6"/>
      <c r="P16" s="6">
        <f t="shared" si="5"/>
        <v>1080</v>
      </c>
      <c r="Q16" s="6" t="str">
        <f t="shared" si="4"/>
        <v/>
      </c>
    </row>
    <row r="17" spans="2:17" x14ac:dyDescent="0.3">
      <c r="B17" s="63">
        <v>12</v>
      </c>
      <c r="C17" s="4">
        <v>150000</v>
      </c>
      <c r="D17" s="6" t="str">
        <f t="shared" si="0"/>
        <v/>
      </c>
      <c r="E17" s="4">
        <v>150000</v>
      </c>
      <c r="F17" s="6" t="str">
        <f t="shared" si="1"/>
        <v/>
      </c>
      <c r="G17" s="4">
        <v>30000</v>
      </c>
      <c r="H17" s="6" t="str">
        <f t="shared" si="2"/>
        <v/>
      </c>
      <c r="I17" s="4">
        <v>7500</v>
      </c>
      <c r="J17" s="6" t="str">
        <f t="shared" si="3"/>
        <v/>
      </c>
      <c r="L17" s="6"/>
      <c r="M17" s="6"/>
      <c r="N17" s="6">
        <v>21</v>
      </c>
      <c r="O17" s="6">
        <v>30</v>
      </c>
      <c r="P17" s="6">
        <f t="shared" si="5"/>
        <v>1290</v>
      </c>
      <c r="Q17" s="6" t="str">
        <f t="shared" si="4"/>
        <v/>
      </c>
    </row>
    <row r="18" spans="2:17" x14ac:dyDescent="0.3">
      <c r="B18" s="63">
        <v>13</v>
      </c>
      <c r="C18" s="4">
        <v>210000</v>
      </c>
      <c r="D18" s="6" t="str">
        <f t="shared" si="0"/>
        <v/>
      </c>
      <c r="E18" s="4">
        <v>210000</v>
      </c>
      <c r="F18" s="6" t="str">
        <f t="shared" si="1"/>
        <v/>
      </c>
      <c r="G18" s="4">
        <v>42000</v>
      </c>
      <c r="H18" s="6" t="str">
        <f t="shared" si="2"/>
        <v/>
      </c>
      <c r="I18" s="4">
        <v>10000</v>
      </c>
      <c r="J18" s="6" t="str">
        <f t="shared" si="3"/>
        <v/>
      </c>
      <c r="L18" s="6"/>
      <c r="M18" s="6"/>
      <c r="N18" s="6">
        <v>26</v>
      </c>
      <c r="O18" s="6"/>
      <c r="P18" s="6">
        <f t="shared" si="5"/>
        <v>1560</v>
      </c>
      <c r="Q18" s="6" t="str">
        <f t="shared" si="4"/>
        <v/>
      </c>
    </row>
    <row r="19" spans="2:17" x14ac:dyDescent="0.3">
      <c r="B19" s="63">
        <v>14</v>
      </c>
      <c r="C19" s="4">
        <v>280000</v>
      </c>
      <c r="D19" s="6" t="str">
        <f t="shared" si="0"/>
        <v/>
      </c>
      <c r="E19" s="4">
        <v>280000</v>
      </c>
      <c r="F19" s="6" t="str">
        <f t="shared" si="1"/>
        <v/>
      </c>
      <c r="G19" s="4">
        <v>56000</v>
      </c>
      <c r="H19" s="6" t="str">
        <f t="shared" si="2"/>
        <v/>
      </c>
      <c r="I19" s="4">
        <v>14000</v>
      </c>
      <c r="J19" s="6" t="str">
        <f t="shared" si="3"/>
        <v/>
      </c>
      <c r="L19" s="6"/>
      <c r="M19" s="6"/>
      <c r="N19" s="6">
        <v>33</v>
      </c>
      <c r="O19" s="6">
        <v>30</v>
      </c>
      <c r="P19" s="6">
        <f t="shared" si="5"/>
        <v>2010</v>
      </c>
      <c r="Q19" s="6" t="str">
        <f t="shared" si="4"/>
        <v/>
      </c>
    </row>
    <row r="20" spans="2:17" x14ac:dyDescent="0.3">
      <c r="B20" s="63">
        <v>15</v>
      </c>
      <c r="C20" s="4">
        <v>410000</v>
      </c>
      <c r="D20" s="6" t="str">
        <f t="shared" si="0"/>
        <v/>
      </c>
      <c r="E20" s="4">
        <v>410000</v>
      </c>
      <c r="F20" s="6" t="str">
        <f t="shared" si="1"/>
        <v/>
      </c>
      <c r="G20" s="4">
        <v>83000</v>
      </c>
      <c r="H20" s="6" t="str">
        <f t="shared" si="2"/>
        <v/>
      </c>
      <c r="I20" s="4">
        <v>20000</v>
      </c>
      <c r="J20" s="6" t="str">
        <f t="shared" si="3"/>
        <v/>
      </c>
      <c r="L20" s="6"/>
      <c r="M20" s="6"/>
      <c r="N20" s="6">
        <v>43</v>
      </c>
      <c r="O20" s="6"/>
      <c r="P20" s="6">
        <f t="shared" si="5"/>
        <v>2580</v>
      </c>
      <c r="Q20" s="6" t="str">
        <f t="shared" si="4"/>
        <v/>
      </c>
    </row>
    <row r="21" spans="2:17" x14ac:dyDescent="0.3">
      <c r="B21" s="63">
        <v>16</v>
      </c>
      <c r="C21" s="4">
        <v>530000</v>
      </c>
      <c r="D21" s="6" t="str">
        <f t="shared" si="0"/>
        <v/>
      </c>
      <c r="E21" s="4">
        <v>530000</v>
      </c>
      <c r="F21" s="6" t="str">
        <f t="shared" si="1"/>
        <v/>
      </c>
      <c r="G21" s="4">
        <v>100000</v>
      </c>
      <c r="H21" s="6" t="str">
        <f t="shared" si="2"/>
        <v/>
      </c>
      <c r="I21" s="4">
        <v>26000</v>
      </c>
      <c r="J21" s="6" t="str">
        <f t="shared" si="3"/>
        <v/>
      </c>
      <c r="L21" s="6"/>
      <c r="M21" s="6">
        <v>1</v>
      </c>
      <c r="N21" s="6">
        <v>13</v>
      </c>
      <c r="O21" s="6"/>
      <c r="P21" s="6">
        <f t="shared" si="5"/>
        <v>4380</v>
      </c>
      <c r="Q21" s="6" t="str">
        <f t="shared" si="4"/>
        <v/>
      </c>
    </row>
    <row r="22" spans="2:17" x14ac:dyDescent="0.3">
      <c r="B22" s="63">
        <v>17</v>
      </c>
      <c r="C22" s="4">
        <v>830000</v>
      </c>
      <c r="D22" s="6" t="str">
        <f t="shared" si="0"/>
        <v/>
      </c>
      <c r="E22" s="4">
        <v>830000</v>
      </c>
      <c r="F22" s="6" t="str">
        <f t="shared" si="1"/>
        <v/>
      </c>
      <c r="G22" s="4">
        <v>160000</v>
      </c>
      <c r="H22" s="6" t="str">
        <f t="shared" si="2"/>
        <v/>
      </c>
      <c r="I22" s="4">
        <v>41000</v>
      </c>
      <c r="J22" s="6" t="str">
        <f t="shared" si="3"/>
        <v/>
      </c>
      <c r="L22" s="6"/>
      <c r="M22" s="6">
        <v>1</v>
      </c>
      <c r="N22" s="6">
        <v>27</v>
      </c>
      <c r="O22" s="6">
        <v>30</v>
      </c>
      <c r="P22" s="6">
        <f t="shared" si="5"/>
        <v>5250</v>
      </c>
      <c r="Q22" s="6" t="str">
        <f t="shared" si="4"/>
        <v/>
      </c>
    </row>
    <row r="23" spans="2:17" x14ac:dyDescent="0.3">
      <c r="B23" s="63">
        <v>18</v>
      </c>
      <c r="C23" s="4">
        <v>1100000</v>
      </c>
      <c r="D23" s="6" t="str">
        <f t="shared" si="0"/>
        <v/>
      </c>
      <c r="E23" s="4">
        <v>1100000</v>
      </c>
      <c r="F23" s="6" t="str">
        <f t="shared" si="1"/>
        <v/>
      </c>
      <c r="G23" s="4">
        <v>220000</v>
      </c>
      <c r="H23" s="6" t="str">
        <f t="shared" si="2"/>
        <v/>
      </c>
      <c r="I23" s="4">
        <v>56000</v>
      </c>
      <c r="J23" s="6" t="str">
        <f t="shared" si="3"/>
        <v/>
      </c>
      <c r="L23" s="6"/>
      <c r="M23" s="6">
        <v>1</v>
      </c>
      <c r="N23" s="6">
        <v>45</v>
      </c>
      <c r="O23" s="6"/>
      <c r="P23" s="6">
        <f t="shared" si="5"/>
        <v>6300</v>
      </c>
      <c r="Q23" s="6" t="str">
        <f t="shared" si="4"/>
        <v/>
      </c>
    </row>
    <row r="24" spans="2:17" x14ac:dyDescent="0.3">
      <c r="B24" s="63">
        <v>19</v>
      </c>
      <c r="C24" s="4">
        <v>1400000</v>
      </c>
      <c r="D24" s="6" t="str">
        <f t="shared" si="0"/>
        <v/>
      </c>
      <c r="E24" s="4">
        <v>1400000</v>
      </c>
      <c r="F24" s="6" t="str">
        <f t="shared" si="1"/>
        <v/>
      </c>
      <c r="G24" s="4">
        <v>280000</v>
      </c>
      <c r="H24" s="6" t="str">
        <f t="shared" si="2"/>
        <v/>
      </c>
      <c r="I24" s="4">
        <v>70000</v>
      </c>
      <c r="J24" s="6" t="str">
        <f t="shared" si="3"/>
        <v/>
      </c>
      <c r="L24" s="6"/>
      <c r="M24" s="6">
        <v>2</v>
      </c>
      <c r="N24" s="6">
        <v>38</v>
      </c>
      <c r="O24" s="6"/>
      <c r="P24" s="6">
        <f t="shared" si="5"/>
        <v>9480</v>
      </c>
      <c r="Q24" s="6" t="str">
        <f t="shared" si="4"/>
        <v/>
      </c>
    </row>
    <row r="25" spans="2:17" x14ac:dyDescent="0.3">
      <c r="B25" s="63">
        <v>20</v>
      </c>
      <c r="C25" s="4">
        <v>1900000</v>
      </c>
      <c r="D25" s="6" t="str">
        <f t="shared" si="0"/>
        <v/>
      </c>
      <c r="E25" s="4">
        <v>1900000</v>
      </c>
      <c r="F25" s="6" t="str">
        <f t="shared" si="1"/>
        <v/>
      </c>
      <c r="G25" s="4">
        <v>300000</v>
      </c>
      <c r="H25" s="6" t="str">
        <f t="shared" si="2"/>
        <v/>
      </c>
      <c r="I25" s="4">
        <v>96000</v>
      </c>
      <c r="J25" s="6" t="str">
        <f t="shared" si="3"/>
        <v/>
      </c>
      <c r="L25" s="6"/>
      <c r="M25" s="6">
        <v>3</v>
      </c>
      <c r="N25" s="6">
        <v>17</v>
      </c>
      <c r="O25" s="6">
        <v>30</v>
      </c>
      <c r="P25" s="6">
        <f t="shared" si="5"/>
        <v>11850</v>
      </c>
      <c r="Q25" s="6" t="str">
        <f t="shared" si="4"/>
        <v/>
      </c>
    </row>
    <row r="26" spans="2:17" x14ac:dyDescent="0.3">
      <c r="B26" s="63">
        <v>21</v>
      </c>
      <c r="C26" s="4">
        <v>2400000</v>
      </c>
      <c r="D26" s="6" t="str">
        <f t="shared" si="0"/>
        <v/>
      </c>
      <c r="E26" s="4">
        <v>2400000</v>
      </c>
      <c r="F26" s="6" t="str">
        <f t="shared" si="1"/>
        <v/>
      </c>
      <c r="G26" s="4">
        <v>490000</v>
      </c>
      <c r="H26" s="6" t="str">
        <f t="shared" si="2"/>
        <v/>
      </c>
      <c r="I26" s="4">
        <v>120000</v>
      </c>
      <c r="J26" s="6" t="str">
        <f t="shared" si="3"/>
        <v/>
      </c>
      <c r="L26" s="6"/>
      <c r="M26" s="6">
        <v>4</v>
      </c>
      <c r="N26" s="6">
        <v>16</v>
      </c>
      <c r="O26" s="6">
        <v>30</v>
      </c>
      <c r="P26" s="6">
        <f t="shared" si="5"/>
        <v>15390</v>
      </c>
      <c r="Q26" s="6" t="str">
        <f t="shared" si="4"/>
        <v/>
      </c>
    </row>
    <row r="27" spans="2:17" x14ac:dyDescent="0.3">
      <c r="B27" s="63">
        <v>22</v>
      </c>
      <c r="C27" s="4">
        <v>3200000</v>
      </c>
      <c r="D27" s="6" t="str">
        <f t="shared" si="0"/>
        <v/>
      </c>
      <c r="E27" s="4">
        <v>3200000</v>
      </c>
      <c r="F27" s="6" t="str">
        <f t="shared" si="1"/>
        <v/>
      </c>
      <c r="G27" s="4">
        <v>640000</v>
      </c>
      <c r="H27" s="6" t="str">
        <f t="shared" si="2"/>
        <v/>
      </c>
      <c r="I27" s="4">
        <v>160000</v>
      </c>
      <c r="J27" s="6" t="str">
        <f t="shared" si="3"/>
        <v/>
      </c>
      <c r="L27" s="6"/>
      <c r="M27" s="6">
        <v>6</v>
      </c>
      <c r="N27" s="6">
        <v>25</v>
      </c>
      <c r="O27" s="6"/>
      <c r="P27" s="6">
        <f t="shared" si="5"/>
        <v>23100</v>
      </c>
      <c r="Q27" s="6" t="str">
        <f t="shared" si="4"/>
        <v/>
      </c>
    </row>
    <row r="28" spans="2:17" x14ac:dyDescent="0.3">
      <c r="B28" s="63">
        <v>23</v>
      </c>
      <c r="C28" s="4">
        <v>4000000</v>
      </c>
      <c r="D28" s="6" t="str">
        <f t="shared" si="0"/>
        <v/>
      </c>
      <c r="E28" s="4">
        <v>4000000</v>
      </c>
      <c r="F28" s="6" t="str">
        <f t="shared" si="1"/>
        <v/>
      </c>
      <c r="G28" s="4">
        <v>800000</v>
      </c>
      <c r="H28" s="6" t="str">
        <f t="shared" si="2"/>
        <v/>
      </c>
      <c r="I28" s="4">
        <v>200000</v>
      </c>
      <c r="J28" s="6" t="str">
        <f t="shared" si="3"/>
        <v/>
      </c>
      <c r="L28" s="6"/>
      <c r="M28" s="6">
        <v>8</v>
      </c>
      <c r="N28" s="6">
        <v>59</v>
      </c>
      <c r="O28" s="6"/>
      <c r="P28" s="6">
        <f t="shared" si="5"/>
        <v>32340</v>
      </c>
      <c r="Q28" s="6" t="str">
        <f t="shared" si="4"/>
        <v/>
      </c>
    </row>
    <row r="29" spans="2:17" x14ac:dyDescent="0.3">
      <c r="B29" s="63">
        <v>24</v>
      </c>
      <c r="C29" s="4">
        <v>5400000</v>
      </c>
      <c r="D29" s="6" t="str">
        <f t="shared" si="0"/>
        <v/>
      </c>
      <c r="E29" s="4">
        <v>5400000</v>
      </c>
      <c r="F29" s="6" t="str">
        <f t="shared" si="1"/>
        <v/>
      </c>
      <c r="G29" s="4">
        <v>1000000</v>
      </c>
      <c r="H29" s="6" t="str">
        <f t="shared" si="2"/>
        <v/>
      </c>
      <c r="I29" s="4">
        <v>270000</v>
      </c>
      <c r="J29" s="6" t="str">
        <f t="shared" si="3"/>
        <v/>
      </c>
      <c r="L29" s="6"/>
      <c r="M29" s="6">
        <v>12</v>
      </c>
      <c r="N29" s="6">
        <v>34</v>
      </c>
      <c r="O29" s="6">
        <v>30</v>
      </c>
      <c r="P29" s="6">
        <f t="shared" si="5"/>
        <v>45270</v>
      </c>
      <c r="Q29" s="6" t="str">
        <f t="shared" si="4"/>
        <v/>
      </c>
    </row>
    <row r="30" spans="2:17" x14ac:dyDescent="0.3">
      <c r="B30" s="63">
        <v>25</v>
      </c>
      <c r="C30" s="4">
        <v>7300000</v>
      </c>
      <c r="D30" s="6" t="str">
        <f t="shared" si="0"/>
        <v/>
      </c>
      <c r="E30" s="4">
        <v>7300000</v>
      </c>
      <c r="F30" s="6" t="str">
        <f t="shared" si="1"/>
        <v/>
      </c>
      <c r="G30" s="4">
        <v>1400000</v>
      </c>
      <c r="H30" s="6" t="str">
        <f t="shared" si="2"/>
        <v/>
      </c>
      <c r="I30" s="4">
        <v>360000</v>
      </c>
      <c r="J30" s="6" t="str">
        <f t="shared" si="3"/>
        <v/>
      </c>
      <c r="L30" s="6"/>
      <c r="M30" s="6">
        <v>17</v>
      </c>
      <c r="N30" s="6">
        <v>36</v>
      </c>
      <c r="O30" s="6">
        <v>30</v>
      </c>
      <c r="P30" s="6">
        <f t="shared" si="5"/>
        <v>63390</v>
      </c>
      <c r="Q30" s="6" t="str">
        <f t="shared" si="4"/>
        <v/>
      </c>
    </row>
    <row r="31" spans="2:17" x14ac:dyDescent="0.3">
      <c r="B31" s="63">
        <v>26</v>
      </c>
      <c r="C31" s="4">
        <v>9400000</v>
      </c>
      <c r="D31" s="6" t="str">
        <f t="shared" si="0"/>
        <v/>
      </c>
      <c r="E31" s="4">
        <v>9400000</v>
      </c>
      <c r="F31" s="6" t="str">
        <f t="shared" si="1"/>
        <v/>
      </c>
      <c r="G31" s="4">
        <v>1800000</v>
      </c>
      <c r="H31" s="6" t="str">
        <f t="shared" si="2"/>
        <v/>
      </c>
      <c r="I31" s="4">
        <v>470000</v>
      </c>
      <c r="J31" s="6" t="str">
        <f t="shared" si="3"/>
        <v/>
      </c>
      <c r="L31" s="6"/>
      <c r="M31" s="6">
        <v>20</v>
      </c>
      <c r="N31" s="6">
        <v>15</v>
      </c>
      <c r="O31" s="6"/>
      <c r="P31" s="6">
        <f t="shared" si="5"/>
        <v>72900</v>
      </c>
      <c r="Q31" s="6" t="str">
        <f t="shared" si="4"/>
        <v/>
      </c>
    </row>
    <row r="32" spans="2:17" x14ac:dyDescent="0.3">
      <c r="B32" s="63">
        <v>27</v>
      </c>
      <c r="C32" s="4">
        <v>13000000</v>
      </c>
      <c r="D32" s="6" t="str">
        <f t="shared" si="0"/>
        <v/>
      </c>
      <c r="E32" s="4">
        <v>1300000</v>
      </c>
      <c r="F32" s="6" t="str">
        <f t="shared" si="1"/>
        <v/>
      </c>
      <c r="G32" s="4">
        <v>2600000</v>
      </c>
      <c r="H32" s="6" t="str">
        <f t="shared" si="2"/>
        <v/>
      </c>
      <c r="I32" s="4">
        <v>670000</v>
      </c>
      <c r="J32" s="6" t="str">
        <f t="shared" si="3"/>
        <v/>
      </c>
      <c r="L32" s="6">
        <v>1</v>
      </c>
      <c r="M32" s="6"/>
      <c r="N32" s="6">
        <v>18</v>
      </c>
      <c r="O32" s="6"/>
      <c r="P32" s="6">
        <f t="shared" si="5"/>
        <v>87480</v>
      </c>
      <c r="Q32" s="6" t="str">
        <f t="shared" si="4"/>
        <v/>
      </c>
    </row>
    <row r="33" spans="2:17" x14ac:dyDescent="0.3">
      <c r="B33" s="63">
        <v>28</v>
      </c>
      <c r="C33" s="4">
        <v>17000000</v>
      </c>
      <c r="D33" s="6" t="str">
        <f t="shared" si="0"/>
        <v/>
      </c>
      <c r="E33" s="4">
        <v>17000000</v>
      </c>
      <c r="F33" s="6" t="str">
        <f t="shared" si="1"/>
        <v/>
      </c>
      <c r="G33" s="4">
        <v>3500000</v>
      </c>
      <c r="H33" s="6" t="str">
        <f t="shared" si="2"/>
        <v/>
      </c>
      <c r="I33" s="4">
        <v>890000</v>
      </c>
      <c r="J33" s="6" t="str">
        <f t="shared" si="3"/>
        <v/>
      </c>
      <c r="L33" s="6">
        <v>1</v>
      </c>
      <c r="M33" s="6">
        <v>3</v>
      </c>
      <c r="N33" s="6">
        <v>57</v>
      </c>
      <c r="O33" s="6"/>
      <c r="P33" s="6">
        <f t="shared" si="5"/>
        <v>100620</v>
      </c>
      <c r="Q33" s="6" t="str">
        <f t="shared" si="4"/>
        <v/>
      </c>
    </row>
    <row r="34" spans="2:17" x14ac:dyDescent="0.3">
      <c r="B34" s="63">
        <v>29</v>
      </c>
      <c r="C34" s="4">
        <v>22000000</v>
      </c>
      <c r="D34" s="6" t="str">
        <f t="shared" si="0"/>
        <v/>
      </c>
      <c r="E34" s="4">
        <v>22000000</v>
      </c>
      <c r="F34" s="6" t="str">
        <f t="shared" si="1"/>
        <v/>
      </c>
      <c r="G34" s="4">
        <v>4400000</v>
      </c>
      <c r="H34" s="6" t="str">
        <f t="shared" si="2"/>
        <v/>
      </c>
      <c r="I34" s="4">
        <v>1100000</v>
      </c>
      <c r="J34" s="6" t="str">
        <f t="shared" si="3"/>
        <v/>
      </c>
      <c r="L34" s="6">
        <v>1</v>
      </c>
      <c r="M34" s="6">
        <v>8</v>
      </c>
      <c r="N34" s="6">
        <v>8</v>
      </c>
      <c r="O34" s="6"/>
      <c r="P34" s="6">
        <f t="shared" si="5"/>
        <v>115680</v>
      </c>
      <c r="Q34" s="6" t="str">
        <f t="shared" si="4"/>
        <v/>
      </c>
    </row>
    <row r="35" spans="2:17" x14ac:dyDescent="0.3">
      <c r="B35" s="63">
        <v>30</v>
      </c>
      <c r="C35" s="4">
        <v>27000000</v>
      </c>
      <c r="D35" s="6" t="str">
        <f t="shared" si="0"/>
        <v/>
      </c>
      <c r="E35" s="4">
        <v>27000000</v>
      </c>
      <c r="F35" s="6" t="str">
        <f t="shared" si="1"/>
        <v/>
      </c>
      <c r="G35" s="4">
        <v>5400000</v>
      </c>
      <c r="H35" s="6" t="str">
        <f t="shared" si="2"/>
        <v/>
      </c>
      <c r="I35" s="4">
        <v>1300000</v>
      </c>
      <c r="J35" s="6" t="str">
        <f t="shared" si="3"/>
        <v/>
      </c>
      <c r="L35" s="6">
        <v>1</v>
      </c>
      <c r="M35" s="6">
        <v>14</v>
      </c>
      <c r="N35" s="6">
        <v>34</v>
      </c>
      <c r="O35" s="6"/>
      <c r="P35" s="6">
        <f t="shared" si="5"/>
        <v>138840</v>
      </c>
      <c r="Q35" s="6" t="str">
        <f t="shared" si="4"/>
        <v/>
      </c>
    </row>
    <row r="36" spans="2:17" x14ac:dyDescent="0.3">
      <c r="L36" s="6"/>
      <c r="M36" s="6"/>
      <c r="N36" s="6"/>
      <c r="O36" s="6"/>
      <c r="P36" s="6"/>
      <c r="Q36" s="6"/>
    </row>
    <row r="37" spans="2:17" x14ac:dyDescent="0.3">
      <c r="C37" s="4">
        <f>SUM(C6:C35)</f>
        <v>117620000</v>
      </c>
      <c r="D37" s="4">
        <f>SUM(D6:D35)</f>
        <v>0</v>
      </c>
      <c r="E37" s="4">
        <f>SUM(E6:E35)</f>
        <v>106150425</v>
      </c>
      <c r="F37" s="4">
        <f>SUM(F6:F35)</f>
        <v>0</v>
      </c>
      <c r="G37" s="4">
        <f>SUM(G6:G35)</f>
        <v>23371130</v>
      </c>
      <c r="H37" s="4">
        <f>SUM(H6:H36)</f>
        <v>0</v>
      </c>
      <c r="I37" s="4">
        <f>SUM(I6:I35)</f>
        <v>5897905</v>
      </c>
      <c r="J37" s="4">
        <f>SUM(J6:J36)</f>
        <v>0</v>
      </c>
      <c r="L37" s="6">
        <f>SUM(L6:L35)</f>
        <v>4</v>
      </c>
      <c r="M37" s="6">
        <f>SUM(M6:M35)</f>
        <v>100</v>
      </c>
      <c r="N37" s="6">
        <f>SUM(N6:N35)</f>
        <v>621</v>
      </c>
      <c r="O37" s="6">
        <f>SUM(O6:O35)</f>
        <v>375</v>
      </c>
      <c r="P37" s="12">
        <f>SUM(P5:P35)</f>
        <v>743235</v>
      </c>
      <c r="Q37" s="12">
        <f>SUM(Q5:Q35)</f>
        <v>0</v>
      </c>
    </row>
    <row r="39" spans="2:17" x14ac:dyDescent="0.3">
      <c r="O39" s="4" t="s">
        <v>21</v>
      </c>
      <c r="P39" s="4">
        <f>ROUNDDOWN(P37/60/60/24,0)</f>
        <v>8</v>
      </c>
      <c r="Q39" s="4">
        <f>ROUNDDOWN(Q37/60/60/24,0)</f>
        <v>0</v>
      </c>
    </row>
    <row r="40" spans="2:17" x14ac:dyDescent="0.3">
      <c r="O40" s="4" t="s">
        <v>20</v>
      </c>
      <c r="P40" s="4">
        <f>ROUNDDOWN((P37-P39*60*60*24)/60/60,0)</f>
        <v>14</v>
      </c>
      <c r="Q40" s="4">
        <f>ROUNDDOWN((Q37-Q39*60*60*24)/60/60,0)</f>
        <v>0</v>
      </c>
    </row>
    <row r="41" spans="2:17" x14ac:dyDescent="0.3">
      <c r="O41" s="4" t="s">
        <v>19</v>
      </c>
      <c r="P41" s="4">
        <f>ROUNDDOWN((P37-P39*60*60*24-P40*60*60)/60,0)</f>
        <v>27</v>
      </c>
      <c r="Q41" s="4">
        <f>ROUNDDOWN((Q37-Q39*60*60*24-Q40*60*60)/60,0)</f>
        <v>0</v>
      </c>
    </row>
    <row r="42" spans="2:17" x14ac:dyDescent="0.3">
      <c r="O42" s="4" t="s">
        <v>18</v>
      </c>
      <c r="P42" s="4">
        <f>ROUNDDOWN((P37-P39*60*60*24-P40*60*60-P41*60),0)</f>
        <v>15</v>
      </c>
      <c r="Q42" s="4">
        <f>ROUNDDOWN((Q37-Q39*60*60*24-Q40*60*60-Q41*60),0)</f>
        <v>0</v>
      </c>
    </row>
  </sheetData>
  <mergeCells count="7">
    <mergeCell ref="C3:J3"/>
    <mergeCell ref="L3:Q3"/>
    <mergeCell ref="C4:D4"/>
    <mergeCell ref="E4:F4"/>
    <mergeCell ref="G4:H4"/>
    <mergeCell ref="I4:J4"/>
    <mergeCell ref="P4:Q4"/>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812A-F2B9-405E-98C7-BA8F187B154F}">
  <sheetPr codeName="Sheet8"/>
  <dimension ref="A1:W92"/>
  <sheetViews>
    <sheetView workbookViewId="0">
      <pane xSplit="2" ySplit="5" topLeftCell="C45" activePane="bottomRight" state="frozen"/>
      <selection sqref="A1:R2"/>
      <selection pane="topRight" sqref="A1:R2"/>
      <selection pane="bottomLeft" sqref="A1:R2"/>
      <selection pane="bottomRight" activeCell="V75" sqref="V75:V85"/>
    </sheetView>
  </sheetViews>
  <sheetFormatPr baseColWidth="10" defaultColWidth="9.109375" defaultRowHeight="14.4" x14ac:dyDescent="0.3"/>
  <cols>
    <col min="1" max="1" width="9.109375" style="4"/>
    <col min="2" max="2" width="16" style="4" bestFit="1" customWidth="1"/>
    <col min="3" max="3" width="16" style="4" customWidth="1"/>
    <col min="4" max="4" width="16.88671875" style="4" bestFit="1" customWidth="1"/>
    <col min="5" max="5" width="14.33203125" style="4" customWidth="1"/>
    <col min="6" max="6" width="16.88671875" style="4" bestFit="1" customWidth="1"/>
    <col min="7" max="7" width="14.33203125" style="4" customWidth="1"/>
    <col min="8" max="8" width="15.33203125" style="4" bestFit="1" customWidth="1"/>
    <col min="9" max="9" width="12.5546875" style="4" customWidth="1"/>
    <col min="10" max="10" width="14.33203125" style="4" bestFit="1" customWidth="1"/>
    <col min="11" max="15" width="11.5546875" style="4" customWidth="1"/>
    <col min="16" max="16" width="9.33203125" style="4" bestFit="1" customWidth="1"/>
    <col min="17" max="17" width="7" style="4" bestFit="1" customWidth="1"/>
    <col min="18" max="18" width="8" style="4" bestFit="1" customWidth="1"/>
    <col min="19" max="19" width="9.5546875" style="4" bestFit="1" customWidth="1"/>
    <col min="20" max="20" width="8.88671875" style="4" bestFit="1" customWidth="1"/>
    <col min="21" max="21" width="13.44140625" style="4" bestFit="1" customWidth="1"/>
    <col min="22" max="22" width="13.33203125" style="4" customWidth="1"/>
    <col min="23" max="16384" width="9.109375" style="4"/>
  </cols>
  <sheetData>
    <row r="1" spans="1:23" x14ac:dyDescent="0.3">
      <c r="D1" s="4" t="s">
        <v>26</v>
      </c>
    </row>
    <row r="2" spans="1:23" x14ac:dyDescent="0.3">
      <c r="A2" s="45"/>
      <c r="D2" s="6">
        <f>LARGE(Furnace!AB4:AB35,1)</f>
        <v>28</v>
      </c>
      <c r="E2" s="6"/>
      <c r="F2" s="45"/>
      <c r="G2" s="45"/>
      <c r="H2" s="45"/>
      <c r="I2" s="45"/>
      <c r="J2" s="45"/>
      <c r="K2" s="45"/>
      <c r="L2" s="45"/>
      <c r="M2" s="45"/>
      <c r="N2" s="45"/>
      <c r="O2" s="45"/>
      <c r="P2" s="45"/>
      <c r="Q2" s="45"/>
      <c r="R2" s="45"/>
      <c r="S2" s="45"/>
      <c r="T2" s="45"/>
      <c r="U2" s="45"/>
      <c r="V2" s="45"/>
      <c r="W2" s="45"/>
    </row>
    <row r="3" spans="1:23" x14ac:dyDescent="0.3">
      <c r="B3" s="45" t="s">
        <v>9</v>
      </c>
      <c r="C3" s="45"/>
      <c r="D3" s="709" t="s">
        <v>16</v>
      </c>
      <c r="E3" s="709"/>
      <c r="F3" s="709"/>
      <c r="G3" s="709"/>
      <c r="H3" s="709"/>
      <c r="I3" s="709"/>
      <c r="J3" s="709"/>
      <c r="K3" s="709"/>
      <c r="L3" s="709"/>
      <c r="M3" s="709"/>
      <c r="N3" s="62"/>
      <c r="O3" s="62"/>
      <c r="Q3" s="709" t="s">
        <v>17</v>
      </c>
      <c r="R3" s="709"/>
      <c r="S3" s="709"/>
      <c r="T3" s="709"/>
      <c r="U3" s="709"/>
      <c r="V3" s="709"/>
    </row>
    <row r="4" spans="1:23" x14ac:dyDescent="0.3">
      <c r="B4" s="45" t="e">
        <f>#REF!</f>
        <v>#REF!</v>
      </c>
      <c r="C4" s="45"/>
      <c r="D4" s="705" t="s">
        <v>0</v>
      </c>
      <c r="E4" s="705"/>
      <c r="F4" s="705" t="s">
        <v>1</v>
      </c>
      <c r="G4" s="705"/>
      <c r="H4" s="705" t="s">
        <v>2</v>
      </c>
      <c r="I4" s="705"/>
      <c r="J4" s="705" t="s">
        <v>3</v>
      </c>
      <c r="K4" s="705"/>
      <c r="L4" s="705" t="s">
        <v>59</v>
      </c>
      <c r="M4" s="705"/>
      <c r="N4" s="705" t="s">
        <v>228</v>
      </c>
      <c r="O4" s="705"/>
      <c r="P4" s="45"/>
      <c r="Q4" s="45"/>
      <c r="R4" s="45"/>
      <c r="S4" s="45"/>
      <c r="T4" s="45"/>
      <c r="U4" s="705" t="s">
        <v>18</v>
      </c>
      <c r="V4" s="705"/>
    </row>
    <row r="5" spans="1:23" x14ac:dyDescent="0.3">
      <c r="B5" s="63">
        <v>0</v>
      </c>
      <c r="C5" s="45" t="s">
        <v>463</v>
      </c>
      <c r="D5" s="45" t="s">
        <v>25</v>
      </c>
      <c r="E5" s="45" t="s">
        <v>24</v>
      </c>
      <c r="F5" s="45" t="s">
        <v>25</v>
      </c>
      <c r="G5" s="45" t="s">
        <v>24</v>
      </c>
      <c r="H5" s="45" t="s">
        <v>25</v>
      </c>
      <c r="I5" s="45" t="s">
        <v>24</v>
      </c>
      <c r="J5" s="45" t="s">
        <v>25</v>
      </c>
      <c r="K5" s="45" t="s">
        <v>24</v>
      </c>
      <c r="L5" s="45" t="s">
        <v>25</v>
      </c>
      <c r="M5" s="45" t="s">
        <v>24</v>
      </c>
      <c r="N5" s="45" t="s">
        <v>25</v>
      </c>
      <c r="O5" s="45" t="s">
        <v>24</v>
      </c>
      <c r="P5" s="45"/>
      <c r="Q5" s="45" t="s">
        <v>21</v>
      </c>
      <c r="R5" s="45" t="s">
        <v>20</v>
      </c>
      <c r="S5" s="45" t="s">
        <v>19</v>
      </c>
      <c r="T5" s="45" t="s">
        <v>18</v>
      </c>
      <c r="U5" s="45" t="s">
        <v>25</v>
      </c>
      <c r="V5" s="45" t="s">
        <v>24</v>
      </c>
    </row>
    <row r="6" spans="1:23" x14ac:dyDescent="0.3">
      <c r="B6" s="64">
        <v>1</v>
      </c>
      <c r="C6" s="151">
        <v>1</v>
      </c>
      <c r="E6" s="6" t="str">
        <f t="shared" ref="E6:E37" si="0">IF($C6&gt;VLOOKUP(InfantryDesired,$B$6:$C$85,2,FALSE),"",IF($C6&gt;VLOOKUP(InfantryCurrent,$B$6:$C$85,2,FALSE),D6,""))</f>
        <v/>
      </c>
      <c r="G6" s="6" t="str">
        <f t="shared" ref="G6:G37" si="1">IF($C6&gt;VLOOKUP(InfantryDesired,$B$6:$C$85,2,FALSE),"",IF($C6&gt;VLOOKUP(InfantryCurrent,$B$6:$C$85,2,FALSE),F6,""))</f>
        <v/>
      </c>
      <c r="I6" s="6" t="str">
        <f t="shared" ref="I6:I37" si="2">IF($C6&gt;VLOOKUP(InfantryDesired,$B$6:$C$85,2,FALSE),"",IF($C6&gt;VLOOKUP(InfantryCurrent,$B$6:$C$85,2,FALSE),H6,""))</f>
        <v/>
      </c>
      <c r="K6" s="6" t="str">
        <f t="shared" ref="K6:K37" si="3">IF($C6&gt;VLOOKUP(InfantryDesired,$B$6:$C$85,2,FALSE),"",IF($C6&gt;VLOOKUP(InfantryCurrent,$B$6:$C$85,2,FALSE),J6,""))</f>
        <v/>
      </c>
      <c r="L6" s="6"/>
      <c r="M6" s="6" t="str">
        <f t="shared" ref="M6:M37" si="4">IF($C6&gt;VLOOKUP(InfantryDesired,$B$6:$C$85,2,FALSE),"",IF($C6&gt;VLOOKUP(InfantryCurrent,$B$6:$C$85,2,FALSE),L6,""))</f>
        <v/>
      </c>
      <c r="N6" s="6"/>
      <c r="O6" s="6" t="str">
        <f t="shared" ref="O6:O37" si="5">IF($C6&gt;VLOOKUP(InfantryDesired,$B$6:$C$85,2,FALSE),"",IF($C6&gt;VLOOKUP(InfantryCurrent,$B$6:$C$85,2,FALSE),N6,""))</f>
        <v/>
      </c>
      <c r="Q6" s="6"/>
      <c r="R6" s="6"/>
      <c r="S6" s="6"/>
      <c r="T6" s="6">
        <v>2</v>
      </c>
      <c r="U6" s="6">
        <f t="shared" ref="U6:U69" si="6">T6+S6*60+R6*60*60+Q6*60*60*24</f>
        <v>2</v>
      </c>
      <c r="V6" s="6" t="str">
        <f t="shared" ref="V6:V37" si="7">IF($C6&gt;VLOOKUP(InfantryDesired,$B$6:$C$85,2,FALSE),"",IF($C6&gt;VLOOKUP(InfantryCurrent,$B$6:$C$85,2,FALSE),U6,""))</f>
        <v/>
      </c>
    </row>
    <row r="7" spans="1:23" x14ac:dyDescent="0.3">
      <c r="B7" s="64">
        <v>2</v>
      </c>
      <c r="C7" s="151">
        <v>2</v>
      </c>
      <c r="E7" s="6" t="str">
        <f t="shared" si="0"/>
        <v/>
      </c>
      <c r="F7" s="4">
        <v>140</v>
      </c>
      <c r="G7" s="6" t="str">
        <f t="shared" si="1"/>
        <v/>
      </c>
      <c r="I7" s="6" t="str">
        <f t="shared" si="2"/>
        <v/>
      </c>
      <c r="K7" s="6" t="str">
        <f t="shared" si="3"/>
        <v/>
      </c>
      <c r="L7" s="6"/>
      <c r="M7" s="6" t="str">
        <f t="shared" si="4"/>
        <v/>
      </c>
      <c r="N7" s="6"/>
      <c r="O7" s="6" t="str">
        <f t="shared" si="5"/>
        <v/>
      </c>
      <c r="Q7" s="6"/>
      <c r="R7" s="6"/>
      <c r="S7" s="6"/>
      <c r="T7" s="6">
        <v>9</v>
      </c>
      <c r="U7" s="6">
        <f t="shared" si="6"/>
        <v>9</v>
      </c>
      <c r="V7" s="6" t="str">
        <f t="shared" si="7"/>
        <v/>
      </c>
    </row>
    <row r="8" spans="1:23" x14ac:dyDescent="0.3">
      <c r="B8" s="64">
        <v>3</v>
      </c>
      <c r="C8" s="151">
        <v>3</v>
      </c>
      <c r="E8" s="6" t="str">
        <f t="shared" si="0"/>
        <v/>
      </c>
      <c r="F8" s="4">
        <v>645</v>
      </c>
      <c r="G8" s="6" t="str">
        <f t="shared" si="1"/>
        <v/>
      </c>
      <c r="I8" s="6" t="str">
        <f t="shared" si="2"/>
        <v/>
      </c>
      <c r="K8" s="6" t="str">
        <f t="shared" si="3"/>
        <v/>
      </c>
      <c r="L8" s="6"/>
      <c r="M8" s="6" t="str">
        <f t="shared" si="4"/>
        <v/>
      </c>
      <c r="N8" s="6"/>
      <c r="O8" s="6" t="str">
        <f t="shared" si="5"/>
        <v/>
      </c>
      <c r="Q8" s="6"/>
      <c r="R8" s="6"/>
      <c r="S8" s="6"/>
      <c r="T8" s="6">
        <v>45</v>
      </c>
      <c r="U8" s="6">
        <f t="shared" si="6"/>
        <v>45</v>
      </c>
      <c r="V8" s="6" t="str">
        <f t="shared" si="7"/>
        <v/>
      </c>
    </row>
    <row r="9" spans="1:23" x14ac:dyDescent="0.3">
      <c r="B9" s="64">
        <v>4</v>
      </c>
      <c r="C9" s="151">
        <v>4</v>
      </c>
      <c r="E9" s="6" t="str">
        <f t="shared" si="0"/>
        <v/>
      </c>
      <c r="F9" s="4">
        <v>1400</v>
      </c>
      <c r="G9" s="6" t="str">
        <f t="shared" si="1"/>
        <v/>
      </c>
      <c r="H9" s="4">
        <v>285</v>
      </c>
      <c r="I9" s="6" t="str">
        <f t="shared" si="2"/>
        <v/>
      </c>
      <c r="K9" s="6" t="str">
        <f t="shared" si="3"/>
        <v/>
      </c>
      <c r="L9" s="6"/>
      <c r="M9" s="6" t="str">
        <f t="shared" si="4"/>
        <v/>
      </c>
      <c r="N9" s="6"/>
      <c r="O9" s="6" t="str">
        <f t="shared" si="5"/>
        <v/>
      </c>
      <c r="Q9" s="6"/>
      <c r="R9" s="6"/>
      <c r="S9" s="6">
        <v>2</v>
      </c>
      <c r="T9" s="6">
        <v>15</v>
      </c>
      <c r="U9" s="6">
        <f t="shared" si="6"/>
        <v>135</v>
      </c>
      <c r="V9" s="6" t="str">
        <f t="shared" si="7"/>
        <v/>
      </c>
    </row>
    <row r="10" spans="1:23" x14ac:dyDescent="0.3">
      <c r="B10" s="64">
        <v>5</v>
      </c>
      <c r="C10" s="151">
        <v>5</v>
      </c>
      <c r="E10" s="6" t="str">
        <f t="shared" si="0"/>
        <v/>
      </c>
      <c r="F10" s="4">
        <v>6000</v>
      </c>
      <c r="G10" s="6" t="str">
        <f t="shared" si="1"/>
        <v/>
      </c>
      <c r="H10" s="4">
        <v>1200</v>
      </c>
      <c r="I10" s="6" t="str">
        <f t="shared" si="2"/>
        <v/>
      </c>
      <c r="K10" s="6" t="str">
        <f t="shared" si="3"/>
        <v/>
      </c>
      <c r="L10" s="6"/>
      <c r="M10" s="6" t="str">
        <f t="shared" si="4"/>
        <v/>
      </c>
      <c r="N10" s="6"/>
      <c r="O10" s="6" t="str">
        <f t="shared" si="5"/>
        <v/>
      </c>
      <c r="Q10" s="6"/>
      <c r="R10" s="6"/>
      <c r="S10" s="6">
        <v>4</v>
      </c>
      <c r="T10" s="6">
        <v>30</v>
      </c>
      <c r="U10" s="6">
        <f t="shared" si="6"/>
        <v>270</v>
      </c>
      <c r="V10" s="6" t="str">
        <f t="shared" si="7"/>
        <v/>
      </c>
    </row>
    <row r="11" spans="1:23" x14ac:dyDescent="0.3">
      <c r="B11" s="64">
        <v>6</v>
      </c>
      <c r="C11" s="151">
        <v>6</v>
      </c>
      <c r="E11" s="6" t="str">
        <f t="shared" si="0"/>
        <v/>
      </c>
      <c r="F11" s="4">
        <v>15000</v>
      </c>
      <c r="G11" s="6" t="str">
        <f t="shared" si="1"/>
        <v/>
      </c>
      <c r="H11" s="4">
        <v>3000</v>
      </c>
      <c r="I11" s="6" t="str">
        <f t="shared" si="2"/>
        <v/>
      </c>
      <c r="J11" s="4">
        <v>765</v>
      </c>
      <c r="K11" s="6" t="str">
        <f t="shared" si="3"/>
        <v/>
      </c>
      <c r="L11" s="6"/>
      <c r="M11" s="6" t="str">
        <f t="shared" si="4"/>
        <v/>
      </c>
      <c r="N11" s="6"/>
      <c r="O11" s="6" t="str">
        <f t="shared" si="5"/>
        <v/>
      </c>
      <c r="Q11" s="6"/>
      <c r="R11" s="6"/>
      <c r="S11" s="6">
        <v>9</v>
      </c>
      <c r="T11" s="6"/>
      <c r="U11" s="6">
        <f t="shared" si="6"/>
        <v>540</v>
      </c>
      <c r="V11" s="6" t="str">
        <f t="shared" si="7"/>
        <v/>
      </c>
    </row>
    <row r="12" spans="1:23" x14ac:dyDescent="0.3">
      <c r="B12" s="64">
        <v>7</v>
      </c>
      <c r="C12" s="151">
        <v>7</v>
      </c>
      <c r="E12" s="6" t="str">
        <f t="shared" si="0"/>
        <v/>
      </c>
      <c r="F12" s="4">
        <v>55000</v>
      </c>
      <c r="G12" s="6" t="str">
        <f t="shared" si="1"/>
        <v/>
      </c>
      <c r="H12" s="4">
        <v>11000</v>
      </c>
      <c r="I12" s="6" t="str">
        <f t="shared" si="2"/>
        <v/>
      </c>
      <c r="J12" s="4">
        <v>2700</v>
      </c>
      <c r="K12" s="6" t="str">
        <f t="shared" si="3"/>
        <v/>
      </c>
      <c r="L12" s="6"/>
      <c r="M12" s="6" t="str">
        <f t="shared" si="4"/>
        <v/>
      </c>
      <c r="N12" s="6"/>
      <c r="O12" s="6" t="str">
        <f t="shared" si="5"/>
        <v/>
      </c>
      <c r="Q12" s="6"/>
      <c r="R12" s="6"/>
      <c r="S12" s="6">
        <v>18</v>
      </c>
      <c r="T12" s="6"/>
      <c r="U12" s="6">
        <f t="shared" si="6"/>
        <v>1080</v>
      </c>
      <c r="V12" s="6" t="str">
        <f t="shared" si="7"/>
        <v/>
      </c>
    </row>
    <row r="13" spans="1:23" x14ac:dyDescent="0.3">
      <c r="B13" s="64">
        <v>8</v>
      </c>
      <c r="C13" s="151">
        <v>8</v>
      </c>
      <c r="E13" s="6" t="str">
        <f t="shared" si="0"/>
        <v/>
      </c>
      <c r="F13" s="4">
        <v>100000</v>
      </c>
      <c r="G13" s="6" t="str">
        <f t="shared" si="1"/>
        <v/>
      </c>
      <c r="H13" s="4">
        <v>20000</v>
      </c>
      <c r="I13" s="6" t="str">
        <f t="shared" si="2"/>
        <v/>
      </c>
      <c r="J13" s="4">
        <v>5000</v>
      </c>
      <c r="K13" s="6" t="str">
        <f t="shared" si="3"/>
        <v/>
      </c>
      <c r="L13" s="6"/>
      <c r="M13" s="6" t="str">
        <f t="shared" si="4"/>
        <v/>
      </c>
      <c r="N13" s="6"/>
      <c r="O13" s="6" t="str">
        <f t="shared" si="5"/>
        <v/>
      </c>
      <c r="Q13" s="6"/>
      <c r="R13" s="6"/>
      <c r="S13" s="6">
        <v>27</v>
      </c>
      <c r="T13" s="6"/>
      <c r="U13" s="6">
        <f t="shared" si="6"/>
        <v>1620</v>
      </c>
      <c r="V13" s="6" t="str">
        <f t="shared" si="7"/>
        <v/>
      </c>
    </row>
    <row r="14" spans="1:23" x14ac:dyDescent="0.3">
      <c r="B14" s="64">
        <v>9</v>
      </c>
      <c r="C14" s="151">
        <v>9</v>
      </c>
      <c r="E14" s="6" t="str">
        <f t="shared" si="0"/>
        <v/>
      </c>
      <c r="F14" s="4">
        <v>200000</v>
      </c>
      <c r="G14" s="6" t="str">
        <f t="shared" si="1"/>
        <v/>
      </c>
      <c r="H14" s="4">
        <v>41000</v>
      </c>
      <c r="I14" s="6" t="str">
        <f t="shared" si="2"/>
        <v/>
      </c>
      <c r="J14" s="4">
        <v>10000</v>
      </c>
      <c r="K14" s="6" t="str">
        <f t="shared" si="3"/>
        <v/>
      </c>
      <c r="L14" s="6"/>
      <c r="M14" s="6" t="str">
        <f t="shared" si="4"/>
        <v/>
      </c>
      <c r="N14" s="6"/>
      <c r="O14" s="6" t="str">
        <f t="shared" si="5"/>
        <v/>
      </c>
      <c r="Q14" s="6"/>
      <c r="R14" s="6"/>
      <c r="S14" s="6">
        <v>40</v>
      </c>
      <c r="T14" s="6">
        <v>30</v>
      </c>
      <c r="U14" s="6">
        <f t="shared" si="6"/>
        <v>2430</v>
      </c>
      <c r="V14" s="6" t="str">
        <f t="shared" si="7"/>
        <v/>
      </c>
    </row>
    <row r="15" spans="1:23" x14ac:dyDescent="0.3">
      <c r="B15" s="64">
        <v>10</v>
      </c>
      <c r="C15" s="151">
        <v>10</v>
      </c>
      <c r="E15" s="6" t="str">
        <f t="shared" si="0"/>
        <v/>
      </c>
      <c r="F15" s="4">
        <v>360000</v>
      </c>
      <c r="G15" s="6" t="str">
        <f t="shared" si="1"/>
        <v/>
      </c>
      <c r="H15" s="4">
        <v>73000</v>
      </c>
      <c r="I15" s="6" t="str">
        <f t="shared" si="2"/>
        <v/>
      </c>
      <c r="J15" s="4">
        <v>18000</v>
      </c>
      <c r="K15" s="6" t="str">
        <f t="shared" si="3"/>
        <v/>
      </c>
      <c r="L15" s="6"/>
      <c r="M15" s="6" t="str">
        <f t="shared" si="4"/>
        <v/>
      </c>
      <c r="N15" s="6"/>
      <c r="O15" s="6" t="str">
        <f t="shared" si="5"/>
        <v/>
      </c>
      <c r="Q15" s="6"/>
      <c r="R15" s="6"/>
      <c r="S15" s="6">
        <v>54</v>
      </c>
      <c r="T15" s="6"/>
      <c r="U15" s="6">
        <f t="shared" si="6"/>
        <v>3240</v>
      </c>
      <c r="V15" s="6" t="str">
        <f t="shared" si="7"/>
        <v/>
      </c>
    </row>
    <row r="16" spans="1:23" x14ac:dyDescent="0.3">
      <c r="B16" s="64">
        <v>11</v>
      </c>
      <c r="C16" s="151">
        <v>11</v>
      </c>
      <c r="D16" s="4">
        <v>460000</v>
      </c>
      <c r="E16" s="6" t="str">
        <f t="shared" si="0"/>
        <v/>
      </c>
      <c r="F16" s="4">
        <v>460000</v>
      </c>
      <c r="G16" s="6" t="str">
        <f t="shared" si="1"/>
        <v/>
      </c>
      <c r="H16" s="4">
        <v>92000</v>
      </c>
      <c r="I16" s="6" t="str">
        <f t="shared" si="2"/>
        <v/>
      </c>
      <c r="J16" s="4">
        <v>23000</v>
      </c>
      <c r="K16" s="6" t="str">
        <f t="shared" si="3"/>
        <v/>
      </c>
      <c r="L16" s="6"/>
      <c r="M16" s="6" t="str">
        <f t="shared" si="4"/>
        <v/>
      </c>
      <c r="N16" s="6"/>
      <c r="O16" s="6" t="str">
        <f t="shared" si="5"/>
        <v/>
      </c>
      <c r="Q16" s="6"/>
      <c r="R16" s="6">
        <v>1</v>
      </c>
      <c r="S16" s="6">
        <v>7</v>
      </c>
      <c r="T16" s="6">
        <v>30</v>
      </c>
      <c r="U16" s="6">
        <f t="shared" si="6"/>
        <v>4050</v>
      </c>
      <c r="V16" s="6" t="str">
        <f t="shared" si="7"/>
        <v/>
      </c>
    </row>
    <row r="17" spans="2:22" x14ac:dyDescent="0.3">
      <c r="B17" s="64">
        <v>12</v>
      </c>
      <c r="C17" s="151">
        <v>12</v>
      </c>
      <c r="D17" s="4">
        <v>580000</v>
      </c>
      <c r="E17" s="6" t="str">
        <f t="shared" si="0"/>
        <v/>
      </c>
      <c r="F17" s="4">
        <v>580000</v>
      </c>
      <c r="G17" s="6" t="str">
        <f t="shared" si="1"/>
        <v/>
      </c>
      <c r="H17" s="4">
        <v>110000</v>
      </c>
      <c r="I17" s="6" t="str">
        <f t="shared" si="2"/>
        <v/>
      </c>
      <c r="J17" s="4">
        <v>29000</v>
      </c>
      <c r="K17" s="6" t="str">
        <f t="shared" si="3"/>
        <v/>
      </c>
      <c r="L17" s="6"/>
      <c r="M17" s="6" t="str">
        <f t="shared" si="4"/>
        <v/>
      </c>
      <c r="N17" s="6"/>
      <c r="O17" s="6" t="str">
        <f t="shared" si="5"/>
        <v/>
      </c>
      <c r="Q17" s="6"/>
      <c r="R17" s="6">
        <v>1</v>
      </c>
      <c r="S17" s="6">
        <v>21</v>
      </c>
      <c r="T17" s="6"/>
      <c r="U17" s="6">
        <f t="shared" si="6"/>
        <v>4860</v>
      </c>
      <c r="V17" s="6" t="str">
        <f t="shared" si="7"/>
        <v/>
      </c>
    </row>
    <row r="18" spans="2:22" x14ac:dyDescent="0.3">
      <c r="B18" s="64">
        <v>13</v>
      </c>
      <c r="C18" s="151">
        <v>13</v>
      </c>
      <c r="D18" s="4">
        <v>830000</v>
      </c>
      <c r="E18" s="6" t="str">
        <f t="shared" si="0"/>
        <v/>
      </c>
      <c r="F18" s="4">
        <v>830000</v>
      </c>
      <c r="G18" s="6" t="str">
        <f t="shared" si="1"/>
        <v/>
      </c>
      <c r="H18" s="4">
        <v>160000</v>
      </c>
      <c r="I18" s="6" t="str">
        <f t="shared" si="2"/>
        <v/>
      </c>
      <c r="J18" s="4">
        <v>41000</v>
      </c>
      <c r="K18" s="6" t="str">
        <f t="shared" si="3"/>
        <v/>
      </c>
      <c r="L18" s="6"/>
      <c r="M18" s="6" t="str">
        <f t="shared" si="4"/>
        <v/>
      </c>
      <c r="N18" s="6"/>
      <c r="O18" s="6" t="str">
        <f t="shared" si="5"/>
        <v/>
      </c>
      <c r="Q18" s="6"/>
      <c r="R18" s="6">
        <v>1</v>
      </c>
      <c r="S18" s="6">
        <v>39</v>
      </c>
      <c r="T18" s="6"/>
      <c r="U18" s="6">
        <f t="shared" si="6"/>
        <v>5940</v>
      </c>
      <c r="V18" s="6" t="str">
        <f t="shared" si="7"/>
        <v/>
      </c>
    </row>
    <row r="19" spans="2:22" x14ac:dyDescent="0.3">
      <c r="B19" s="64">
        <v>14</v>
      </c>
      <c r="C19" s="151">
        <v>14</v>
      </c>
      <c r="D19" s="4">
        <v>1100000</v>
      </c>
      <c r="E19" s="6" t="str">
        <f t="shared" si="0"/>
        <v/>
      </c>
      <c r="F19" s="4">
        <v>1100000</v>
      </c>
      <c r="G19" s="6" t="str">
        <f t="shared" si="1"/>
        <v/>
      </c>
      <c r="H19" s="4">
        <v>220000</v>
      </c>
      <c r="I19" s="6" t="str">
        <f t="shared" si="2"/>
        <v/>
      </c>
      <c r="J19" s="4">
        <v>55000</v>
      </c>
      <c r="K19" s="6" t="str">
        <f t="shared" si="3"/>
        <v/>
      </c>
      <c r="L19" s="6"/>
      <c r="M19" s="6" t="str">
        <f t="shared" si="4"/>
        <v/>
      </c>
      <c r="N19" s="6"/>
      <c r="O19" s="6" t="str">
        <f t="shared" si="5"/>
        <v/>
      </c>
      <c r="Q19" s="6"/>
      <c r="R19" s="6">
        <v>2</v>
      </c>
      <c r="S19" s="6">
        <v>6</v>
      </c>
      <c r="T19" s="6"/>
      <c r="U19" s="6">
        <f t="shared" si="6"/>
        <v>7560</v>
      </c>
      <c r="V19" s="6" t="str">
        <f t="shared" si="7"/>
        <v/>
      </c>
    </row>
    <row r="20" spans="2:22" x14ac:dyDescent="0.3">
      <c r="B20" s="64">
        <v>15</v>
      </c>
      <c r="C20" s="151">
        <v>15</v>
      </c>
      <c r="D20" s="4">
        <v>1600000</v>
      </c>
      <c r="E20" s="6" t="str">
        <f t="shared" si="0"/>
        <v/>
      </c>
      <c r="F20" s="4">
        <v>1600000</v>
      </c>
      <c r="G20" s="6" t="str">
        <f t="shared" si="1"/>
        <v/>
      </c>
      <c r="H20" s="4">
        <v>320000</v>
      </c>
      <c r="I20" s="6" t="str">
        <f t="shared" si="2"/>
        <v/>
      </c>
      <c r="J20" s="4">
        <v>81000</v>
      </c>
      <c r="K20" s="6" t="str">
        <f t="shared" si="3"/>
        <v/>
      </c>
      <c r="L20" s="6"/>
      <c r="M20" s="6" t="str">
        <f t="shared" si="4"/>
        <v/>
      </c>
      <c r="N20" s="6"/>
      <c r="O20" s="6" t="str">
        <f t="shared" si="5"/>
        <v/>
      </c>
      <c r="Q20" s="6"/>
      <c r="R20" s="6">
        <v>2</v>
      </c>
      <c r="S20" s="6">
        <v>42</v>
      </c>
      <c r="T20" s="6"/>
      <c r="U20" s="6">
        <f t="shared" si="6"/>
        <v>9720</v>
      </c>
      <c r="V20" s="6" t="str">
        <f t="shared" si="7"/>
        <v/>
      </c>
    </row>
    <row r="21" spans="2:22" x14ac:dyDescent="0.3">
      <c r="B21" s="64">
        <v>16</v>
      </c>
      <c r="C21" s="151">
        <v>16</v>
      </c>
      <c r="D21" s="4">
        <v>2000000</v>
      </c>
      <c r="E21" s="6" t="str">
        <f t="shared" si="0"/>
        <v/>
      </c>
      <c r="F21" s="4">
        <v>2000000</v>
      </c>
      <c r="G21" s="6" t="str">
        <f t="shared" si="1"/>
        <v/>
      </c>
      <c r="H21" s="4">
        <v>410000</v>
      </c>
      <c r="I21" s="6" t="str">
        <f t="shared" si="2"/>
        <v/>
      </c>
      <c r="J21" s="4">
        <v>100000</v>
      </c>
      <c r="K21" s="6" t="str">
        <f t="shared" si="3"/>
        <v/>
      </c>
      <c r="L21" s="6"/>
      <c r="M21" s="6" t="str">
        <f t="shared" si="4"/>
        <v/>
      </c>
      <c r="N21" s="6"/>
      <c r="O21" s="6" t="str">
        <f t="shared" si="5"/>
        <v/>
      </c>
      <c r="Q21" s="6"/>
      <c r="R21" s="6">
        <v>4</v>
      </c>
      <c r="S21" s="6">
        <v>34</v>
      </c>
      <c r="T21" s="6"/>
      <c r="U21" s="6">
        <f t="shared" si="6"/>
        <v>16440</v>
      </c>
      <c r="V21" s="6" t="str">
        <f t="shared" si="7"/>
        <v/>
      </c>
    </row>
    <row r="22" spans="2:22" x14ac:dyDescent="0.3">
      <c r="B22" s="64">
        <v>17</v>
      </c>
      <c r="C22" s="151">
        <v>17</v>
      </c>
      <c r="D22" s="4">
        <v>3200000</v>
      </c>
      <c r="E22" s="6" t="str">
        <f t="shared" si="0"/>
        <v/>
      </c>
      <c r="F22" s="4">
        <v>3200000</v>
      </c>
      <c r="G22" s="6" t="str">
        <f t="shared" si="1"/>
        <v/>
      </c>
      <c r="H22" s="4">
        <v>650000</v>
      </c>
      <c r="I22" s="6" t="str">
        <f t="shared" si="2"/>
        <v/>
      </c>
      <c r="J22" s="4">
        <v>160000</v>
      </c>
      <c r="K22" s="6" t="str">
        <f t="shared" si="3"/>
        <v/>
      </c>
      <c r="L22" s="6"/>
      <c r="M22" s="6" t="str">
        <f t="shared" si="4"/>
        <v/>
      </c>
      <c r="N22" s="6"/>
      <c r="O22" s="6" t="str">
        <f t="shared" si="5"/>
        <v/>
      </c>
      <c r="Q22" s="6"/>
      <c r="R22" s="6">
        <v>5</v>
      </c>
      <c r="S22" s="6">
        <v>29</v>
      </c>
      <c r="T22" s="6"/>
      <c r="U22" s="6">
        <f t="shared" si="6"/>
        <v>19740</v>
      </c>
      <c r="V22" s="6" t="str">
        <f t="shared" si="7"/>
        <v/>
      </c>
    </row>
    <row r="23" spans="2:22" x14ac:dyDescent="0.3">
      <c r="B23" s="64">
        <v>18</v>
      </c>
      <c r="C23" s="151">
        <v>18</v>
      </c>
      <c r="D23" s="4">
        <v>4300000</v>
      </c>
      <c r="E23" s="6" t="str">
        <f t="shared" si="0"/>
        <v/>
      </c>
      <c r="F23" s="4">
        <v>4300000</v>
      </c>
      <c r="G23" s="6" t="str">
        <f t="shared" si="1"/>
        <v/>
      </c>
      <c r="H23" s="4">
        <v>870000</v>
      </c>
      <c r="I23" s="6" t="str">
        <f t="shared" si="2"/>
        <v/>
      </c>
      <c r="J23" s="4">
        <v>210000</v>
      </c>
      <c r="K23" s="6" t="str">
        <f t="shared" si="3"/>
        <v/>
      </c>
      <c r="L23" s="6"/>
      <c r="M23" s="6" t="str">
        <f t="shared" si="4"/>
        <v/>
      </c>
      <c r="N23" s="6"/>
      <c r="O23" s="6" t="str">
        <f t="shared" si="5"/>
        <v/>
      </c>
      <c r="Q23" s="6"/>
      <c r="R23" s="6">
        <v>6</v>
      </c>
      <c r="S23" s="6">
        <v>35</v>
      </c>
      <c r="T23" s="6"/>
      <c r="U23" s="6">
        <f t="shared" si="6"/>
        <v>23700</v>
      </c>
      <c r="V23" s="6" t="str">
        <f t="shared" si="7"/>
        <v/>
      </c>
    </row>
    <row r="24" spans="2:22" x14ac:dyDescent="0.3">
      <c r="B24" s="64">
        <v>19</v>
      </c>
      <c r="C24" s="151">
        <v>19</v>
      </c>
      <c r="D24" s="4">
        <v>5400000</v>
      </c>
      <c r="E24" s="6" t="str">
        <f t="shared" si="0"/>
        <v/>
      </c>
      <c r="F24" s="4">
        <v>5400000</v>
      </c>
      <c r="G24" s="6" t="str">
        <f t="shared" si="1"/>
        <v/>
      </c>
      <c r="H24" s="4">
        <v>1000000</v>
      </c>
      <c r="I24" s="6" t="str">
        <f t="shared" si="2"/>
        <v/>
      </c>
      <c r="J24" s="4">
        <v>270000</v>
      </c>
      <c r="K24" s="6" t="str">
        <f t="shared" si="3"/>
        <v/>
      </c>
      <c r="L24" s="6"/>
      <c r="M24" s="6" t="str">
        <f t="shared" si="4"/>
        <v/>
      </c>
      <c r="N24" s="6"/>
      <c r="O24" s="6" t="str">
        <f t="shared" si="5"/>
        <v/>
      </c>
      <c r="Q24" s="6"/>
      <c r="R24" s="6">
        <v>9</v>
      </c>
      <c r="S24" s="6">
        <v>52</v>
      </c>
      <c r="T24" s="6">
        <v>30</v>
      </c>
      <c r="U24" s="6">
        <f t="shared" si="6"/>
        <v>35550</v>
      </c>
      <c r="V24" s="6" t="str">
        <f t="shared" si="7"/>
        <v/>
      </c>
    </row>
    <row r="25" spans="2:22" x14ac:dyDescent="0.3">
      <c r="B25" s="64">
        <v>20</v>
      </c>
      <c r="C25" s="151">
        <v>20</v>
      </c>
      <c r="D25" s="4">
        <v>7500000</v>
      </c>
      <c r="E25" s="6" t="str">
        <f t="shared" si="0"/>
        <v/>
      </c>
      <c r="F25" s="4">
        <v>7500000</v>
      </c>
      <c r="G25" s="6" t="str">
        <f t="shared" si="1"/>
        <v/>
      </c>
      <c r="H25" s="4">
        <v>1500000</v>
      </c>
      <c r="I25" s="6" t="str">
        <f t="shared" si="2"/>
        <v/>
      </c>
      <c r="J25" s="4">
        <v>370000</v>
      </c>
      <c r="K25" s="6" t="str">
        <f t="shared" si="3"/>
        <v/>
      </c>
      <c r="L25" s="6"/>
      <c r="M25" s="6" t="str">
        <f t="shared" si="4"/>
        <v/>
      </c>
      <c r="N25" s="6"/>
      <c r="O25" s="6" t="str">
        <f t="shared" si="5"/>
        <v/>
      </c>
      <c r="Q25" s="6"/>
      <c r="R25" s="6">
        <v>12</v>
      </c>
      <c r="S25" s="6">
        <v>20</v>
      </c>
      <c r="T25" s="6">
        <v>30</v>
      </c>
      <c r="U25" s="6">
        <f t="shared" si="6"/>
        <v>44430</v>
      </c>
      <c r="V25" s="6" t="str">
        <f t="shared" si="7"/>
        <v/>
      </c>
    </row>
    <row r="26" spans="2:22" x14ac:dyDescent="0.3">
      <c r="B26" s="64">
        <v>21</v>
      </c>
      <c r="C26" s="151">
        <v>21</v>
      </c>
      <c r="D26" s="4">
        <v>9500000</v>
      </c>
      <c r="E26" s="6" t="str">
        <f t="shared" si="0"/>
        <v/>
      </c>
      <c r="F26" s="4">
        <v>9500000</v>
      </c>
      <c r="G26" s="6" t="str">
        <f t="shared" si="1"/>
        <v/>
      </c>
      <c r="H26" s="4">
        <v>1900000</v>
      </c>
      <c r="I26" s="6" t="str">
        <f t="shared" si="2"/>
        <v/>
      </c>
      <c r="J26" s="4">
        <v>470000</v>
      </c>
      <c r="K26" s="6" t="str">
        <f t="shared" si="3"/>
        <v/>
      </c>
      <c r="L26" s="6"/>
      <c r="M26" s="6" t="str">
        <f t="shared" si="4"/>
        <v/>
      </c>
      <c r="N26" s="6"/>
      <c r="O26" s="6" t="str">
        <f t="shared" si="5"/>
        <v/>
      </c>
      <c r="Q26" s="6"/>
      <c r="R26" s="6">
        <v>16</v>
      </c>
      <c r="S26" s="6">
        <v>2</v>
      </c>
      <c r="T26" s="6">
        <v>30</v>
      </c>
      <c r="U26" s="6">
        <f t="shared" si="6"/>
        <v>57750</v>
      </c>
      <c r="V26" s="6" t="str">
        <f t="shared" si="7"/>
        <v/>
      </c>
    </row>
    <row r="27" spans="2:22" x14ac:dyDescent="0.3">
      <c r="B27" s="64">
        <v>22</v>
      </c>
      <c r="C27" s="151">
        <v>22</v>
      </c>
      <c r="D27" s="4">
        <v>12000000</v>
      </c>
      <c r="E27" s="6" t="str">
        <f t="shared" si="0"/>
        <v/>
      </c>
      <c r="F27" s="4">
        <v>12000000</v>
      </c>
      <c r="G27" s="6" t="str">
        <f t="shared" si="1"/>
        <v/>
      </c>
      <c r="H27" s="4">
        <v>2500000</v>
      </c>
      <c r="I27" s="6" t="str">
        <f t="shared" si="2"/>
        <v/>
      </c>
      <c r="J27" s="4">
        <v>630000</v>
      </c>
      <c r="K27" s="6" t="str">
        <f t="shared" si="3"/>
        <v/>
      </c>
      <c r="L27" s="6"/>
      <c r="M27" s="6" t="str">
        <f t="shared" si="4"/>
        <v/>
      </c>
      <c r="N27" s="6"/>
      <c r="O27" s="6" t="str">
        <f t="shared" si="5"/>
        <v/>
      </c>
      <c r="Q27" s="6">
        <v>1</v>
      </c>
      <c r="R27" s="6"/>
      <c r="S27" s="6">
        <v>4</v>
      </c>
      <c r="T27" s="6"/>
      <c r="U27" s="6">
        <f t="shared" si="6"/>
        <v>86640</v>
      </c>
      <c r="V27" s="6" t="str">
        <f t="shared" si="7"/>
        <v/>
      </c>
    </row>
    <row r="28" spans="2:22" x14ac:dyDescent="0.3">
      <c r="B28" s="64">
        <v>23</v>
      </c>
      <c r="C28" s="151">
        <v>23</v>
      </c>
      <c r="D28" s="4">
        <v>15000000</v>
      </c>
      <c r="E28" s="6" t="str">
        <f t="shared" si="0"/>
        <v/>
      </c>
      <c r="F28" s="4">
        <v>15000000</v>
      </c>
      <c r="G28" s="6" t="str">
        <f t="shared" si="1"/>
        <v/>
      </c>
      <c r="H28" s="4">
        <v>3100000</v>
      </c>
      <c r="I28" s="6" t="str">
        <f t="shared" si="2"/>
        <v/>
      </c>
      <c r="J28" s="4">
        <v>490000</v>
      </c>
      <c r="K28" s="6" t="str">
        <f t="shared" si="3"/>
        <v/>
      </c>
      <c r="L28" s="6"/>
      <c r="M28" s="6" t="str">
        <f t="shared" si="4"/>
        <v/>
      </c>
      <c r="N28" s="6"/>
      <c r="O28" s="6" t="str">
        <f t="shared" si="5"/>
        <v/>
      </c>
      <c r="Q28" s="6">
        <v>1</v>
      </c>
      <c r="R28" s="6">
        <v>9</v>
      </c>
      <c r="S28" s="6">
        <v>42</v>
      </c>
      <c r="T28" s="6"/>
      <c r="U28" s="6">
        <f t="shared" si="6"/>
        <v>121320</v>
      </c>
      <c r="V28" s="6" t="str">
        <f t="shared" si="7"/>
        <v/>
      </c>
    </row>
    <row r="29" spans="2:22" x14ac:dyDescent="0.3">
      <c r="B29" s="64">
        <v>24</v>
      </c>
      <c r="C29" s="151">
        <v>24</v>
      </c>
      <c r="D29" s="4">
        <v>21000000</v>
      </c>
      <c r="E29" s="6" t="str">
        <f t="shared" si="0"/>
        <v/>
      </c>
      <c r="F29" s="4">
        <v>21000000</v>
      </c>
      <c r="G29" s="6" t="str">
        <f t="shared" si="1"/>
        <v/>
      </c>
      <c r="H29" s="4">
        <v>4200000</v>
      </c>
      <c r="I29" s="6" t="str">
        <f t="shared" si="2"/>
        <v/>
      </c>
      <c r="J29" s="4">
        <v>1000000</v>
      </c>
      <c r="K29" s="6" t="str">
        <f t="shared" si="3"/>
        <v/>
      </c>
      <c r="L29" s="6"/>
      <c r="M29" s="6" t="str">
        <f t="shared" si="4"/>
        <v/>
      </c>
      <c r="N29" s="6"/>
      <c r="O29" s="6" t="str">
        <f t="shared" si="5"/>
        <v/>
      </c>
      <c r="Q29" s="6">
        <v>1</v>
      </c>
      <c r="R29" s="6">
        <v>23</v>
      </c>
      <c r="S29" s="6">
        <v>11</v>
      </c>
      <c r="T29" s="6"/>
      <c r="U29" s="6">
        <f t="shared" si="6"/>
        <v>169860</v>
      </c>
      <c r="V29" s="6" t="str">
        <f t="shared" si="7"/>
        <v/>
      </c>
    </row>
    <row r="30" spans="2:22" x14ac:dyDescent="0.3">
      <c r="B30" s="64">
        <v>25</v>
      </c>
      <c r="C30" s="151">
        <v>25</v>
      </c>
      <c r="D30" s="4">
        <v>28000000</v>
      </c>
      <c r="E30" s="6" t="str">
        <f t="shared" si="0"/>
        <v/>
      </c>
      <c r="F30" s="4">
        <v>28000000</v>
      </c>
      <c r="G30" s="6" t="str">
        <f t="shared" si="1"/>
        <v/>
      </c>
      <c r="H30" s="4">
        <v>5700000</v>
      </c>
      <c r="I30" s="6" t="str">
        <f t="shared" si="2"/>
        <v/>
      </c>
      <c r="J30" s="4">
        <v>1400000</v>
      </c>
      <c r="K30" s="6" t="str">
        <f t="shared" si="3"/>
        <v/>
      </c>
      <c r="L30" s="6"/>
      <c r="M30" s="6" t="str">
        <f t="shared" si="4"/>
        <v/>
      </c>
      <c r="N30" s="6"/>
      <c r="O30" s="6" t="str">
        <f t="shared" si="5"/>
        <v/>
      </c>
      <c r="Q30" s="6">
        <v>2</v>
      </c>
      <c r="R30" s="6">
        <v>18</v>
      </c>
      <c r="S30" s="6">
        <v>3</v>
      </c>
      <c r="T30" s="6"/>
      <c r="U30" s="6">
        <f t="shared" si="6"/>
        <v>237780</v>
      </c>
      <c r="V30" s="6" t="str">
        <f t="shared" si="7"/>
        <v/>
      </c>
    </row>
    <row r="31" spans="2:22" x14ac:dyDescent="0.3">
      <c r="B31" s="64">
        <v>26</v>
      </c>
      <c r="C31" s="151">
        <v>26</v>
      </c>
      <c r="D31" s="4">
        <v>36000000</v>
      </c>
      <c r="E31" s="6" t="str">
        <f t="shared" si="0"/>
        <v/>
      </c>
      <c r="F31" s="4">
        <v>36000000</v>
      </c>
      <c r="G31" s="6" t="str">
        <f t="shared" si="1"/>
        <v/>
      </c>
      <c r="H31" s="4">
        <v>7300000</v>
      </c>
      <c r="I31" s="6" t="str">
        <f t="shared" si="2"/>
        <v/>
      </c>
      <c r="J31" s="4">
        <v>1800000</v>
      </c>
      <c r="K31" s="6" t="str">
        <f t="shared" si="3"/>
        <v/>
      </c>
      <c r="L31" s="6"/>
      <c r="M31" s="6" t="str">
        <f t="shared" si="4"/>
        <v/>
      </c>
      <c r="N31" s="6"/>
      <c r="O31" s="6" t="str">
        <f t="shared" si="5"/>
        <v/>
      </c>
      <c r="Q31" s="6">
        <v>3</v>
      </c>
      <c r="R31" s="6">
        <v>3</v>
      </c>
      <c r="S31" s="6">
        <v>57</v>
      </c>
      <c r="T31" s="6"/>
      <c r="U31" s="6">
        <f t="shared" si="6"/>
        <v>273420</v>
      </c>
      <c r="V31" s="6" t="str">
        <f t="shared" si="7"/>
        <v/>
      </c>
    </row>
    <row r="32" spans="2:22" x14ac:dyDescent="0.3">
      <c r="B32" s="64">
        <v>27</v>
      </c>
      <c r="C32" s="151">
        <v>27</v>
      </c>
      <c r="D32" s="4">
        <v>52000000</v>
      </c>
      <c r="E32" s="6" t="str">
        <f t="shared" si="0"/>
        <v/>
      </c>
      <c r="F32" s="4">
        <v>52000000</v>
      </c>
      <c r="G32" s="6" t="str">
        <f t="shared" si="1"/>
        <v/>
      </c>
      <c r="H32" s="4">
        <v>10000000</v>
      </c>
      <c r="I32" s="6" t="str">
        <f t="shared" si="2"/>
        <v/>
      </c>
      <c r="J32" s="4">
        <v>2600000</v>
      </c>
      <c r="K32" s="6" t="str">
        <f t="shared" si="3"/>
        <v/>
      </c>
      <c r="L32" s="6"/>
      <c r="M32" s="6" t="str">
        <f t="shared" si="4"/>
        <v/>
      </c>
      <c r="N32" s="6"/>
      <c r="O32" s="6" t="str">
        <f t="shared" si="5"/>
        <v/>
      </c>
      <c r="Q32" s="6">
        <v>3</v>
      </c>
      <c r="R32" s="6">
        <v>19</v>
      </c>
      <c r="S32" s="6">
        <v>9</v>
      </c>
      <c r="T32" s="6"/>
      <c r="U32" s="6">
        <f t="shared" si="6"/>
        <v>328140</v>
      </c>
      <c r="V32" s="6" t="str">
        <f t="shared" si="7"/>
        <v/>
      </c>
    </row>
    <row r="33" spans="2:22" x14ac:dyDescent="0.3">
      <c r="B33" s="64">
        <v>28</v>
      </c>
      <c r="C33" s="151">
        <v>28</v>
      </c>
      <c r="D33" s="4">
        <v>69000000</v>
      </c>
      <c r="E33" s="6" t="str">
        <f t="shared" si="0"/>
        <v/>
      </c>
      <c r="F33" s="4">
        <v>69000000</v>
      </c>
      <c r="G33" s="6" t="str">
        <f t="shared" si="1"/>
        <v/>
      </c>
      <c r="H33" s="4">
        <v>13000000</v>
      </c>
      <c r="I33" s="6" t="str">
        <f t="shared" si="2"/>
        <v/>
      </c>
      <c r="J33" s="4">
        <v>3400000</v>
      </c>
      <c r="K33" s="6" t="str">
        <f t="shared" si="3"/>
        <v/>
      </c>
      <c r="L33" s="6"/>
      <c r="M33" s="6" t="str">
        <f t="shared" si="4"/>
        <v/>
      </c>
      <c r="N33" s="6"/>
      <c r="O33" s="6" t="str">
        <f t="shared" si="5"/>
        <v/>
      </c>
      <c r="Q33" s="6">
        <v>4</v>
      </c>
      <c r="R33" s="6">
        <v>8</v>
      </c>
      <c r="S33" s="6">
        <v>49</v>
      </c>
      <c r="T33" s="6"/>
      <c r="U33" s="6">
        <f t="shared" si="6"/>
        <v>377340</v>
      </c>
      <c r="V33" s="6" t="str">
        <f t="shared" si="7"/>
        <v/>
      </c>
    </row>
    <row r="34" spans="2:22" x14ac:dyDescent="0.3">
      <c r="B34" s="64">
        <v>29</v>
      </c>
      <c r="C34" s="151">
        <v>29</v>
      </c>
      <c r="D34" s="4">
        <v>86000000</v>
      </c>
      <c r="E34" s="6" t="str">
        <f t="shared" si="0"/>
        <v/>
      </c>
      <c r="F34" s="4">
        <v>86000000</v>
      </c>
      <c r="G34" s="6" t="str">
        <f t="shared" si="1"/>
        <v/>
      </c>
      <c r="H34" s="4">
        <v>17000000</v>
      </c>
      <c r="I34" s="6" t="str">
        <f t="shared" si="2"/>
        <v/>
      </c>
      <c r="J34" s="4">
        <v>4300000</v>
      </c>
      <c r="K34" s="6" t="str">
        <f t="shared" si="3"/>
        <v/>
      </c>
      <c r="L34" s="6"/>
      <c r="M34" s="6" t="str">
        <f t="shared" si="4"/>
        <v/>
      </c>
      <c r="N34" s="6"/>
      <c r="O34" s="6" t="str">
        <f t="shared" si="5"/>
        <v/>
      </c>
      <c r="Q34" s="6">
        <v>5</v>
      </c>
      <c r="R34" s="6"/>
      <c r="S34" s="6">
        <v>33</v>
      </c>
      <c r="T34" s="6"/>
      <c r="U34" s="6">
        <f t="shared" si="6"/>
        <v>433980</v>
      </c>
      <c r="V34" s="6" t="str">
        <f t="shared" si="7"/>
        <v/>
      </c>
    </row>
    <row r="35" spans="2:22" x14ac:dyDescent="0.3">
      <c r="B35" s="64">
        <v>30</v>
      </c>
      <c r="C35" s="151">
        <v>30</v>
      </c>
      <c r="D35" s="4">
        <v>100000000</v>
      </c>
      <c r="E35" s="6" t="str">
        <f t="shared" si="0"/>
        <v/>
      </c>
      <c r="F35" s="4">
        <v>100000000</v>
      </c>
      <c r="G35" s="6" t="str">
        <f t="shared" si="1"/>
        <v/>
      </c>
      <c r="H35" s="4">
        <v>21000000</v>
      </c>
      <c r="I35" s="6" t="str">
        <f t="shared" si="2"/>
        <v/>
      </c>
      <c r="J35" s="4">
        <v>5200000</v>
      </c>
      <c r="K35" s="6" t="str">
        <f t="shared" si="3"/>
        <v/>
      </c>
      <c r="L35" s="6"/>
      <c r="M35" s="6" t="str">
        <f t="shared" si="4"/>
        <v/>
      </c>
      <c r="N35" s="6"/>
      <c r="O35" s="6" t="str">
        <f t="shared" si="5"/>
        <v/>
      </c>
      <c r="Q35" s="6">
        <v>6</v>
      </c>
      <c r="R35" s="6"/>
      <c r="S35" s="6">
        <v>40</v>
      </c>
      <c r="T35" s="6"/>
      <c r="U35" s="6">
        <f t="shared" si="6"/>
        <v>520800</v>
      </c>
      <c r="V35" s="6" t="str">
        <f t="shared" si="7"/>
        <v/>
      </c>
    </row>
    <row r="36" spans="2:22" x14ac:dyDescent="0.3">
      <c r="B36" s="64" t="s">
        <v>34</v>
      </c>
      <c r="C36" s="151">
        <v>31</v>
      </c>
      <c r="D36" s="4">
        <v>23000000</v>
      </c>
      <c r="E36" s="6" t="str">
        <f t="shared" si="0"/>
        <v/>
      </c>
      <c r="F36" s="4">
        <v>23000000</v>
      </c>
      <c r="G36" s="6" t="str">
        <f t="shared" si="1"/>
        <v/>
      </c>
      <c r="H36" s="4">
        <v>4700000</v>
      </c>
      <c r="I36" s="6" t="str">
        <f t="shared" si="2"/>
        <v/>
      </c>
      <c r="J36" s="4">
        <v>1100000</v>
      </c>
      <c r="K36" s="6" t="str">
        <f t="shared" si="3"/>
        <v/>
      </c>
      <c r="L36" s="6">
        <v>59</v>
      </c>
      <c r="M36" s="6" t="str">
        <f t="shared" si="4"/>
        <v/>
      </c>
      <c r="N36" s="6"/>
      <c r="O36" s="6" t="str">
        <f t="shared" si="5"/>
        <v/>
      </c>
      <c r="Q36" s="6">
        <v>1</v>
      </c>
      <c r="R36" s="6">
        <v>1</v>
      </c>
      <c r="S36" s="6">
        <v>12</v>
      </c>
      <c r="T36" s="6"/>
      <c r="U36" s="6">
        <f t="shared" si="6"/>
        <v>90720</v>
      </c>
      <c r="V36" s="6" t="str">
        <f t="shared" si="7"/>
        <v/>
      </c>
    </row>
    <row r="37" spans="2:22" x14ac:dyDescent="0.3">
      <c r="B37" s="64" t="s">
        <v>35</v>
      </c>
      <c r="C37" s="151">
        <v>32</v>
      </c>
      <c r="D37" s="4">
        <v>23000000</v>
      </c>
      <c r="E37" s="6" t="str">
        <f t="shared" si="0"/>
        <v/>
      </c>
      <c r="F37" s="4">
        <v>23000000</v>
      </c>
      <c r="G37" s="6" t="str">
        <f t="shared" si="1"/>
        <v/>
      </c>
      <c r="H37" s="4">
        <v>4700000</v>
      </c>
      <c r="I37" s="6" t="str">
        <f t="shared" si="2"/>
        <v/>
      </c>
      <c r="J37" s="4">
        <v>1100000</v>
      </c>
      <c r="K37" s="6" t="str">
        <f t="shared" si="3"/>
        <v/>
      </c>
      <c r="L37" s="6">
        <v>59</v>
      </c>
      <c r="M37" s="6" t="str">
        <f t="shared" si="4"/>
        <v/>
      </c>
      <c r="N37" s="6"/>
      <c r="O37" s="6" t="str">
        <f t="shared" si="5"/>
        <v/>
      </c>
      <c r="Q37" s="6">
        <v>1</v>
      </c>
      <c r="R37" s="6">
        <v>1</v>
      </c>
      <c r="S37" s="6">
        <v>12</v>
      </c>
      <c r="T37" s="6"/>
      <c r="U37" s="6">
        <f t="shared" si="6"/>
        <v>90720</v>
      </c>
      <c r="V37" s="6" t="str">
        <f t="shared" si="7"/>
        <v/>
      </c>
    </row>
    <row r="38" spans="2:22" x14ac:dyDescent="0.3">
      <c r="B38" s="64" t="s">
        <v>36</v>
      </c>
      <c r="C38" s="151">
        <v>33</v>
      </c>
      <c r="D38" s="4">
        <v>23000000</v>
      </c>
      <c r="E38" s="6" t="str">
        <f t="shared" ref="E38:E69" si="8">IF($C38&gt;VLOOKUP(InfantryDesired,$B$6:$C$85,2,FALSE),"",IF($C38&gt;VLOOKUP(InfantryCurrent,$B$6:$C$85,2,FALSE),D38,""))</f>
        <v/>
      </c>
      <c r="F38" s="4">
        <v>23000000</v>
      </c>
      <c r="G38" s="6" t="str">
        <f t="shared" ref="G38:G69" si="9">IF($C38&gt;VLOOKUP(InfantryDesired,$B$6:$C$85,2,FALSE),"",IF($C38&gt;VLOOKUP(InfantryCurrent,$B$6:$C$85,2,FALSE),F38,""))</f>
        <v/>
      </c>
      <c r="H38" s="4">
        <v>4700000</v>
      </c>
      <c r="I38" s="6" t="str">
        <f t="shared" ref="I38:I69" si="10">IF($C38&gt;VLOOKUP(InfantryDesired,$B$6:$C$85,2,FALSE),"",IF($C38&gt;VLOOKUP(InfantryCurrent,$B$6:$C$85,2,FALSE),H38,""))</f>
        <v/>
      </c>
      <c r="J38" s="4">
        <v>1100000</v>
      </c>
      <c r="K38" s="6" t="str">
        <f t="shared" ref="K38:K69" si="11">IF($C38&gt;VLOOKUP(InfantryDesired,$B$6:$C$85,2,FALSE),"",IF($C38&gt;VLOOKUP(InfantryCurrent,$B$6:$C$85,2,FALSE),J38,""))</f>
        <v/>
      </c>
      <c r="L38" s="6">
        <v>59</v>
      </c>
      <c r="M38" s="6" t="str">
        <f t="shared" ref="M38:M69" si="12">IF($C38&gt;VLOOKUP(InfantryDesired,$B$6:$C$85,2,FALSE),"",IF($C38&gt;VLOOKUP(InfantryCurrent,$B$6:$C$85,2,FALSE),L38,""))</f>
        <v/>
      </c>
      <c r="N38" s="6"/>
      <c r="O38" s="6" t="str">
        <f t="shared" ref="O38:O69" si="13">IF($C38&gt;VLOOKUP(InfantryDesired,$B$6:$C$85,2,FALSE),"",IF($C38&gt;VLOOKUP(InfantryCurrent,$B$6:$C$85,2,FALSE),N38,""))</f>
        <v/>
      </c>
      <c r="Q38" s="6">
        <v>1</v>
      </c>
      <c r="R38" s="6">
        <v>1</v>
      </c>
      <c r="S38" s="6">
        <v>12</v>
      </c>
      <c r="T38" s="6"/>
      <c r="U38" s="6">
        <f t="shared" si="6"/>
        <v>90720</v>
      </c>
      <c r="V38" s="6" t="str">
        <f t="shared" ref="V38:V69" si="14">IF($C38&gt;VLOOKUP(InfantryDesired,$B$6:$C$85,2,FALSE),"",IF($C38&gt;VLOOKUP(InfantryCurrent,$B$6:$C$85,2,FALSE),U38,""))</f>
        <v/>
      </c>
    </row>
    <row r="39" spans="2:22" x14ac:dyDescent="0.3">
      <c r="B39" s="64" t="s">
        <v>37</v>
      </c>
      <c r="C39" s="151">
        <v>34</v>
      </c>
      <c r="D39" s="4">
        <v>23000000</v>
      </c>
      <c r="E39" s="6" t="str">
        <f t="shared" si="8"/>
        <v/>
      </c>
      <c r="F39" s="4">
        <v>23000000</v>
      </c>
      <c r="G39" s="6" t="str">
        <f t="shared" si="9"/>
        <v/>
      </c>
      <c r="H39" s="4">
        <v>4700000</v>
      </c>
      <c r="I39" s="6" t="str">
        <f t="shared" si="10"/>
        <v/>
      </c>
      <c r="J39" s="4">
        <v>1100000</v>
      </c>
      <c r="K39" s="6" t="str">
        <f t="shared" si="11"/>
        <v/>
      </c>
      <c r="L39" s="6">
        <v>59</v>
      </c>
      <c r="M39" s="6" t="str">
        <f t="shared" si="12"/>
        <v/>
      </c>
      <c r="N39" s="6"/>
      <c r="O39" s="6" t="str">
        <f t="shared" si="13"/>
        <v/>
      </c>
      <c r="Q39" s="6">
        <v>1</v>
      </c>
      <c r="R39" s="6">
        <v>1</v>
      </c>
      <c r="S39" s="6">
        <v>12</v>
      </c>
      <c r="T39" s="6"/>
      <c r="U39" s="6">
        <f t="shared" si="6"/>
        <v>90720</v>
      </c>
      <c r="V39" s="6" t="str">
        <f t="shared" si="14"/>
        <v/>
      </c>
    </row>
    <row r="40" spans="2:22" x14ac:dyDescent="0.3">
      <c r="B40" s="64" t="s">
        <v>38</v>
      </c>
      <c r="C40" s="151">
        <v>35</v>
      </c>
      <c r="D40" s="4">
        <v>23000000</v>
      </c>
      <c r="E40" s="6" t="str">
        <f t="shared" si="8"/>
        <v/>
      </c>
      <c r="F40" s="4">
        <v>23000000</v>
      </c>
      <c r="G40" s="6" t="str">
        <f t="shared" si="9"/>
        <v/>
      </c>
      <c r="H40" s="4">
        <v>4700000</v>
      </c>
      <c r="I40" s="6" t="str">
        <f t="shared" si="10"/>
        <v/>
      </c>
      <c r="J40" s="4">
        <v>1100000</v>
      </c>
      <c r="K40" s="6" t="str">
        <f t="shared" si="11"/>
        <v/>
      </c>
      <c r="L40" s="6">
        <v>59</v>
      </c>
      <c r="M40" s="6" t="str">
        <f t="shared" si="12"/>
        <v/>
      </c>
      <c r="N40" s="6"/>
      <c r="O40" s="6" t="str">
        <f t="shared" si="13"/>
        <v/>
      </c>
      <c r="Q40" s="6">
        <v>1</v>
      </c>
      <c r="R40" s="6">
        <v>1</v>
      </c>
      <c r="S40" s="6">
        <v>12</v>
      </c>
      <c r="T40" s="6"/>
      <c r="U40" s="6">
        <f t="shared" si="6"/>
        <v>90720</v>
      </c>
      <c r="V40" s="6" t="str">
        <f t="shared" si="14"/>
        <v/>
      </c>
    </row>
    <row r="41" spans="2:22" x14ac:dyDescent="0.3">
      <c r="B41" s="64" t="s">
        <v>39</v>
      </c>
      <c r="C41" s="151">
        <v>36</v>
      </c>
      <c r="D41" s="4">
        <v>25000000</v>
      </c>
      <c r="E41" s="6" t="str">
        <f t="shared" si="8"/>
        <v/>
      </c>
      <c r="F41" s="4">
        <v>25000000</v>
      </c>
      <c r="G41" s="6" t="str">
        <f t="shared" si="9"/>
        <v/>
      </c>
      <c r="H41" s="4">
        <v>5000000</v>
      </c>
      <c r="I41" s="6" t="str">
        <f t="shared" si="10"/>
        <v/>
      </c>
      <c r="J41" s="4">
        <v>1200000</v>
      </c>
      <c r="K41" s="6" t="str">
        <f t="shared" si="11"/>
        <v/>
      </c>
      <c r="L41" s="6">
        <v>71</v>
      </c>
      <c r="M41" s="6" t="str">
        <f t="shared" si="12"/>
        <v/>
      </c>
      <c r="N41" s="6"/>
      <c r="O41" s="6" t="str">
        <f t="shared" si="13"/>
        <v/>
      </c>
      <c r="Q41" s="6">
        <v>1</v>
      </c>
      <c r="R41" s="6">
        <v>8</v>
      </c>
      <c r="S41" s="6">
        <v>24</v>
      </c>
      <c r="T41" s="6"/>
      <c r="U41" s="6">
        <f t="shared" si="6"/>
        <v>116640</v>
      </c>
      <c r="V41" s="6" t="str">
        <f t="shared" si="14"/>
        <v/>
      </c>
    </row>
    <row r="42" spans="2:22" x14ac:dyDescent="0.3">
      <c r="B42" s="64" t="s">
        <v>40</v>
      </c>
      <c r="C42" s="151">
        <v>37</v>
      </c>
      <c r="D42" s="4">
        <v>25000000</v>
      </c>
      <c r="E42" s="6" t="str">
        <f t="shared" si="8"/>
        <v/>
      </c>
      <c r="F42" s="4">
        <v>25000000</v>
      </c>
      <c r="G42" s="6" t="str">
        <f t="shared" si="9"/>
        <v/>
      </c>
      <c r="H42" s="4">
        <v>5000000</v>
      </c>
      <c r="I42" s="6" t="str">
        <f t="shared" si="10"/>
        <v/>
      </c>
      <c r="J42" s="4">
        <v>1200000</v>
      </c>
      <c r="K42" s="6" t="str">
        <f t="shared" si="11"/>
        <v/>
      </c>
      <c r="L42" s="6">
        <v>71</v>
      </c>
      <c r="M42" s="6" t="str">
        <f t="shared" si="12"/>
        <v/>
      </c>
      <c r="N42" s="6"/>
      <c r="O42" s="6" t="str">
        <f t="shared" si="13"/>
        <v/>
      </c>
      <c r="Q42" s="6">
        <v>1</v>
      </c>
      <c r="R42" s="6">
        <v>8</v>
      </c>
      <c r="S42" s="6">
        <v>24</v>
      </c>
      <c r="T42" s="6"/>
      <c r="U42" s="6">
        <f t="shared" si="6"/>
        <v>116640</v>
      </c>
      <c r="V42" s="6" t="str">
        <f t="shared" si="14"/>
        <v/>
      </c>
    </row>
    <row r="43" spans="2:22" x14ac:dyDescent="0.3">
      <c r="B43" s="64" t="s">
        <v>41</v>
      </c>
      <c r="C43" s="151">
        <v>38</v>
      </c>
      <c r="D43" s="4">
        <v>25000000</v>
      </c>
      <c r="E43" s="6" t="str">
        <f t="shared" si="8"/>
        <v/>
      </c>
      <c r="F43" s="4">
        <v>25000000</v>
      </c>
      <c r="G43" s="6" t="str">
        <f t="shared" si="9"/>
        <v/>
      </c>
      <c r="H43" s="4">
        <v>5000000</v>
      </c>
      <c r="I43" s="6" t="str">
        <f t="shared" si="10"/>
        <v/>
      </c>
      <c r="J43" s="4">
        <v>1200000</v>
      </c>
      <c r="K43" s="6" t="str">
        <f t="shared" si="11"/>
        <v/>
      </c>
      <c r="L43" s="6">
        <v>71</v>
      </c>
      <c r="M43" s="6" t="str">
        <f t="shared" si="12"/>
        <v/>
      </c>
      <c r="N43" s="6"/>
      <c r="O43" s="6" t="str">
        <f t="shared" si="13"/>
        <v/>
      </c>
      <c r="Q43" s="6">
        <v>1</v>
      </c>
      <c r="R43" s="6">
        <v>8</v>
      </c>
      <c r="S43" s="6">
        <v>24</v>
      </c>
      <c r="T43" s="6"/>
      <c r="U43" s="6">
        <f t="shared" si="6"/>
        <v>116640</v>
      </c>
      <c r="V43" s="6" t="str">
        <f t="shared" si="14"/>
        <v/>
      </c>
    </row>
    <row r="44" spans="2:22" x14ac:dyDescent="0.3">
      <c r="B44" s="64" t="s">
        <v>42</v>
      </c>
      <c r="C44" s="151">
        <v>39</v>
      </c>
      <c r="D44" s="4">
        <v>25000000</v>
      </c>
      <c r="E44" s="6" t="str">
        <f t="shared" si="8"/>
        <v/>
      </c>
      <c r="F44" s="4">
        <v>25000000</v>
      </c>
      <c r="G44" s="6" t="str">
        <f t="shared" si="9"/>
        <v/>
      </c>
      <c r="H44" s="4">
        <v>5000000</v>
      </c>
      <c r="I44" s="6" t="str">
        <f t="shared" si="10"/>
        <v/>
      </c>
      <c r="J44" s="4">
        <v>1200000</v>
      </c>
      <c r="K44" s="6" t="str">
        <f t="shared" si="11"/>
        <v/>
      </c>
      <c r="L44" s="6">
        <v>71</v>
      </c>
      <c r="M44" s="6" t="str">
        <f t="shared" si="12"/>
        <v/>
      </c>
      <c r="N44" s="6"/>
      <c r="O44" s="6" t="str">
        <f t="shared" si="13"/>
        <v/>
      </c>
      <c r="Q44" s="6">
        <v>1</v>
      </c>
      <c r="R44" s="6">
        <v>8</v>
      </c>
      <c r="S44" s="6">
        <v>24</v>
      </c>
      <c r="T44" s="6"/>
      <c r="U44" s="6">
        <f t="shared" si="6"/>
        <v>116640</v>
      </c>
      <c r="V44" s="6" t="str">
        <f t="shared" si="14"/>
        <v/>
      </c>
    </row>
    <row r="45" spans="2:22" x14ac:dyDescent="0.3">
      <c r="B45" s="64" t="s">
        <v>43</v>
      </c>
      <c r="C45" s="151">
        <v>40</v>
      </c>
      <c r="D45" s="4">
        <v>25000000</v>
      </c>
      <c r="E45" s="6" t="str">
        <f t="shared" si="8"/>
        <v/>
      </c>
      <c r="F45" s="4">
        <v>25000000</v>
      </c>
      <c r="G45" s="6" t="str">
        <f t="shared" si="9"/>
        <v/>
      </c>
      <c r="H45" s="4">
        <v>5000000</v>
      </c>
      <c r="I45" s="6" t="str">
        <f t="shared" si="10"/>
        <v/>
      </c>
      <c r="J45" s="4">
        <v>1200000</v>
      </c>
      <c r="K45" s="6" t="str">
        <f t="shared" si="11"/>
        <v/>
      </c>
      <c r="L45" s="6">
        <v>71</v>
      </c>
      <c r="M45" s="6" t="str">
        <f t="shared" si="12"/>
        <v/>
      </c>
      <c r="N45" s="6"/>
      <c r="O45" s="6" t="str">
        <f t="shared" si="13"/>
        <v/>
      </c>
      <c r="Q45" s="6">
        <v>1</v>
      </c>
      <c r="R45" s="6">
        <v>8</v>
      </c>
      <c r="S45" s="6">
        <v>24</v>
      </c>
      <c r="T45" s="6"/>
      <c r="U45" s="6">
        <f t="shared" si="6"/>
        <v>116640</v>
      </c>
      <c r="V45" s="6" t="str">
        <f t="shared" si="14"/>
        <v/>
      </c>
    </row>
    <row r="46" spans="2:22" x14ac:dyDescent="0.3">
      <c r="B46" s="64" t="s">
        <v>44</v>
      </c>
      <c r="C46" s="151">
        <v>41</v>
      </c>
      <c r="D46" s="4">
        <v>27000000</v>
      </c>
      <c r="E46" s="6" t="str">
        <f t="shared" si="8"/>
        <v/>
      </c>
      <c r="F46" s="4">
        <v>27000000</v>
      </c>
      <c r="G46" s="6" t="str">
        <f t="shared" si="9"/>
        <v/>
      </c>
      <c r="H46" s="4">
        <v>5500000</v>
      </c>
      <c r="I46" s="6" t="str">
        <f t="shared" si="10"/>
        <v/>
      </c>
      <c r="J46" s="4">
        <v>1300000</v>
      </c>
      <c r="K46" s="6" t="str">
        <f t="shared" si="11"/>
        <v/>
      </c>
      <c r="L46" s="6">
        <v>107</v>
      </c>
      <c r="M46" s="6" t="str">
        <f t="shared" si="12"/>
        <v/>
      </c>
      <c r="N46" s="6"/>
      <c r="O46" s="6" t="str">
        <f t="shared" si="13"/>
        <v/>
      </c>
      <c r="Q46" s="6">
        <v>1</v>
      </c>
      <c r="R46" s="6">
        <v>15</v>
      </c>
      <c r="S46" s="6">
        <v>36</v>
      </c>
      <c r="T46" s="6"/>
      <c r="U46" s="6">
        <f t="shared" si="6"/>
        <v>142560</v>
      </c>
      <c r="V46" s="6" t="str">
        <f t="shared" si="14"/>
        <v/>
      </c>
    </row>
    <row r="47" spans="2:22" x14ac:dyDescent="0.3">
      <c r="B47" s="64" t="s">
        <v>45</v>
      </c>
      <c r="C47" s="151">
        <v>42</v>
      </c>
      <c r="D47" s="4">
        <v>27000000</v>
      </c>
      <c r="E47" s="6" t="str">
        <f t="shared" si="8"/>
        <v/>
      </c>
      <c r="F47" s="4">
        <v>27000000</v>
      </c>
      <c r="G47" s="6" t="str">
        <f t="shared" si="9"/>
        <v/>
      </c>
      <c r="H47" s="4">
        <v>5500000</v>
      </c>
      <c r="I47" s="6" t="str">
        <f t="shared" si="10"/>
        <v/>
      </c>
      <c r="J47" s="4">
        <v>1300000</v>
      </c>
      <c r="K47" s="6" t="str">
        <f t="shared" si="11"/>
        <v/>
      </c>
      <c r="L47" s="6">
        <v>107</v>
      </c>
      <c r="M47" s="6" t="str">
        <f t="shared" si="12"/>
        <v/>
      </c>
      <c r="N47" s="6"/>
      <c r="O47" s="6" t="str">
        <f t="shared" si="13"/>
        <v/>
      </c>
      <c r="Q47" s="6">
        <v>1</v>
      </c>
      <c r="R47" s="6">
        <v>15</v>
      </c>
      <c r="S47" s="6">
        <v>36</v>
      </c>
      <c r="T47" s="6"/>
      <c r="U47" s="6">
        <f t="shared" si="6"/>
        <v>142560</v>
      </c>
      <c r="V47" s="6" t="str">
        <f t="shared" si="14"/>
        <v/>
      </c>
    </row>
    <row r="48" spans="2:22" x14ac:dyDescent="0.3">
      <c r="B48" s="64" t="s">
        <v>46</v>
      </c>
      <c r="C48" s="151">
        <v>43</v>
      </c>
      <c r="D48" s="4">
        <v>27000000</v>
      </c>
      <c r="E48" s="6" t="str">
        <f t="shared" si="8"/>
        <v/>
      </c>
      <c r="F48" s="4">
        <v>27000000</v>
      </c>
      <c r="G48" s="6" t="str">
        <f t="shared" si="9"/>
        <v/>
      </c>
      <c r="H48" s="4">
        <v>5500000</v>
      </c>
      <c r="I48" s="6" t="str">
        <f t="shared" si="10"/>
        <v/>
      </c>
      <c r="J48" s="4">
        <v>1300000</v>
      </c>
      <c r="K48" s="6" t="str">
        <f t="shared" si="11"/>
        <v/>
      </c>
      <c r="L48" s="6">
        <v>107</v>
      </c>
      <c r="M48" s="6" t="str">
        <f t="shared" si="12"/>
        <v/>
      </c>
      <c r="N48" s="6"/>
      <c r="O48" s="6" t="str">
        <f t="shared" si="13"/>
        <v/>
      </c>
      <c r="Q48" s="6">
        <v>1</v>
      </c>
      <c r="R48" s="6">
        <v>15</v>
      </c>
      <c r="S48" s="6">
        <v>36</v>
      </c>
      <c r="T48" s="6"/>
      <c r="U48" s="6">
        <f t="shared" si="6"/>
        <v>142560</v>
      </c>
      <c r="V48" s="6" t="str">
        <f t="shared" si="14"/>
        <v/>
      </c>
    </row>
    <row r="49" spans="2:22" x14ac:dyDescent="0.3">
      <c r="B49" s="64" t="s">
        <v>47</v>
      </c>
      <c r="C49" s="151">
        <v>44</v>
      </c>
      <c r="D49" s="4">
        <v>27000000</v>
      </c>
      <c r="E49" s="6" t="str">
        <f t="shared" si="8"/>
        <v/>
      </c>
      <c r="F49" s="4">
        <v>27000000</v>
      </c>
      <c r="G49" s="6" t="str">
        <f t="shared" si="9"/>
        <v/>
      </c>
      <c r="H49" s="4">
        <v>5500000</v>
      </c>
      <c r="I49" s="6" t="str">
        <f t="shared" si="10"/>
        <v/>
      </c>
      <c r="J49" s="4">
        <v>1300000</v>
      </c>
      <c r="K49" s="6" t="str">
        <f t="shared" si="11"/>
        <v/>
      </c>
      <c r="L49" s="6">
        <v>107</v>
      </c>
      <c r="M49" s="6" t="str">
        <f t="shared" si="12"/>
        <v/>
      </c>
      <c r="N49" s="6"/>
      <c r="O49" s="6" t="str">
        <f t="shared" si="13"/>
        <v/>
      </c>
      <c r="Q49" s="6">
        <v>1</v>
      </c>
      <c r="R49" s="6">
        <v>15</v>
      </c>
      <c r="S49" s="6">
        <v>36</v>
      </c>
      <c r="T49" s="6"/>
      <c r="U49" s="6">
        <f t="shared" si="6"/>
        <v>142560</v>
      </c>
      <c r="V49" s="6" t="str">
        <f t="shared" si="14"/>
        <v/>
      </c>
    </row>
    <row r="50" spans="2:22" x14ac:dyDescent="0.3">
      <c r="B50" s="64" t="s">
        <v>48</v>
      </c>
      <c r="C50" s="151">
        <v>45</v>
      </c>
      <c r="D50" s="4">
        <v>27000000</v>
      </c>
      <c r="E50" s="6" t="str">
        <f t="shared" si="8"/>
        <v/>
      </c>
      <c r="F50" s="4">
        <v>27000000</v>
      </c>
      <c r="G50" s="6" t="str">
        <f t="shared" si="9"/>
        <v/>
      </c>
      <c r="H50" s="4">
        <v>5500000</v>
      </c>
      <c r="I50" s="6" t="str">
        <f t="shared" si="10"/>
        <v/>
      </c>
      <c r="J50" s="4">
        <v>1300000</v>
      </c>
      <c r="K50" s="6" t="str">
        <f t="shared" si="11"/>
        <v/>
      </c>
      <c r="L50" s="6">
        <v>107</v>
      </c>
      <c r="M50" s="6" t="str">
        <f t="shared" si="12"/>
        <v/>
      </c>
      <c r="N50" s="6"/>
      <c r="O50" s="6" t="str">
        <f t="shared" si="13"/>
        <v/>
      </c>
      <c r="Q50" s="6">
        <v>1</v>
      </c>
      <c r="R50" s="6">
        <v>15</v>
      </c>
      <c r="S50" s="6">
        <v>36</v>
      </c>
      <c r="T50" s="6"/>
      <c r="U50" s="6">
        <f t="shared" si="6"/>
        <v>142560</v>
      </c>
      <c r="V50" s="6" t="str">
        <f t="shared" si="14"/>
        <v/>
      </c>
    </row>
    <row r="51" spans="2:22" x14ac:dyDescent="0.3">
      <c r="B51" s="64" t="s">
        <v>49</v>
      </c>
      <c r="C51" s="151">
        <v>46</v>
      </c>
      <c r="D51" s="4">
        <v>28000000</v>
      </c>
      <c r="E51" s="6" t="str">
        <f t="shared" si="8"/>
        <v/>
      </c>
      <c r="F51" s="4">
        <v>28000000</v>
      </c>
      <c r="G51" s="6" t="str">
        <f t="shared" si="9"/>
        <v/>
      </c>
      <c r="H51" s="4">
        <v>5700000</v>
      </c>
      <c r="I51" s="6" t="str">
        <f t="shared" si="10"/>
        <v/>
      </c>
      <c r="J51" s="4">
        <v>1400000</v>
      </c>
      <c r="K51" s="6" t="str">
        <f t="shared" si="11"/>
        <v/>
      </c>
      <c r="L51" s="6">
        <v>126</v>
      </c>
      <c r="M51" s="6" t="str">
        <f t="shared" si="12"/>
        <v/>
      </c>
      <c r="N51" s="6"/>
      <c r="O51" s="6" t="str">
        <f t="shared" si="13"/>
        <v/>
      </c>
      <c r="Q51" s="6">
        <v>1</v>
      </c>
      <c r="R51" s="6">
        <v>19</v>
      </c>
      <c r="S51" s="6">
        <v>12</v>
      </c>
      <c r="T51" s="6"/>
      <c r="U51" s="6">
        <f t="shared" si="6"/>
        <v>155520</v>
      </c>
      <c r="V51" s="6" t="str">
        <f t="shared" si="14"/>
        <v/>
      </c>
    </row>
    <row r="52" spans="2:22" x14ac:dyDescent="0.3">
      <c r="B52" s="64" t="s">
        <v>50</v>
      </c>
      <c r="C52" s="151">
        <v>47</v>
      </c>
      <c r="D52" s="4">
        <v>28000000</v>
      </c>
      <c r="E52" s="6" t="str">
        <f t="shared" si="8"/>
        <v/>
      </c>
      <c r="F52" s="4">
        <v>28000000</v>
      </c>
      <c r="G52" s="6" t="str">
        <f t="shared" si="9"/>
        <v/>
      </c>
      <c r="H52" s="4">
        <v>5700000</v>
      </c>
      <c r="I52" s="6" t="str">
        <f t="shared" si="10"/>
        <v/>
      </c>
      <c r="J52" s="4">
        <v>1400000</v>
      </c>
      <c r="K52" s="6" t="str">
        <f t="shared" si="11"/>
        <v/>
      </c>
      <c r="L52" s="6">
        <v>126</v>
      </c>
      <c r="M52" s="6" t="str">
        <f t="shared" si="12"/>
        <v/>
      </c>
      <c r="N52" s="6"/>
      <c r="O52" s="6" t="str">
        <f t="shared" si="13"/>
        <v/>
      </c>
      <c r="Q52" s="6">
        <v>1</v>
      </c>
      <c r="R52" s="6">
        <v>19</v>
      </c>
      <c r="S52" s="6">
        <v>12</v>
      </c>
      <c r="T52" s="6"/>
      <c r="U52" s="6">
        <f t="shared" si="6"/>
        <v>155520</v>
      </c>
      <c r="V52" s="6" t="str">
        <f t="shared" si="14"/>
        <v/>
      </c>
    </row>
    <row r="53" spans="2:22" x14ac:dyDescent="0.3">
      <c r="B53" s="64" t="s">
        <v>51</v>
      </c>
      <c r="C53" s="151">
        <v>48</v>
      </c>
      <c r="D53" s="4">
        <v>28000000</v>
      </c>
      <c r="E53" s="6" t="str">
        <f t="shared" si="8"/>
        <v/>
      </c>
      <c r="F53" s="4">
        <v>28000000</v>
      </c>
      <c r="G53" s="6" t="str">
        <f t="shared" si="9"/>
        <v/>
      </c>
      <c r="H53" s="4">
        <v>5700000</v>
      </c>
      <c r="I53" s="6" t="str">
        <f t="shared" si="10"/>
        <v/>
      </c>
      <c r="J53" s="4">
        <v>1400000</v>
      </c>
      <c r="K53" s="6" t="str">
        <f t="shared" si="11"/>
        <v/>
      </c>
      <c r="L53" s="6">
        <v>126</v>
      </c>
      <c r="M53" s="6" t="str">
        <f t="shared" si="12"/>
        <v/>
      </c>
      <c r="N53" s="6"/>
      <c r="O53" s="6" t="str">
        <f t="shared" si="13"/>
        <v/>
      </c>
      <c r="Q53" s="6">
        <v>1</v>
      </c>
      <c r="R53" s="6">
        <v>19</v>
      </c>
      <c r="S53" s="6">
        <v>12</v>
      </c>
      <c r="T53" s="6"/>
      <c r="U53" s="6">
        <f t="shared" si="6"/>
        <v>155520</v>
      </c>
      <c r="V53" s="6" t="str">
        <f t="shared" si="14"/>
        <v/>
      </c>
    </row>
    <row r="54" spans="2:22" x14ac:dyDescent="0.3">
      <c r="B54" s="64" t="s">
        <v>52</v>
      </c>
      <c r="C54" s="151">
        <v>49</v>
      </c>
      <c r="D54" s="4">
        <v>28000000</v>
      </c>
      <c r="E54" s="6" t="str">
        <f t="shared" si="8"/>
        <v/>
      </c>
      <c r="F54" s="4">
        <v>28000000</v>
      </c>
      <c r="G54" s="6" t="str">
        <f t="shared" si="9"/>
        <v/>
      </c>
      <c r="H54" s="4">
        <v>5700000</v>
      </c>
      <c r="I54" s="6" t="str">
        <f t="shared" si="10"/>
        <v/>
      </c>
      <c r="J54" s="4">
        <v>1400000</v>
      </c>
      <c r="K54" s="6" t="str">
        <f t="shared" si="11"/>
        <v/>
      </c>
      <c r="L54" s="6">
        <v>126</v>
      </c>
      <c r="M54" s="6" t="str">
        <f t="shared" si="12"/>
        <v/>
      </c>
      <c r="N54" s="6"/>
      <c r="O54" s="6" t="str">
        <f t="shared" si="13"/>
        <v/>
      </c>
      <c r="Q54" s="6">
        <v>1</v>
      </c>
      <c r="R54" s="6">
        <v>19</v>
      </c>
      <c r="S54" s="6">
        <v>12</v>
      </c>
      <c r="T54" s="6"/>
      <c r="U54" s="6">
        <f t="shared" si="6"/>
        <v>155520</v>
      </c>
      <c r="V54" s="6" t="str">
        <f t="shared" si="14"/>
        <v/>
      </c>
    </row>
    <row r="55" spans="2:22" x14ac:dyDescent="0.3">
      <c r="B55" s="64" t="s">
        <v>53</v>
      </c>
      <c r="C55" s="151">
        <v>50</v>
      </c>
      <c r="D55" s="4">
        <v>28000000</v>
      </c>
      <c r="E55" s="6" t="str">
        <f t="shared" si="8"/>
        <v/>
      </c>
      <c r="F55" s="4">
        <v>28000000</v>
      </c>
      <c r="G55" s="6" t="str">
        <f t="shared" si="9"/>
        <v/>
      </c>
      <c r="H55" s="4">
        <v>5700000</v>
      </c>
      <c r="I55" s="6" t="str">
        <f t="shared" si="10"/>
        <v/>
      </c>
      <c r="J55" s="4">
        <v>1400000</v>
      </c>
      <c r="K55" s="6" t="str">
        <f t="shared" si="11"/>
        <v/>
      </c>
      <c r="L55" s="6">
        <v>126</v>
      </c>
      <c r="M55" s="6" t="str">
        <f t="shared" si="12"/>
        <v/>
      </c>
      <c r="N55" s="6"/>
      <c r="O55" s="6" t="str">
        <f t="shared" si="13"/>
        <v/>
      </c>
      <c r="Q55" s="6">
        <v>1</v>
      </c>
      <c r="R55" s="6">
        <v>19</v>
      </c>
      <c r="S55" s="6">
        <v>12</v>
      </c>
      <c r="T55" s="6"/>
      <c r="U55" s="6">
        <f t="shared" si="6"/>
        <v>155520</v>
      </c>
      <c r="V55" s="6" t="str">
        <f t="shared" si="14"/>
        <v/>
      </c>
    </row>
    <row r="56" spans="2:22" x14ac:dyDescent="0.3">
      <c r="B56" s="64" t="s">
        <v>54</v>
      </c>
      <c r="C56" s="151">
        <v>51</v>
      </c>
      <c r="D56" s="4">
        <v>29000000</v>
      </c>
      <c r="E56" s="6" t="str">
        <f t="shared" si="8"/>
        <v/>
      </c>
      <c r="F56" s="4">
        <v>29000000</v>
      </c>
      <c r="G56" s="6" t="str">
        <f t="shared" si="9"/>
        <v/>
      </c>
      <c r="H56" s="4">
        <v>5900000</v>
      </c>
      <c r="I56" s="6" t="str">
        <f t="shared" si="10"/>
        <v/>
      </c>
      <c r="J56" s="4">
        <v>1400000</v>
      </c>
      <c r="K56" s="6" t="str">
        <f t="shared" si="11"/>
        <v/>
      </c>
      <c r="L56" s="6">
        <v>150</v>
      </c>
      <c r="M56" s="6" t="str">
        <f t="shared" si="12"/>
        <v/>
      </c>
      <c r="N56" s="6"/>
      <c r="O56" s="6" t="str">
        <f t="shared" si="13"/>
        <v/>
      </c>
      <c r="Q56" s="6">
        <v>2</v>
      </c>
      <c r="R56" s="6">
        <v>2</v>
      </c>
      <c r="S56" s="6">
        <v>24</v>
      </c>
      <c r="T56" s="6"/>
      <c r="U56" s="6">
        <f t="shared" si="6"/>
        <v>181440</v>
      </c>
      <c r="V56" s="6" t="str">
        <f t="shared" si="14"/>
        <v/>
      </c>
    </row>
    <row r="57" spans="2:22" x14ac:dyDescent="0.3">
      <c r="B57" s="64" t="s">
        <v>55</v>
      </c>
      <c r="C57" s="151">
        <v>52</v>
      </c>
      <c r="D57" s="4">
        <v>29000000</v>
      </c>
      <c r="E57" s="6" t="str">
        <f t="shared" si="8"/>
        <v/>
      </c>
      <c r="F57" s="4">
        <v>29000000</v>
      </c>
      <c r="G57" s="6" t="str">
        <f t="shared" si="9"/>
        <v/>
      </c>
      <c r="H57" s="4">
        <v>5900000</v>
      </c>
      <c r="I57" s="6" t="str">
        <f t="shared" si="10"/>
        <v/>
      </c>
      <c r="J57" s="4">
        <v>1400000</v>
      </c>
      <c r="K57" s="6" t="str">
        <f t="shared" si="11"/>
        <v/>
      </c>
      <c r="L57" s="6">
        <v>150</v>
      </c>
      <c r="M57" s="6" t="str">
        <f t="shared" si="12"/>
        <v/>
      </c>
      <c r="N57" s="6"/>
      <c r="O57" s="6" t="str">
        <f t="shared" si="13"/>
        <v/>
      </c>
      <c r="Q57" s="6">
        <v>2</v>
      </c>
      <c r="R57" s="6">
        <v>2</v>
      </c>
      <c r="S57" s="6">
        <v>24</v>
      </c>
      <c r="T57" s="6"/>
      <c r="U57" s="6">
        <f t="shared" si="6"/>
        <v>181440</v>
      </c>
      <c r="V57" s="6" t="str">
        <f t="shared" si="14"/>
        <v/>
      </c>
    </row>
    <row r="58" spans="2:22" x14ac:dyDescent="0.3">
      <c r="B58" s="64" t="s">
        <v>56</v>
      </c>
      <c r="C58" s="151">
        <v>53</v>
      </c>
      <c r="D58" s="4">
        <v>29000000</v>
      </c>
      <c r="E58" s="6" t="str">
        <f t="shared" si="8"/>
        <v/>
      </c>
      <c r="F58" s="4">
        <v>29000000</v>
      </c>
      <c r="G58" s="6" t="str">
        <f t="shared" si="9"/>
        <v/>
      </c>
      <c r="H58" s="4">
        <v>5900000</v>
      </c>
      <c r="I58" s="6" t="str">
        <f t="shared" si="10"/>
        <v/>
      </c>
      <c r="J58" s="4">
        <v>1400000</v>
      </c>
      <c r="K58" s="6" t="str">
        <f t="shared" si="11"/>
        <v/>
      </c>
      <c r="L58" s="6">
        <v>150</v>
      </c>
      <c r="M58" s="6" t="str">
        <f t="shared" si="12"/>
        <v/>
      </c>
      <c r="N58" s="6"/>
      <c r="O58" s="6" t="str">
        <f t="shared" si="13"/>
        <v/>
      </c>
      <c r="Q58" s="6">
        <v>2</v>
      </c>
      <c r="R58" s="6">
        <v>2</v>
      </c>
      <c r="S58" s="6">
        <v>24</v>
      </c>
      <c r="T58" s="6"/>
      <c r="U58" s="6">
        <f t="shared" si="6"/>
        <v>181440</v>
      </c>
      <c r="V58" s="6" t="str">
        <f t="shared" si="14"/>
        <v/>
      </c>
    </row>
    <row r="59" spans="2:22" x14ac:dyDescent="0.3">
      <c r="B59" s="64" t="s">
        <v>57</v>
      </c>
      <c r="C59" s="151">
        <v>54</v>
      </c>
      <c r="D59" s="4">
        <v>29000000</v>
      </c>
      <c r="E59" s="6" t="str">
        <f t="shared" si="8"/>
        <v/>
      </c>
      <c r="F59" s="4">
        <v>29000000</v>
      </c>
      <c r="G59" s="6" t="str">
        <f t="shared" si="9"/>
        <v/>
      </c>
      <c r="H59" s="4">
        <v>5900000</v>
      </c>
      <c r="I59" s="6" t="str">
        <f t="shared" si="10"/>
        <v/>
      </c>
      <c r="J59" s="4">
        <v>1400000</v>
      </c>
      <c r="K59" s="6" t="str">
        <f t="shared" si="11"/>
        <v/>
      </c>
      <c r="L59" s="6">
        <v>150</v>
      </c>
      <c r="M59" s="6" t="str">
        <f t="shared" si="12"/>
        <v/>
      </c>
      <c r="N59" s="6"/>
      <c r="O59" s="6" t="str">
        <f t="shared" si="13"/>
        <v/>
      </c>
      <c r="Q59" s="6">
        <v>2</v>
      </c>
      <c r="R59" s="6">
        <v>2</v>
      </c>
      <c r="S59" s="6">
        <v>24</v>
      </c>
      <c r="T59" s="6"/>
      <c r="U59" s="6">
        <f t="shared" si="6"/>
        <v>181440</v>
      </c>
      <c r="V59" s="6" t="str">
        <f t="shared" si="14"/>
        <v/>
      </c>
    </row>
    <row r="60" spans="2:22" x14ac:dyDescent="0.3">
      <c r="B60" s="64" t="s">
        <v>58</v>
      </c>
      <c r="C60" s="151">
        <v>55</v>
      </c>
      <c r="D60" s="4">
        <v>29000000</v>
      </c>
      <c r="E60" s="6" t="str">
        <f t="shared" si="8"/>
        <v/>
      </c>
      <c r="F60" s="4">
        <v>29000000</v>
      </c>
      <c r="G60" s="6" t="str">
        <f t="shared" si="9"/>
        <v/>
      </c>
      <c r="H60" s="4">
        <v>5900000</v>
      </c>
      <c r="I60" s="6" t="str">
        <f t="shared" si="10"/>
        <v/>
      </c>
      <c r="J60" s="4">
        <v>1400000</v>
      </c>
      <c r="K60" s="6" t="str">
        <f t="shared" si="11"/>
        <v/>
      </c>
      <c r="L60" s="6">
        <v>150</v>
      </c>
      <c r="M60" s="6" t="str">
        <f t="shared" si="12"/>
        <v/>
      </c>
      <c r="N60" s="6"/>
      <c r="O60" s="6" t="str">
        <f t="shared" si="13"/>
        <v/>
      </c>
      <c r="Q60" s="6">
        <v>2</v>
      </c>
      <c r="R60" s="6">
        <v>2</v>
      </c>
      <c r="S60" s="6">
        <v>24</v>
      </c>
      <c r="T60" s="6"/>
      <c r="U60" s="6">
        <f t="shared" si="6"/>
        <v>181440</v>
      </c>
      <c r="V60" s="6" t="str">
        <f t="shared" si="14"/>
        <v/>
      </c>
    </row>
    <row r="61" spans="2:22" x14ac:dyDescent="0.3">
      <c r="B61" s="64" t="s">
        <v>230</v>
      </c>
      <c r="C61" s="151">
        <v>56</v>
      </c>
      <c r="D61" s="4">
        <v>33000000</v>
      </c>
      <c r="E61" s="6" t="str">
        <f t="shared" si="8"/>
        <v/>
      </c>
      <c r="F61" s="4">
        <v>33000000</v>
      </c>
      <c r="G61" s="6" t="str">
        <f t="shared" si="9"/>
        <v/>
      </c>
      <c r="H61" s="4">
        <v>6700000</v>
      </c>
      <c r="I61" s="6" t="str">
        <f t="shared" si="10"/>
        <v/>
      </c>
      <c r="J61" s="4">
        <v>1600000</v>
      </c>
      <c r="K61" s="6" t="str">
        <f t="shared" si="11"/>
        <v/>
      </c>
      <c r="L61" s="6">
        <v>90</v>
      </c>
      <c r="M61" s="6" t="str">
        <f t="shared" si="12"/>
        <v/>
      </c>
      <c r="N61" s="6">
        <v>4</v>
      </c>
      <c r="O61" s="6" t="str">
        <f t="shared" si="13"/>
        <v/>
      </c>
      <c r="Q61" s="6">
        <v>2</v>
      </c>
      <c r="R61" s="6">
        <v>6</v>
      </c>
      <c r="S61" s="6"/>
      <c r="T61" s="6"/>
      <c r="U61" s="6">
        <f t="shared" si="6"/>
        <v>194400</v>
      </c>
      <c r="V61" s="6" t="str">
        <f t="shared" si="14"/>
        <v/>
      </c>
    </row>
    <row r="62" spans="2:22" x14ac:dyDescent="0.3">
      <c r="B62" s="64" t="s">
        <v>231</v>
      </c>
      <c r="C62" s="151">
        <v>57</v>
      </c>
      <c r="D62" s="4">
        <v>33000000</v>
      </c>
      <c r="E62" s="6" t="str">
        <f t="shared" si="8"/>
        <v/>
      </c>
      <c r="F62" s="4">
        <v>33000000</v>
      </c>
      <c r="G62" s="6" t="str">
        <f t="shared" si="9"/>
        <v/>
      </c>
      <c r="H62" s="4">
        <v>6700000</v>
      </c>
      <c r="I62" s="6" t="str">
        <f t="shared" si="10"/>
        <v/>
      </c>
      <c r="J62" s="4">
        <v>1600000</v>
      </c>
      <c r="K62" s="6" t="str">
        <f t="shared" si="11"/>
        <v/>
      </c>
      <c r="L62" s="6">
        <v>90</v>
      </c>
      <c r="M62" s="6" t="str">
        <f t="shared" si="12"/>
        <v/>
      </c>
      <c r="N62" s="6">
        <v>4</v>
      </c>
      <c r="O62" s="6" t="str">
        <f t="shared" si="13"/>
        <v/>
      </c>
      <c r="Q62" s="6">
        <v>2</v>
      </c>
      <c r="R62" s="6">
        <v>6</v>
      </c>
      <c r="S62" s="6"/>
      <c r="T62" s="6"/>
      <c r="U62" s="6">
        <f t="shared" si="6"/>
        <v>194400</v>
      </c>
      <c r="V62" s="6" t="str">
        <f t="shared" si="14"/>
        <v/>
      </c>
    </row>
    <row r="63" spans="2:22" x14ac:dyDescent="0.3">
      <c r="B63" s="64" t="s">
        <v>232</v>
      </c>
      <c r="C63" s="151">
        <v>58</v>
      </c>
      <c r="D63" s="4">
        <v>33000000</v>
      </c>
      <c r="E63" s="6" t="str">
        <f t="shared" si="8"/>
        <v/>
      </c>
      <c r="F63" s="4">
        <v>33000000</v>
      </c>
      <c r="G63" s="6" t="str">
        <f t="shared" si="9"/>
        <v/>
      </c>
      <c r="H63" s="4">
        <v>6700000</v>
      </c>
      <c r="I63" s="6" t="str">
        <f t="shared" si="10"/>
        <v/>
      </c>
      <c r="J63" s="4">
        <v>1600000</v>
      </c>
      <c r="K63" s="6" t="str">
        <f t="shared" si="11"/>
        <v/>
      </c>
      <c r="L63" s="6">
        <v>90</v>
      </c>
      <c r="M63" s="6" t="str">
        <f t="shared" si="12"/>
        <v/>
      </c>
      <c r="N63" s="6">
        <v>4</v>
      </c>
      <c r="O63" s="6" t="str">
        <f t="shared" si="13"/>
        <v/>
      </c>
      <c r="Q63" s="6">
        <v>2</v>
      </c>
      <c r="R63" s="6">
        <v>6</v>
      </c>
      <c r="S63" s="6"/>
      <c r="T63" s="6"/>
      <c r="U63" s="6">
        <f t="shared" si="6"/>
        <v>194400</v>
      </c>
      <c r="V63" s="6" t="str">
        <f t="shared" si="14"/>
        <v/>
      </c>
    </row>
    <row r="64" spans="2:22" x14ac:dyDescent="0.3">
      <c r="B64" s="64" t="s">
        <v>233</v>
      </c>
      <c r="C64" s="151">
        <v>59</v>
      </c>
      <c r="D64" s="4">
        <v>33000000</v>
      </c>
      <c r="E64" s="6" t="str">
        <f t="shared" si="8"/>
        <v/>
      </c>
      <c r="F64" s="4">
        <v>33000000</v>
      </c>
      <c r="G64" s="6" t="str">
        <f t="shared" si="9"/>
        <v/>
      </c>
      <c r="H64" s="4">
        <v>6700000</v>
      </c>
      <c r="I64" s="6" t="str">
        <f t="shared" si="10"/>
        <v/>
      </c>
      <c r="J64" s="4">
        <v>1600000</v>
      </c>
      <c r="K64" s="6" t="str">
        <f t="shared" si="11"/>
        <v/>
      </c>
      <c r="L64" s="6">
        <v>90</v>
      </c>
      <c r="M64" s="6" t="str">
        <f t="shared" si="12"/>
        <v/>
      </c>
      <c r="N64" s="6">
        <v>4</v>
      </c>
      <c r="O64" s="6" t="str">
        <f t="shared" si="13"/>
        <v/>
      </c>
      <c r="Q64" s="6">
        <v>2</v>
      </c>
      <c r="R64" s="6">
        <v>6</v>
      </c>
      <c r="S64" s="6"/>
      <c r="T64" s="6"/>
      <c r="U64" s="6">
        <f t="shared" si="6"/>
        <v>194400</v>
      </c>
      <c r="V64" s="6" t="str">
        <f t="shared" si="14"/>
        <v/>
      </c>
    </row>
    <row r="65" spans="2:22" x14ac:dyDescent="0.3">
      <c r="B65" s="64" t="s">
        <v>234</v>
      </c>
      <c r="C65" s="151">
        <v>60</v>
      </c>
      <c r="D65" s="4">
        <v>33000000</v>
      </c>
      <c r="E65" s="6" t="str">
        <f t="shared" si="8"/>
        <v/>
      </c>
      <c r="F65" s="4">
        <v>33000000</v>
      </c>
      <c r="G65" s="6" t="str">
        <f t="shared" si="9"/>
        <v/>
      </c>
      <c r="H65" s="4">
        <v>6700000</v>
      </c>
      <c r="I65" s="6" t="str">
        <f t="shared" si="10"/>
        <v/>
      </c>
      <c r="J65" s="4">
        <v>1600000</v>
      </c>
      <c r="K65" s="6" t="str">
        <f t="shared" si="11"/>
        <v/>
      </c>
      <c r="L65" s="6">
        <v>45</v>
      </c>
      <c r="M65" s="6" t="str">
        <f t="shared" si="12"/>
        <v/>
      </c>
      <c r="N65" s="6">
        <v>9</v>
      </c>
      <c r="O65" s="6" t="str">
        <f t="shared" si="13"/>
        <v/>
      </c>
      <c r="Q65" s="6">
        <v>2</v>
      </c>
      <c r="R65" s="6">
        <v>6</v>
      </c>
      <c r="S65" s="6"/>
      <c r="T65" s="6"/>
      <c r="U65" s="6">
        <f t="shared" si="6"/>
        <v>194400</v>
      </c>
      <c r="V65" s="6" t="str">
        <f t="shared" si="14"/>
        <v/>
      </c>
    </row>
    <row r="66" spans="2:22" x14ac:dyDescent="0.3">
      <c r="B66" s="64" t="s">
        <v>235</v>
      </c>
      <c r="C66" s="151">
        <v>61</v>
      </c>
      <c r="D66" s="4">
        <v>38000000</v>
      </c>
      <c r="E66" s="6" t="str">
        <f t="shared" si="8"/>
        <v/>
      </c>
      <c r="F66" s="4">
        <v>38000000</v>
      </c>
      <c r="G66" s="6" t="str">
        <f t="shared" si="9"/>
        <v/>
      </c>
      <c r="H66" s="4">
        <v>7600000</v>
      </c>
      <c r="I66" s="6" t="str">
        <f t="shared" si="10"/>
        <v/>
      </c>
      <c r="J66" s="4">
        <v>1900000</v>
      </c>
      <c r="K66" s="6" t="str">
        <f t="shared" si="11"/>
        <v/>
      </c>
      <c r="L66" s="6">
        <v>108</v>
      </c>
      <c r="M66" s="6" t="str">
        <f t="shared" si="12"/>
        <v/>
      </c>
      <c r="N66" s="6">
        <v>6</v>
      </c>
      <c r="O66" s="6" t="str">
        <f t="shared" si="13"/>
        <v/>
      </c>
      <c r="Q66" s="6">
        <v>2</v>
      </c>
      <c r="R66" s="6">
        <v>16</v>
      </c>
      <c r="S66" s="6">
        <v>48</v>
      </c>
      <c r="T66" s="6"/>
      <c r="U66" s="6">
        <f t="shared" si="6"/>
        <v>233280</v>
      </c>
      <c r="V66" s="6" t="str">
        <f t="shared" si="14"/>
        <v/>
      </c>
    </row>
    <row r="67" spans="2:22" x14ac:dyDescent="0.3">
      <c r="B67" s="64" t="s">
        <v>236</v>
      </c>
      <c r="C67" s="151">
        <v>62</v>
      </c>
      <c r="D67" s="4">
        <v>38000000</v>
      </c>
      <c r="E67" s="6" t="str">
        <f t="shared" si="8"/>
        <v/>
      </c>
      <c r="F67" s="4">
        <v>38000000</v>
      </c>
      <c r="G67" s="6" t="str">
        <f t="shared" si="9"/>
        <v/>
      </c>
      <c r="H67" s="4">
        <v>7600000</v>
      </c>
      <c r="I67" s="6" t="str">
        <f t="shared" si="10"/>
        <v/>
      </c>
      <c r="J67" s="4">
        <v>1900000</v>
      </c>
      <c r="K67" s="6" t="str">
        <f t="shared" si="11"/>
        <v/>
      </c>
      <c r="L67" s="6">
        <v>108</v>
      </c>
      <c r="M67" s="6" t="str">
        <f t="shared" si="12"/>
        <v/>
      </c>
      <c r="N67" s="6">
        <v>6</v>
      </c>
      <c r="O67" s="6" t="str">
        <f t="shared" si="13"/>
        <v/>
      </c>
      <c r="Q67" s="6">
        <v>2</v>
      </c>
      <c r="R67" s="6">
        <v>16</v>
      </c>
      <c r="S67" s="6">
        <v>48</v>
      </c>
      <c r="T67" s="6"/>
      <c r="U67" s="6">
        <f t="shared" si="6"/>
        <v>233280</v>
      </c>
      <c r="V67" s="6" t="str">
        <f t="shared" si="14"/>
        <v/>
      </c>
    </row>
    <row r="68" spans="2:22" x14ac:dyDescent="0.3">
      <c r="B68" s="64" t="s">
        <v>237</v>
      </c>
      <c r="C68" s="151">
        <v>63</v>
      </c>
      <c r="D68" s="4">
        <v>38000000</v>
      </c>
      <c r="E68" s="6" t="str">
        <f t="shared" si="8"/>
        <v/>
      </c>
      <c r="F68" s="4">
        <v>38000000</v>
      </c>
      <c r="G68" s="6" t="str">
        <f t="shared" si="9"/>
        <v/>
      </c>
      <c r="H68" s="4">
        <v>7600000</v>
      </c>
      <c r="I68" s="6" t="str">
        <f t="shared" si="10"/>
        <v/>
      </c>
      <c r="J68" s="4">
        <v>1900000</v>
      </c>
      <c r="K68" s="6" t="str">
        <f t="shared" si="11"/>
        <v/>
      </c>
      <c r="L68" s="6">
        <v>108</v>
      </c>
      <c r="M68" s="6" t="str">
        <f t="shared" si="12"/>
        <v/>
      </c>
      <c r="N68" s="6">
        <v>6</v>
      </c>
      <c r="O68" s="6" t="str">
        <f t="shared" si="13"/>
        <v/>
      </c>
      <c r="Q68" s="6">
        <v>2</v>
      </c>
      <c r="R68" s="6">
        <v>16</v>
      </c>
      <c r="S68" s="6">
        <v>48</v>
      </c>
      <c r="T68" s="6"/>
      <c r="U68" s="6">
        <f t="shared" si="6"/>
        <v>233280</v>
      </c>
      <c r="V68" s="6" t="str">
        <f t="shared" si="14"/>
        <v/>
      </c>
    </row>
    <row r="69" spans="2:22" x14ac:dyDescent="0.3">
      <c r="B69" s="64" t="s">
        <v>238</v>
      </c>
      <c r="C69" s="151">
        <v>64</v>
      </c>
      <c r="D69" s="4">
        <v>38000000</v>
      </c>
      <c r="E69" s="6" t="str">
        <f t="shared" si="8"/>
        <v/>
      </c>
      <c r="F69" s="4">
        <v>38000000</v>
      </c>
      <c r="G69" s="6" t="str">
        <f t="shared" si="9"/>
        <v/>
      </c>
      <c r="H69" s="4">
        <v>7600000</v>
      </c>
      <c r="I69" s="6" t="str">
        <f t="shared" si="10"/>
        <v/>
      </c>
      <c r="J69" s="4">
        <v>1900000</v>
      </c>
      <c r="K69" s="6" t="str">
        <f t="shared" si="11"/>
        <v/>
      </c>
      <c r="L69" s="6">
        <v>108</v>
      </c>
      <c r="M69" s="6" t="str">
        <f t="shared" si="12"/>
        <v/>
      </c>
      <c r="N69" s="6">
        <v>6</v>
      </c>
      <c r="O69" s="6" t="str">
        <f t="shared" si="13"/>
        <v/>
      </c>
      <c r="Q69" s="6">
        <v>2</v>
      </c>
      <c r="R69" s="6">
        <v>16</v>
      </c>
      <c r="S69" s="6">
        <v>48</v>
      </c>
      <c r="T69" s="6"/>
      <c r="U69" s="6">
        <f t="shared" si="6"/>
        <v>233280</v>
      </c>
      <c r="V69" s="6" t="str">
        <f t="shared" si="14"/>
        <v/>
      </c>
    </row>
    <row r="70" spans="2:22" x14ac:dyDescent="0.3">
      <c r="B70" s="64" t="s">
        <v>239</v>
      </c>
      <c r="C70" s="151">
        <v>65</v>
      </c>
      <c r="D70" s="4">
        <v>38000000</v>
      </c>
      <c r="E70" s="6" t="str">
        <f t="shared" ref="E70:E85" si="15">IF($C70&gt;VLOOKUP(InfantryDesired,$B$6:$C$85,2,FALSE),"",IF($C70&gt;VLOOKUP(InfantryCurrent,$B$6:$C$85,2,FALSE),D70,""))</f>
        <v/>
      </c>
      <c r="F70" s="4">
        <v>38000000</v>
      </c>
      <c r="G70" s="6" t="str">
        <f t="shared" ref="G70:G85" si="16">IF($C70&gt;VLOOKUP(InfantryDesired,$B$6:$C$85,2,FALSE),"",IF($C70&gt;VLOOKUP(InfantryCurrent,$B$6:$C$85,2,FALSE),F70,""))</f>
        <v/>
      </c>
      <c r="H70" s="4">
        <v>7600000</v>
      </c>
      <c r="I70" s="6" t="str">
        <f t="shared" ref="I70:I85" si="17">IF($C70&gt;VLOOKUP(InfantryDesired,$B$6:$C$85,2,FALSE),"",IF($C70&gt;VLOOKUP(InfantryCurrent,$B$6:$C$85,2,FALSE),H70,""))</f>
        <v/>
      </c>
      <c r="J70" s="4">
        <v>1900000</v>
      </c>
      <c r="K70" s="6" t="str">
        <f t="shared" ref="K70:K85" si="18">IF($C70&gt;VLOOKUP(InfantryDesired,$B$6:$C$85,2,FALSE),"",IF($C70&gt;VLOOKUP(InfantryCurrent,$B$6:$C$85,2,FALSE),J70,""))</f>
        <v/>
      </c>
      <c r="L70" s="6">
        <v>54</v>
      </c>
      <c r="M70" s="6" t="str">
        <f t="shared" ref="M70:M85" si="19">IF($C70&gt;VLOOKUP(InfantryDesired,$B$6:$C$85,2,FALSE),"",IF($C70&gt;VLOOKUP(InfantryCurrent,$B$6:$C$85,2,FALSE),L70,""))</f>
        <v/>
      </c>
      <c r="N70" s="6">
        <v>13</v>
      </c>
      <c r="O70" s="6" t="str">
        <f t="shared" ref="O70:O85" si="20">IF($C70&gt;VLOOKUP(InfantryDesired,$B$6:$C$85,2,FALSE),"",IF($C70&gt;VLOOKUP(InfantryCurrent,$B$6:$C$85,2,FALSE),N70,""))</f>
        <v/>
      </c>
      <c r="Q70" s="6">
        <v>2</v>
      </c>
      <c r="R70" s="6">
        <v>16</v>
      </c>
      <c r="S70" s="6">
        <v>48</v>
      </c>
      <c r="T70" s="6"/>
      <c r="U70" s="6">
        <f t="shared" ref="U70:U85" si="21">T70+S70*60+R70*60*60+Q70*60*60*24</f>
        <v>233280</v>
      </c>
      <c r="V70" s="6" t="str">
        <f t="shared" ref="V70:V85" si="22">IF($C70&gt;VLOOKUP(InfantryDesired,$B$6:$C$85,2,FALSE),"",IF($C70&gt;VLOOKUP(InfantryCurrent,$B$6:$C$85,2,FALSE),U70,""))</f>
        <v/>
      </c>
    </row>
    <row r="71" spans="2:22" x14ac:dyDescent="0.3">
      <c r="B71" s="64" t="s">
        <v>240</v>
      </c>
      <c r="C71" s="151">
        <v>66</v>
      </c>
      <c r="D71" s="4">
        <v>46000000</v>
      </c>
      <c r="E71" s="6" t="str">
        <f t="shared" si="15"/>
        <v/>
      </c>
      <c r="F71" s="4">
        <v>46000000</v>
      </c>
      <c r="G71" s="6" t="str">
        <f t="shared" si="16"/>
        <v/>
      </c>
      <c r="H71" s="4">
        <v>9300000</v>
      </c>
      <c r="I71" s="6" t="str">
        <f t="shared" si="17"/>
        <v/>
      </c>
      <c r="J71" s="4">
        <v>2300000</v>
      </c>
      <c r="K71" s="6" t="str">
        <f t="shared" si="18"/>
        <v/>
      </c>
      <c r="L71" s="6">
        <v>108</v>
      </c>
      <c r="M71" s="6" t="str">
        <f t="shared" si="19"/>
        <v/>
      </c>
      <c r="N71" s="6">
        <v>9</v>
      </c>
      <c r="O71" s="6" t="str">
        <f t="shared" si="20"/>
        <v/>
      </c>
      <c r="Q71" s="6">
        <v>3</v>
      </c>
      <c r="R71" s="6"/>
      <c r="S71" s="6"/>
      <c r="T71" s="6"/>
      <c r="U71" s="6">
        <f t="shared" si="21"/>
        <v>259200</v>
      </c>
      <c r="V71" s="6" t="str">
        <f t="shared" si="22"/>
        <v/>
      </c>
    </row>
    <row r="72" spans="2:22" x14ac:dyDescent="0.3">
      <c r="B72" s="64" t="s">
        <v>241</v>
      </c>
      <c r="C72" s="151">
        <v>67</v>
      </c>
      <c r="D72" s="4">
        <v>46000000</v>
      </c>
      <c r="E72" s="6" t="str">
        <f t="shared" si="15"/>
        <v/>
      </c>
      <c r="F72" s="4">
        <v>46000000</v>
      </c>
      <c r="G72" s="6" t="str">
        <f t="shared" si="16"/>
        <v/>
      </c>
      <c r="H72" s="4">
        <v>9300000</v>
      </c>
      <c r="I72" s="6" t="str">
        <f t="shared" si="17"/>
        <v/>
      </c>
      <c r="J72" s="4">
        <v>2300000</v>
      </c>
      <c r="K72" s="6" t="str">
        <f t="shared" si="18"/>
        <v/>
      </c>
      <c r="L72" s="6">
        <v>108</v>
      </c>
      <c r="M72" s="6" t="str">
        <f t="shared" si="19"/>
        <v/>
      </c>
      <c r="N72" s="6">
        <v>9</v>
      </c>
      <c r="O72" s="6" t="str">
        <f t="shared" si="20"/>
        <v/>
      </c>
      <c r="Q72" s="6">
        <v>3</v>
      </c>
      <c r="R72" s="6"/>
      <c r="S72" s="6"/>
      <c r="T72" s="6"/>
      <c r="U72" s="6">
        <f t="shared" si="21"/>
        <v>259200</v>
      </c>
      <c r="V72" s="6" t="str">
        <f t="shared" si="22"/>
        <v/>
      </c>
    </row>
    <row r="73" spans="2:22" x14ac:dyDescent="0.3">
      <c r="B73" s="64" t="s">
        <v>242</v>
      </c>
      <c r="C73" s="151">
        <v>68</v>
      </c>
      <c r="D73" s="4">
        <v>46000000</v>
      </c>
      <c r="E73" s="6" t="str">
        <f t="shared" si="15"/>
        <v/>
      </c>
      <c r="F73" s="4">
        <v>46000000</v>
      </c>
      <c r="G73" s="6" t="str">
        <f t="shared" si="16"/>
        <v/>
      </c>
      <c r="H73" s="4">
        <v>9300000</v>
      </c>
      <c r="I73" s="6" t="str">
        <f t="shared" si="17"/>
        <v/>
      </c>
      <c r="J73" s="4">
        <v>2300000</v>
      </c>
      <c r="K73" s="6" t="str">
        <f t="shared" si="18"/>
        <v/>
      </c>
      <c r="L73" s="6">
        <v>108</v>
      </c>
      <c r="M73" s="6" t="str">
        <f t="shared" si="19"/>
        <v/>
      </c>
      <c r="N73" s="6">
        <v>9</v>
      </c>
      <c r="O73" s="6" t="str">
        <f t="shared" si="20"/>
        <v/>
      </c>
      <c r="Q73" s="6">
        <v>3</v>
      </c>
      <c r="R73" s="6"/>
      <c r="S73" s="6"/>
      <c r="T73" s="6"/>
      <c r="U73" s="6">
        <f t="shared" si="21"/>
        <v>259200</v>
      </c>
      <c r="V73" s="6" t="str">
        <f t="shared" si="22"/>
        <v/>
      </c>
    </row>
    <row r="74" spans="2:22" x14ac:dyDescent="0.3">
      <c r="B74" s="64" t="s">
        <v>243</v>
      </c>
      <c r="C74" s="151">
        <v>69</v>
      </c>
      <c r="D74" s="4">
        <v>46000000</v>
      </c>
      <c r="E74" s="6" t="str">
        <f t="shared" si="15"/>
        <v/>
      </c>
      <c r="F74" s="4">
        <v>46000000</v>
      </c>
      <c r="G74" s="6" t="str">
        <f t="shared" si="16"/>
        <v/>
      </c>
      <c r="H74" s="4">
        <v>9300000</v>
      </c>
      <c r="I74" s="6" t="str">
        <f t="shared" si="17"/>
        <v/>
      </c>
      <c r="J74" s="4">
        <v>2300000</v>
      </c>
      <c r="K74" s="6" t="str">
        <f t="shared" si="18"/>
        <v/>
      </c>
      <c r="L74" s="6">
        <v>108</v>
      </c>
      <c r="M74" s="6" t="str">
        <f t="shared" si="19"/>
        <v/>
      </c>
      <c r="N74" s="6">
        <v>9</v>
      </c>
      <c r="O74" s="6" t="str">
        <f t="shared" si="20"/>
        <v/>
      </c>
      <c r="Q74" s="6">
        <v>3</v>
      </c>
      <c r="R74" s="6"/>
      <c r="S74" s="6"/>
      <c r="T74" s="6"/>
      <c r="U74" s="6">
        <f t="shared" si="21"/>
        <v>259200</v>
      </c>
      <c r="V74" s="6" t="str">
        <f t="shared" si="22"/>
        <v/>
      </c>
    </row>
    <row r="75" spans="2:22" x14ac:dyDescent="0.3">
      <c r="B75" s="64" t="s">
        <v>244</v>
      </c>
      <c r="C75" s="151">
        <v>70</v>
      </c>
      <c r="D75" s="4">
        <v>46000000</v>
      </c>
      <c r="E75" s="6" t="str">
        <f t="shared" si="15"/>
        <v/>
      </c>
      <c r="F75" s="4">
        <v>46000000</v>
      </c>
      <c r="G75" s="6" t="str">
        <f t="shared" si="16"/>
        <v/>
      </c>
      <c r="H75" s="4">
        <v>9300000</v>
      </c>
      <c r="I75" s="6" t="str">
        <f t="shared" si="17"/>
        <v/>
      </c>
      <c r="J75" s="4">
        <v>2300000</v>
      </c>
      <c r="K75" s="6" t="str">
        <f t="shared" si="18"/>
        <v/>
      </c>
      <c r="L75" s="6">
        <v>54</v>
      </c>
      <c r="M75" s="6" t="str">
        <f t="shared" si="19"/>
        <v/>
      </c>
      <c r="N75" s="6">
        <v>19</v>
      </c>
      <c r="O75" s="6" t="str">
        <f t="shared" si="20"/>
        <v/>
      </c>
      <c r="Q75" s="6">
        <v>3</v>
      </c>
      <c r="R75" s="6"/>
      <c r="S75" s="6"/>
      <c r="T75" s="6"/>
      <c r="U75" s="6">
        <f t="shared" si="21"/>
        <v>259200</v>
      </c>
      <c r="V75" s="6" t="str">
        <f t="shared" si="22"/>
        <v/>
      </c>
    </row>
    <row r="76" spans="2:22" x14ac:dyDescent="0.3">
      <c r="B76" s="64" t="s">
        <v>450</v>
      </c>
      <c r="C76" s="151">
        <v>71</v>
      </c>
      <c r="D76" s="4">
        <v>50000000</v>
      </c>
      <c r="E76" s="6">
        <f t="shared" si="15"/>
        <v>50000000</v>
      </c>
      <c r="F76" s="4">
        <v>50000000</v>
      </c>
      <c r="G76" s="6">
        <f t="shared" si="16"/>
        <v>50000000</v>
      </c>
      <c r="H76" s="4">
        <v>10000000</v>
      </c>
      <c r="I76" s="6">
        <f t="shared" si="17"/>
        <v>10000000</v>
      </c>
      <c r="J76" s="4">
        <v>2500000</v>
      </c>
      <c r="K76" s="6">
        <f t="shared" si="18"/>
        <v>2500000</v>
      </c>
      <c r="L76" s="6">
        <v>126</v>
      </c>
      <c r="M76" s="6">
        <f t="shared" si="19"/>
        <v>126</v>
      </c>
      <c r="N76" s="6">
        <v>13</v>
      </c>
      <c r="O76" s="6">
        <f t="shared" si="20"/>
        <v>13</v>
      </c>
      <c r="Q76" s="6">
        <v>1</v>
      </c>
      <c r="R76" s="6">
        <v>22</v>
      </c>
      <c r="S76" s="6">
        <v>48</v>
      </c>
      <c r="T76" s="6"/>
      <c r="U76" s="6">
        <f t="shared" si="21"/>
        <v>168480</v>
      </c>
      <c r="V76" s="6">
        <f t="shared" si="22"/>
        <v>168480</v>
      </c>
    </row>
    <row r="77" spans="2:22" x14ac:dyDescent="0.3">
      <c r="B77" s="64" t="s">
        <v>451</v>
      </c>
      <c r="C77" s="151">
        <v>72</v>
      </c>
      <c r="D77" s="4">
        <v>50000000</v>
      </c>
      <c r="E77" s="6">
        <f t="shared" si="15"/>
        <v>50000000</v>
      </c>
      <c r="F77" s="4">
        <v>50000000</v>
      </c>
      <c r="G77" s="6">
        <f t="shared" si="16"/>
        <v>50000000</v>
      </c>
      <c r="H77" s="4">
        <v>10000000</v>
      </c>
      <c r="I77" s="6">
        <f t="shared" si="17"/>
        <v>10000000</v>
      </c>
      <c r="J77" s="4">
        <v>2500000</v>
      </c>
      <c r="K77" s="6">
        <f t="shared" si="18"/>
        <v>2500000</v>
      </c>
      <c r="L77" s="6">
        <v>126</v>
      </c>
      <c r="M77" s="6">
        <f t="shared" si="19"/>
        <v>126</v>
      </c>
      <c r="N77" s="6">
        <v>13</v>
      </c>
      <c r="O77" s="6">
        <f t="shared" si="20"/>
        <v>13</v>
      </c>
      <c r="Q77" s="6">
        <v>1</v>
      </c>
      <c r="R77" s="6">
        <v>22</v>
      </c>
      <c r="S77" s="6">
        <v>48</v>
      </c>
      <c r="T77" s="6"/>
      <c r="U77" s="6">
        <f t="shared" si="21"/>
        <v>168480</v>
      </c>
      <c r="V77" s="6">
        <f t="shared" si="22"/>
        <v>168480</v>
      </c>
    </row>
    <row r="78" spans="2:22" x14ac:dyDescent="0.3">
      <c r="B78" s="64" t="s">
        <v>452</v>
      </c>
      <c r="C78" s="151">
        <v>73</v>
      </c>
      <c r="D78" s="4">
        <v>50000000</v>
      </c>
      <c r="E78" s="6">
        <f t="shared" si="15"/>
        <v>50000000</v>
      </c>
      <c r="F78" s="4">
        <v>50000000</v>
      </c>
      <c r="G78" s="6">
        <f t="shared" si="16"/>
        <v>50000000</v>
      </c>
      <c r="H78" s="4">
        <v>10000000</v>
      </c>
      <c r="I78" s="6">
        <f t="shared" si="17"/>
        <v>10000000</v>
      </c>
      <c r="J78" s="4">
        <v>2500000</v>
      </c>
      <c r="K78" s="6">
        <f t="shared" si="18"/>
        <v>2500000</v>
      </c>
      <c r="L78" s="6">
        <v>126</v>
      </c>
      <c r="M78" s="6">
        <f t="shared" si="19"/>
        <v>126</v>
      </c>
      <c r="N78" s="6">
        <v>13</v>
      </c>
      <c r="O78" s="6">
        <f t="shared" si="20"/>
        <v>13</v>
      </c>
      <c r="Q78" s="6">
        <v>1</v>
      </c>
      <c r="R78" s="6">
        <v>22</v>
      </c>
      <c r="S78" s="6">
        <v>48</v>
      </c>
      <c r="T78" s="6"/>
      <c r="U78" s="6">
        <f t="shared" si="21"/>
        <v>168480</v>
      </c>
      <c r="V78" s="6">
        <f t="shared" si="22"/>
        <v>168480</v>
      </c>
    </row>
    <row r="79" spans="2:22" x14ac:dyDescent="0.3">
      <c r="B79" s="64" t="s">
        <v>453</v>
      </c>
      <c r="C79" s="151">
        <v>74</v>
      </c>
      <c r="D79" s="4">
        <v>50000000</v>
      </c>
      <c r="E79" s="6">
        <f t="shared" si="15"/>
        <v>50000000</v>
      </c>
      <c r="F79" s="4">
        <v>50000000</v>
      </c>
      <c r="G79" s="6">
        <f t="shared" si="16"/>
        <v>50000000</v>
      </c>
      <c r="H79" s="4">
        <v>10000000</v>
      </c>
      <c r="I79" s="6">
        <f t="shared" si="17"/>
        <v>10000000</v>
      </c>
      <c r="J79" s="4">
        <v>2500000</v>
      </c>
      <c r="K79" s="6">
        <f t="shared" si="18"/>
        <v>2500000</v>
      </c>
      <c r="L79" s="6">
        <v>126</v>
      </c>
      <c r="M79" s="6">
        <f t="shared" si="19"/>
        <v>126</v>
      </c>
      <c r="N79" s="6">
        <v>13</v>
      </c>
      <c r="O79" s="6">
        <f t="shared" si="20"/>
        <v>13</v>
      </c>
      <c r="Q79" s="6">
        <v>1</v>
      </c>
      <c r="R79" s="6">
        <v>22</v>
      </c>
      <c r="S79" s="6">
        <v>48</v>
      </c>
      <c r="T79" s="6"/>
      <c r="U79" s="6">
        <f t="shared" si="21"/>
        <v>168480</v>
      </c>
      <c r="V79" s="6">
        <f t="shared" si="22"/>
        <v>168480</v>
      </c>
    </row>
    <row r="80" spans="2:22" x14ac:dyDescent="0.3">
      <c r="B80" s="64" t="s">
        <v>454</v>
      </c>
      <c r="C80" s="151">
        <v>75</v>
      </c>
      <c r="D80" s="4">
        <v>50000000</v>
      </c>
      <c r="E80" s="6">
        <f t="shared" si="15"/>
        <v>50000000</v>
      </c>
      <c r="F80" s="4">
        <v>50000000</v>
      </c>
      <c r="G80" s="6">
        <f t="shared" si="16"/>
        <v>50000000</v>
      </c>
      <c r="H80" s="4">
        <v>10000000</v>
      </c>
      <c r="I80" s="6">
        <f t="shared" si="17"/>
        <v>10000000</v>
      </c>
      <c r="J80" s="4">
        <v>2500000</v>
      </c>
      <c r="K80" s="6">
        <f t="shared" si="18"/>
        <v>2500000</v>
      </c>
      <c r="L80" s="6">
        <v>63</v>
      </c>
      <c r="M80" s="6">
        <f t="shared" si="19"/>
        <v>63</v>
      </c>
      <c r="N80" s="6">
        <v>27</v>
      </c>
      <c r="O80" s="6">
        <f t="shared" si="20"/>
        <v>27</v>
      </c>
      <c r="Q80" s="6">
        <v>1</v>
      </c>
      <c r="R80" s="6">
        <v>22</v>
      </c>
      <c r="S80" s="6">
        <v>48</v>
      </c>
      <c r="T80" s="6"/>
      <c r="U80" s="6">
        <f t="shared" si="21"/>
        <v>168480</v>
      </c>
      <c r="V80" s="6">
        <f t="shared" si="22"/>
        <v>168480</v>
      </c>
    </row>
    <row r="81" spans="2:22" x14ac:dyDescent="0.3">
      <c r="B81" s="64" t="s">
        <v>455</v>
      </c>
      <c r="C81" s="151">
        <v>76</v>
      </c>
      <c r="D81" s="4">
        <v>59000000</v>
      </c>
      <c r="E81" s="6" t="str">
        <f t="shared" si="15"/>
        <v/>
      </c>
      <c r="F81" s="4">
        <v>59000000</v>
      </c>
      <c r="G81" s="6" t="str">
        <f t="shared" si="16"/>
        <v/>
      </c>
      <c r="H81" s="4">
        <v>11000000</v>
      </c>
      <c r="I81" s="6" t="str">
        <f t="shared" si="17"/>
        <v/>
      </c>
      <c r="J81" s="4">
        <v>2900000</v>
      </c>
      <c r="K81" s="6" t="str">
        <f t="shared" si="18"/>
        <v/>
      </c>
      <c r="L81" s="6">
        <v>157</v>
      </c>
      <c r="M81" s="6" t="str">
        <f t="shared" si="19"/>
        <v/>
      </c>
      <c r="N81" s="6">
        <v>31</v>
      </c>
      <c r="O81" s="6" t="str">
        <f t="shared" si="20"/>
        <v/>
      </c>
      <c r="Q81" s="6">
        <v>3</v>
      </c>
      <c r="R81" s="6"/>
      <c r="S81" s="6"/>
      <c r="T81" s="6"/>
      <c r="U81" s="6">
        <f t="shared" si="21"/>
        <v>259200</v>
      </c>
      <c r="V81" s="6" t="str">
        <f t="shared" si="22"/>
        <v/>
      </c>
    </row>
    <row r="82" spans="2:22" x14ac:dyDescent="0.3">
      <c r="B82" s="64" t="s">
        <v>456</v>
      </c>
      <c r="C82" s="151">
        <v>77</v>
      </c>
      <c r="D82" s="4">
        <v>59000000</v>
      </c>
      <c r="E82" s="6" t="str">
        <f t="shared" si="15"/>
        <v/>
      </c>
      <c r="F82" s="4">
        <v>59000000</v>
      </c>
      <c r="G82" s="6" t="str">
        <f t="shared" si="16"/>
        <v/>
      </c>
      <c r="H82" s="4">
        <v>11000000</v>
      </c>
      <c r="I82" s="6" t="str">
        <f t="shared" si="17"/>
        <v/>
      </c>
      <c r="J82" s="4">
        <v>2900000</v>
      </c>
      <c r="K82" s="6" t="str">
        <f t="shared" si="18"/>
        <v/>
      </c>
      <c r="L82" s="6">
        <v>157</v>
      </c>
      <c r="M82" s="6" t="str">
        <f t="shared" si="19"/>
        <v/>
      </c>
      <c r="N82" s="6">
        <v>31</v>
      </c>
      <c r="O82" s="6" t="str">
        <f t="shared" si="20"/>
        <v/>
      </c>
      <c r="Q82" s="6">
        <v>3</v>
      </c>
      <c r="R82" s="6"/>
      <c r="S82" s="6"/>
      <c r="T82" s="6"/>
      <c r="U82" s="6">
        <f t="shared" si="21"/>
        <v>259200</v>
      </c>
      <c r="V82" s="6" t="str">
        <f t="shared" si="22"/>
        <v/>
      </c>
    </row>
    <row r="83" spans="2:22" x14ac:dyDescent="0.3">
      <c r="B83" s="64" t="s">
        <v>457</v>
      </c>
      <c r="C83" s="151">
        <v>78</v>
      </c>
      <c r="D83" s="4">
        <v>59000000</v>
      </c>
      <c r="E83" s="6" t="str">
        <f t="shared" si="15"/>
        <v/>
      </c>
      <c r="F83" s="4">
        <v>59000000</v>
      </c>
      <c r="G83" s="6" t="str">
        <f t="shared" si="16"/>
        <v/>
      </c>
      <c r="H83" s="4">
        <v>11000000</v>
      </c>
      <c r="I83" s="6" t="str">
        <f t="shared" si="17"/>
        <v/>
      </c>
      <c r="J83" s="4">
        <v>2900000</v>
      </c>
      <c r="K83" s="6" t="str">
        <f t="shared" si="18"/>
        <v/>
      </c>
      <c r="L83" s="6">
        <v>157</v>
      </c>
      <c r="M83" s="6" t="str">
        <f t="shared" si="19"/>
        <v/>
      </c>
      <c r="N83" s="6">
        <v>31</v>
      </c>
      <c r="O83" s="6" t="str">
        <f t="shared" si="20"/>
        <v/>
      </c>
      <c r="Q83" s="6">
        <v>3</v>
      </c>
      <c r="R83" s="6"/>
      <c r="S83" s="6"/>
      <c r="T83" s="6"/>
      <c r="U83" s="6">
        <f t="shared" si="21"/>
        <v>259200</v>
      </c>
      <c r="V83" s="6" t="str">
        <f t="shared" si="22"/>
        <v/>
      </c>
    </row>
    <row r="84" spans="2:22" x14ac:dyDescent="0.3">
      <c r="B84" s="64" t="s">
        <v>458</v>
      </c>
      <c r="C84" s="151">
        <v>79</v>
      </c>
      <c r="D84" s="4">
        <v>59000000</v>
      </c>
      <c r="E84" s="6" t="str">
        <f t="shared" si="15"/>
        <v/>
      </c>
      <c r="F84" s="4">
        <v>59000000</v>
      </c>
      <c r="G84" s="6" t="str">
        <f t="shared" si="16"/>
        <v/>
      </c>
      <c r="H84" s="4">
        <v>11000000</v>
      </c>
      <c r="I84" s="6" t="str">
        <f t="shared" si="17"/>
        <v/>
      </c>
      <c r="J84" s="4">
        <v>2900000</v>
      </c>
      <c r="K84" s="6" t="str">
        <f t="shared" si="18"/>
        <v/>
      </c>
      <c r="L84" s="6">
        <v>157</v>
      </c>
      <c r="M84" s="6" t="str">
        <f t="shared" si="19"/>
        <v/>
      </c>
      <c r="N84" s="6">
        <v>31</v>
      </c>
      <c r="O84" s="6" t="str">
        <f t="shared" si="20"/>
        <v/>
      </c>
      <c r="Q84" s="6">
        <v>3</v>
      </c>
      <c r="R84" s="6"/>
      <c r="S84" s="6"/>
      <c r="T84" s="6"/>
      <c r="U84" s="6">
        <f t="shared" si="21"/>
        <v>259200</v>
      </c>
      <c r="V84" s="6" t="str">
        <f t="shared" si="22"/>
        <v/>
      </c>
    </row>
    <row r="85" spans="2:22" x14ac:dyDescent="0.3">
      <c r="B85" s="148" t="s">
        <v>459</v>
      </c>
      <c r="C85" s="151">
        <v>80</v>
      </c>
      <c r="D85" s="4">
        <v>59000000</v>
      </c>
      <c r="E85" s="6" t="str">
        <f t="shared" si="15"/>
        <v/>
      </c>
      <c r="F85" s="4">
        <v>59000000</v>
      </c>
      <c r="G85" s="6" t="str">
        <f t="shared" si="16"/>
        <v/>
      </c>
      <c r="H85" s="4">
        <v>11000000</v>
      </c>
      <c r="I85" s="6" t="str">
        <f t="shared" si="17"/>
        <v/>
      </c>
      <c r="J85" s="4">
        <v>2900000</v>
      </c>
      <c r="K85" s="6" t="str">
        <f t="shared" si="18"/>
        <v/>
      </c>
      <c r="L85" s="6">
        <v>78</v>
      </c>
      <c r="M85" s="6" t="str">
        <f t="shared" si="19"/>
        <v/>
      </c>
      <c r="N85" s="6">
        <v>63</v>
      </c>
      <c r="O85" s="6" t="str">
        <f t="shared" si="20"/>
        <v/>
      </c>
      <c r="Q85" s="6">
        <v>3</v>
      </c>
      <c r="R85" s="6"/>
      <c r="S85" s="6"/>
      <c r="T85" s="6"/>
      <c r="U85" s="6">
        <f t="shared" si="21"/>
        <v>259200</v>
      </c>
      <c r="V85" s="6" t="str">
        <f t="shared" si="22"/>
        <v/>
      </c>
    </row>
    <row r="86" spans="2:22" x14ac:dyDescent="0.3">
      <c r="Q86" s="6"/>
      <c r="R86" s="6"/>
      <c r="S86" s="6"/>
      <c r="T86" s="6"/>
      <c r="U86" s="6"/>
      <c r="V86" s="6"/>
    </row>
    <row r="87" spans="2:22" x14ac:dyDescent="0.3">
      <c r="D87" s="4">
        <f>SUM(D6:D85)</f>
        <v>2245470000</v>
      </c>
      <c r="E87" s="4">
        <f t="shared" ref="E87:V87" si="23">SUM(E6:E85)</f>
        <v>250000000</v>
      </c>
      <c r="F87" s="4">
        <f t="shared" si="23"/>
        <v>2246208185</v>
      </c>
      <c r="G87" s="4">
        <f t="shared" si="23"/>
        <v>250000000</v>
      </c>
      <c r="H87" s="4">
        <f t="shared" si="23"/>
        <v>448181485</v>
      </c>
      <c r="I87" s="4">
        <f t="shared" si="23"/>
        <v>50000000</v>
      </c>
      <c r="J87" s="4">
        <f t="shared" si="23"/>
        <v>110665465</v>
      </c>
      <c r="K87" s="4">
        <f t="shared" si="23"/>
        <v>12500000</v>
      </c>
      <c r="L87" s="4">
        <f t="shared" si="23"/>
        <v>5215</v>
      </c>
      <c r="M87" s="4">
        <f t="shared" si="23"/>
        <v>567</v>
      </c>
      <c r="N87" s="4">
        <f t="shared" si="23"/>
        <v>383</v>
      </c>
      <c r="O87" s="4">
        <f t="shared" si="23"/>
        <v>79</v>
      </c>
      <c r="P87" s="4">
        <f t="shared" si="23"/>
        <v>0</v>
      </c>
      <c r="Q87" s="4">
        <f t="shared" si="23"/>
        <v>111</v>
      </c>
      <c r="R87" s="4">
        <f t="shared" si="23"/>
        <v>584</v>
      </c>
      <c r="S87" s="4">
        <f t="shared" si="23"/>
        <v>1709</v>
      </c>
      <c r="T87" s="4">
        <f t="shared" si="23"/>
        <v>251</v>
      </c>
      <c r="U87" s="4">
        <f t="shared" si="23"/>
        <v>11795591</v>
      </c>
      <c r="V87" s="4">
        <f t="shared" si="23"/>
        <v>842400</v>
      </c>
    </row>
    <row r="89" spans="2:22" x14ac:dyDescent="0.3">
      <c r="T89" s="4" t="s">
        <v>21</v>
      </c>
      <c r="U89" s="4">
        <f>ROUNDDOWN(U87/60/60/24,0)</f>
        <v>136</v>
      </c>
      <c r="V89" s="4">
        <f>ROUNDDOWN(V87/60/60/24,0)</f>
        <v>9</v>
      </c>
    </row>
    <row r="90" spans="2:22" x14ac:dyDescent="0.3">
      <c r="T90" s="4" t="s">
        <v>20</v>
      </c>
      <c r="U90" s="4">
        <f>ROUNDDOWN((U87-U89*60*60*24)/60/60,0)</f>
        <v>12</v>
      </c>
      <c r="V90" s="4">
        <f>ROUNDDOWN((V87-V89*60*60*24)/60/60,0)</f>
        <v>18</v>
      </c>
    </row>
    <row r="91" spans="2:22" x14ac:dyDescent="0.3">
      <c r="T91" s="4" t="s">
        <v>19</v>
      </c>
      <c r="U91" s="4">
        <f>ROUNDDOWN((U87-U89*60*60*24-U90*60*60)/60,0)</f>
        <v>33</v>
      </c>
      <c r="V91" s="4">
        <f>ROUNDDOWN((V87-V89*60*60*24-V90*60*60)/60,0)</f>
        <v>0</v>
      </c>
    </row>
    <row r="92" spans="2:22" x14ac:dyDescent="0.3">
      <c r="T92" s="4" t="s">
        <v>18</v>
      </c>
      <c r="U92" s="4">
        <f>ROUNDDOWN((U87-U89*60*60*24-U90*60*60-U91*60),0)</f>
        <v>11</v>
      </c>
      <c r="V92" s="4">
        <f>ROUNDDOWN((V87-V89*60*60*24-V90*60*60-V91*60),0)</f>
        <v>0</v>
      </c>
    </row>
  </sheetData>
  <sheetProtection sheet="1" objects="1" scenarios="1"/>
  <mergeCells count="9">
    <mergeCell ref="D3:M3"/>
    <mergeCell ref="Q3:V3"/>
    <mergeCell ref="D4:E4"/>
    <mergeCell ref="F4:G4"/>
    <mergeCell ref="H4:I4"/>
    <mergeCell ref="J4:K4"/>
    <mergeCell ref="U4:V4"/>
    <mergeCell ref="L4:M4"/>
    <mergeCell ref="N4:O4"/>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16175-11FC-4D40-BC1F-68FAFAC35CB7}">
  <sheetPr codeName="Sheet10"/>
  <dimension ref="A1:R44"/>
  <sheetViews>
    <sheetView workbookViewId="0">
      <pane xSplit="2" ySplit="5" topLeftCell="C6" activePane="bottomRight" state="frozen"/>
      <selection sqref="A1:R2"/>
      <selection pane="topRight" sqref="A1:R2"/>
      <selection pane="bottomLeft" sqref="A1:R2"/>
      <selection pane="bottomRight" activeCell="B3" sqref="A1:XFD1048576"/>
    </sheetView>
  </sheetViews>
  <sheetFormatPr baseColWidth="10" defaultColWidth="9.109375" defaultRowHeight="14.4" x14ac:dyDescent="0.3"/>
  <cols>
    <col min="1" max="1" width="9.109375" style="4"/>
    <col min="2" max="2" width="16" style="4" bestFit="1" customWidth="1"/>
    <col min="3" max="3" width="15.33203125" style="4" bestFit="1" customWidth="1"/>
    <col min="4" max="4" width="14.33203125" style="4" customWidth="1"/>
    <col min="5" max="5" width="15.33203125" style="4" bestFit="1" customWidth="1"/>
    <col min="6" max="6" width="14.33203125" style="4" customWidth="1"/>
    <col min="7" max="7" width="14.33203125" style="4" bestFit="1" customWidth="1"/>
    <col min="8" max="8" width="12.5546875" style="4" customWidth="1"/>
    <col min="9" max="9" width="13.33203125" style="4" bestFit="1" customWidth="1"/>
    <col min="10" max="10" width="11.5546875" style="4" customWidth="1"/>
    <col min="11" max="11" width="9.109375" style="4"/>
    <col min="12" max="12" width="6" style="4" bestFit="1" customWidth="1"/>
    <col min="13" max="13" width="7" style="4" bestFit="1" customWidth="1"/>
    <col min="14" max="14" width="8.44140625" style="4" bestFit="1" customWidth="1"/>
    <col min="15" max="15" width="8.88671875" style="4" bestFit="1" customWidth="1"/>
    <col min="16" max="16" width="13.44140625" style="4" bestFit="1" customWidth="1"/>
    <col min="17" max="17" width="13.33203125" style="4" customWidth="1"/>
    <col min="18" max="16384" width="9.109375" style="4"/>
  </cols>
  <sheetData>
    <row r="1" spans="1:18" x14ac:dyDescent="0.3">
      <c r="C1" s="4" t="s">
        <v>26</v>
      </c>
    </row>
    <row r="2" spans="1:18" x14ac:dyDescent="0.3">
      <c r="A2" s="45"/>
      <c r="C2" s="6">
        <f>LARGE(Furnace!AD4:AD35,1)</f>
        <v>5</v>
      </c>
      <c r="D2" s="6"/>
      <c r="E2" s="45"/>
      <c r="F2" s="45"/>
      <c r="G2" s="45"/>
      <c r="H2" s="45"/>
      <c r="I2" s="45"/>
      <c r="J2" s="45"/>
      <c r="K2" s="45"/>
      <c r="L2" s="45"/>
      <c r="M2" s="45"/>
      <c r="N2" s="45"/>
      <c r="O2" s="45"/>
      <c r="P2" s="45"/>
      <c r="Q2" s="45"/>
      <c r="R2" s="45"/>
    </row>
    <row r="3" spans="1:18" x14ac:dyDescent="0.3">
      <c r="B3" s="45" t="s">
        <v>7</v>
      </c>
      <c r="C3" s="709" t="s">
        <v>16</v>
      </c>
      <c r="D3" s="709"/>
      <c r="E3" s="709"/>
      <c r="F3" s="709"/>
      <c r="G3" s="709"/>
      <c r="H3" s="709"/>
      <c r="I3" s="709"/>
      <c r="J3" s="709"/>
      <c r="L3" s="709" t="s">
        <v>17</v>
      </c>
      <c r="M3" s="709"/>
      <c r="N3" s="709"/>
      <c r="O3" s="709"/>
      <c r="P3" s="709"/>
      <c r="Q3" s="709"/>
    </row>
    <row r="4" spans="1:18" x14ac:dyDescent="0.3">
      <c r="B4" s="45" t="e">
        <f>#REF!</f>
        <v>#REF!</v>
      </c>
      <c r="C4" s="705" t="s">
        <v>0</v>
      </c>
      <c r="D4" s="705"/>
      <c r="E4" s="705" t="s">
        <v>1</v>
      </c>
      <c r="F4" s="705"/>
      <c r="G4" s="705" t="s">
        <v>2</v>
      </c>
      <c r="H4" s="705"/>
      <c r="I4" s="705" t="s">
        <v>3</v>
      </c>
      <c r="J4" s="705"/>
      <c r="K4" s="45"/>
      <c r="L4" s="45"/>
      <c r="M4" s="45"/>
      <c r="N4" s="45"/>
      <c r="O4" s="45"/>
      <c r="P4" s="705" t="s">
        <v>18</v>
      </c>
      <c r="Q4" s="705"/>
    </row>
    <row r="5" spans="1:18" x14ac:dyDescent="0.3">
      <c r="B5" s="64">
        <v>0</v>
      </c>
      <c r="C5" s="45" t="s">
        <v>25</v>
      </c>
      <c r="D5" s="45" t="s">
        <v>24</v>
      </c>
      <c r="E5" s="45" t="s">
        <v>25</v>
      </c>
      <c r="F5" s="45" t="s">
        <v>24</v>
      </c>
      <c r="G5" s="45" t="s">
        <v>25</v>
      </c>
      <c r="H5" s="45" t="s">
        <v>24</v>
      </c>
      <c r="I5" s="45" t="s">
        <v>25</v>
      </c>
      <c r="J5" s="45" t="s">
        <v>24</v>
      </c>
      <c r="K5" s="45"/>
      <c r="L5" s="45" t="s">
        <v>21</v>
      </c>
      <c r="M5" s="45" t="s">
        <v>20</v>
      </c>
      <c r="N5" s="45" t="s">
        <v>19</v>
      </c>
      <c r="O5" s="45" t="s">
        <v>18</v>
      </c>
      <c r="P5" s="45" t="s">
        <v>25</v>
      </c>
      <c r="Q5" s="45" t="s">
        <v>24</v>
      </c>
    </row>
    <row r="6" spans="1:18" x14ac:dyDescent="0.3">
      <c r="B6" s="63">
        <v>1</v>
      </c>
      <c r="D6" s="6" t="str">
        <f t="shared" ref="D6:D35" si="0">IF($B6&gt;IronDesired,"",IF($B6&gt;IronCurrent,C6,""))</f>
        <v/>
      </c>
      <c r="E6" s="4">
        <v>30</v>
      </c>
      <c r="F6" s="6" t="str">
        <f t="shared" ref="F6:F35" si="1">IF($B6&gt;IronDesired,"",IF($B6&gt;IronCurrent,E6,""))</f>
        <v/>
      </c>
      <c r="H6" s="6" t="str">
        <f t="shared" ref="H6:H35" si="2">IF($B6&gt;IronDesired,"",IF($B6&gt;IronCurrent,G6,""))</f>
        <v/>
      </c>
      <c r="J6" s="6" t="str">
        <f t="shared" ref="J6:J35" si="3">IF($B6&gt;IronDesired,"",IF($B6&gt;IronCurrent,I6,""))</f>
        <v/>
      </c>
      <c r="L6" s="6"/>
      <c r="M6" s="6"/>
      <c r="N6" s="6"/>
      <c r="O6" s="6">
        <v>2</v>
      </c>
      <c r="P6" s="6">
        <f>O6+N6*60+M6*60*60+L6*60*60*24</f>
        <v>2</v>
      </c>
      <c r="Q6" s="6" t="str">
        <f t="shared" ref="Q6:Q35" si="4">IF($B6&gt;IronDesired,"",IF($B6&gt;IronCurrent,P6,""))</f>
        <v/>
      </c>
    </row>
    <row r="7" spans="1:18" x14ac:dyDescent="0.3">
      <c r="B7" s="63">
        <v>2</v>
      </c>
      <c r="D7" s="6" t="str">
        <f t="shared" si="0"/>
        <v/>
      </c>
      <c r="E7" s="4">
        <v>45</v>
      </c>
      <c r="F7" s="6" t="str">
        <f t="shared" si="1"/>
        <v/>
      </c>
      <c r="H7" s="6" t="str">
        <f t="shared" si="2"/>
        <v/>
      </c>
      <c r="J7" s="6" t="str">
        <f t="shared" si="3"/>
        <v/>
      </c>
      <c r="L7" s="6"/>
      <c r="M7" s="6"/>
      <c r="N7" s="6"/>
      <c r="O7" s="6">
        <v>3</v>
      </c>
      <c r="P7" s="6">
        <f t="shared" ref="P7:P35" si="5">O7+N7*60+M7*60*60+L7*60*60*24</f>
        <v>3</v>
      </c>
      <c r="Q7" s="6" t="str">
        <f t="shared" si="4"/>
        <v/>
      </c>
    </row>
    <row r="8" spans="1:18" x14ac:dyDescent="0.3">
      <c r="B8" s="63">
        <v>3</v>
      </c>
      <c r="D8" s="6" t="str">
        <f t="shared" si="0"/>
        <v/>
      </c>
      <c r="E8" s="4">
        <v>200</v>
      </c>
      <c r="F8" s="6" t="str">
        <f t="shared" si="1"/>
        <v/>
      </c>
      <c r="H8" s="6" t="str">
        <f t="shared" si="2"/>
        <v/>
      </c>
      <c r="J8" s="6" t="str">
        <f t="shared" si="3"/>
        <v/>
      </c>
      <c r="L8" s="6"/>
      <c r="M8" s="6"/>
      <c r="N8" s="6"/>
      <c r="O8" s="6">
        <v>10</v>
      </c>
      <c r="P8" s="6">
        <f t="shared" si="5"/>
        <v>10</v>
      </c>
      <c r="Q8" s="6" t="str">
        <f t="shared" si="4"/>
        <v/>
      </c>
    </row>
    <row r="9" spans="1:18" x14ac:dyDescent="0.3">
      <c r="B9" s="63">
        <v>4</v>
      </c>
      <c r="D9" s="6" t="str">
        <f t="shared" si="0"/>
        <v/>
      </c>
      <c r="E9" s="4">
        <v>450</v>
      </c>
      <c r="F9" s="6" t="str">
        <f t="shared" si="1"/>
        <v/>
      </c>
      <c r="G9" s="4">
        <v>90</v>
      </c>
      <c r="H9" s="6" t="str">
        <f t="shared" si="2"/>
        <v/>
      </c>
      <c r="J9" s="6" t="str">
        <f t="shared" si="3"/>
        <v/>
      </c>
      <c r="L9" s="6"/>
      <c r="M9" s="6"/>
      <c r="N9" s="6"/>
      <c r="O9" s="6">
        <v>35</v>
      </c>
      <c r="P9" s="6">
        <f t="shared" si="5"/>
        <v>35</v>
      </c>
      <c r="Q9" s="6" t="str">
        <f t="shared" si="4"/>
        <v/>
      </c>
    </row>
    <row r="10" spans="1:18" x14ac:dyDescent="0.3">
      <c r="B10" s="63">
        <v>5</v>
      </c>
      <c r="D10" s="6" t="str">
        <f t="shared" si="0"/>
        <v/>
      </c>
      <c r="E10" s="4">
        <v>1900</v>
      </c>
      <c r="F10" s="6" t="str">
        <f t="shared" si="1"/>
        <v/>
      </c>
      <c r="G10" s="4">
        <v>380</v>
      </c>
      <c r="H10" s="6" t="str">
        <f t="shared" si="2"/>
        <v/>
      </c>
      <c r="J10" s="6" t="str">
        <f t="shared" si="3"/>
        <v/>
      </c>
      <c r="L10" s="6"/>
      <c r="M10" s="6"/>
      <c r="N10" s="6">
        <v>1</v>
      </c>
      <c r="O10" s="6">
        <v>10</v>
      </c>
      <c r="P10" s="6">
        <f t="shared" si="5"/>
        <v>70</v>
      </c>
      <c r="Q10" s="6" t="str">
        <f t="shared" si="4"/>
        <v/>
      </c>
    </row>
    <row r="11" spans="1:18" x14ac:dyDescent="0.3">
      <c r="B11" s="63">
        <v>6</v>
      </c>
      <c r="D11" s="6" t="str">
        <f t="shared" si="0"/>
        <v/>
      </c>
      <c r="E11" s="4">
        <v>4800</v>
      </c>
      <c r="F11" s="6" t="str">
        <f t="shared" si="1"/>
        <v/>
      </c>
      <c r="G11" s="4">
        <v>960</v>
      </c>
      <c r="H11" s="6" t="str">
        <f t="shared" si="2"/>
        <v/>
      </c>
      <c r="I11" s="4">
        <v>240</v>
      </c>
      <c r="J11" s="6" t="str">
        <f t="shared" si="3"/>
        <v/>
      </c>
      <c r="L11" s="6"/>
      <c r="M11" s="6"/>
      <c r="N11" s="6">
        <v>2</v>
      </c>
      <c r="O11" s="6">
        <v>20</v>
      </c>
      <c r="P11" s="6">
        <f t="shared" si="5"/>
        <v>140</v>
      </c>
      <c r="Q11" s="6" t="str">
        <f t="shared" si="4"/>
        <v/>
      </c>
    </row>
    <row r="12" spans="1:18" x14ac:dyDescent="0.3">
      <c r="B12" s="63">
        <v>7</v>
      </c>
      <c r="D12" s="6" t="str">
        <f t="shared" si="0"/>
        <v/>
      </c>
      <c r="E12" s="4">
        <v>17000</v>
      </c>
      <c r="F12" s="6" t="str">
        <f t="shared" si="1"/>
        <v/>
      </c>
      <c r="G12" s="4">
        <v>3400</v>
      </c>
      <c r="H12" s="6" t="str">
        <f t="shared" si="2"/>
        <v/>
      </c>
      <c r="I12" s="4">
        <v>865</v>
      </c>
      <c r="J12" s="6" t="str">
        <f t="shared" si="3"/>
        <v/>
      </c>
      <c r="L12" s="6"/>
      <c r="M12" s="6"/>
      <c r="N12" s="6">
        <v>4</v>
      </c>
      <c r="O12" s="6">
        <v>45</v>
      </c>
      <c r="P12" s="6">
        <f t="shared" si="5"/>
        <v>285</v>
      </c>
      <c r="Q12" s="6" t="str">
        <f t="shared" si="4"/>
        <v/>
      </c>
    </row>
    <row r="13" spans="1:18" x14ac:dyDescent="0.3">
      <c r="B13" s="63">
        <v>8</v>
      </c>
      <c r="D13" s="6" t="str">
        <f t="shared" si="0"/>
        <v/>
      </c>
      <c r="E13" s="4">
        <v>31000</v>
      </c>
      <c r="F13" s="6" t="str">
        <f t="shared" si="1"/>
        <v/>
      </c>
      <c r="G13" s="4">
        <v>6300</v>
      </c>
      <c r="H13" s="6" t="str">
        <f t="shared" si="2"/>
        <v/>
      </c>
      <c r="I13" s="4">
        <v>1500</v>
      </c>
      <c r="J13" s="6" t="str">
        <f t="shared" si="3"/>
        <v/>
      </c>
      <c r="L13" s="6"/>
      <c r="M13" s="6"/>
      <c r="N13" s="6">
        <v>7</v>
      </c>
      <c r="O13" s="6">
        <v>10</v>
      </c>
      <c r="P13" s="6">
        <f t="shared" si="5"/>
        <v>430</v>
      </c>
      <c r="Q13" s="6" t="str">
        <f t="shared" si="4"/>
        <v/>
      </c>
    </row>
    <row r="14" spans="1:18" x14ac:dyDescent="0.3">
      <c r="B14" s="63">
        <v>9</v>
      </c>
      <c r="D14" s="6" t="str">
        <f t="shared" si="0"/>
        <v/>
      </c>
      <c r="E14" s="4">
        <v>65000</v>
      </c>
      <c r="F14" s="6" t="str">
        <f t="shared" si="1"/>
        <v/>
      </c>
      <c r="G14" s="4">
        <v>13000</v>
      </c>
      <c r="H14" s="6" t="str">
        <f t="shared" si="2"/>
        <v/>
      </c>
      <c r="I14" s="4">
        <v>3200</v>
      </c>
      <c r="J14" s="6" t="str">
        <f t="shared" si="3"/>
        <v/>
      </c>
      <c r="L14" s="6"/>
      <c r="M14" s="6"/>
      <c r="N14" s="6">
        <v>10</v>
      </c>
      <c r="O14" s="6">
        <v>30</v>
      </c>
      <c r="P14" s="6">
        <f t="shared" si="5"/>
        <v>630</v>
      </c>
      <c r="Q14" s="6" t="str">
        <f t="shared" si="4"/>
        <v/>
      </c>
    </row>
    <row r="15" spans="1:18" x14ac:dyDescent="0.3">
      <c r="B15" s="63">
        <v>10</v>
      </c>
      <c r="D15" s="6" t="str">
        <f t="shared" si="0"/>
        <v/>
      </c>
      <c r="E15" s="4">
        <v>110000</v>
      </c>
      <c r="F15" s="6" t="str">
        <f t="shared" si="1"/>
        <v/>
      </c>
      <c r="G15" s="4">
        <v>23000</v>
      </c>
      <c r="H15" s="6" t="str">
        <f t="shared" si="2"/>
        <v/>
      </c>
      <c r="I15" s="4">
        <v>5700</v>
      </c>
      <c r="J15" s="6" t="str">
        <f t="shared" si="3"/>
        <v/>
      </c>
      <c r="L15" s="6"/>
      <c r="M15" s="6"/>
      <c r="N15" s="6">
        <v>14</v>
      </c>
      <c r="O15" s="6"/>
      <c r="P15" s="6">
        <f t="shared" si="5"/>
        <v>840</v>
      </c>
      <c r="Q15" s="6" t="str">
        <f t="shared" si="4"/>
        <v/>
      </c>
    </row>
    <row r="16" spans="1:18" x14ac:dyDescent="0.3">
      <c r="B16" s="63">
        <v>11</v>
      </c>
      <c r="C16" s="4">
        <v>110000</v>
      </c>
      <c r="D16" s="6" t="str">
        <f t="shared" si="0"/>
        <v/>
      </c>
      <c r="E16" s="4">
        <v>110000</v>
      </c>
      <c r="F16" s="6" t="str">
        <f t="shared" si="1"/>
        <v/>
      </c>
      <c r="G16" s="4">
        <v>23000</v>
      </c>
      <c r="H16" s="6" t="str">
        <f t="shared" si="2"/>
        <v/>
      </c>
      <c r="I16" s="4">
        <v>5900</v>
      </c>
      <c r="J16" s="6" t="str">
        <f t="shared" si="3"/>
        <v/>
      </c>
      <c r="L16" s="6"/>
      <c r="M16" s="6"/>
      <c r="N16" s="6">
        <v>18</v>
      </c>
      <c r="O16" s="6"/>
      <c r="P16" s="6">
        <f t="shared" si="5"/>
        <v>1080</v>
      </c>
      <c r="Q16" s="6" t="str">
        <f t="shared" si="4"/>
        <v/>
      </c>
    </row>
    <row r="17" spans="2:17" x14ac:dyDescent="0.3">
      <c r="B17" s="63">
        <v>12</v>
      </c>
      <c r="C17" s="4">
        <v>150000</v>
      </c>
      <c r="D17" s="6" t="str">
        <f t="shared" si="0"/>
        <v/>
      </c>
      <c r="E17" s="4">
        <v>150000</v>
      </c>
      <c r="F17" s="6" t="str">
        <f t="shared" si="1"/>
        <v/>
      </c>
      <c r="G17" s="4">
        <v>30000</v>
      </c>
      <c r="H17" s="6" t="str">
        <f t="shared" si="2"/>
        <v/>
      </c>
      <c r="I17" s="4">
        <v>7500</v>
      </c>
      <c r="J17" s="6" t="str">
        <f t="shared" si="3"/>
        <v/>
      </c>
      <c r="L17" s="6"/>
      <c r="M17" s="6"/>
      <c r="N17" s="6">
        <v>21</v>
      </c>
      <c r="O17" s="6">
        <v>30</v>
      </c>
      <c r="P17" s="6">
        <f t="shared" si="5"/>
        <v>1290</v>
      </c>
      <c r="Q17" s="6" t="str">
        <f t="shared" si="4"/>
        <v/>
      </c>
    </row>
    <row r="18" spans="2:17" x14ac:dyDescent="0.3">
      <c r="B18" s="63">
        <v>13</v>
      </c>
      <c r="C18" s="4">
        <v>210000</v>
      </c>
      <c r="D18" s="6" t="str">
        <f t="shared" si="0"/>
        <v/>
      </c>
      <c r="E18" s="4">
        <v>210000</v>
      </c>
      <c r="F18" s="6" t="str">
        <f t="shared" si="1"/>
        <v/>
      </c>
      <c r="G18" s="4">
        <v>42000</v>
      </c>
      <c r="H18" s="6" t="str">
        <f t="shared" si="2"/>
        <v/>
      </c>
      <c r="I18" s="4">
        <v>10000</v>
      </c>
      <c r="J18" s="6" t="str">
        <f t="shared" si="3"/>
        <v/>
      </c>
      <c r="L18" s="6"/>
      <c r="M18" s="6"/>
      <c r="N18" s="6">
        <v>26</v>
      </c>
      <c r="O18" s="6"/>
      <c r="P18" s="6">
        <f t="shared" si="5"/>
        <v>1560</v>
      </c>
      <c r="Q18" s="6" t="str">
        <f t="shared" si="4"/>
        <v/>
      </c>
    </row>
    <row r="19" spans="2:17" x14ac:dyDescent="0.3">
      <c r="B19" s="63">
        <v>14</v>
      </c>
      <c r="C19" s="4">
        <v>280000</v>
      </c>
      <c r="D19" s="6" t="str">
        <f t="shared" si="0"/>
        <v/>
      </c>
      <c r="E19" s="4">
        <v>280000</v>
      </c>
      <c r="F19" s="6" t="str">
        <f t="shared" si="1"/>
        <v/>
      </c>
      <c r="G19" s="4">
        <v>56000</v>
      </c>
      <c r="H19" s="6" t="str">
        <f t="shared" si="2"/>
        <v/>
      </c>
      <c r="I19" s="4">
        <v>14000</v>
      </c>
      <c r="J19" s="6" t="str">
        <f t="shared" si="3"/>
        <v/>
      </c>
      <c r="L19" s="6"/>
      <c r="M19" s="6"/>
      <c r="N19" s="6">
        <v>33</v>
      </c>
      <c r="O19" s="6">
        <v>30</v>
      </c>
      <c r="P19" s="6">
        <f t="shared" si="5"/>
        <v>2010</v>
      </c>
      <c r="Q19" s="6" t="str">
        <f t="shared" si="4"/>
        <v/>
      </c>
    </row>
    <row r="20" spans="2:17" x14ac:dyDescent="0.3">
      <c r="B20" s="63">
        <v>15</v>
      </c>
      <c r="C20" s="4">
        <v>410000</v>
      </c>
      <c r="D20" s="6" t="str">
        <f t="shared" si="0"/>
        <v/>
      </c>
      <c r="E20" s="4">
        <v>410000</v>
      </c>
      <c r="F20" s="6" t="str">
        <f t="shared" si="1"/>
        <v/>
      </c>
      <c r="G20" s="4">
        <v>83000</v>
      </c>
      <c r="H20" s="6" t="str">
        <f t="shared" si="2"/>
        <v/>
      </c>
      <c r="I20" s="4">
        <v>20000</v>
      </c>
      <c r="J20" s="6" t="str">
        <f t="shared" si="3"/>
        <v/>
      </c>
      <c r="L20" s="6"/>
      <c r="M20" s="6"/>
      <c r="N20" s="6">
        <v>43</v>
      </c>
      <c r="O20" s="6"/>
      <c r="P20" s="6">
        <f t="shared" si="5"/>
        <v>2580</v>
      </c>
      <c r="Q20" s="6" t="str">
        <f t="shared" si="4"/>
        <v/>
      </c>
    </row>
    <row r="21" spans="2:17" x14ac:dyDescent="0.3">
      <c r="B21" s="63">
        <v>16</v>
      </c>
      <c r="C21" s="4">
        <v>530000</v>
      </c>
      <c r="D21" s="6" t="str">
        <f t="shared" si="0"/>
        <v/>
      </c>
      <c r="E21" s="4">
        <v>530000</v>
      </c>
      <c r="F21" s="6" t="str">
        <f t="shared" si="1"/>
        <v/>
      </c>
      <c r="G21" s="4">
        <v>100000</v>
      </c>
      <c r="H21" s="6" t="str">
        <f t="shared" si="2"/>
        <v/>
      </c>
      <c r="I21" s="4">
        <v>26000</v>
      </c>
      <c r="J21" s="6" t="str">
        <f t="shared" si="3"/>
        <v/>
      </c>
      <c r="L21" s="6"/>
      <c r="M21" s="6">
        <v>1</v>
      </c>
      <c r="N21" s="6">
        <v>13</v>
      </c>
      <c r="O21" s="6"/>
      <c r="P21" s="6">
        <f t="shared" si="5"/>
        <v>4380</v>
      </c>
      <c r="Q21" s="6" t="str">
        <f t="shared" si="4"/>
        <v/>
      </c>
    </row>
    <row r="22" spans="2:17" x14ac:dyDescent="0.3">
      <c r="B22" s="63">
        <v>17</v>
      </c>
      <c r="C22" s="4">
        <v>830000</v>
      </c>
      <c r="D22" s="6" t="str">
        <f t="shared" si="0"/>
        <v/>
      </c>
      <c r="E22" s="4">
        <v>830000</v>
      </c>
      <c r="F22" s="6" t="str">
        <f t="shared" si="1"/>
        <v/>
      </c>
      <c r="G22" s="4">
        <v>160000</v>
      </c>
      <c r="H22" s="6" t="str">
        <f t="shared" si="2"/>
        <v/>
      </c>
      <c r="I22" s="4">
        <v>41000</v>
      </c>
      <c r="J22" s="6" t="str">
        <f t="shared" si="3"/>
        <v/>
      </c>
      <c r="L22" s="6"/>
      <c r="M22" s="6">
        <v>1</v>
      </c>
      <c r="N22" s="6">
        <v>27</v>
      </c>
      <c r="O22" s="6">
        <v>30</v>
      </c>
      <c r="P22" s="6">
        <f t="shared" si="5"/>
        <v>5250</v>
      </c>
      <c r="Q22" s="6" t="str">
        <f t="shared" si="4"/>
        <v/>
      </c>
    </row>
    <row r="23" spans="2:17" x14ac:dyDescent="0.3">
      <c r="B23" s="63">
        <v>18</v>
      </c>
      <c r="C23" s="4">
        <v>1100000</v>
      </c>
      <c r="D23" s="6" t="str">
        <f t="shared" si="0"/>
        <v/>
      </c>
      <c r="E23" s="4">
        <v>1100000</v>
      </c>
      <c r="F23" s="6" t="str">
        <f t="shared" si="1"/>
        <v/>
      </c>
      <c r="G23" s="4">
        <v>220000</v>
      </c>
      <c r="H23" s="6" t="str">
        <f t="shared" si="2"/>
        <v/>
      </c>
      <c r="I23" s="4">
        <v>56000</v>
      </c>
      <c r="J23" s="6" t="str">
        <f t="shared" si="3"/>
        <v/>
      </c>
      <c r="L23" s="6"/>
      <c r="M23" s="6">
        <v>1</v>
      </c>
      <c r="N23" s="6">
        <v>45</v>
      </c>
      <c r="O23" s="6"/>
      <c r="P23" s="6">
        <f t="shared" si="5"/>
        <v>6300</v>
      </c>
      <c r="Q23" s="6" t="str">
        <f t="shared" si="4"/>
        <v/>
      </c>
    </row>
    <row r="24" spans="2:17" x14ac:dyDescent="0.3">
      <c r="B24" s="63">
        <v>19</v>
      </c>
      <c r="C24" s="4">
        <v>1400000</v>
      </c>
      <c r="D24" s="6" t="str">
        <f t="shared" si="0"/>
        <v/>
      </c>
      <c r="E24" s="4">
        <v>1400000</v>
      </c>
      <c r="F24" s="6" t="str">
        <f t="shared" si="1"/>
        <v/>
      </c>
      <c r="G24" s="4">
        <v>280000</v>
      </c>
      <c r="H24" s="6" t="str">
        <f t="shared" si="2"/>
        <v/>
      </c>
      <c r="I24" s="4">
        <v>70000</v>
      </c>
      <c r="J24" s="6" t="str">
        <f t="shared" si="3"/>
        <v/>
      </c>
      <c r="L24" s="6"/>
      <c r="M24" s="6">
        <v>2</v>
      </c>
      <c r="N24" s="6">
        <v>38</v>
      </c>
      <c r="O24" s="6"/>
      <c r="P24" s="6">
        <f t="shared" si="5"/>
        <v>9480</v>
      </c>
      <c r="Q24" s="6" t="str">
        <f t="shared" si="4"/>
        <v/>
      </c>
    </row>
    <row r="25" spans="2:17" x14ac:dyDescent="0.3">
      <c r="B25" s="63">
        <v>20</v>
      </c>
      <c r="C25" s="4">
        <v>1900000</v>
      </c>
      <c r="D25" s="6" t="str">
        <f t="shared" si="0"/>
        <v/>
      </c>
      <c r="E25" s="4">
        <v>1900000</v>
      </c>
      <c r="F25" s="6" t="str">
        <f t="shared" si="1"/>
        <v/>
      </c>
      <c r="G25" s="4">
        <v>300000</v>
      </c>
      <c r="H25" s="6" t="str">
        <f t="shared" si="2"/>
        <v/>
      </c>
      <c r="I25" s="4">
        <v>96000</v>
      </c>
      <c r="J25" s="6" t="str">
        <f t="shared" si="3"/>
        <v/>
      </c>
      <c r="L25" s="6"/>
      <c r="M25" s="6">
        <v>3</v>
      </c>
      <c r="N25" s="6">
        <v>17</v>
      </c>
      <c r="O25" s="6">
        <v>30</v>
      </c>
      <c r="P25" s="6">
        <f t="shared" si="5"/>
        <v>11850</v>
      </c>
      <c r="Q25" s="6" t="str">
        <f t="shared" si="4"/>
        <v/>
      </c>
    </row>
    <row r="26" spans="2:17" x14ac:dyDescent="0.3">
      <c r="B26" s="63">
        <v>21</v>
      </c>
      <c r="C26" s="4">
        <v>2400000</v>
      </c>
      <c r="D26" s="6" t="str">
        <f t="shared" si="0"/>
        <v/>
      </c>
      <c r="E26" s="4">
        <v>2400000</v>
      </c>
      <c r="F26" s="6" t="str">
        <f t="shared" si="1"/>
        <v/>
      </c>
      <c r="G26" s="4">
        <v>490000</v>
      </c>
      <c r="H26" s="6" t="str">
        <f t="shared" si="2"/>
        <v/>
      </c>
      <c r="I26" s="4">
        <v>120000</v>
      </c>
      <c r="J26" s="6" t="str">
        <f t="shared" si="3"/>
        <v/>
      </c>
      <c r="L26" s="6"/>
      <c r="M26" s="6">
        <v>4</v>
      </c>
      <c r="N26" s="6">
        <v>16</v>
      </c>
      <c r="O26" s="6">
        <v>30</v>
      </c>
      <c r="P26" s="6">
        <f t="shared" si="5"/>
        <v>15390</v>
      </c>
      <c r="Q26" s="6" t="str">
        <f t="shared" si="4"/>
        <v/>
      </c>
    </row>
    <row r="27" spans="2:17" x14ac:dyDescent="0.3">
      <c r="B27" s="63">
        <v>22</v>
      </c>
      <c r="C27" s="4">
        <v>3200000</v>
      </c>
      <c r="D27" s="6" t="str">
        <f t="shared" si="0"/>
        <v/>
      </c>
      <c r="E27" s="4">
        <v>3200000</v>
      </c>
      <c r="F27" s="6" t="str">
        <f t="shared" si="1"/>
        <v/>
      </c>
      <c r="G27" s="4">
        <v>460000</v>
      </c>
      <c r="H27" s="6" t="str">
        <f t="shared" si="2"/>
        <v/>
      </c>
      <c r="I27" s="4">
        <v>160000</v>
      </c>
      <c r="J27" s="6" t="str">
        <f t="shared" si="3"/>
        <v/>
      </c>
      <c r="L27" s="6"/>
      <c r="M27" s="6">
        <v>6</v>
      </c>
      <c r="N27" s="6">
        <v>25</v>
      </c>
      <c r="O27" s="6"/>
      <c r="P27" s="6">
        <f t="shared" si="5"/>
        <v>23100</v>
      </c>
      <c r="Q27" s="6" t="str">
        <f t="shared" si="4"/>
        <v/>
      </c>
    </row>
    <row r="28" spans="2:17" x14ac:dyDescent="0.3">
      <c r="B28" s="63">
        <v>23</v>
      </c>
      <c r="C28" s="4">
        <v>4000000</v>
      </c>
      <c r="D28" s="6" t="str">
        <f t="shared" si="0"/>
        <v/>
      </c>
      <c r="E28" s="4">
        <v>4000000</v>
      </c>
      <c r="F28" s="6" t="str">
        <f t="shared" si="1"/>
        <v/>
      </c>
      <c r="G28" s="4">
        <v>800000</v>
      </c>
      <c r="H28" s="6" t="str">
        <f t="shared" si="2"/>
        <v/>
      </c>
      <c r="I28" s="4">
        <v>200000</v>
      </c>
      <c r="J28" s="6" t="str">
        <f t="shared" si="3"/>
        <v/>
      </c>
      <c r="L28" s="6"/>
      <c r="M28" s="6">
        <v>8</v>
      </c>
      <c r="N28" s="6">
        <v>59</v>
      </c>
      <c r="O28" s="6"/>
      <c r="P28" s="6">
        <f t="shared" si="5"/>
        <v>32340</v>
      </c>
      <c r="Q28" s="6" t="str">
        <f t="shared" si="4"/>
        <v/>
      </c>
    </row>
    <row r="29" spans="2:17" x14ac:dyDescent="0.3">
      <c r="B29" s="63">
        <v>24</v>
      </c>
      <c r="C29" s="4">
        <v>5400000</v>
      </c>
      <c r="D29" s="6" t="str">
        <f t="shared" si="0"/>
        <v/>
      </c>
      <c r="E29" s="4">
        <v>5400000</v>
      </c>
      <c r="F29" s="6" t="str">
        <f t="shared" si="1"/>
        <v/>
      </c>
      <c r="G29" s="4">
        <v>1000000</v>
      </c>
      <c r="H29" s="6" t="str">
        <f t="shared" si="2"/>
        <v/>
      </c>
      <c r="I29" s="4">
        <v>270000</v>
      </c>
      <c r="J29" s="6" t="str">
        <f t="shared" si="3"/>
        <v/>
      </c>
      <c r="L29" s="6"/>
      <c r="M29" s="6">
        <v>12</v>
      </c>
      <c r="N29" s="6">
        <v>34</v>
      </c>
      <c r="O29" s="6">
        <v>30</v>
      </c>
      <c r="P29" s="6">
        <f t="shared" si="5"/>
        <v>45270</v>
      </c>
      <c r="Q29" s="6" t="str">
        <f t="shared" si="4"/>
        <v/>
      </c>
    </row>
    <row r="30" spans="2:17" x14ac:dyDescent="0.3">
      <c r="B30" s="63">
        <v>25</v>
      </c>
      <c r="C30" s="4">
        <v>7300000</v>
      </c>
      <c r="D30" s="6" t="str">
        <f t="shared" si="0"/>
        <v/>
      </c>
      <c r="E30" s="4">
        <v>7300000</v>
      </c>
      <c r="F30" s="6" t="str">
        <f t="shared" si="1"/>
        <v/>
      </c>
      <c r="G30" s="4">
        <v>1400000</v>
      </c>
      <c r="H30" s="6" t="str">
        <f t="shared" si="2"/>
        <v/>
      </c>
      <c r="I30" s="4">
        <v>360000</v>
      </c>
      <c r="J30" s="6" t="str">
        <f t="shared" si="3"/>
        <v/>
      </c>
      <c r="L30" s="6"/>
      <c r="M30" s="6">
        <v>17</v>
      </c>
      <c r="N30" s="6">
        <v>36</v>
      </c>
      <c r="O30" s="6">
        <v>30</v>
      </c>
      <c r="P30" s="6">
        <f t="shared" si="5"/>
        <v>63390</v>
      </c>
      <c r="Q30" s="6" t="str">
        <f t="shared" si="4"/>
        <v/>
      </c>
    </row>
    <row r="31" spans="2:17" x14ac:dyDescent="0.3">
      <c r="B31" s="63">
        <v>26</v>
      </c>
      <c r="C31" s="4">
        <v>9400000</v>
      </c>
      <c r="D31" s="6" t="str">
        <f t="shared" si="0"/>
        <v/>
      </c>
      <c r="E31" s="4">
        <v>9400000</v>
      </c>
      <c r="F31" s="6" t="str">
        <f t="shared" si="1"/>
        <v/>
      </c>
      <c r="G31" s="4">
        <v>1800000</v>
      </c>
      <c r="H31" s="6" t="str">
        <f t="shared" si="2"/>
        <v/>
      </c>
      <c r="I31" s="4">
        <v>470000</v>
      </c>
      <c r="J31" s="6" t="str">
        <f t="shared" si="3"/>
        <v/>
      </c>
      <c r="L31" s="6"/>
      <c r="M31" s="6">
        <v>20</v>
      </c>
      <c r="N31" s="6">
        <v>15</v>
      </c>
      <c r="O31" s="6"/>
      <c r="P31" s="6">
        <f t="shared" si="5"/>
        <v>72900</v>
      </c>
      <c r="Q31" s="6" t="str">
        <f t="shared" si="4"/>
        <v/>
      </c>
    </row>
    <row r="32" spans="2:17" x14ac:dyDescent="0.3">
      <c r="B32" s="63">
        <v>27</v>
      </c>
      <c r="C32" s="4">
        <v>13000000</v>
      </c>
      <c r="D32" s="6" t="str">
        <f t="shared" si="0"/>
        <v/>
      </c>
      <c r="E32" s="4">
        <v>13000000</v>
      </c>
      <c r="F32" s="6" t="str">
        <f t="shared" si="1"/>
        <v/>
      </c>
      <c r="G32" s="4">
        <v>2600000</v>
      </c>
      <c r="H32" s="6" t="str">
        <f t="shared" si="2"/>
        <v/>
      </c>
      <c r="I32" s="4">
        <v>670000</v>
      </c>
      <c r="J32" s="6" t="str">
        <f t="shared" si="3"/>
        <v/>
      </c>
      <c r="L32" s="6">
        <v>1</v>
      </c>
      <c r="M32" s="6"/>
      <c r="N32" s="6">
        <v>18</v>
      </c>
      <c r="O32" s="6"/>
      <c r="P32" s="6">
        <f t="shared" si="5"/>
        <v>87480</v>
      </c>
      <c r="Q32" s="6" t="str">
        <f t="shared" si="4"/>
        <v/>
      </c>
    </row>
    <row r="33" spans="2:17" x14ac:dyDescent="0.3">
      <c r="B33" s="63">
        <v>28</v>
      </c>
      <c r="C33" s="4">
        <v>17000000</v>
      </c>
      <c r="D33" s="6" t="str">
        <f t="shared" si="0"/>
        <v/>
      </c>
      <c r="E33" s="4">
        <v>17000000</v>
      </c>
      <c r="F33" s="6" t="str">
        <f t="shared" si="1"/>
        <v/>
      </c>
      <c r="G33" s="4">
        <v>3500000</v>
      </c>
      <c r="H33" s="6" t="str">
        <f t="shared" si="2"/>
        <v/>
      </c>
      <c r="I33" s="4">
        <v>890000</v>
      </c>
      <c r="J33" s="6" t="str">
        <f t="shared" si="3"/>
        <v/>
      </c>
      <c r="L33" s="6">
        <v>1</v>
      </c>
      <c r="M33" s="6">
        <v>3</v>
      </c>
      <c r="N33" s="6">
        <v>57</v>
      </c>
      <c r="O33" s="6"/>
      <c r="P33" s="6">
        <f t="shared" si="5"/>
        <v>100620</v>
      </c>
      <c r="Q33" s="6" t="str">
        <f t="shared" si="4"/>
        <v/>
      </c>
    </row>
    <row r="34" spans="2:17" x14ac:dyDescent="0.3">
      <c r="B34" s="63">
        <v>29</v>
      </c>
      <c r="C34" s="4">
        <v>22000000</v>
      </c>
      <c r="D34" s="6" t="str">
        <f t="shared" si="0"/>
        <v/>
      </c>
      <c r="E34" s="4">
        <v>22000000</v>
      </c>
      <c r="F34" s="6" t="str">
        <f t="shared" si="1"/>
        <v/>
      </c>
      <c r="G34" s="4">
        <v>4400000</v>
      </c>
      <c r="H34" s="6" t="str">
        <f t="shared" si="2"/>
        <v/>
      </c>
      <c r="I34" s="4">
        <v>1100000</v>
      </c>
      <c r="J34" s="6" t="str">
        <f t="shared" si="3"/>
        <v/>
      </c>
      <c r="L34" s="6">
        <v>1</v>
      </c>
      <c r="M34" s="6">
        <v>8</v>
      </c>
      <c r="N34" s="6">
        <v>8</v>
      </c>
      <c r="O34" s="6"/>
      <c r="P34" s="6">
        <f t="shared" si="5"/>
        <v>115680</v>
      </c>
      <c r="Q34" s="6" t="str">
        <f t="shared" si="4"/>
        <v/>
      </c>
    </row>
    <row r="35" spans="2:17" x14ac:dyDescent="0.3">
      <c r="B35" s="63">
        <v>30</v>
      </c>
      <c r="C35" s="4">
        <v>27000000</v>
      </c>
      <c r="D35" s="6" t="str">
        <f t="shared" si="0"/>
        <v/>
      </c>
      <c r="E35" s="4">
        <v>27000000</v>
      </c>
      <c r="F35" s="6" t="str">
        <f t="shared" si="1"/>
        <v/>
      </c>
      <c r="G35" s="4">
        <v>5400000</v>
      </c>
      <c r="H35" s="6" t="str">
        <f t="shared" si="2"/>
        <v/>
      </c>
      <c r="I35" s="4">
        <v>1300000</v>
      </c>
      <c r="J35" s="6" t="str">
        <f t="shared" si="3"/>
        <v/>
      </c>
      <c r="L35" s="6">
        <v>1</v>
      </c>
      <c r="M35" s="6">
        <v>14</v>
      </c>
      <c r="N35" s="6">
        <v>34</v>
      </c>
      <c r="O35" s="6"/>
      <c r="P35" s="6">
        <f t="shared" si="5"/>
        <v>138840</v>
      </c>
      <c r="Q35" s="6" t="str">
        <f t="shared" si="4"/>
        <v/>
      </c>
    </row>
    <row r="36" spans="2:17" x14ac:dyDescent="0.3">
      <c r="L36" s="6"/>
      <c r="M36" s="6"/>
      <c r="N36" s="6"/>
      <c r="O36" s="6"/>
      <c r="P36" s="6"/>
      <c r="Q36" s="6"/>
    </row>
    <row r="37" spans="2:17" x14ac:dyDescent="0.3">
      <c r="C37" s="4">
        <f>SUM(C6:C35)</f>
        <v>117620000</v>
      </c>
      <c r="D37" s="4">
        <f>SUM(D6:D35)</f>
        <v>0</v>
      </c>
      <c r="E37" s="4">
        <f>SUM(E6:E35)</f>
        <v>117850425</v>
      </c>
      <c r="F37" s="4">
        <f>SUM(F6:F35)</f>
        <v>0</v>
      </c>
      <c r="G37" s="4">
        <f>SUM(G6:G35)</f>
        <v>23191130</v>
      </c>
      <c r="H37" s="4">
        <f>SUM(H6:H36)</f>
        <v>0</v>
      </c>
      <c r="I37" s="4">
        <f>SUM(I6:I35)</f>
        <v>5897905</v>
      </c>
      <c r="J37" s="4">
        <f>SUM(J6:J36)</f>
        <v>0</v>
      </c>
      <c r="L37" s="6"/>
      <c r="M37" s="6"/>
      <c r="N37" s="6"/>
      <c r="O37" s="6"/>
      <c r="P37" s="12">
        <f>SUM(P5:P35)</f>
        <v>743235</v>
      </c>
      <c r="Q37" s="12">
        <f>SUM(Q5:Q35)</f>
        <v>0</v>
      </c>
    </row>
    <row r="39" spans="2:17" x14ac:dyDescent="0.3">
      <c r="O39" s="4" t="s">
        <v>21</v>
      </c>
      <c r="P39" s="4">
        <f>ROUNDDOWN(P37/60/60/24,0)</f>
        <v>8</v>
      </c>
      <c r="Q39" s="4">
        <f>ROUNDDOWN(Q37/60/60/24,0)</f>
        <v>0</v>
      </c>
    </row>
    <row r="40" spans="2:17" x14ac:dyDescent="0.3">
      <c r="O40" s="4" t="s">
        <v>20</v>
      </c>
      <c r="P40" s="4">
        <f>ROUNDDOWN((P37-P39*60*60*24)/60/60,0)</f>
        <v>14</v>
      </c>
      <c r="Q40" s="4">
        <f>ROUNDDOWN((Q37-Q39*60*60*24)/60/60,0)</f>
        <v>0</v>
      </c>
    </row>
    <row r="41" spans="2:17" x14ac:dyDescent="0.3">
      <c r="O41" s="4" t="s">
        <v>19</v>
      </c>
      <c r="P41" s="4">
        <f>ROUNDDOWN((P37-P39*60*60*24-P40*60*60)/60,0)</f>
        <v>27</v>
      </c>
      <c r="Q41" s="4">
        <f>ROUNDDOWN((Q37-Q39*60*60*24-Q40*60*60)/60,0)</f>
        <v>0</v>
      </c>
    </row>
    <row r="42" spans="2:17" x14ac:dyDescent="0.3">
      <c r="O42" s="4" t="s">
        <v>18</v>
      </c>
      <c r="P42" s="4">
        <f>ROUNDDOWN((P37-P39*60*60*24-P40*60*60-P41*60),0)</f>
        <v>15</v>
      </c>
      <c r="Q42" s="4">
        <f>ROUNDDOWN((Q37-Q39*60*60*24-Q40*60*60-Q41*60),0)</f>
        <v>0</v>
      </c>
    </row>
    <row r="44" spans="2:17" x14ac:dyDescent="0.3">
      <c r="C44" s="63"/>
    </row>
  </sheetData>
  <mergeCells count="7">
    <mergeCell ref="C3:J3"/>
    <mergeCell ref="L3:Q3"/>
    <mergeCell ref="C4:D4"/>
    <mergeCell ref="E4:F4"/>
    <mergeCell ref="G4:H4"/>
    <mergeCell ref="I4:J4"/>
    <mergeCell ref="P4:Q4"/>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AA3-27E8-44ED-907A-2967C15FF923}">
  <sheetPr codeName="Sheet11"/>
  <dimension ref="A1:W92"/>
  <sheetViews>
    <sheetView workbookViewId="0">
      <pane xSplit="2" ySplit="5" topLeftCell="C48" activePane="bottomRight" state="frozen"/>
      <selection sqref="A1:R2"/>
      <selection pane="topRight" sqref="A1:R2"/>
      <selection pane="bottomLeft" sqref="A1:R2"/>
      <selection pane="bottomRight" activeCell="D87" sqref="D87"/>
    </sheetView>
  </sheetViews>
  <sheetFormatPr baseColWidth="10" defaultColWidth="9.109375" defaultRowHeight="14.4" x14ac:dyDescent="0.3"/>
  <cols>
    <col min="1" max="1" width="9.109375" style="4"/>
    <col min="2" max="2" width="16" style="4" bestFit="1" customWidth="1"/>
    <col min="3" max="3" width="16" style="4" customWidth="1"/>
    <col min="4" max="4" width="16.88671875" style="4" bestFit="1" customWidth="1"/>
    <col min="5" max="5" width="14.33203125" style="4" customWidth="1"/>
    <col min="6" max="6" width="16.88671875" style="4" bestFit="1" customWidth="1"/>
    <col min="7" max="7" width="14.33203125" style="4" customWidth="1"/>
    <col min="8" max="8" width="15.33203125" style="4" bestFit="1" customWidth="1"/>
    <col min="9" max="9" width="12.5546875" style="4" customWidth="1"/>
    <col min="10" max="10" width="14.33203125" style="4" bestFit="1" customWidth="1"/>
    <col min="11" max="15" width="11.5546875" style="4" customWidth="1"/>
    <col min="16" max="16" width="9.33203125" style="4" bestFit="1" customWidth="1"/>
    <col min="17" max="17" width="7" style="4" bestFit="1" customWidth="1"/>
    <col min="18" max="18" width="8" style="4" bestFit="1" customWidth="1"/>
    <col min="19" max="19" width="9.5546875" style="4" bestFit="1" customWidth="1"/>
    <col min="20" max="20" width="8.88671875" style="4" bestFit="1" customWidth="1"/>
    <col min="21" max="21" width="13.44140625" style="4" bestFit="1" customWidth="1"/>
    <col min="22" max="22" width="13.33203125" style="4" customWidth="1"/>
    <col min="23" max="16384" width="9.109375" style="4"/>
  </cols>
  <sheetData>
    <row r="1" spans="1:23" x14ac:dyDescent="0.3">
      <c r="D1" s="4" t="s">
        <v>26</v>
      </c>
    </row>
    <row r="2" spans="1:23" x14ac:dyDescent="0.3">
      <c r="A2" s="45"/>
      <c r="D2" s="6">
        <f>LARGE(Furnace!AE4:AE35,1)</f>
        <v>26</v>
      </c>
      <c r="E2" s="6"/>
      <c r="F2" s="45"/>
      <c r="G2" s="45"/>
      <c r="H2" s="45"/>
      <c r="I2" s="45"/>
      <c r="J2" s="45"/>
      <c r="K2" s="45"/>
      <c r="L2" s="45"/>
      <c r="M2" s="45"/>
      <c r="N2" s="45"/>
      <c r="O2" s="45"/>
      <c r="P2" s="45"/>
      <c r="Q2" s="45"/>
      <c r="R2" s="45"/>
      <c r="S2" s="45"/>
      <c r="T2" s="45"/>
      <c r="U2" s="45"/>
      <c r="V2" s="45"/>
      <c r="W2" s="45"/>
    </row>
    <row r="3" spans="1:23" x14ac:dyDescent="0.3">
      <c r="B3" s="45" t="s">
        <v>14</v>
      </c>
      <c r="C3" s="45"/>
      <c r="D3" s="709" t="s">
        <v>16</v>
      </c>
      <c r="E3" s="709"/>
      <c r="F3" s="709"/>
      <c r="G3" s="709"/>
      <c r="H3" s="709"/>
      <c r="I3" s="709"/>
      <c r="J3" s="709"/>
      <c r="K3" s="709"/>
      <c r="L3" s="709"/>
      <c r="M3" s="709"/>
      <c r="N3" s="62"/>
      <c r="O3" s="62"/>
      <c r="Q3" s="709" t="s">
        <v>17</v>
      </c>
      <c r="R3" s="709"/>
      <c r="S3" s="709"/>
      <c r="T3" s="709"/>
      <c r="U3" s="709"/>
      <c r="V3" s="709"/>
    </row>
    <row r="4" spans="1:23" x14ac:dyDescent="0.3">
      <c r="B4" s="45" t="e">
        <f>#REF!</f>
        <v>#REF!</v>
      </c>
      <c r="C4" s="45"/>
      <c r="D4" s="705" t="s">
        <v>0</v>
      </c>
      <c r="E4" s="705"/>
      <c r="F4" s="705" t="s">
        <v>1</v>
      </c>
      <c r="G4" s="705"/>
      <c r="H4" s="705" t="s">
        <v>2</v>
      </c>
      <c r="I4" s="705"/>
      <c r="J4" s="705" t="s">
        <v>3</v>
      </c>
      <c r="K4" s="705"/>
      <c r="L4" s="705" t="s">
        <v>59</v>
      </c>
      <c r="M4" s="705"/>
      <c r="N4" s="705" t="s">
        <v>228</v>
      </c>
      <c r="O4" s="705"/>
      <c r="P4" s="45"/>
      <c r="Q4" s="45"/>
      <c r="R4" s="45"/>
      <c r="S4" s="45"/>
      <c r="T4" s="45"/>
      <c r="U4" s="705" t="s">
        <v>18</v>
      </c>
      <c r="V4" s="705"/>
    </row>
    <row r="5" spans="1:23" x14ac:dyDescent="0.3">
      <c r="B5" s="63">
        <v>0</v>
      </c>
      <c r="C5" s="45" t="s">
        <v>463</v>
      </c>
      <c r="D5" s="45" t="s">
        <v>25</v>
      </c>
      <c r="E5" s="45" t="s">
        <v>24</v>
      </c>
      <c r="F5" s="45" t="s">
        <v>25</v>
      </c>
      <c r="G5" s="45" t="s">
        <v>24</v>
      </c>
      <c r="H5" s="45" t="s">
        <v>25</v>
      </c>
      <c r="I5" s="45" t="s">
        <v>24</v>
      </c>
      <c r="J5" s="45" t="s">
        <v>25</v>
      </c>
      <c r="K5" s="45" t="s">
        <v>24</v>
      </c>
      <c r="L5" s="45" t="s">
        <v>25</v>
      </c>
      <c r="M5" s="45" t="s">
        <v>24</v>
      </c>
      <c r="N5" s="45" t="s">
        <v>25</v>
      </c>
      <c r="O5" s="45" t="s">
        <v>24</v>
      </c>
      <c r="P5" s="45"/>
      <c r="Q5" s="45" t="s">
        <v>21</v>
      </c>
      <c r="R5" s="45" t="s">
        <v>20</v>
      </c>
      <c r="S5" s="45" t="s">
        <v>19</v>
      </c>
      <c r="T5" s="45" t="s">
        <v>18</v>
      </c>
      <c r="U5" s="45" t="s">
        <v>25</v>
      </c>
      <c r="V5" s="45" t="s">
        <v>24</v>
      </c>
    </row>
    <row r="6" spans="1:23" x14ac:dyDescent="0.3">
      <c r="B6" s="64">
        <v>1</v>
      </c>
      <c r="C6" s="151">
        <v>1</v>
      </c>
      <c r="E6" s="6" t="str">
        <f t="shared" ref="E6:E37" si="0">IF($C6&gt;VLOOKUP(LancerDesired,$B$6:$C$85,2,FALSE),"",IF($C6&gt;VLOOKUP(LancerCurrent,$B$5:$C$85,2,FALSE),D6,""))</f>
        <v/>
      </c>
      <c r="F6" s="4">
        <v>95</v>
      </c>
      <c r="G6" s="6" t="str">
        <f t="shared" ref="G6:G37" si="1">IF($C6&gt;VLOOKUP(LancerDesired,$B$6:$C$85,2,FALSE),"",IF($C6&gt;VLOOKUP(LancerCurrent,$B$5:$C$85,2,FALSE),F6,""))</f>
        <v/>
      </c>
      <c r="I6" s="6" t="str">
        <f t="shared" ref="I6:I37" si="2">IF($C6&gt;VLOOKUP(LancerDesired,$B$6:$C$85,2,FALSE),"",IF($C6&gt;VLOOKUP(LancerCurrent,$B$5:$C$85,2,FALSE),H6,""))</f>
        <v/>
      </c>
      <c r="K6" s="6" t="str">
        <f t="shared" ref="K6:K37" si="3">IF($C6&gt;VLOOKUP(LancerDesired,$B$6:$C$85,2,FALSE),"",IF($C6&gt;VLOOKUP(LancerCurrent,$B$5:$C$85,2,FALSE),J6,""))</f>
        <v/>
      </c>
      <c r="L6" s="6"/>
      <c r="M6" s="6" t="str">
        <f t="shared" ref="M6:M37" si="4">IF($C6&gt;VLOOKUP(LancerDesired,$B$6:$C$85,2,FALSE),"",IF($C6&gt;VLOOKUP(LancerCurrent,$B$5:$C$85,2,FALSE),L6,""))</f>
        <v/>
      </c>
      <c r="N6" s="6"/>
      <c r="O6" s="6" t="str">
        <f t="shared" ref="O6:O37" si="5">IF($C6&gt;VLOOKUP(LancerDesired,$B$6:$C$85,2,FALSE),"",IF($C6&gt;VLOOKUP(LancerCurrent,$B$5:$C$85,2,FALSE),N6,""))</f>
        <v/>
      </c>
      <c r="Q6" s="6"/>
      <c r="R6" s="6"/>
      <c r="S6" s="6"/>
      <c r="T6" s="6">
        <v>2</v>
      </c>
      <c r="U6" s="6">
        <f t="shared" ref="U6:U69" si="6">T6+S6*60+R6*60*60+Q6*60*60*24</f>
        <v>2</v>
      </c>
      <c r="V6" s="6" t="str">
        <f t="shared" ref="V6:V37" si="7">IF($C6&gt;VLOOKUP(LancerDesired,$B$6:$C$85,2,FALSE),"",IF($C6&gt;VLOOKUP(LancerCurrent,$B$5:$C$85,2,FALSE),U6,""))</f>
        <v/>
      </c>
    </row>
    <row r="7" spans="1:23" x14ac:dyDescent="0.3">
      <c r="B7" s="64">
        <v>2</v>
      </c>
      <c r="C7" s="151">
        <v>2</v>
      </c>
      <c r="E7" s="6" t="str">
        <f t="shared" si="0"/>
        <v/>
      </c>
      <c r="F7" s="4">
        <v>140</v>
      </c>
      <c r="G7" s="6" t="str">
        <f t="shared" si="1"/>
        <v/>
      </c>
      <c r="I7" s="6" t="str">
        <f t="shared" si="2"/>
        <v/>
      </c>
      <c r="K7" s="6" t="str">
        <f t="shared" si="3"/>
        <v/>
      </c>
      <c r="L7" s="6"/>
      <c r="M7" s="6" t="str">
        <f t="shared" si="4"/>
        <v/>
      </c>
      <c r="N7" s="6"/>
      <c r="O7" s="6" t="str">
        <f t="shared" si="5"/>
        <v/>
      </c>
      <c r="Q7" s="6"/>
      <c r="R7" s="6"/>
      <c r="S7" s="6"/>
      <c r="T7" s="6">
        <v>9</v>
      </c>
      <c r="U7" s="6">
        <f t="shared" si="6"/>
        <v>9</v>
      </c>
      <c r="V7" s="6" t="str">
        <f t="shared" si="7"/>
        <v/>
      </c>
    </row>
    <row r="8" spans="1:23" x14ac:dyDescent="0.3">
      <c r="B8" s="64">
        <v>3</v>
      </c>
      <c r="C8" s="151">
        <v>3</v>
      </c>
      <c r="E8" s="6" t="str">
        <f t="shared" si="0"/>
        <v/>
      </c>
      <c r="F8" s="4">
        <v>645</v>
      </c>
      <c r="G8" s="6" t="str">
        <f t="shared" si="1"/>
        <v/>
      </c>
      <c r="I8" s="6" t="str">
        <f t="shared" si="2"/>
        <v/>
      </c>
      <c r="K8" s="6" t="str">
        <f t="shared" si="3"/>
        <v/>
      </c>
      <c r="L8" s="6"/>
      <c r="M8" s="6" t="str">
        <f t="shared" si="4"/>
        <v/>
      </c>
      <c r="N8" s="6"/>
      <c r="O8" s="6" t="str">
        <f t="shared" si="5"/>
        <v/>
      </c>
      <c r="Q8" s="6"/>
      <c r="R8" s="6"/>
      <c r="S8" s="6"/>
      <c r="T8" s="6">
        <v>45</v>
      </c>
      <c r="U8" s="6">
        <f t="shared" si="6"/>
        <v>45</v>
      </c>
      <c r="V8" s="6" t="str">
        <f t="shared" si="7"/>
        <v/>
      </c>
    </row>
    <row r="9" spans="1:23" x14ac:dyDescent="0.3">
      <c r="B9" s="64">
        <v>4</v>
      </c>
      <c r="C9" s="151">
        <v>4</v>
      </c>
      <c r="E9" s="6" t="str">
        <f t="shared" si="0"/>
        <v/>
      </c>
      <c r="F9" s="4">
        <v>1400</v>
      </c>
      <c r="G9" s="6" t="str">
        <f t="shared" si="1"/>
        <v/>
      </c>
      <c r="H9" s="4">
        <v>285</v>
      </c>
      <c r="I9" s="6" t="str">
        <f t="shared" si="2"/>
        <v/>
      </c>
      <c r="K9" s="6" t="str">
        <f t="shared" si="3"/>
        <v/>
      </c>
      <c r="L9" s="6"/>
      <c r="M9" s="6" t="str">
        <f t="shared" si="4"/>
        <v/>
      </c>
      <c r="N9" s="6"/>
      <c r="O9" s="6" t="str">
        <f t="shared" si="5"/>
        <v/>
      </c>
      <c r="Q9" s="6"/>
      <c r="R9" s="6"/>
      <c r="S9" s="6">
        <v>2</v>
      </c>
      <c r="T9" s="6">
        <v>15</v>
      </c>
      <c r="U9" s="6">
        <f t="shared" si="6"/>
        <v>135</v>
      </c>
      <c r="V9" s="6" t="str">
        <f t="shared" si="7"/>
        <v/>
      </c>
    </row>
    <row r="10" spans="1:23" x14ac:dyDescent="0.3">
      <c r="B10" s="64">
        <v>5</v>
      </c>
      <c r="C10" s="151">
        <v>5</v>
      </c>
      <c r="E10" s="6" t="str">
        <f t="shared" si="0"/>
        <v/>
      </c>
      <c r="F10" s="4">
        <v>6000</v>
      </c>
      <c r="G10" s="6" t="str">
        <f t="shared" si="1"/>
        <v/>
      </c>
      <c r="H10" s="4">
        <v>1200</v>
      </c>
      <c r="I10" s="6" t="str">
        <f t="shared" si="2"/>
        <v/>
      </c>
      <c r="K10" s="6" t="str">
        <f t="shared" si="3"/>
        <v/>
      </c>
      <c r="L10" s="6"/>
      <c r="M10" s="6" t="str">
        <f t="shared" si="4"/>
        <v/>
      </c>
      <c r="N10" s="6"/>
      <c r="O10" s="6" t="str">
        <f t="shared" si="5"/>
        <v/>
      </c>
      <c r="Q10" s="6"/>
      <c r="R10" s="6"/>
      <c r="S10" s="6">
        <v>4</v>
      </c>
      <c r="T10" s="6">
        <v>30</v>
      </c>
      <c r="U10" s="6">
        <f t="shared" si="6"/>
        <v>270</v>
      </c>
      <c r="V10" s="6" t="str">
        <f t="shared" si="7"/>
        <v/>
      </c>
    </row>
    <row r="11" spans="1:23" x14ac:dyDescent="0.3">
      <c r="B11" s="64">
        <v>6</v>
      </c>
      <c r="C11" s="151">
        <v>6</v>
      </c>
      <c r="E11" s="6" t="str">
        <f t="shared" si="0"/>
        <v/>
      </c>
      <c r="F11" s="4">
        <v>15000</v>
      </c>
      <c r="G11" s="6" t="str">
        <f t="shared" si="1"/>
        <v/>
      </c>
      <c r="H11" s="4">
        <v>3000</v>
      </c>
      <c r="I11" s="6" t="str">
        <f t="shared" si="2"/>
        <v/>
      </c>
      <c r="J11" s="4">
        <v>765</v>
      </c>
      <c r="K11" s="6" t="str">
        <f t="shared" si="3"/>
        <v/>
      </c>
      <c r="L11" s="6"/>
      <c r="M11" s="6" t="str">
        <f t="shared" si="4"/>
        <v/>
      </c>
      <c r="N11" s="6"/>
      <c r="O11" s="6" t="str">
        <f t="shared" si="5"/>
        <v/>
      </c>
      <c r="Q11" s="6"/>
      <c r="R11" s="6"/>
      <c r="S11" s="6">
        <v>9</v>
      </c>
      <c r="T11" s="6"/>
      <c r="U11" s="6">
        <f t="shared" si="6"/>
        <v>540</v>
      </c>
      <c r="V11" s="6" t="str">
        <f t="shared" si="7"/>
        <v/>
      </c>
    </row>
    <row r="12" spans="1:23" x14ac:dyDescent="0.3">
      <c r="B12" s="64">
        <v>7</v>
      </c>
      <c r="C12" s="151">
        <v>7</v>
      </c>
      <c r="E12" s="6" t="str">
        <f t="shared" si="0"/>
        <v/>
      </c>
      <c r="F12" s="4">
        <v>55000</v>
      </c>
      <c r="G12" s="6" t="str">
        <f t="shared" si="1"/>
        <v/>
      </c>
      <c r="H12" s="4">
        <v>11000</v>
      </c>
      <c r="I12" s="6" t="str">
        <f t="shared" si="2"/>
        <v/>
      </c>
      <c r="J12" s="4">
        <v>2700</v>
      </c>
      <c r="K12" s="6" t="str">
        <f t="shared" si="3"/>
        <v/>
      </c>
      <c r="L12" s="6"/>
      <c r="M12" s="6" t="str">
        <f t="shared" si="4"/>
        <v/>
      </c>
      <c r="N12" s="6"/>
      <c r="O12" s="6" t="str">
        <f t="shared" si="5"/>
        <v/>
      </c>
      <c r="Q12" s="6"/>
      <c r="R12" s="6"/>
      <c r="S12" s="6">
        <v>18</v>
      </c>
      <c r="T12" s="6"/>
      <c r="U12" s="6">
        <f t="shared" si="6"/>
        <v>1080</v>
      </c>
      <c r="V12" s="6" t="str">
        <f t="shared" si="7"/>
        <v/>
      </c>
    </row>
    <row r="13" spans="1:23" x14ac:dyDescent="0.3">
      <c r="B13" s="64">
        <v>8</v>
      </c>
      <c r="C13" s="151">
        <v>8</v>
      </c>
      <c r="E13" s="6" t="str">
        <f t="shared" si="0"/>
        <v/>
      </c>
      <c r="F13" s="4">
        <v>100000</v>
      </c>
      <c r="G13" s="6" t="str">
        <f t="shared" si="1"/>
        <v/>
      </c>
      <c r="H13" s="4">
        <v>20000</v>
      </c>
      <c r="I13" s="6" t="str">
        <f t="shared" si="2"/>
        <v/>
      </c>
      <c r="J13" s="4">
        <v>5000</v>
      </c>
      <c r="K13" s="6" t="str">
        <f t="shared" si="3"/>
        <v/>
      </c>
      <c r="L13" s="6"/>
      <c r="M13" s="6" t="str">
        <f t="shared" si="4"/>
        <v/>
      </c>
      <c r="N13" s="6"/>
      <c r="O13" s="6" t="str">
        <f t="shared" si="5"/>
        <v/>
      </c>
      <c r="Q13" s="6"/>
      <c r="R13" s="6"/>
      <c r="S13" s="6">
        <v>27</v>
      </c>
      <c r="T13" s="6"/>
      <c r="U13" s="6">
        <f t="shared" si="6"/>
        <v>1620</v>
      </c>
      <c r="V13" s="6" t="str">
        <f t="shared" si="7"/>
        <v/>
      </c>
    </row>
    <row r="14" spans="1:23" x14ac:dyDescent="0.3">
      <c r="B14" s="64">
        <v>9</v>
      </c>
      <c r="C14" s="151">
        <v>9</v>
      </c>
      <c r="E14" s="6" t="str">
        <f t="shared" si="0"/>
        <v/>
      </c>
      <c r="F14" s="4">
        <v>200000</v>
      </c>
      <c r="G14" s="6" t="str">
        <f t="shared" si="1"/>
        <v/>
      </c>
      <c r="H14" s="4">
        <v>41000</v>
      </c>
      <c r="I14" s="6" t="str">
        <f t="shared" si="2"/>
        <v/>
      </c>
      <c r="J14" s="4">
        <v>10000</v>
      </c>
      <c r="K14" s="6" t="str">
        <f t="shared" si="3"/>
        <v/>
      </c>
      <c r="L14" s="6"/>
      <c r="M14" s="6" t="str">
        <f t="shared" si="4"/>
        <v/>
      </c>
      <c r="N14" s="6"/>
      <c r="O14" s="6" t="str">
        <f t="shared" si="5"/>
        <v/>
      </c>
      <c r="Q14" s="6"/>
      <c r="R14" s="6"/>
      <c r="S14" s="6">
        <v>40</v>
      </c>
      <c r="T14" s="6">
        <v>30</v>
      </c>
      <c r="U14" s="6">
        <f t="shared" si="6"/>
        <v>2430</v>
      </c>
      <c r="V14" s="6" t="str">
        <f t="shared" si="7"/>
        <v/>
      </c>
    </row>
    <row r="15" spans="1:23" x14ac:dyDescent="0.3">
      <c r="B15" s="64">
        <v>10</v>
      </c>
      <c r="C15" s="151">
        <v>10</v>
      </c>
      <c r="E15" s="6" t="str">
        <f t="shared" si="0"/>
        <v/>
      </c>
      <c r="F15" s="4">
        <v>360000</v>
      </c>
      <c r="G15" s="6" t="str">
        <f t="shared" si="1"/>
        <v/>
      </c>
      <c r="H15" s="4">
        <v>73000</v>
      </c>
      <c r="I15" s="6" t="str">
        <f t="shared" si="2"/>
        <v/>
      </c>
      <c r="J15" s="4">
        <v>18000</v>
      </c>
      <c r="K15" s="6" t="str">
        <f t="shared" si="3"/>
        <v/>
      </c>
      <c r="L15" s="6"/>
      <c r="M15" s="6" t="str">
        <f t="shared" si="4"/>
        <v/>
      </c>
      <c r="N15" s="6"/>
      <c r="O15" s="6" t="str">
        <f t="shared" si="5"/>
        <v/>
      </c>
      <c r="Q15" s="6"/>
      <c r="R15" s="6"/>
      <c r="S15" s="6">
        <v>54</v>
      </c>
      <c r="T15" s="6"/>
      <c r="U15" s="6">
        <f t="shared" si="6"/>
        <v>3240</v>
      </c>
      <c r="V15" s="6" t="str">
        <f t="shared" si="7"/>
        <v/>
      </c>
    </row>
    <row r="16" spans="1:23" x14ac:dyDescent="0.3">
      <c r="B16" s="64">
        <v>11</v>
      </c>
      <c r="C16" s="151">
        <v>11</v>
      </c>
      <c r="D16" s="4">
        <v>460000</v>
      </c>
      <c r="E16" s="6" t="str">
        <f t="shared" si="0"/>
        <v/>
      </c>
      <c r="F16" s="4">
        <v>460000</v>
      </c>
      <c r="G16" s="6" t="str">
        <f t="shared" si="1"/>
        <v/>
      </c>
      <c r="H16" s="4">
        <v>92000</v>
      </c>
      <c r="I16" s="6" t="str">
        <f t="shared" si="2"/>
        <v/>
      </c>
      <c r="J16" s="4">
        <v>23000</v>
      </c>
      <c r="K16" s="6" t="str">
        <f t="shared" si="3"/>
        <v/>
      </c>
      <c r="L16" s="6"/>
      <c r="M16" s="6" t="str">
        <f t="shared" si="4"/>
        <v/>
      </c>
      <c r="N16" s="6"/>
      <c r="O16" s="6" t="str">
        <f t="shared" si="5"/>
        <v/>
      </c>
      <c r="Q16" s="6"/>
      <c r="R16" s="6">
        <v>1</v>
      </c>
      <c r="S16" s="6">
        <v>7</v>
      </c>
      <c r="T16" s="6">
        <v>30</v>
      </c>
      <c r="U16" s="6">
        <f t="shared" si="6"/>
        <v>4050</v>
      </c>
      <c r="V16" s="6" t="str">
        <f t="shared" si="7"/>
        <v/>
      </c>
    </row>
    <row r="17" spans="2:22" x14ac:dyDescent="0.3">
      <c r="B17" s="64">
        <v>12</v>
      </c>
      <c r="C17" s="151">
        <v>12</v>
      </c>
      <c r="D17" s="4">
        <v>580000</v>
      </c>
      <c r="E17" s="6" t="str">
        <f t="shared" si="0"/>
        <v/>
      </c>
      <c r="F17" s="4">
        <v>580000</v>
      </c>
      <c r="G17" s="6" t="str">
        <f t="shared" si="1"/>
        <v/>
      </c>
      <c r="H17" s="4">
        <v>110000</v>
      </c>
      <c r="I17" s="6" t="str">
        <f t="shared" si="2"/>
        <v/>
      </c>
      <c r="J17" s="4">
        <v>29000</v>
      </c>
      <c r="K17" s="6" t="str">
        <f t="shared" si="3"/>
        <v/>
      </c>
      <c r="L17" s="6"/>
      <c r="M17" s="6" t="str">
        <f t="shared" si="4"/>
        <v/>
      </c>
      <c r="N17" s="6"/>
      <c r="O17" s="6" t="str">
        <f t="shared" si="5"/>
        <v/>
      </c>
      <c r="Q17" s="6"/>
      <c r="R17" s="6">
        <v>1</v>
      </c>
      <c r="S17" s="6">
        <v>21</v>
      </c>
      <c r="T17" s="6"/>
      <c r="U17" s="6">
        <f t="shared" si="6"/>
        <v>4860</v>
      </c>
      <c r="V17" s="6" t="str">
        <f t="shared" si="7"/>
        <v/>
      </c>
    </row>
    <row r="18" spans="2:22" x14ac:dyDescent="0.3">
      <c r="B18" s="64">
        <v>13</v>
      </c>
      <c r="C18" s="151">
        <v>13</v>
      </c>
      <c r="D18" s="4">
        <v>830000</v>
      </c>
      <c r="E18" s="6" t="str">
        <f t="shared" si="0"/>
        <v/>
      </c>
      <c r="F18" s="4">
        <v>830000</v>
      </c>
      <c r="G18" s="6" t="str">
        <f t="shared" si="1"/>
        <v/>
      </c>
      <c r="H18" s="4">
        <v>160000</v>
      </c>
      <c r="I18" s="6" t="str">
        <f t="shared" si="2"/>
        <v/>
      </c>
      <c r="J18" s="4">
        <v>41000</v>
      </c>
      <c r="K18" s="6" t="str">
        <f t="shared" si="3"/>
        <v/>
      </c>
      <c r="L18" s="6"/>
      <c r="M18" s="6" t="str">
        <f t="shared" si="4"/>
        <v/>
      </c>
      <c r="N18" s="6"/>
      <c r="O18" s="6" t="str">
        <f t="shared" si="5"/>
        <v/>
      </c>
      <c r="Q18" s="6"/>
      <c r="R18" s="6">
        <v>1</v>
      </c>
      <c r="S18" s="6">
        <v>39</v>
      </c>
      <c r="T18" s="6"/>
      <c r="U18" s="6">
        <f t="shared" si="6"/>
        <v>5940</v>
      </c>
      <c r="V18" s="6" t="str">
        <f t="shared" si="7"/>
        <v/>
      </c>
    </row>
    <row r="19" spans="2:22" x14ac:dyDescent="0.3">
      <c r="B19" s="64">
        <v>14</v>
      </c>
      <c r="C19" s="151">
        <v>14</v>
      </c>
      <c r="D19" s="4">
        <v>1100000</v>
      </c>
      <c r="E19" s="6" t="str">
        <f t="shared" si="0"/>
        <v/>
      </c>
      <c r="F19" s="4">
        <v>1100000</v>
      </c>
      <c r="G19" s="6" t="str">
        <f t="shared" si="1"/>
        <v/>
      </c>
      <c r="H19" s="4">
        <v>220000</v>
      </c>
      <c r="I19" s="6" t="str">
        <f t="shared" si="2"/>
        <v/>
      </c>
      <c r="J19" s="4">
        <v>55000</v>
      </c>
      <c r="K19" s="6" t="str">
        <f t="shared" si="3"/>
        <v/>
      </c>
      <c r="L19" s="6"/>
      <c r="M19" s="6" t="str">
        <f t="shared" si="4"/>
        <v/>
      </c>
      <c r="N19" s="6"/>
      <c r="O19" s="6" t="str">
        <f t="shared" si="5"/>
        <v/>
      </c>
      <c r="Q19" s="6"/>
      <c r="R19" s="6">
        <v>2</v>
      </c>
      <c r="S19" s="6">
        <v>6</v>
      </c>
      <c r="T19" s="6"/>
      <c r="U19" s="6">
        <f t="shared" si="6"/>
        <v>7560</v>
      </c>
      <c r="V19" s="6" t="str">
        <f t="shared" si="7"/>
        <v/>
      </c>
    </row>
    <row r="20" spans="2:22" x14ac:dyDescent="0.3">
      <c r="B20" s="64">
        <v>15</v>
      </c>
      <c r="C20" s="151">
        <v>15</v>
      </c>
      <c r="D20" s="4">
        <v>1600000</v>
      </c>
      <c r="E20" s="6" t="str">
        <f t="shared" si="0"/>
        <v/>
      </c>
      <c r="F20" s="4">
        <v>1600000</v>
      </c>
      <c r="G20" s="6" t="str">
        <f t="shared" si="1"/>
        <v/>
      </c>
      <c r="H20" s="4">
        <v>320000</v>
      </c>
      <c r="I20" s="6" t="str">
        <f t="shared" si="2"/>
        <v/>
      </c>
      <c r="J20" s="4">
        <v>81000</v>
      </c>
      <c r="K20" s="6" t="str">
        <f t="shared" si="3"/>
        <v/>
      </c>
      <c r="L20" s="6"/>
      <c r="M20" s="6" t="str">
        <f t="shared" si="4"/>
        <v/>
      </c>
      <c r="N20" s="6"/>
      <c r="O20" s="6" t="str">
        <f t="shared" si="5"/>
        <v/>
      </c>
      <c r="Q20" s="6"/>
      <c r="R20" s="6">
        <v>2</v>
      </c>
      <c r="S20" s="6">
        <v>42</v>
      </c>
      <c r="T20" s="6"/>
      <c r="U20" s="6">
        <f t="shared" si="6"/>
        <v>9720</v>
      </c>
      <c r="V20" s="6" t="str">
        <f t="shared" si="7"/>
        <v/>
      </c>
    </row>
    <row r="21" spans="2:22" x14ac:dyDescent="0.3">
      <c r="B21" s="64">
        <v>16</v>
      </c>
      <c r="C21" s="151">
        <v>16</v>
      </c>
      <c r="D21" s="4">
        <v>2000000</v>
      </c>
      <c r="E21" s="6" t="str">
        <f t="shared" si="0"/>
        <v/>
      </c>
      <c r="F21" s="4">
        <v>2000000</v>
      </c>
      <c r="G21" s="6" t="str">
        <f t="shared" si="1"/>
        <v/>
      </c>
      <c r="H21" s="4">
        <v>410000</v>
      </c>
      <c r="I21" s="6" t="str">
        <f t="shared" si="2"/>
        <v/>
      </c>
      <c r="J21" s="4">
        <v>100000</v>
      </c>
      <c r="K21" s="6" t="str">
        <f t="shared" si="3"/>
        <v/>
      </c>
      <c r="L21" s="6"/>
      <c r="M21" s="6" t="str">
        <f t="shared" si="4"/>
        <v/>
      </c>
      <c r="N21" s="6"/>
      <c r="O21" s="6" t="str">
        <f t="shared" si="5"/>
        <v/>
      </c>
      <c r="Q21" s="6"/>
      <c r="R21" s="6">
        <v>4</v>
      </c>
      <c r="S21" s="6">
        <v>34</v>
      </c>
      <c r="T21" s="6"/>
      <c r="U21" s="6">
        <f t="shared" si="6"/>
        <v>16440</v>
      </c>
      <c r="V21" s="6" t="str">
        <f t="shared" si="7"/>
        <v/>
      </c>
    </row>
    <row r="22" spans="2:22" x14ac:dyDescent="0.3">
      <c r="B22" s="64">
        <v>17</v>
      </c>
      <c r="C22" s="151">
        <v>17</v>
      </c>
      <c r="D22" s="4">
        <v>3200000</v>
      </c>
      <c r="E22" s="6" t="str">
        <f t="shared" si="0"/>
        <v/>
      </c>
      <c r="F22" s="4">
        <v>3200000</v>
      </c>
      <c r="G22" s="6" t="str">
        <f t="shared" si="1"/>
        <v/>
      </c>
      <c r="H22" s="4">
        <v>650000</v>
      </c>
      <c r="I22" s="6" t="str">
        <f t="shared" si="2"/>
        <v/>
      </c>
      <c r="J22" s="4">
        <v>160000</v>
      </c>
      <c r="K22" s="6" t="str">
        <f t="shared" si="3"/>
        <v/>
      </c>
      <c r="L22" s="6"/>
      <c r="M22" s="6" t="str">
        <f t="shared" si="4"/>
        <v/>
      </c>
      <c r="N22" s="6"/>
      <c r="O22" s="6" t="str">
        <f t="shared" si="5"/>
        <v/>
      </c>
      <c r="Q22" s="6"/>
      <c r="R22" s="6">
        <v>5</v>
      </c>
      <c r="S22" s="6">
        <v>29</v>
      </c>
      <c r="T22" s="6"/>
      <c r="U22" s="6">
        <f t="shared" si="6"/>
        <v>19740</v>
      </c>
      <c r="V22" s="6" t="str">
        <f t="shared" si="7"/>
        <v/>
      </c>
    </row>
    <row r="23" spans="2:22" x14ac:dyDescent="0.3">
      <c r="B23" s="64">
        <v>18</v>
      </c>
      <c r="C23" s="151">
        <v>18</v>
      </c>
      <c r="D23" s="4">
        <v>4300000</v>
      </c>
      <c r="E23" s="6" t="str">
        <f t="shared" si="0"/>
        <v/>
      </c>
      <c r="F23" s="4">
        <v>4300000</v>
      </c>
      <c r="G23" s="6" t="str">
        <f t="shared" si="1"/>
        <v/>
      </c>
      <c r="H23" s="4">
        <v>870000</v>
      </c>
      <c r="I23" s="6" t="str">
        <f t="shared" si="2"/>
        <v/>
      </c>
      <c r="J23" s="4">
        <v>210000</v>
      </c>
      <c r="K23" s="6" t="str">
        <f t="shared" si="3"/>
        <v/>
      </c>
      <c r="L23" s="6"/>
      <c r="M23" s="6" t="str">
        <f t="shared" si="4"/>
        <v/>
      </c>
      <c r="N23" s="6"/>
      <c r="O23" s="6" t="str">
        <f t="shared" si="5"/>
        <v/>
      </c>
      <c r="Q23" s="6"/>
      <c r="R23" s="6">
        <v>6</v>
      </c>
      <c r="S23" s="6">
        <v>35</v>
      </c>
      <c r="T23" s="6"/>
      <c r="U23" s="6">
        <f t="shared" si="6"/>
        <v>23700</v>
      </c>
      <c r="V23" s="6" t="str">
        <f t="shared" si="7"/>
        <v/>
      </c>
    </row>
    <row r="24" spans="2:22" x14ac:dyDescent="0.3">
      <c r="B24" s="64">
        <v>19</v>
      </c>
      <c r="C24" s="151">
        <v>19</v>
      </c>
      <c r="D24" s="4">
        <v>5400000</v>
      </c>
      <c r="E24" s="6" t="str">
        <f t="shared" si="0"/>
        <v/>
      </c>
      <c r="F24" s="4">
        <v>5400000</v>
      </c>
      <c r="G24" s="6" t="str">
        <f t="shared" si="1"/>
        <v/>
      </c>
      <c r="H24" s="4">
        <v>1000000</v>
      </c>
      <c r="I24" s="6" t="str">
        <f t="shared" si="2"/>
        <v/>
      </c>
      <c r="J24" s="4">
        <v>270000</v>
      </c>
      <c r="K24" s="6" t="str">
        <f t="shared" si="3"/>
        <v/>
      </c>
      <c r="L24" s="6"/>
      <c r="M24" s="6" t="str">
        <f t="shared" si="4"/>
        <v/>
      </c>
      <c r="N24" s="6"/>
      <c r="O24" s="6" t="str">
        <f t="shared" si="5"/>
        <v/>
      </c>
      <c r="Q24" s="6"/>
      <c r="R24" s="6">
        <v>9</v>
      </c>
      <c r="S24" s="6">
        <v>52</v>
      </c>
      <c r="T24" s="6">
        <v>30</v>
      </c>
      <c r="U24" s="6">
        <f t="shared" si="6"/>
        <v>35550</v>
      </c>
      <c r="V24" s="6" t="str">
        <f t="shared" si="7"/>
        <v/>
      </c>
    </row>
    <row r="25" spans="2:22" x14ac:dyDescent="0.3">
      <c r="B25" s="64">
        <v>20</v>
      </c>
      <c r="C25" s="151">
        <v>20</v>
      </c>
      <c r="D25" s="4">
        <v>7500000</v>
      </c>
      <c r="E25" s="6" t="str">
        <f t="shared" si="0"/>
        <v/>
      </c>
      <c r="F25" s="4">
        <v>7500000</v>
      </c>
      <c r="G25" s="6" t="str">
        <f t="shared" si="1"/>
        <v/>
      </c>
      <c r="H25" s="4">
        <v>1500000</v>
      </c>
      <c r="I25" s="6" t="str">
        <f t="shared" si="2"/>
        <v/>
      </c>
      <c r="J25" s="4">
        <v>370000</v>
      </c>
      <c r="K25" s="6" t="str">
        <f t="shared" si="3"/>
        <v/>
      </c>
      <c r="L25" s="6"/>
      <c r="M25" s="6" t="str">
        <f t="shared" si="4"/>
        <v/>
      </c>
      <c r="N25" s="6"/>
      <c r="O25" s="6" t="str">
        <f t="shared" si="5"/>
        <v/>
      </c>
      <c r="Q25" s="6"/>
      <c r="R25" s="6">
        <v>12</v>
      </c>
      <c r="S25" s="6">
        <v>20</v>
      </c>
      <c r="T25" s="6">
        <v>30</v>
      </c>
      <c r="U25" s="6">
        <f t="shared" si="6"/>
        <v>44430</v>
      </c>
      <c r="V25" s="6" t="str">
        <f t="shared" si="7"/>
        <v/>
      </c>
    </row>
    <row r="26" spans="2:22" x14ac:dyDescent="0.3">
      <c r="B26" s="64">
        <v>21</v>
      </c>
      <c r="C26" s="151">
        <v>21</v>
      </c>
      <c r="D26" s="4">
        <v>9500000</v>
      </c>
      <c r="E26" s="6" t="str">
        <f t="shared" si="0"/>
        <v/>
      </c>
      <c r="F26" s="4">
        <v>9500000</v>
      </c>
      <c r="G26" s="6" t="str">
        <f t="shared" si="1"/>
        <v/>
      </c>
      <c r="H26" s="4">
        <v>1900000</v>
      </c>
      <c r="I26" s="6" t="str">
        <f t="shared" si="2"/>
        <v/>
      </c>
      <c r="J26" s="4">
        <v>470000</v>
      </c>
      <c r="K26" s="6" t="str">
        <f t="shared" si="3"/>
        <v/>
      </c>
      <c r="L26" s="6"/>
      <c r="M26" s="6" t="str">
        <f t="shared" si="4"/>
        <v/>
      </c>
      <c r="N26" s="6"/>
      <c r="O26" s="6" t="str">
        <f t="shared" si="5"/>
        <v/>
      </c>
      <c r="Q26" s="6"/>
      <c r="R26" s="6">
        <v>16</v>
      </c>
      <c r="S26" s="6">
        <v>2</v>
      </c>
      <c r="T26" s="6">
        <v>30</v>
      </c>
      <c r="U26" s="6">
        <f t="shared" si="6"/>
        <v>57750</v>
      </c>
      <c r="V26" s="6" t="str">
        <f t="shared" si="7"/>
        <v/>
      </c>
    </row>
    <row r="27" spans="2:22" x14ac:dyDescent="0.3">
      <c r="B27" s="64">
        <v>22</v>
      </c>
      <c r="C27" s="151">
        <v>22</v>
      </c>
      <c r="D27" s="4">
        <v>12000000</v>
      </c>
      <c r="E27" s="6" t="str">
        <f t="shared" si="0"/>
        <v/>
      </c>
      <c r="F27" s="4">
        <v>12000000</v>
      </c>
      <c r="G27" s="6" t="str">
        <f t="shared" si="1"/>
        <v/>
      </c>
      <c r="H27" s="4">
        <v>2500000</v>
      </c>
      <c r="I27" s="6" t="str">
        <f t="shared" si="2"/>
        <v/>
      </c>
      <c r="J27" s="4">
        <v>630000</v>
      </c>
      <c r="K27" s="6" t="str">
        <f t="shared" si="3"/>
        <v/>
      </c>
      <c r="L27" s="6"/>
      <c r="M27" s="6" t="str">
        <f t="shared" si="4"/>
        <v/>
      </c>
      <c r="N27" s="6"/>
      <c r="O27" s="6" t="str">
        <f t="shared" si="5"/>
        <v/>
      </c>
      <c r="Q27" s="6">
        <v>1</v>
      </c>
      <c r="R27" s="6"/>
      <c r="S27" s="6">
        <v>4</v>
      </c>
      <c r="T27" s="6"/>
      <c r="U27" s="6">
        <f t="shared" si="6"/>
        <v>86640</v>
      </c>
      <c r="V27" s="6" t="str">
        <f t="shared" si="7"/>
        <v/>
      </c>
    </row>
    <row r="28" spans="2:22" x14ac:dyDescent="0.3">
      <c r="B28" s="64">
        <v>23</v>
      </c>
      <c r="C28" s="151">
        <v>23</v>
      </c>
      <c r="D28" s="4">
        <v>15000000</v>
      </c>
      <c r="E28" s="6" t="str">
        <f t="shared" si="0"/>
        <v/>
      </c>
      <c r="F28" s="4">
        <v>15000000</v>
      </c>
      <c r="G28" s="6" t="str">
        <f t="shared" si="1"/>
        <v/>
      </c>
      <c r="H28" s="4">
        <v>3100000</v>
      </c>
      <c r="I28" s="6" t="str">
        <f t="shared" si="2"/>
        <v/>
      </c>
      <c r="J28" s="4">
        <v>490000</v>
      </c>
      <c r="K28" s="6" t="str">
        <f t="shared" si="3"/>
        <v/>
      </c>
      <c r="L28" s="6"/>
      <c r="M28" s="6" t="str">
        <f t="shared" si="4"/>
        <v/>
      </c>
      <c r="N28" s="6"/>
      <c r="O28" s="6" t="str">
        <f t="shared" si="5"/>
        <v/>
      </c>
      <c r="Q28" s="6">
        <v>1</v>
      </c>
      <c r="R28" s="6">
        <v>9</v>
      </c>
      <c r="S28" s="6">
        <v>42</v>
      </c>
      <c r="T28" s="6"/>
      <c r="U28" s="6">
        <f t="shared" si="6"/>
        <v>121320</v>
      </c>
      <c r="V28" s="6" t="str">
        <f t="shared" si="7"/>
        <v/>
      </c>
    </row>
    <row r="29" spans="2:22" x14ac:dyDescent="0.3">
      <c r="B29" s="64">
        <v>24</v>
      </c>
      <c r="C29" s="151">
        <v>24</v>
      </c>
      <c r="D29" s="4">
        <v>21000000</v>
      </c>
      <c r="E29" s="6" t="str">
        <f t="shared" si="0"/>
        <v/>
      </c>
      <c r="F29" s="4">
        <v>21000000</v>
      </c>
      <c r="G29" s="6" t="str">
        <f t="shared" si="1"/>
        <v/>
      </c>
      <c r="H29" s="4">
        <v>4200000</v>
      </c>
      <c r="I29" s="6" t="str">
        <f t="shared" si="2"/>
        <v/>
      </c>
      <c r="J29" s="4">
        <v>1000000</v>
      </c>
      <c r="K29" s="6" t="str">
        <f t="shared" si="3"/>
        <v/>
      </c>
      <c r="L29" s="6"/>
      <c r="M29" s="6" t="str">
        <f t="shared" si="4"/>
        <v/>
      </c>
      <c r="N29" s="6"/>
      <c r="O29" s="6" t="str">
        <f t="shared" si="5"/>
        <v/>
      </c>
      <c r="Q29" s="6">
        <v>1</v>
      </c>
      <c r="R29" s="6">
        <v>23</v>
      </c>
      <c r="S29" s="6">
        <v>11</v>
      </c>
      <c r="T29" s="6"/>
      <c r="U29" s="6">
        <f t="shared" si="6"/>
        <v>169860</v>
      </c>
      <c r="V29" s="6" t="str">
        <f t="shared" si="7"/>
        <v/>
      </c>
    </row>
    <row r="30" spans="2:22" x14ac:dyDescent="0.3">
      <c r="B30" s="64">
        <v>25</v>
      </c>
      <c r="C30" s="151">
        <v>25</v>
      </c>
      <c r="D30" s="4">
        <v>28000000</v>
      </c>
      <c r="E30" s="6" t="str">
        <f t="shared" si="0"/>
        <v/>
      </c>
      <c r="F30" s="4">
        <v>28000000</v>
      </c>
      <c r="G30" s="6" t="str">
        <f t="shared" si="1"/>
        <v/>
      </c>
      <c r="H30" s="4">
        <v>5700000</v>
      </c>
      <c r="I30" s="6" t="str">
        <f t="shared" si="2"/>
        <v/>
      </c>
      <c r="J30" s="4">
        <v>1400000</v>
      </c>
      <c r="K30" s="6" t="str">
        <f t="shared" si="3"/>
        <v/>
      </c>
      <c r="L30" s="6"/>
      <c r="M30" s="6" t="str">
        <f t="shared" si="4"/>
        <v/>
      </c>
      <c r="N30" s="6"/>
      <c r="O30" s="6" t="str">
        <f t="shared" si="5"/>
        <v/>
      </c>
      <c r="Q30" s="6">
        <v>2</v>
      </c>
      <c r="R30" s="6">
        <v>18</v>
      </c>
      <c r="S30" s="6">
        <v>3</v>
      </c>
      <c r="T30" s="6"/>
      <c r="U30" s="6">
        <f t="shared" si="6"/>
        <v>237780</v>
      </c>
      <c r="V30" s="6" t="str">
        <f t="shared" si="7"/>
        <v/>
      </c>
    </row>
    <row r="31" spans="2:22" x14ac:dyDescent="0.3">
      <c r="B31" s="64">
        <v>26</v>
      </c>
      <c r="C31" s="151">
        <v>26</v>
      </c>
      <c r="D31" s="4">
        <v>36000000</v>
      </c>
      <c r="E31" s="6" t="str">
        <f t="shared" si="0"/>
        <v/>
      </c>
      <c r="F31" s="4">
        <v>36000000</v>
      </c>
      <c r="G31" s="6" t="str">
        <f t="shared" si="1"/>
        <v/>
      </c>
      <c r="H31" s="4">
        <v>7300000</v>
      </c>
      <c r="I31" s="6" t="str">
        <f t="shared" si="2"/>
        <v/>
      </c>
      <c r="J31" s="4">
        <v>1800000</v>
      </c>
      <c r="K31" s="6" t="str">
        <f t="shared" si="3"/>
        <v/>
      </c>
      <c r="L31" s="6"/>
      <c r="M31" s="6" t="str">
        <f t="shared" si="4"/>
        <v/>
      </c>
      <c r="N31" s="6"/>
      <c r="O31" s="6" t="str">
        <f t="shared" si="5"/>
        <v/>
      </c>
      <c r="Q31" s="6">
        <v>3</v>
      </c>
      <c r="R31" s="6">
        <v>3</v>
      </c>
      <c r="S31" s="6">
        <v>57</v>
      </c>
      <c r="T31" s="6"/>
      <c r="U31" s="6">
        <f t="shared" si="6"/>
        <v>273420</v>
      </c>
      <c r="V31" s="6" t="str">
        <f t="shared" si="7"/>
        <v/>
      </c>
    </row>
    <row r="32" spans="2:22" x14ac:dyDescent="0.3">
      <c r="B32" s="64">
        <v>27</v>
      </c>
      <c r="C32" s="151">
        <v>27</v>
      </c>
      <c r="D32" s="4">
        <v>52000000</v>
      </c>
      <c r="E32" s="6" t="str">
        <f t="shared" si="0"/>
        <v/>
      </c>
      <c r="F32" s="4">
        <v>52000000</v>
      </c>
      <c r="G32" s="6" t="str">
        <f t="shared" si="1"/>
        <v/>
      </c>
      <c r="H32" s="4">
        <v>10000000</v>
      </c>
      <c r="I32" s="6" t="str">
        <f t="shared" si="2"/>
        <v/>
      </c>
      <c r="J32" s="4">
        <v>2600000</v>
      </c>
      <c r="K32" s="6" t="str">
        <f t="shared" si="3"/>
        <v/>
      </c>
      <c r="L32" s="6"/>
      <c r="M32" s="6" t="str">
        <f t="shared" si="4"/>
        <v/>
      </c>
      <c r="N32" s="6"/>
      <c r="O32" s="6" t="str">
        <f t="shared" si="5"/>
        <v/>
      </c>
      <c r="Q32" s="6">
        <v>3</v>
      </c>
      <c r="R32" s="6">
        <v>19</v>
      </c>
      <c r="S32" s="6">
        <v>9</v>
      </c>
      <c r="T32" s="6"/>
      <c r="U32" s="6">
        <f t="shared" si="6"/>
        <v>328140</v>
      </c>
      <c r="V32" s="6" t="str">
        <f t="shared" si="7"/>
        <v/>
      </c>
    </row>
    <row r="33" spans="2:22" x14ac:dyDescent="0.3">
      <c r="B33" s="64">
        <v>28</v>
      </c>
      <c r="C33" s="151">
        <v>28</v>
      </c>
      <c r="D33" s="4">
        <v>69000000</v>
      </c>
      <c r="E33" s="6" t="str">
        <f t="shared" si="0"/>
        <v/>
      </c>
      <c r="F33" s="4">
        <v>69000000</v>
      </c>
      <c r="G33" s="6" t="str">
        <f t="shared" si="1"/>
        <v/>
      </c>
      <c r="H33" s="4">
        <v>13000000</v>
      </c>
      <c r="I33" s="6" t="str">
        <f t="shared" si="2"/>
        <v/>
      </c>
      <c r="J33" s="4">
        <v>3400000</v>
      </c>
      <c r="K33" s="6" t="str">
        <f t="shared" si="3"/>
        <v/>
      </c>
      <c r="L33" s="6"/>
      <c r="M33" s="6" t="str">
        <f t="shared" si="4"/>
        <v/>
      </c>
      <c r="N33" s="6"/>
      <c r="O33" s="6" t="str">
        <f t="shared" si="5"/>
        <v/>
      </c>
      <c r="Q33" s="6">
        <v>4</v>
      </c>
      <c r="R33" s="6">
        <v>8</v>
      </c>
      <c r="S33" s="6">
        <v>49</v>
      </c>
      <c r="T33" s="6"/>
      <c r="U33" s="6">
        <f t="shared" si="6"/>
        <v>377340</v>
      </c>
      <c r="V33" s="6" t="str">
        <f t="shared" si="7"/>
        <v/>
      </c>
    </row>
    <row r="34" spans="2:22" x14ac:dyDescent="0.3">
      <c r="B34" s="64">
        <v>29</v>
      </c>
      <c r="C34" s="151">
        <v>29</v>
      </c>
      <c r="D34" s="4">
        <v>86000000</v>
      </c>
      <c r="E34" s="6" t="str">
        <f t="shared" si="0"/>
        <v/>
      </c>
      <c r="F34" s="4">
        <v>86000000</v>
      </c>
      <c r="G34" s="6" t="str">
        <f t="shared" si="1"/>
        <v/>
      </c>
      <c r="H34" s="4">
        <v>17000000</v>
      </c>
      <c r="I34" s="6" t="str">
        <f t="shared" si="2"/>
        <v/>
      </c>
      <c r="J34" s="4">
        <v>4300000</v>
      </c>
      <c r="K34" s="6" t="str">
        <f t="shared" si="3"/>
        <v/>
      </c>
      <c r="L34" s="6"/>
      <c r="M34" s="6" t="str">
        <f t="shared" si="4"/>
        <v/>
      </c>
      <c r="N34" s="6"/>
      <c r="O34" s="6" t="str">
        <f t="shared" si="5"/>
        <v/>
      </c>
      <c r="Q34" s="6">
        <v>5</v>
      </c>
      <c r="R34" s="6"/>
      <c r="S34" s="6">
        <v>33</v>
      </c>
      <c r="T34" s="6"/>
      <c r="U34" s="6">
        <f t="shared" si="6"/>
        <v>433980</v>
      </c>
      <c r="V34" s="6" t="str">
        <f t="shared" si="7"/>
        <v/>
      </c>
    </row>
    <row r="35" spans="2:22" x14ac:dyDescent="0.3">
      <c r="B35" s="64">
        <v>30</v>
      </c>
      <c r="C35" s="151">
        <v>30</v>
      </c>
      <c r="D35" s="4">
        <v>100000000</v>
      </c>
      <c r="E35" s="6" t="str">
        <f t="shared" si="0"/>
        <v/>
      </c>
      <c r="F35" s="4">
        <v>100000000</v>
      </c>
      <c r="G35" s="6" t="str">
        <f t="shared" si="1"/>
        <v/>
      </c>
      <c r="H35" s="4">
        <v>21000000</v>
      </c>
      <c r="I35" s="6" t="str">
        <f t="shared" si="2"/>
        <v/>
      </c>
      <c r="J35" s="4">
        <v>5200000</v>
      </c>
      <c r="K35" s="6" t="str">
        <f t="shared" si="3"/>
        <v/>
      </c>
      <c r="L35" s="6"/>
      <c r="M35" s="6" t="str">
        <f t="shared" si="4"/>
        <v/>
      </c>
      <c r="N35" s="6"/>
      <c r="O35" s="6" t="str">
        <f t="shared" si="5"/>
        <v/>
      </c>
      <c r="Q35" s="6">
        <v>6</v>
      </c>
      <c r="R35" s="6"/>
      <c r="S35" s="6">
        <v>40</v>
      </c>
      <c r="T35" s="6"/>
      <c r="U35" s="6">
        <f t="shared" si="6"/>
        <v>520800</v>
      </c>
      <c r="V35" s="6" t="str">
        <f t="shared" si="7"/>
        <v/>
      </c>
    </row>
    <row r="36" spans="2:22" x14ac:dyDescent="0.3">
      <c r="B36" s="64" t="s">
        <v>34</v>
      </c>
      <c r="C36" s="151">
        <v>31</v>
      </c>
      <c r="D36" s="4">
        <v>23000000</v>
      </c>
      <c r="E36" s="6" t="str">
        <f t="shared" si="0"/>
        <v/>
      </c>
      <c r="F36" s="4">
        <v>23000000</v>
      </c>
      <c r="G36" s="6" t="str">
        <f t="shared" si="1"/>
        <v/>
      </c>
      <c r="H36" s="4">
        <v>4700000</v>
      </c>
      <c r="I36" s="6" t="str">
        <f t="shared" si="2"/>
        <v/>
      </c>
      <c r="J36" s="4">
        <v>1100000</v>
      </c>
      <c r="K36" s="6" t="str">
        <f t="shared" si="3"/>
        <v/>
      </c>
      <c r="L36" s="6">
        <v>59</v>
      </c>
      <c r="M36" s="6" t="str">
        <f t="shared" si="4"/>
        <v/>
      </c>
      <c r="N36" s="6"/>
      <c r="O36" s="6" t="str">
        <f t="shared" si="5"/>
        <v/>
      </c>
      <c r="Q36" s="6">
        <v>1</v>
      </c>
      <c r="R36" s="6">
        <v>1</v>
      </c>
      <c r="S36" s="6">
        <v>12</v>
      </c>
      <c r="T36" s="6"/>
      <c r="U36" s="6">
        <f t="shared" si="6"/>
        <v>90720</v>
      </c>
      <c r="V36" s="6" t="str">
        <f t="shared" si="7"/>
        <v/>
      </c>
    </row>
    <row r="37" spans="2:22" x14ac:dyDescent="0.3">
      <c r="B37" s="64" t="s">
        <v>35</v>
      </c>
      <c r="C37" s="151">
        <v>32</v>
      </c>
      <c r="D37" s="4">
        <v>23000000</v>
      </c>
      <c r="E37" s="6" t="str">
        <f t="shared" si="0"/>
        <v/>
      </c>
      <c r="F37" s="4">
        <v>23000000</v>
      </c>
      <c r="G37" s="6" t="str">
        <f t="shared" si="1"/>
        <v/>
      </c>
      <c r="H37" s="4">
        <v>4700000</v>
      </c>
      <c r="I37" s="6" t="str">
        <f t="shared" si="2"/>
        <v/>
      </c>
      <c r="J37" s="4">
        <v>1100000</v>
      </c>
      <c r="K37" s="6" t="str">
        <f t="shared" si="3"/>
        <v/>
      </c>
      <c r="L37" s="6">
        <v>59</v>
      </c>
      <c r="M37" s="6" t="str">
        <f t="shared" si="4"/>
        <v/>
      </c>
      <c r="N37" s="6"/>
      <c r="O37" s="6" t="str">
        <f t="shared" si="5"/>
        <v/>
      </c>
      <c r="Q37" s="6">
        <v>1</v>
      </c>
      <c r="R37" s="6">
        <v>1</v>
      </c>
      <c r="S37" s="6">
        <v>12</v>
      </c>
      <c r="T37" s="6"/>
      <c r="U37" s="6">
        <f t="shared" si="6"/>
        <v>90720</v>
      </c>
      <c r="V37" s="6" t="str">
        <f t="shared" si="7"/>
        <v/>
      </c>
    </row>
    <row r="38" spans="2:22" x14ac:dyDescent="0.3">
      <c r="B38" s="64" t="s">
        <v>36</v>
      </c>
      <c r="C38" s="151">
        <v>33</v>
      </c>
      <c r="D38" s="4">
        <v>23000000</v>
      </c>
      <c r="E38" s="6" t="str">
        <f t="shared" ref="E38:E69" si="8">IF($C38&gt;VLOOKUP(LancerDesired,$B$6:$C$85,2,FALSE),"",IF($C38&gt;VLOOKUP(LancerCurrent,$B$5:$C$85,2,FALSE),D38,""))</f>
        <v/>
      </c>
      <c r="F38" s="4">
        <v>23000000</v>
      </c>
      <c r="G38" s="6" t="str">
        <f t="shared" ref="G38:G69" si="9">IF($C38&gt;VLOOKUP(LancerDesired,$B$6:$C$85,2,FALSE),"",IF($C38&gt;VLOOKUP(LancerCurrent,$B$5:$C$85,2,FALSE),F38,""))</f>
        <v/>
      </c>
      <c r="H38" s="4">
        <v>4700000</v>
      </c>
      <c r="I38" s="6" t="str">
        <f t="shared" ref="I38:I69" si="10">IF($C38&gt;VLOOKUP(LancerDesired,$B$6:$C$85,2,FALSE),"",IF($C38&gt;VLOOKUP(LancerCurrent,$B$5:$C$85,2,FALSE),H38,""))</f>
        <v/>
      </c>
      <c r="J38" s="4">
        <v>1100000</v>
      </c>
      <c r="K38" s="6" t="str">
        <f t="shared" ref="K38:K69" si="11">IF($C38&gt;VLOOKUP(LancerDesired,$B$6:$C$85,2,FALSE),"",IF($C38&gt;VLOOKUP(LancerCurrent,$B$5:$C$85,2,FALSE),J38,""))</f>
        <v/>
      </c>
      <c r="L38" s="6">
        <v>59</v>
      </c>
      <c r="M38" s="6" t="str">
        <f t="shared" ref="M38:M69" si="12">IF($C38&gt;VLOOKUP(LancerDesired,$B$6:$C$85,2,FALSE),"",IF($C38&gt;VLOOKUP(LancerCurrent,$B$5:$C$85,2,FALSE),L38,""))</f>
        <v/>
      </c>
      <c r="N38" s="6"/>
      <c r="O38" s="6" t="str">
        <f t="shared" ref="O38:O69" si="13">IF($C38&gt;VLOOKUP(LancerDesired,$B$6:$C$85,2,FALSE),"",IF($C38&gt;VLOOKUP(LancerCurrent,$B$5:$C$85,2,FALSE),N38,""))</f>
        <v/>
      </c>
      <c r="Q38" s="6">
        <v>1</v>
      </c>
      <c r="R38" s="6">
        <v>1</v>
      </c>
      <c r="S38" s="6">
        <v>12</v>
      </c>
      <c r="T38" s="6"/>
      <c r="U38" s="6">
        <f t="shared" si="6"/>
        <v>90720</v>
      </c>
      <c r="V38" s="6" t="str">
        <f t="shared" ref="V38:V69" si="14">IF($C38&gt;VLOOKUP(LancerDesired,$B$6:$C$85,2,FALSE),"",IF($C38&gt;VLOOKUP(LancerCurrent,$B$5:$C$85,2,FALSE),U38,""))</f>
        <v/>
      </c>
    </row>
    <row r="39" spans="2:22" x14ac:dyDescent="0.3">
      <c r="B39" s="64" t="s">
        <v>37</v>
      </c>
      <c r="C39" s="151">
        <v>34</v>
      </c>
      <c r="D39" s="4">
        <v>23000000</v>
      </c>
      <c r="E39" s="6" t="str">
        <f t="shared" si="8"/>
        <v/>
      </c>
      <c r="F39" s="4">
        <v>23000000</v>
      </c>
      <c r="G39" s="6" t="str">
        <f t="shared" si="9"/>
        <v/>
      </c>
      <c r="H39" s="4">
        <v>4700000</v>
      </c>
      <c r="I39" s="6" t="str">
        <f t="shared" si="10"/>
        <v/>
      </c>
      <c r="J39" s="4">
        <v>1100000</v>
      </c>
      <c r="K39" s="6" t="str">
        <f t="shared" si="11"/>
        <v/>
      </c>
      <c r="L39" s="6">
        <v>59</v>
      </c>
      <c r="M39" s="6" t="str">
        <f t="shared" si="12"/>
        <v/>
      </c>
      <c r="N39" s="6"/>
      <c r="O39" s="6" t="str">
        <f t="shared" si="13"/>
        <v/>
      </c>
      <c r="Q39" s="6">
        <v>1</v>
      </c>
      <c r="R39" s="6">
        <v>1</v>
      </c>
      <c r="S39" s="6">
        <v>12</v>
      </c>
      <c r="T39" s="6"/>
      <c r="U39" s="6">
        <f t="shared" si="6"/>
        <v>90720</v>
      </c>
      <c r="V39" s="6" t="str">
        <f t="shared" si="14"/>
        <v/>
      </c>
    </row>
    <row r="40" spans="2:22" x14ac:dyDescent="0.3">
      <c r="B40" s="64" t="s">
        <v>38</v>
      </c>
      <c r="C40" s="151">
        <v>35</v>
      </c>
      <c r="D40" s="4">
        <v>23000000</v>
      </c>
      <c r="E40" s="6" t="str">
        <f t="shared" si="8"/>
        <v/>
      </c>
      <c r="F40" s="4">
        <v>23000000</v>
      </c>
      <c r="G40" s="6" t="str">
        <f t="shared" si="9"/>
        <v/>
      </c>
      <c r="H40" s="4">
        <v>4700000</v>
      </c>
      <c r="I40" s="6" t="str">
        <f t="shared" si="10"/>
        <v/>
      </c>
      <c r="J40" s="4">
        <v>1100000</v>
      </c>
      <c r="K40" s="6" t="str">
        <f t="shared" si="11"/>
        <v/>
      </c>
      <c r="L40" s="6">
        <v>59</v>
      </c>
      <c r="M40" s="6" t="str">
        <f t="shared" si="12"/>
        <v/>
      </c>
      <c r="N40" s="6"/>
      <c r="O40" s="6" t="str">
        <f t="shared" si="13"/>
        <v/>
      </c>
      <c r="Q40" s="6">
        <v>1</v>
      </c>
      <c r="R40" s="6">
        <v>1</v>
      </c>
      <c r="S40" s="6">
        <v>12</v>
      </c>
      <c r="T40" s="6"/>
      <c r="U40" s="6">
        <f t="shared" si="6"/>
        <v>90720</v>
      </c>
      <c r="V40" s="6" t="str">
        <f t="shared" si="14"/>
        <v/>
      </c>
    </row>
    <row r="41" spans="2:22" x14ac:dyDescent="0.3">
      <c r="B41" s="64" t="s">
        <v>39</v>
      </c>
      <c r="C41" s="151">
        <v>36</v>
      </c>
      <c r="D41" s="4">
        <v>25000000</v>
      </c>
      <c r="E41" s="6" t="str">
        <f t="shared" si="8"/>
        <v/>
      </c>
      <c r="F41" s="4">
        <v>25000000</v>
      </c>
      <c r="G41" s="6" t="str">
        <f t="shared" si="9"/>
        <v/>
      </c>
      <c r="H41" s="4">
        <v>5000000</v>
      </c>
      <c r="I41" s="6" t="str">
        <f t="shared" si="10"/>
        <v/>
      </c>
      <c r="J41" s="4">
        <v>1200000</v>
      </c>
      <c r="K41" s="6" t="str">
        <f t="shared" si="11"/>
        <v/>
      </c>
      <c r="L41" s="6">
        <v>71</v>
      </c>
      <c r="M41" s="6" t="str">
        <f t="shared" si="12"/>
        <v/>
      </c>
      <c r="N41" s="6"/>
      <c r="O41" s="6" t="str">
        <f t="shared" si="13"/>
        <v/>
      </c>
      <c r="Q41" s="6">
        <v>1</v>
      </c>
      <c r="R41" s="6">
        <v>8</v>
      </c>
      <c r="S41" s="6">
        <v>24</v>
      </c>
      <c r="T41" s="6"/>
      <c r="U41" s="6">
        <f t="shared" si="6"/>
        <v>116640</v>
      </c>
      <c r="V41" s="6" t="str">
        <f t="shared" si="14"/>
        <v/>
      </c>
    </row>
    <row r="42" spans="2:22" x14ac:dyDescent="0.3">
      <c r="B42" s="64" t="s">
        <v>40</v>
      </c>
      <c r="C42" s="151">
        <v>37</v>
      </c>
      <c r="D42" s="4">
        <v>25000000</v>
      </c>
      <c r="E42" s="6" t="str">
        <f t="shared" si="8"/>
        <v/>
      </c>
      <c r="F42" s="4">
        <v>25000000</v>
      </c>
      <c r="G42" s="6" t="str">
        <f t="shared" si="9"/>
        <v/>
      </c>
      <c r="H42" s="4">
        <v>5000000</v>
      </c>
      <c r="I42" s="6" t="str">
        <f t="shared" si="10"/>
        <v/>
      </c>
      <c r="J42" s="4">
        <v>1200000</v>
      </c>
      <c r="K42" s="6" t="str">
        <f t="shared" si="11"/>
        <v/>
      </c>
      <c r="L42" s="6">
        <v>71</v>
      </c>
      <c r="M42" s="6" t="str">
        <f t="shared" si="12"/>
        <v/>
      </c>
      <c r="N42" s="6"/>
      <c r="O42" s="6" t="str">
        <f t="shared" si="13"/>
        <v/>
      </c>
      <c r="Q42" s="6">
        <v>1</v>
      </c>
      <c r="R42" s="6">
        <v>8</v>
      </c>
      <c r="S42" s="6">
        <v>24</v>
      </c>
      <c r="T42" s="6"/>
      <c r="U42" s="6">
        <f t="shared" si="6"/>
        <v>116640</v>
      </c>
      <c r="V42" s="6" t="str">
        <f t="shared" si="14"/>
        <v/>
      </c>
    </row>
    <row r="43" spans="2:22" x14ac:dyDescent="0.3">
      <c r="B43" s="64" t="s">
        <v>41</v>
      </c>
      <c r="C43" s="151">
        <v>38</v>
      </c>
      <c r="D43" s="4">
        <v>25000000</v>
      </c>
      <c r="E43" s="6" t="str">
        <f t="shared" si="8"/>
        <v/>
      </c>
      <c r="F43" s="4">
        <v>25000000</v>
      </c>
      <c r="G43" s="6" t="str">
        <f t="shared" si="9"/>
        <v/>
      </c>
      <c r="H43" s="4">
        <v>5000000</v>
      </c>
      <c r="I43" s="6" t="str">
        <f t="shared" si="10"/>
        <v/>
      </c>
      <c r="J43" s="4">
        <v>1200000</v>
      </c>
      <c r="K43" s="6" t="str">
        <f t="shared" si="11"/>
        <v/>
      </c>
      <c r="L43" s="6">
        <v>71</v>
      </c>
      <c r="M43" s="6" t="str">
        <f t="shared" si="12"/>
        <v/>
      </c>
      <c r="N43" s="6"/>
      <c r="O43" s="6" t="str">
        <f t="shared" si="13"/>
        <v/>
      </c>
      <c r="Q43" s="6">
        <v>1</v>
      </c>
      <c r="R43" s="6">
        <v>8</v>
      </c>
      <c r="S43" s="6">
        <v>24</v>
      </c>
      <c r="T43" s="6"/>
      <c r="U43" s="6">
        <f t="shared" si="6"/>
        <v>116640</v>
      </c>
      <c r="V43" s="6" t="str">
        <f t="shared" si="14"/>
        <v/>
      </c>
    </row>
    <row r="44" spans="2:22" x14ac:dyDescent="0.3">
      <c r="B44" s="64" t="s">
        <v>42</v>
      </c>
      <c r="C44" s="151">
        <v>39</v>
      </c>
      <c r="D44" s="4">
        <v>25000000</v>
      </c>
      <c r="E44" s="6" t="str">
        <f t="shared" si="8"/>
        <v/>
      </c>
      <c r="F44" s="4">
        <v>25000000</v>
      </c>
      <c r="G44" s="6" t="str">
        <f t="shared" si="9"/>
        <v/>
      </c>
      <c r="H44" s="4">
        <v>5000000</v>
      </c>
      <c r="I44" s="6" t="str">
        <f t="shared" si="10"/>
        <v/>
      </c>
      <c r="J44" s="4">
        <v>1200000</v>
      </c>
      <c r="K44" s="6" t="str">
        <f t="shared" si="11"/>
        <v/>
      </c>
      <c r="L44" s="6">
        <v>71</v>
      </c>
      <c r="M44" s="6" t="str">
        <f t="shared" si="12"/>
        <v/>
      </c>
      <c r="N44" s="6"/>
      <c r="O44" s="6" t="str">
        <f t="shared" si="13"/>
        <v/>
      </c>
      <c r="Q44" s="6">
        <v>1</v>
      </c>
      <c r="R44" s="6">
        <v>8</v>
      </c>
      <c r="S44" s="6">
        <v>24</v>
      </c>
      <c r="T44" s="6"/>
      <c r="U44" s="6">
        <f t="shared" si="6"/>
        <v>116640</v>
      </c>
      <c r="V44" s="6" t="str">
        <f t="shared" si="14"/>
        <v/>
      </c>
    </row>
    <row r="45" spans="2:22" x14ac:dyDescent="0.3">
      <c r="B45" s="64" t="s">
        <v>43</v>
      </c>
      <c r="C45" s="151">
        <v>40</v>
      </c>
      <c r="D45" s="4">
        <v>25000000</v>
      </c>
      <c r="E45" s="6" t="str">
        <f t="shared" si="8"/>
        <v/>
      </c>
      <c r="F45" s="4">
        <v>25000000</v>
      </c>
      <c r="G45" s="6" t="str">
        <f t="shared" si="9"/>
        <v/>
      </c>
      <c r="H45" s="4">
        <v>5000000</v>
      </c>
      <c r="I45" s="6" t="str">
        <f t="shared" si="10"/>
        <v/>
      </c>
      <c r="J45" s="4">
        <v>1200000</v>
      </c>
      <c r="K45" s="6" t="str">
        <f t="shared" si="11"/>
        <v/>
      </c>
      <c r="L45" s="6">
        <v>71</v>
      </c>
      <c r="M45" s="6" t="str">
        <f t="shared" si="12"/>
        <v/>
      </c>
      <c r="N45" s="6"/>
      <c r="O45" s="6" t="str">
        <f t="shared" si="13"/>
        <v/>
      </c>
      <c r="Q45" s="6">
        <v>1</v>
      </c>
      <c r="R45" s="6">
        <v>8</v>
      </c>
      <c r="S45" s="6">
        <v>24</v>
      </c>
      <c r="T45" s="6"/>
      <c r="U45" s="6">
        <f t="shared" si="6"/>
        <v>116640</v>
      </c>
      <c r="V45" s="6" t="str">
        <f t="shared" si="14"/>
        <v/>
      </c>
    </row>
    <row r="46" spans="2:22" x14ac:dyDescent="0.3">
      <c r="B46" s="64" t="s">
        <v>44</v>
      </c>
      <c r="C46" s="151">
        <v>41</v>
      </c>
      <c r="D46" s="4">
        <v>27000000</v>
      </c>
      <c r="E46" s="6" t="str">
        <f t="shared" si="8"/>
        <v/>
      </c>
      <c r="F46" s="4">
        <v>27000000</v>
      </c>
      <c r="G46" s="6" t="str">
        <f t="shared" si="9"/>
        <v/>
      </c>
      <c r="H46" s="4">
        <v>5500000</v>
      </c>
      <c r="I46" s="6" t="str">
        <f t="shared" si="10"/>
        <v/>
      </c>
      <c r="J46" s="4">
        <v>1300000</v>
      </c>
      <c r="K46" s="6" t="str">
        <f t="shared" si="11"/>
        <v/>
      </c>
      <c r="L46" s="6">
        <v>107</v>
      </c>
      <c r="M46" s="6" t="str">
        <f t="shared" si="12"/>
        <v/>
      </c>
      <c r="N46" s="6"/>
      <c r="O46" s="6" t="str">
        <f t="shared" si="13"/>
        <v/>
      </c>
      <c r="Q46" s="6">
        <v>1</v>
      </c>
      <c r="R46" s="6">
        <v>15</v>
      </c>
      <c r="S46" s="6">
        <v>36</v>
      </c>
      <c r="T46" s="6"/>
      <c r="U46" s="6">
        <f t="shared" si="6"/>
        <v>142560</v>
      </c>
      <c r="V46" s="6" t="str">
        <f t="shared" si="14"/>
        <v/>
      </c>
    </row>
    <row r="47" spans="2:22" x14ac:dyDescent="0.3">
      <c r="B47" s="64" t="s">
        <v>45</v>
      </c>
      <c r="C47" s="151">
        <v>42</v>
      </c>
      <c r="D47" s="4">
        <v>27000000</v>
      </c>
      <c r="E47" s="6" t="str">
        <f t="shared" si="8"/>
        <v/>
      </c>
      <c r="F47" s="4">
        <v>27000000</v>
      </c>
      <c r="G47" s="6" t="str">
        <f t="shared" si="9"/>
        <v/>
      </c>
      <c r="H47" s="4">
        <v>5500000</v>
      </c>
      <c r="I47" s="6" t="str">
        <f t="shared" si="10"/>
        <v/>
      </c>
      <c r="J47" s="4">
        <v>1300000</v>
      </c>
      <c r="K47" s="6" t="str">
        <f t="shared" si="11"/>
        <v/>
      </c>
      <c r="L47" s="6">
        <v>107</v>
      </c>
      <c r="M47" s="6" t="str">
        <f t="shared" si="12"/>
        <v/>
      </c>
      <c r="N47" s="6"/>
      <c r="O47" s="6" t="str">
        <f t="shared" si="13"/>
        <v/>
      </c>
      <c r="Q47" s="6">
        <v>1</v>
      </c>
      <c r="R47" s="6">
        <v>15</v>
      </c>
      <c r="S47" s="6">
        <v>36</v>
      </c>
      <c r="T47" s="6"/>
      <c r="U47" s="6">
        <f t="shared" si="6"/>
        <v>142560</v>
      </c>
      <c r="V47" s="6" t="str">
        <f t="shared" si="14"/>
        <v/>
      </c>
    </row>
    <row r="48" spans="2:22" x14ac:dyDescent="0.3">
      <c r="B48" s="64" t="s">
        <v>46</v>
      </c>
      <c r="C48" s="151">
        <v>43</v>
      </c>
      <c r="D48" s="4">
        <v>27000000</v>
      </c>
      <c r="E48" s="6" t="str">
        <f t="shared" si="8"/>
        <v/>
      </c>
      <c r="F48" s="4">
        <v>27000000</v>
      </c>
      <c r="G48" s="6" t="str">
        <f t="shared" si="9"/>
        <v/>
      </c>
      <c r="H48" s="4">
        <v>5500000</v>
      </c>
      <c r="I48" s="6" t="str">
        <f t="shared" si="10"/>
        <v/>
      </c>
      <c r="J48" s="4">
        <v>1300000</v>
      </c>
      <c r="K48" s="6" t="str">
        <f t="shared" si="11"/>
        <v/>
      </c>
      <c r="L48" s="6">
        <v>107</v>
      </c>
      <c r="M48" s="6" t="str">
        <f t="shared" si="12"/>
        <v/>
      </c>
      <c r="N48" s="6"/>
      <c r="O48" s="6" t="str">
        <f t="shared" si="13"/>
        <v/>
      </c>
      <c r="Q48" s="6">
        <v>1</v>
      </c>
      <c r="R48" s="6">
        <v>15</v>
      </c>
      <c r="S48" s="6">
        <v>36</v>
      </c>
      <c r="T48" s="6"/>
      <c r="U48" s="6">
        <f t="shared" si="6"/>
        <v>142560</v>
      </c>
      <c r="V48" s="6" t="str">
        <f t="shared" si="14"/>
        <v/>
      </c>
    </row>
    <row r="49" spans="2:22" x14ac:dyDescent="0.3">
      <c r="B49" s="64" t="s">
        <v>47</v>
      </c>
      <c r="C49" s="151">
        <v>44</v>
      </c>
      <c r="D49" s="4">
        <v>27000000</v>
      </c>
      <c r="E49" s="6" t="str">
        <f t="shared" si="8"/>
        <v/>
      </c>
      <c r="F49" s="4">
        <v>27000000</v>
      </c>
      <c r="G49" s="6" t="str">
        <f t="shared" si="9"/>
        <v/>
      </c>
      <c r="H49" s="4">
        <v>5500000</v>
      </c>
      <c r="I49" s="6" t="str">
        <f t="shared" si="10"/>
        <v/>
      </c>
      <c r="J49" s="4">
        <v>1300000</v>
      </c>
      <c r="K49" s="6" t="str">
        <f t="shared" si="11"/>
        <v/>
      </c>
      <c r="L49" s="6">
        <v>107</v>
      </c>
      <c r="M49" s="6" t="str">
        <f t="shared" si="12"/>
        <v/>
      </c>
      <c r="N49" s="6"/>
      <c r="O49" s="6" t="str">
        <f t="shared" si="13"/>
        <v/>
      </c>
      <c r="Q49" s="6">
        <v>1</v>
      </c>
      <c r="R49" s="6">
        <v>15</v>
      </c>
      <c r="S49" s="6">
        <v>36</v>
      </c>
      <c r="T49" s="6"/>
      <c r="U49" s="6">
        <f t="shared" si="6"/>
        <v>142560</v>
      </c>
      <c r="V49" s="6" t="str">
        <f t="shared" si="14"/>
        <v/>
      </c>
    </row>
    <row r="50" spans="2:22" x14ac:dyDescent="0.3">
      <c r="B50" s="64" t="s">
        <v>48</v>
      </c>
      <c r="C50" s="151">
        <v>45</v>
      </c>
      <c r="D50" s="4">
        <v>27000000</v>
      </c>
      <c r="E50" s="6" t="str">
        <f t="shared" si="8"/>
        <v/>
      </c>
      <c r="F50" s="4">
        <v>27000000</v>
      </c>
      <c r="G50" s="6" t="str">
        <f t="shared" si="9"/>
        <v/>
      </c>
      <c r="H50" s="4">
        <v>5500000</v>
      </c>
      <c r="I50" s="6" t="str">
        <f t="shared" si="10"/>
        <v/>
      </c>
      <c r="J50" s="4">
        <v>1300000</v>
      </c>
      <c r="K50" s="6" t="str">
        <f t="shared" si="11"/>
        <v/>
      </c>
      <c r="L50" s="6">
        <v>107</v>
      </c>
      <c r="M50" s="6" t="str">
        <f t="shared" si="12"/>
        <v/>
      </c>
      <c r="N50" s="6"/>
      <c r="O50" s="6" t="str">
        <f t="shared" si="13"/>
        <v/>
      </c>
      <c r="Q50" s="6">
        <v>1</v>
      </c>
      <c r="R50" s="6">
        <v>15</v>
      </c>
      <c r="S50" s="6">
        <v>36</v>
      </c>
      <c r="T50" s="6"/>
      <c r="U50" s="6">
        <f t="shared" si="6"/>
        <v>142560</v>
      </c>
      <c r="V50" s="6" t="str">
        <f t="shared" si="14"/>
        <v/>
      </c>
    </row>
    <row r="51" spans="2:22" x14ac:dyDescent="0.3">
      <c r="B51" s="64" t="s">
        <v>49</v>
      </c>
      <c r="C51" s="151">
        <v>46</v>
      </c>
      <c r="D51" s="4">
        <v>28000000</v>
      </c>
      <c r="E51" s="6" t="str">
        <f t="shared" si="8"/>
        <v/>
      </c>
      <c r="F51" s="4">
        <v>28000000</v>
      </c>
      <c r="G51" s="6" t="str">
        <f t="shared" si="9"/>
        <v/>
      </c>
      <c r="H51" s="4">
        <v>5700000</v>
      </c>
      <c r="I51" s="6" t="str">
        <f t="shared" si="10"/>
        <v/>
      </c>
      <c r="J51" s="4">
        <v>1400000</v>
      </c>
      <c r="K51" s="6" t="str">
        <f t="shared" si="11"/>
        <v/>
      </c>
      <c r="L51" s="6">
        <v>126</v>
      </c>
      <c r="M51" s="6" t="str">
        <f t="shared" si="12"/>
        <v/>
      </c>
      <c r="N51" s="6"/>
      <c r="O51" s="6" t="str">
        <f t="shared" si="13"/>
        <v/>
      </c>
      <c r="Q51" s="6">
        <v>1</v>
      </c>
      <c r="R51" s="6">
        <v>19</v>
      </c>
      <c r="S51" s="6">
        <v>12</v>
      </c>
      <c r="T51" s="6"/>
      <c r="U51" s="6">
        <f t="shared" si="6"/>
        <v>155520</v>
      </c>
      <c r="V51" s="6" t="str">
        <f t="shared" si="14"/>
        <v/>
      </c>
    </row>
    <row r="52" spans="2:22" x14ac:dyDescent="0.3">
      <c r="B52" s="64" t="s">
        <v>50</v>
      </c>
      <c r="C52" s="151">
        <v>47</v>
      </c>
      <c r="D52" s="4">
        <v>28000000</v>
      </c>
      <c r="E52" s="6" t="str">
        <f t="shared" si="8"/>
        <v/>
      </c>
      <c r="F52" s="4">
        <v>28000000</v>
      </c>
      <c r="G52" s="6" t="str">
        <f t="shared" si="9"/>
        <v/>
      </c>
      <c r="H52" s="4">
        <v>5700000</v>
      </c>
      <c r="I52" s="6" t="str">
        <f t="shared" si="10"/>
        <v/>
      </c>
      <c r="J52" s="4">
        <v>1400000</v>
      </c>
      <c r="K52" s="6" t="str">
        <f t="shared" si="11"/>
        <v/>
      </c>
      <c r="L52" s="6">
        <v>126</v>
      </c>
      <c r="M52" s="6" t="str">
        <f t="shared" si="12"/>
        <v/>
      </c>
      <c r="N52" s="6"/>
      <c r="O52" s="6" t="str">
        <f t="shared" si="13"/>
        <v/>
      </c>
      <c r="Q52" s="6">
        <v>1</v>
      </c>
      <c r="R52" s="6">
        <v>19</v>
      </c>
      <c r="S52" s="6">
        <v>12</v>
      </c>
      <c r="T52" s="6"/>
      <c r="U52" s="6">
        <f t="shared" si="6"/>
        <v>155520</v>
      </c>
      <c r="V52" s="6" t="str">
        <f t="shared" si="14"/>
        <v/>
      </c>
    </row>
    <row r="53" spans="2:22" x14ac:dyDescent="0.3">
      <c r="B53" s="64" t="s">
        <v>51</v>
      </c>
      <c r="C53" s="151">
        <v>48</v>
      </c>
      <c r="D53" s="4">
        <v>28000000</v>
      </c>
      <c r="E53" s="6" t="str">
        <f t="shared" si="8"/>
        <v/>
      </c>
      <c r="F53" s="4">
        <v>28000000</v>
      </c>
      <c r="G53" s="6" t="str">
        <f t="shared" si="9"/>
        <v/>
      </c>
      <c r="H53" s="4">
        <v>5700000</v>
      </c>
      <c r="I53" s="6" t="str">
        <f t="shared" si="10"/>
        <v/>
      </c>
      <c r="J53" s="4">
        <v>1400000</v>
      </c>
      <c r="K53" s="6" t="str">
        <f t="shared" si="11"/>
        <v/>
      </c>
      <c r="L53" s="6">
        <v>126</v>
      </c>
      <c r="M53" s="6" t="str">
        <f t="shared" si="12"/>
        <v/>
      </c>
      <c r="N53" s="6"/>
      <c r="O53" s="6" t="str">
        <f t="shared" si="13"/>
        <v/>
      </c>
      <c r="Q53" s="6">
        <v>1</v>
      </c>
      <c r="R53" s="6">
        <v>19</v>
      </c>
      <c r="S53" s="6">
        <v>12</v>
      </c>
      <c r="T53" s="6"/>
      <c r="U53" s="6">
        <f t="shared" si="6"/>
        <v>155520</v>
      </c>
      <c r="V53" s="6" t="str">
        <f t="shared" si="14"/>
        <v/>
      </c>
    </row>
    <row r="54" spans="2:22" x14ac:dyDescent="0.3">
      <c r="B54" s="64" t="s">
        <v>52</v>
      </c>
      <c r="C54" s="151">
        <v>49</v>
      </c>
      <c r="D54" s="4">
        <v>28000000</v>
      </c>
      <c r="E54" s="6" t="str">
        <f t="shared" si="8"/>
        <v/>
      </c>
      <c r="F54" s="4">
        <v>28000000</v>
      </c>
      <c r="G54" s="6" t="str">
        <f t="shared" si="9"/>
        <v/>
      </c>
      <c r="H54" s="4">
        <v>5700000</v>
      </c>
      <c r="I54" s="6" t="str">
        <f t="shared" si="10"/>
        <v/>
      </c>
      <c r="J54" s="4">
        <v>1400000</v>
      </c>
      <c r="K54" s="6" t="str">
        <f t="shared" si="11"/>
        <v/>
      </c>
      <c r="L54" s="6">
        <v>126</v>
      </c>
      <c r="M54" s="6" t="str">
        <f t="shared" si="12"/>
        <v/>
      </c>
      <c r="N54" s="6"/>
      <c r="O54" s="6" t="str">
        <f t="shared" si="13"/>
        <v/>
      </c>
      <c r="Q54" s="6">
        <v>1</v>
      </c>
      <c r="R54" s="6">
        <v>19</v>
      </c>
      <c r="S54" s="6">
        <v>12</v>
      </c>
      <c r="T54" s="6"/>
      <c r="U54" s="6">
        <f t="shared" si="6"/>
        <v>155520</v>
      </c>
      <c r="V54" s="6" t="str">
        <f t="shared" si="14"/>
        <v/>
      </c>
    </row>
    <row r="55" spans="2:22" x14ac:dyDescent="0.3">
      <c r="B55" s="64" t="s">
        <v>53</v>
      </c>
      <c r="C55" s="151">
        <v>50</v>
      </c>
      <c r="D55" s="4">
        <v>28000000</v>
      </c>
      <c r="E55" s="6" t="str">
        <f t="shared" si="8"/>
        <v/>
      </c>
      <c r="F55" s="4">
        <v>28000000</v>
      </c>
      <c r="G55" s="6" t="str">
        <f t="shared" si="9"/>
        <v/>
      </c>
      <c r="H55" s="4">
        <v>5700000</v>
      </c>
      <c r="I55" s="6" t="str">
        <f t="shared" si="10"/>
        <v/>
      </c>
      <c r="J55" s="4">
        <v>1400000</v>
      </c>
      <c r="K55" s="6" t="str">
        <f t="shared" si="11"/>
        <v/>
      </c>
      <c r="L55" s="6">
        <v>126</v>
      </c>
      <c r="M55" s="6" t="str">
        <f t="shared" si="12"/>
        <v/>
      </c>
      <c r="N55" s="6"/>
      <c r="O55" s="6" t="str">
        <f t="shared" si="13"/>
        <v/>
      </c>
      <c r="Q55" s="6">
        <v>1</v>
      </c>
      <c r="R55" s="6">
        <v>19</v>
      </c>
      <c r="S55" s="6">
        <v>12</v>
      </c>
      <c r="T55" s="6"/>
      <c r="U55" s="6">
        <f t="shared" si="6"/>
        <v>155520</v>
      </c>
      <c r="V55" s="6" t="str">
        <f t="shared" si="14"/>
        <v/>
      </c>
    </row>
    <row r="56" spans="2:22" x14ac:dyDescent="0.3">
      <c r="B56" s="64" t="s">
        <v>54</v>
      </c>
      <c r="C56" s="151">
        <v>51</v>
      </c>
      <c r="D56" s="4">
        <v>29000000</v>
      </c>
      <c r="E56" s="6" t="str">
        <f t="shared" si="8"/>
        <v/>
      </c>
      <c r="F56" s="4">
        <v>29000000</v>
      </c>
      <c r="G56" s="6" t="str">
        <f t="shared" si="9"/>
        <v/>
      </c>
      <c r="H56" s="4">
        <v>5900000</v>
      </c>
      <c r="I56" s="6" t="str">
        <f t="shared" si="10"/>
        <v/>
      </c>
      <c r="J56" s="4">
        <v>1400000</v>
      </c>
      <c r="K56" s="6" t="str">
        <f t="shared" si="11"/>
        <v/>
      </c>
      <c r="L56" s="6">
        <v>150</v>
      </c>
      <c r="M56" s="6" t="str">
        <f t="shared" si="12"/>
        <v/>
      </c>
      <c r="N56" s="6"/>
      <c r="O56" s="6" t="str">
        <f t="shared" si="13"/>
        <v/>
      </c>
      <c r="Q56" s="6">
        <v>2</v>
      </c>
      <c r="R56" s="6">
        <v>2</v>
      </c>
      <c r="S56" s="6">
        <v>24</v>
      </c>
      <c r="T56" s="6"/>
      <c r="U56" s="6">
        <f t="shared" si="6"/>
        <v>181440</v>
      </c>
      <c r="V56" s="6" t="str">
        <f t="shared" si="14"/>
        <v/>
      </c>
    </row>
    <row r="57" spans="2:22" x14ac:dyDescent="0.3">
      <c r="B57" s="64" t="s">
        <v>55</v>
      </c>
      <c r="C57" s="151">
        <v>52</v>
      </c>
      <c r="D57" s="4">
        <v>29000000</v>
      </c>
      <c r="E57" s="6" t="str">
        <f t="shared" si="8"/>
        <v/>
      </c>
      <c r="F57" s="4">
        <v>29000000</v>
      </c>
      <c r="G57" s="6" t="str">
        <f t="shared" si="9"/>
        <v/>
      </c>
      <c r="H57" s="4">
        <v>5900000</v>
      </c>
      <c r="I57" s="6" t="str">
        <f t="shared" si="10"/>
        <v/>
      </c>
      <c r="J57" s="4">
        <v>1400000</v>
      </c>
      <c r="K57" s="6" t="str">
        <f t="shared" si="11"/>
        <v/>
      </c>
      <c r="L57" s="6">
        <v>150</v>
      </c>
      <c r="M57" s="6" t="str">
        <f t="shared" si="12"/>
        <v/>
      </c>
      <c r="N57" s="6"/>
      <c r="O57" s="6" t="str">
        <f t="shared" si="13"/>
        <v/>
      </c>
      <c r="Q57" s="6">
        <v>2</v>
      </c>
      <c r="R57" s="6">
        <v>2</v>
      </c>
      <c r="S57" s="6">
        <v>24</v>
      </c>
      <c r="T57" s="6"/>
      <c r="U57" s="6">
        <f t="shared" si="6"/>
        <v>181440</v>
      </c>
      <c r="V57" s="6" t="str">
        <f t="shared" si="14"/>
        <v/>
      </c>
    </row>
    <row r="58" spans="2:22" x14ac:dyDescent="0.3">
      <c r="B58" s="64" t="s">
        <v>56</v>
      </c>
      <c r="C58" s="151">
        <v>53</v>
      </c>
      <c r="D58" s="4">
        <v>29000000</v>
      </c>
      <c r="E58" s="6" t="str">
        <f t="shared" si="8"/>
        <v/>
      </c>
      <c r="F58" s="4">
        <v>29000000</v>
      </c>
      <c r="G58" s="6" t="str">
        <f t="shared" si="9"/>
        <v/>
      </c>
      <c r="H58" s="4">
        <v>5900000</v>
      </c>
      <c r="I58" s="6" t="str">
        <f t="shared" si="10"/>
        <v/>
      </c>
      <c r="J58" s="4">
        <v>1400000</v>
      </c>
      <c r="K58" s="6" t="str">
        <f t="shared" si="11"/>
        <v/>
      </c>
      <c r="L58" s="6">
        <v>150</v>
      </c>
      <c r="M58" s="6" t="str">
        <f t="shared" si="12"/>
        <v/>
      </c>
      <c r="N58" s="6"/>
      <c r="O58" s="6" t="str">
        <f t="shared" si="13"/>
        <v/>
      </c>
      <c r="Q58" s="6">
        <v>2</v>
      </c>
      <c r="R58" s="6">
        <v>2</v>
      </c>
      <c r="S58" s="6">
        <v>24</v>
      </c>
      <c r="T58" s="6"/>
      <c r="U58" s="6">
        <f t="shared" si="6"/>
        <v>181440</v>
      </c>
      <c r="V58" s="6" t="str">
        <f t="shared" si="14"/>
        <v/>
      </c>
    </row>
    <row r="59" spans="2:22" x14ac:dyDescent="0.3">
      <c r="B59" s="64" t="s">
        <v>57</v>
      </c>
      <c r="C59" s="151">
        <v>54</v>
      </c>
      <c r="D59" s="4">
        <v>29000000</v>
      </c>
      <c r="E59" s="6" t="str">
        <f t="shared" si="8"/>
        <v/>
      </c>
      <c r="F59" s="4">
        <v>29000000</v>
      </c>
      <c r="G59" s="6" t="str">
        <f t="shared" si="9"/>
        <v/>
      </c>
      <c r="H59" s="4">
        <v>5900000</v>
      </c>
      <c r="I59" s="6" t="str">
        <f t="shared" si="10"/>
        <v/>
      </c>
      <c r="J59" s="4">
        <v>1400000</v>
      </c>
      <c r="K59" s="6" t="str">
        <f t="shared" si="11"/>
        <v/>
      </c>
      <c r="L59" s="6">
        <v>150</v>
      </c>
      <c r="M59" s="6" t="str">
        <f t="shared" si="12"/>
        <v/>
      </c>
      <c r="N59" s="6"/>
      <c r="O59" s="6" t="str">
        <f t="shared" si="13"/>
        <v/>
      </c>
      <c r="Q59" s="6">
        <v>2</v>
      </c>
      <c r="R59" s="6">
        <v>2</v>
      </c>
      <c r="S59" s="6">
        <v>24</v>
      </c>
      <c r="T59" s="6"/>
      <c r="U59" s="6">
        <f t="shared" si="6"/>
        <v>181440</v>
      </c>
      <c r="V59" s="6" t="str">
        <f t="shared" si="14"/>
        <v/>
      </c>
    </row>
    <row r="60" spans="2:22" x14ac:dyDescent="0.3">
      <c r="B60" s="64" t="s">
        <v>58</v>
      </c>
      <c r="C60" s="151">
        <v>55</v>
      </c>
      <c r="D60" s="4">
        <v>29000000</v>
      </c>
      <c r="E60" s="6" t="str">
        <f t="shared" si="8"/>
        <v/>
      </c>
      <c r="F60" s="4">
        <v>29000000</v>
      </c>
      <c r="G60" s="6" t="str">
        <f t="shared" si="9"/>
        <v/>
      </c>
      <c r="H60" s="4">
        <v>5900000</v>
      </c>
      <c r="I60" s="6" t="str">
        <f t="shared" si="10"/>
        <v/>
      </c>
      <c r="J60" s="4">
        <v>1400000</v>
      </c>
      <c r="K60" s="6" t="str">
        <f t="shared" si="11"/>
        <v/>
      </c>
      <c r="L60" s="6">
        <v>150</v>
      </c>
      <c r="M60" s="6" t="str">
        <f t="shared" si="12"/>
        <v/>
      </c>
      <c r="N60" s="6"/>
      <c r="O60" s="6" t="str">
        <f t="shared" si="13"/>
        <v/>
      </c>
      <c r="Q60" s="6">
        <v>2</v>
      </c>
      <c r="R60" s="6">
        <v>2</v>
      </c>
      <c r="S60" s="6">
        <v>24</v>
      </c>
      <c r="T60" s="6"/>
      <c r="U60" s="6">
        <f t="shared" si="6"/>
        <v>181440</v>
      </c>
      <c r="V60" s="6" t="str">
        <f t="shared" si="14"/>
        <v/>
      </c>
    </row>
    <row r="61" spans="2:22" x14ac:dyDescent="0.3">
      <c r="B61" s="64" t="s">
        <v>230</v>
      </c>
      <c r="C61" s="151">
        <v>56</v>
      </c>
      <c r="D61" s="4">
        <v>33000000</v>
      </c>
      <c r="E61" s="6" t="str">
        <f t="shared" si="8"/>
        <v/>
      </c>
      <c r="F61" s="4">
        <v>33000000</v>
      </c>
      <c r="G61" s="6" t="str">
        <f t="shared" si="9"/>
        <v/>
      </c>
      <c r="H61" s="4">
        <v>6700000</v>
      </c>
      <c r="I61" s="6" t="str">
        <f t="shared" si="10"/>
        <v/>
      </c>
      <c r="J61" s="4">
        <v>1600000</v>
      </c>
      <c r="K61" s="6" t="str">
        <f t="shared" si="11"/>
        <v/>
      </c>
      <c r="L61" s="6">
        <v>90</v>
      </c>
      <c r="M61" s="6" t="str">
        <f t="shared" si="12"/>
        <v/>
      </c>
      <c r="N61" s="6">
        <v>4</v>
      </c>
      <c r="O61" s="6" t="str">
        <f t="shared" si="13"/>
        <v/>
      </c>
      <c r="Q61" s="6">
        <v>2</v>
      </c>
      <c r="R61" s="6">
        <v>6</v>
      </c>
      <c r="S61" s="6"/>
      <c r="T61" s="6"/>
      <c r="U61" s="6">
        <f t="shared" si="6"/>
        <v>194400</v>
      </c>
      <c r="V61" s="6" t="str">
        <f t="shared" si="14"/>
        <v/>
      </c>
    </row>
    <row r="62" spans="2:22" x14ac:dyDescent="0.3">
      <c r="B62" s="64" t="s">
        <v>231</v>
      </c>
      <c r="C62" s="151">
        <v>57</v>
      </c>
      <c r="D62" s="4">
        <v>33000000</v>
      </c>
      <c r="E62" s="6" t="str">
        <f t="shared" si="8"/>
        <v/>
      </c>
      <c r="F62" s="4">
        <v>33000000</v>
      </c>
      <c r="G62" s="6" t="str">
        <f t="shared" si="9"/>
        <v/>
      </c>
      <c r="H62" s="4">
        <v>6700000</v>
      </c>
      <c r="I62" s="6" t="str">
        <f t="shared" si="10"/>
        <v/>
      </c>
      <c r="J62" s="4">
        <v>1600000</v>
      </c>
      <c r="K62" s="6" t="str">
        <f t="shared" si="11"/>
        <v/>
      </c>
      <c r="L62" s="6">
        <v>90</v>
      </c>
      <c r="M62" s="6" t="str">
        <f t="shared" si="12"/>
        <v/>
      </c>
      <c r="N62" s="6">
        <v>4</v>
      </c>
      <c r="O62" s="6" t="str">
        <f t="shared" si="13"/>
        <v/>
      </c>
      <c r="Q62" s="6">
        <v>2</v>
      </c>
      <c r="R62" s="6">
        <v>6</v>
      </c>
      <c r="S62" s="6"/>
      <c r="T62" s="6"/>
      <c r="U62" s="6">
        <f t="shared" si="6"/>
        <v>194400</v>
      </c>
      <c r="V62" s="6" t="str">
        <f t="shared" si="14"/>
        <v/>
      </c>
    </row>
    <row r="63" spans="2:22" x14ac:dyDescent="0.3">
      <c r="B63" s="64" t="s">
        <v>232</v>
      </c>
      <c r="C63" s="151">
        <v>58</v>
      </c>
      <c r="D63" s="4">
        <v>33000000</v>
      </c>
      <c r="E63" s="6" t="str">
        <f t="shared" si="8"/>
        <v/>
      </c>
      <c r="F63" s="4">
        <v>33000000</v>
      </c>
      <c r="G63" s="6" t="str">
        <f t="shared" si="9"/>
        <v/>
      </c>
      <c r="H63" s="4">
        <v>6700000</v>
      </c>
      <c r="I63" s="6" t="str">
        <f t="shared" si="10"/>
        <v/>
      </c>
      <c r="J63" s="4">
        <v>1600000</v>
      </c>
      <c r="K63" s="6" t="str">
        <f t="shared" si="11"/>
        <v/>
      </c>
      <c r="L63" s="6">
        <v>90</v>
      </c>
      <c r="M63" s="6" t="str">
        <f t="shared" si="12"/>
        <v/>
      </c>
      <c r="N63" s="6">
        <v>4</v>
      </c>
      <c r="O63" s="6" t="str">
        <f t="shared" si="13"/>
        <v/>
      </c>
      <c r="Q63" s="6">
        <v>2</v>
      </c>
      <c r="R63" s="6">
        <v>6</v>
      </c>
      <c r="S63" s="6"/>
      <c r="T63" s="6"/>
      <c r="U63" s="6">
        <f t="shared" si="6"/>
        <v>194400</v>
      </c>
      <c r="V63" s="6" t="str">
        <f t="shared" si="14"/>
        <v/>
      </c>
    </row>
    <row r="64" spans="2:22" x14ac:dyDescent="0.3">
      <c r="B64" s="64" t="s">
        <v>233</v>
      </c>
      <c r="C64" s="151">
        <v>59</v>
      </c>
      <c r="D64" s="4">
        <v>33000000</v>
      </c>
      <c r="E64" s="6" t="str">
        <f t="shared" si="8"/>
        <v/>
      </c>
      <c r="F64" s="4">
        <v>33000000</v>
      </c>
      <c r="G64" s="6" t="str">
        <f t="shared" si="9"/>
        <v/>
      </c>
      <c r="H64" s="4">
        <v>6700000</v>
      </c>
      <c r="I64" s="6" t="str">
        <f t="shared" si="10"/>
        <v/>
      </c>
      <c r="J64" s="4">
        <v>1600000</v>
      </c>
      <c r="K64" s="6" t="str">
        <f t="shared" si="11"/>
        <v/>
      </c>
      <c r="L64" s="6">
        <v>90</v>
      </c>
      <c r="M64" s="6" t="str">
        <f t="shared" si="12"/>
        <v/>
      </c>
      <c r="N64" s="6">
        <v>4</v>
      </c>
      <c r="O64" s="6" t="str">
        <f t="shared" si="13"/>
        <v/>
      </c>
      <c r="Q64" s="6">
        <v>2</v>
      </c>
      <c r="R64" s="6">
        <v>6</v>
      </c>
      <c r="S64" s="6"/>
      <c r="T64" s="6"/>
      <c r="U64" s="6">
        <f t="shared" si="6"/>
        <v>194400</v>
      </c>
      <c r="V64" s="6" t="str">
        <f t="shared" si="14"/>
        <v/>
      </c>
    </row>
    <row r="65" spans="2:22" x14ac:dyDescent="0.3">
      <c r="B65" s="64" t="s">
        <v>234</v>
      </c>
      <c r="C65" s="151">
        <v>60</v>
      </c>
      <c r="D65" s="4">
        <v>33000000</v>
      </c>
      <c r="E65" s="6" t="str">
        <f t="shared" si="8"/>
        <v/>
      </c>
      <c r="F65" s="4">
        <v>33000000</v>
      </c>
      <c r="G65" s="6" t="str">
        <f t="shared" si="9"/>
        <v/>
      </c>
      <c r="H65" s="4">
        <v>6700000</v>
      </c>
      <c r="I65" s="6" t="str">
        <f t="shared" si="10"/>
        <v/>
      </c>
      <c r="J65" s="4">
        <v>1600000</v>
      </c>
      <c r="K65" s="6" t="str">
        <f t="shared" si="11"/>
        <v/>
      </c>
      <c r="L65" s="6">
        <v>45</v>
      </c>
      <c r="M65" s="6" t="str">
        <f t="shared" si="12"/>
        <v/>
      </c>
      <c r="N65" s="6">
        <v>9</v>
      </c>
      <c r="O65" s="6" t="str">
        <f t="shared" si="13"/>
        <v/>
      </c>
      <c r="Q65" s="6">
        <v>2</v>
      </c>
      <c r="R65" s="6">
        <v>6</v>
      </c>
      <c r="S65" s="6"/>
      <c r="T65" s="6"/>
      <c r="U65" s="6">
        <f t="shared" si="6"/>
        <v>194400</v>
      </c>
      <c r="V65" s="6" t="str">
        <f t="shared" si="14"/>
        <v/>
      </c>
    </row>
    <row r="66" spans="2:22" x14ac:dyDescent="0.3">
      <c r="B66" s="64" t="s">
        <v>235</v>
      </c>
      <c r="C66" s="151">
        <v>61</v>
      </c>
      <c r="D66" s="4">
        <v>38000000</v>
      </c>
      <c r="E66" s="6" t="str">
        <f t="shared" si="8"/>
        <v/>
      </c>
      <c r="F66" s="4">
        <v>38000000</v>
      </c>
      <c r="G66" s="6" t="str">
        <f t="shared" si="9"/>
        <v/>
      </c>
      <c r="H66" s="4">
        <v>7600000</v>
      </c>
      <c r="I66" s="6" t="str">
        <f t="shared" si="10"/>
        <v/>
      </c>
      <c r="J66" s="4">
        <v>1900000</v>
      </c>
      <c r="K66" s="6" t="str">
        <f t="shared" si="11"/>
        <v/>
      </c>
      <c r="L66" s="6">
        <v>108</v>
      </c>
      <c r="M66" s="6" t="str">
        <f t="shared" si="12"/>
        <v/>
      </c>
      <c r="N66" s="6">
        <v>6</v>
      </c>
      <c r="O66" s="6" t="str">
        <f t="shared" si="13"/>
        <v/>
      </c>
      <c r="Q66" s="6">
        <v>2</v>
      </c>
      <c r="R66" s="6">
        <v>16</v>
      </c>
      <c r="S66" s="6">
        <v>48</v>
      </c>
      <c r="T66" s="6"/>
      <c r="U66" s="6">
        <f t="shared" si="6"/>
        <v>233280</v>
      </c>
      <c r="V66" s="6" t="str">
        <f t="shared" si="14"/>
        <v/>
      </c>
    </row>
    <row r="67" spans="2:22" x14ac:dyDescent="0.3">
      <c r="B67" s="64" t="s">
        <v>236</v>
      </c>
      <c r="C67" s="151">
        <v>62</v>
      </c>
      <c r="D67" s="4">
        <v>38000000</v>
      </c>
      <c r="E67" s="6" t="str">
        <f t="shared" si="8"/>
        <v/>
      </c>
      <c r="F67" s="4">
        <v>38000000</v>
      </c>
      <c r="G67" s="6" t="str">
        <f t="shared" si="9"/>
        <v/>
      </c>
      <c r="H67" s="4">
        <v>7600000</v>
      </c>
      <c r="I67" s="6" t="str">
        <f t="shared" si="10"/>
        <v/>
      </c>
      <c r="J67" s="4">
        <v>1900000</v>
      </c>
      <c r="K67" s="6" t="str">
        <f t="shared" si="11"/>
        <v/>
      </c>
      <c r="L67" s="6">
        <v>108</v>
      </c>
      <c r="M67" s="6" t="str">
        <f t="shared" si="12"/>
        <v/>
      </c>
      <c r="N67" s="6">
        <v>6</v>
      </c>
      <c r="O67" s="6" t="str">
        <f t="shared" si="13"/>
        <v/>
      </c>
      <c r="Q67" s="6">
        <v>2</v>
      </c>
      <c r="R67" s="6">
        <v>16</v>
      </c>
      <c r="S67" s="6">
        <v>48</v>
      </c>
      <c r="T67" s="6"/>
      <c r="U67" s="6">
        <f t="shared" si="6"/>
        <v>233280</v>
      </c>
      <c r="V67" s="6" t="str">
        <f t="shared" si="14"/>
        <v/>
      </c>
    </row>
    <row r="68" spans="2:22" x14ac:dyDescent="0.3">
      <c r="B68" s="64" t="s">
        <v>237</v>
      </c>
      <c r="C68" s="151">
        <v>63</v>
      </c>
      <c r="D68" s="4">
        <v>38000000</v>
      </c>
      <c r="E68" s="6" t="str">
        <f t="shared" si="8"/>
        <v/>
      </c>
      <c r="F68" s="4">
        <v>38000000</v>
      </c>
      <c r="G68" s="6" t="str">
        <f t="shared" si="9"/>
        <v/>
      </c>
      <c r="H68" s="4">
        <v>7600000</v>
      </c>
      <c r="I68" s="6" t="str">
        <f t="shared" si="10"/>
        <v/>
      </c>
      <c r="J68" s="4">
        <v>1900000</v>
      </c>
      <c r="K68" s="6" t="str">
        <f t="shared" si="11"/>
        <v/>
      </c>
      <c r="L68" s="6">
        <v>108</v>
      </c>
      <c r="M68" s="6" t="str">
        <f t="shared" si="12"/>
        <v/>
      </c>
      <c r="N68" s="6">
        <v>6</v>
      </c>
      <c r="O68" s="6" t="str">
        <f t="shared" si="13"/>
        <v/>
      </c>
      <c r="Q68" s="6">
        <v>2</v>
      </c>
      <c r="R68" s="6">
        <v>16</v>
      </c>
      <c r="S68" s="6">
        <v>48</v>
      </c>
      <c r="T68" s="6"/>
      <c r="U68" s="6">
        <f t="shared" si="6"/>
        <v>233280</v>
      </c>
      <c r="V68" s="6" t="str">
        <f t="shared" si="14"/>
        <v/>
      </c>
    </row>
    <row r="69" spans="2:22" x14ac:dyDescent="0.3">
      <c r="B69" s="64" t="s">
        <v>238</v>
      </c>
      <c r="C69" s="151">
        <v>64</v>
      </c>
      <c r="D69" s="4">
        <v>38000000</v>
      </c>
      <c r="E69" s="6" t="str">
        <f t="shared" si="8"/>
        <v/>
      </c>
      <c r="F69" s="4">
        <v>38000000</v>
      </c>
      <c r="G69" s="6" t="str">
        <f t="shared" si="9"/>
        <v/>
      </c>
      <c r="H69" s="4">
        <v>7600000</v>
      </c>
      <c r="I69" s="6" t="str">
        <f t="shared" si="10"/>
        <v/>
      </c>
      <c r="J69" s="4">
        <v>1900000</v>
      </c>
      <c r="K69" s="6" t="str">
        <f t="shared" si="11"/>
        <v/>
      </c>
      <c r="L69" s="6">
        <v>108</v>
      </c>
      <c r="M69" s="6" t="str">
        <f t="shared" si="12"/>
        <v/>
      </c>
      <c r="N69" s="6">
        <v>6</v>
      </c>
      <c r="O69" s="6" t="str">
        <f t="shared" si="13"/>
        <v/>
      </c>
      <c r="Q69" s="6">
        <v>2</v>
      </c>
      <c r="R69" s="6">
        <v>16</v>
      </c>
      <c r="S69" s="6">
        <v>48</v>
      </c>
      <c r="T69" s="6"/>
      <c r="U69" s="6">
        <f t="shared" si="6"/>
        <v>233280</v>
      </c>
      <c r="V69" s="6" t="str">
        <f t="shared" si="14"/>
        <v/>
      </c>
    </row>
    <row r="70" spans="2:22" x14ac:dyDescent="0.3">
      <c r="B70" s="64" t="s">
        <v>239</v>
      </c>
      <c r="C70" s="151">
        <v>65</v>
      </c>
      <c r="D70" s="4">
        <v>38000000</v>
      </c>
      <c r="E70" s="6" t="str">
        <f t="shared" ref="E70:E85" si="15">IF($C70&gt;VLOOKUP(LancerDesired,$B$6:$C$85,2,FALSE),"",IF($C70&gt;VLOOKUP(LancerCurrent,$B$5:$C$85,2,FALSE),D70,""))</f>
        <v/>
      </c>
      <c r="F70" s="4">
        <v>38000000</v>
      </c>
      <c r="G70" s="6" t="str">
        <f t="shared" ref="G70:G85" si="16">IF($C70&gt;VLOOKUP(LancerDesired,$B$6:$C$85,2,FALSE),"",IF($C70&gt;VLOOKUP(LancerCurrent,$B$5:$C$85,2,FALSE),F70,""))</f>
        <v/>
      </c>
      <c r="H70" s="4">
        <v>7600000</v>
      </c>
      <c r="I70" s="6" t="str">
        <f t="shared" ref="I70:I85" si="17">IF($C70&gt;VLOOKUP(LancerDesired,$B$6:$C$85,2,FALSE),"",IF($C70&gt;VLOOKUP(LancerCurrent,$B$5:$C$85,2,FALSE),H70,""))</f>
        <v/>
      </c>
      <c r="J70" s="4">
        <v>1900000</v>
      </c>
      <c r="K70" s="6" t="str">
        <f t="shared" ref="K70:K85" si="18">IF($C70&gt;VLOOKUP(LancerDesired,$B$6:$C$85,2,FALSE),"",IF($C70&gt;VLOOKUP(LancerCurrent,$B$5:$C$85,2,FALSE),J70,""))</f>
        <v/>
      </c>
      <c r="L70" s="6">
        <v>54</v>
      </c>
      <c r="M70" s="6" t="str">
        <f t="shared" ref="M70:M85" si="19">IF($C70&gt;VLOOKUP(LancerDesired,$B$6:$C$85,2,FALSE),"",IF($C70&gt;VLOOKUP(LancerCurrent,$B$5:$C$85,2,FALSE),L70,""))</f>
        <v/>
      </c>
      <c r="N70" s="6">
        <v>13</v>
      </c>
      <c r="O70" s="6" t="str">
        <f t="shared" ref="O70:O85" si="20">IF($C70&gt;VLOOKUP(LancerDesired,$B$6:$C$85,2,FALSE),"",IF($C70&gt;VLOOKUP(LancerCurrent,$B$5:$C$85,2,FALSE),N70,""))</f>
        <v/>
      </c>
      <c r="Q70" s="6">
        <v>2</v>
      </c>
      <c r="R70" s="6">
        <v>16</v>
      </c>
      <c r="S70" s="6">
        <v>48</v>
      </c>
      <c r="T70" s="6"/>
      <c r="U70" s="6">
        <f t="shared" ref="U70:U85" si="21">T70+S70*60+R70*60*60+Q70*60*60*24</f>
        <v>233280</v>
      </c>
      <c r="V70" s="6" t="str">
        <f t="shared" ref="V70:V85" si="22">IF($C70&gt;VLOOKUP(LancerDesired,$B$6:$C$85,2,FALSE),"",IF($C70&gt;VLOOKUP(LancerCurrent,$B$5:$C$85,2,FALSE),U70,""))</f>
        <v/>
      </c>
    </row>
    <row r="71" spans="2:22" x14ac:dyDescent="0.3">
      <c r="B71" s="64" t="s">
        <v>240</v>
      </c>
      <c r="C71" s="151">
        <v>66</v>
      </c>
      <c r="D71" s="4">
        <v>46000000</v>
      </c>
      <c r="E71" s="6" t="str">
        <f t="shared" si="15"/>
        <v/>
      </c>
      <c r="F71" s="4">
        <v>46000000</v>
      </c>
      <c r="G71" s="6" t="str">
        <f t="shared" si="16"/>
        <v/>
      </c>
      <c r="H71" s="4">
        <v>9300000</v>
      </c>
      <c r="I71" s="6" t="str">
        <f t="shared" si="17"/>
        <v/>
      </c>
      <c r="J71" s="4">
        <v>2300000</v>
      </c>
      <c r="K71" s="6" t="str">
        <f t="shared" si="18"/>
        <v/>
      </c>
      <c r="L71" s="6">
        <v>108</v>
      </c>
      <c r="M71" s="6" t="str">
        <f t="shared" si="19"/>
        <v/>
      </c>
      <c r="N71" s="6">
        <v>9</v>
      </c>
      <c r="O71" s="6" t="str">
        <f t="shared" si="20"/>
        <v/>
      </c>
      <c r="Q71" s="6">
        <v>3</v>
      </c>
      <c r="R71" s="6"/>
      <c r="S71" s="6"/>
      <c r="T71" s="6"/>
      <c r="U71" s="6">
        <f t="shared" si="21"/>
        <v>259200</v>
      </c>
      <c r="V71" s="6" t="str">
        <f t="shared" si="22"/>
        <v/>
      </c>
    </row>
    <row r="72" spans="2:22" x14ac:dyDescent="0.3">
      <c r="B72" s="64" t="s">
        <v>241</v>
      </c>
      <c r="C72" s="151">
        <v>67</v>
      </c>
      <c r="D72" s="4">
        <v>46000000</v>
      </c>
      <c r="E72" s="6" t="str">
        <f t="shared" si="15"/>
        <v/>
      </c>
      <c r="F72" s="4">
        <v>46000000</v>
      </c>
      <c r="G72" s="6" t="str">
        <f t="shared" si="16"/>
        <v/>
      </c>
      <c r="H72" s="4">
        <v>9300000</v>
      </c>
      <c r="I72" s="6" t="str">
        <f t="shared" si="17"/>
        <v/>
      </c>
      <c r="J72" s="4">
        <v>2300000</v>
      </c>
      <c r="K72" s="6" t="str">
        <f t="shared" si="18"/>
        <v/>
      </c>
      <c r="L72" s="6">
        <v>108</v>
      </c>
      <c r="M72" s="6" t="str">
        <f t="shared" si="19"/>
        <v/>
      </c>
      <c r="N72" s="6">
        <v>9</v>
      </c>
      <c r="O72" s="6" t="str">
        <f t="shared" si="20"/>
        <v/>
      </c>
      <c r="Q72" s="6">
        <v>3</v>
      </c>
      <c r="R72" s="6"/>
      <c r="S72" s="6"/>
      <c r="T72" s="6"/>
      <c r="U72" s="6">
        <f t="shared" si="21"/>
        <v>259200</v>
      </c>
      <c r="V72" s="6" t="str">
        <f t="shared" si="22"/>
        <v/>
      </c>
    </row>
    <row r="73" spans="2:22" x14ac:dyDescent="0.3">
      <c r="B73" s="64" t="s">
        <v>242</v>
      </c>
      <c r="C73" s="151">
        <v>68</v>
      </c>
      <c r="D73" s="4">
        <v>46000000</v>
      </c>
      <c r="E73" s="6" t="str">
        <f t="shared" si="15"/>
        <v/>
      </c>
      <c r="F73" s="4">
        <v>46000000</v>
      </c>
      <c r="G73" s="6" t="str">
        <f t="shared" si="16"/>
        <v/>
      </c>
      <c r="H73" s="4">
        <v>9300000</v>
      </c>
      <c r="I73" s="6" t="str">
        <f t="shared" si="17"/>
        <v/>
      </c>
      <c r="J73" s="4">
        <v>2300000</v>
      </c>
      <c r="K73" s="6" t="str">
        <f t="shared" si="18"/>
        <v/>
      </c>
      <c r="L73" s="6">
        <v>108</v>
      </c>
      <c r="M73" s="6" t="str">
        <f t="shared" si="19"/>
        <v/>
      </c>
      <c r="N73" s="6">
        <v>9</v>
      </c>
      <c r="O73" s="6" t="str">
        <f t="shared" si="20"/>
        <v/>
      </c>
      <c r="Q73" s="6">
        <v>3</v>
      </c>
      <c r="R73" s="6"/>
      <c r="S73" s="6"/>
      <c r="T73" s="6"/>
      <c r="U73" s="6">
        <f t="shared" si="21"/>
        <v>259200</v>
      </c>
      <c r="V73" s="6" t="str">
        <f t="shared" si="22"/>
        <v/>
      </c>
    </row>
    <row r="74" spans="2:22" x14ac:dyDescent="0.3">
      <c r="B74" s="64" t="s">
        <v>243</v>
      </c>
      <c r="C74" s="151">
        <v>69</v>
      </c>
      <c r="D74" s="4">
        <v>46000000</v>
      </c>
      <c r="E74" s="6" t="str">
        <f t="shared" si="15"/>
        <v/>
      </c>
      <c r="F74" s="4">
        <v>46000000</v>
      </c>
      <c r="G74" s="6" t="str">
        <f t="shared" si="16"/>
        <v/>
      </c>
      <c r="H74" s="4">
        <v>9300000</v>
      </c>
      <c r="I74" s="6" t="str">
        <f t="shared" si="17"/>
        <v/>
      </c>
      <c r="J74" s="4">
        <v>2300000</v>
      </c>
      <c r="K74" s="6" t="str">
        <f t="shared" si="18"/>
        <v/>
      </c>
      <c r="L74" s="6">
        <v>108</v>
      </c>
      <c r="M74" s="6" t="str">
        <f t="shared" si="19"/>
        <v/>
      </c>
      <c r="N74" s="6">
        <v>9</v>
      </c>
      <c r="O74" s="6" t="str">
        <f t="shared" si="20"/>
        <v/>
      </c>
      <c r="Q74" s="6">
        <v>3</v>
      </c>
      <c r="R74" s="6"/>
      <c r="S74" s="6"/>
      <c r="T74" s="6"/>
      <c r="U74" s="6">
        <f t="shared" si="21"/>
        <v>259200</v>
      </c>
      <c r="V74" s="6" t="str">
        <f t="shared" si="22"/>
        <v/>
      </c>
    </row>
    <row r="75" spans="2:22" x14ac:dyDescent="0.3">
      <c r="B75" s="64" t="s">
        <v>244</v>
      </c>
      <c r="C75" s="151">
        <v>70</v>
      </c>
      <c r="D75" s="4">
        <v>46000000</v>
      </c>
      <c r="E75" s="6" t="str">
        <f t="shared" si="15"/>
        <v/>
      </c>
      <c r="F75" s="4">
        <v>46000000</v>
      </c>
      <c r="G75" s="6" t="str">
        <f t="shared" si="16"/>
        <v/>
      </c>
      <c r="H75" s="4">
        <v>9300000</v>
      </c>
      <c r="I75" s="6" t="str">
        <f t="shared" si="17"/>
        <v/>
      </c>
      <c r="J75" s="4">
        <v>2300000</v>
      </c>
      <c r="K75" s="6" t="str">
        <f t="shared" si="18"/>
        <v/>
      </c>
      <c r="L75" s="6">
        <v>54</v>
      </c>
      <c r="M75" s="6" t="str">
        <f t="shared" si="19"/>
        <v/>
      </c>
      <c r="N75" s="6">
        <v>19</v>
      </c>
      <c r="O75" s="6" t="str">
        <f t="shared" si="20"/>
        <v/>
      </c>
      <c r="Q75" s="6">
        <v>3</v>
      </c>
      <c r="R75" s="6"/>
      <c r="S75" s="6"/>
      <c r="T75" s="6"/>
      <c r="U75" s="6">
        <f t="shared" si="21"/>
        <v>259200</v>
      </c>
      <c r="V75" s="6" t="str">
        <f t="shared" si="22"/>
        <v/>
      </c>
    </row>
    <row r="76" spans="2:22" x14ac:dyDescent="0.3">
      <c r="B76" s="64" t="s">
        <v>450</v>
      </c>
      <c r="C76" s="151">
        <v>71</v>
      </c>
      <c r="D76" s="4">
        <v>50000000</v>
      </c>
      <c r="E76" s="6">
        <f t="shared" si="15"/>
        <v>50000000</v>
      </c>
      <c r="F76" s="4">
        <v>50000000</v>
      </c>
      <c r="G76" s="6">
        <f t="shared" si="16"/>
        <v>50000000</v>
      </c>
      <c r="H76" s="4">
        <v>10000000</v>
      </c>
      <c r="I76" s="6">
        <f t="shared" si="17"/>
        <v>10000000</v>
      </c>
      <c r="J76" s="4">
        <v>2500000</v>
      </c>
      <c r="K76" s="6">
        <f t="shared" si="18"/>
        <v>2500000</v>
      </c>
      <c r="L76" s="6">
        <v>126</v>
      </c>
      <c r="M76" s="6">
        <f t="shared" si="19"/>
        <v>126</v>
      </c>
      <c r="N76" s="6">
        <v>13</v>
      </c>
      <c r="O76" s="6">
        <f t="shared" si="20"/>
        <v>13</v>
      </c>
      <c r="Q76" s="6">
        <v>1</v>
      </c>
      <c r="R76" s="6">
        <v>22</v>
      </c>
      <c r="S76" s="6">
        <v>48</v>
      </c>
      <c r="T76" s="6"/>
      <c r="U76" s="6">
        <f t="shared" si="21"/>
        <v>168480</v>
      </c>
      <c r="V76" s="6">
        <f t="shared" si="22"/>
        <v>168480</v>
      </c>
    </row>
    <row r="77" spans="2:22" x14ac:dyDescent="0.3">
      <c r="B77" s="64" t="s">
        <v>451</v>
      </c>
      <c r="C77" s="151">
        <v>72</v>
      </c>
      <c r="D77" s="4">
        <v>50000000</v>
      </c>
      <c r="E77" s="6">
        <f t="shared" si="15"/>
        <v>50000000</v>
      </c>
      <c r="F77" s="4">
        <v>50000000</v>
      </c>
      <c r="G77" s="6">
        <f t="shared" si="16"/>
        <v>50000000</v>
      </c>
      <c r="H77" s="4">
        <v>10000000</v>
      </c>
      <c r="I77" s="6">
        <f t="shared" si="17"/>
        <v>10000000</v>
      </c>
      <c r="J77" s="4">
        <v>2500000</v>
      </c>
      <c r="K77" s="6">
        <f t="shared" si="18"/>
        <v>2500000</v>
      </c>
      <c r="L77" s="6">
        <v>126</v>
      </c>
      <c r="M77" s="6">
        <f t="shared" si="19"/>
        <v>126</v>
      </c>
      <c r="N77" s="6">
        <v>13</v>
      </c>
      <c r="O77" s="6">
        <f t="shared" si="20"/>
        <v>13</v>
      </c>
      <c r="Q77" s="6">
        <v>1</v>
      </c>
      <c r="R77" s="6">
        <v>22</v>
      </c>
      <c r="S77" s="6">
        <v>48</v>
      </c>
      <c r="T77" s="6"/>
      <c r="U77" s="6">
        <f t="shared" si="21"/>
        <v>168480</v>
      </c>
      <c r="V77" s="6">
        <f t="shared" si="22"/>
        <v>168480</v>
      </c>
    </row>
    <row r="78" spans="2:22" x14ac:dyDescent="0.3">
      <c r="B78" s="64" t="s">
        <v>452</v>
      </c>
      <c r="C78" s="151">
        <v>73</v>
      </c>
      <c r="D78" s="4">
        <v>50000000</v>
      </c>
      <c r="E78" s="6">
        <f t="shared" si="15"/>
        <v>50000000</v>
      </c>
      <c r="F78" s="4">
        <v>50000000</v>
      </c>
      <c r="G78" s="6">
        <f t="shared" si="16"/>
        <v>50000000</v>
      </c>
      <c r="H78" s="4">
        <v>10000000</v>
      </c>
      <c r="I78" s="6">
        <f t="shared" si="17"/>
        <v>10000000</v>
      </c>
      <c r="J78" s="4">
        <v>2500000</v>
      </c>
      <c r="K78" s="6">
        <f t="shared" si="18"/>
        <v>2500000</v>
      </c>
      <c r="L78" s="6">
        <v>126</v>
      </c>
      <c r="M78" s="6">
        <f t="shared" si="19"/>
        <v>126</v>
      </c>
      <c r="N78" s="6">
        <v>13</v>
      </c>
      <c r="O78" s="6">
        <f t="shared" si="20"/>
        <v>13</v>
      </c>
      <c r="Q78" s="6">
        <v>1</v>
      </c>
      <c r="R78" s="6">
        <v>22</v>
      </c>
      <c r="S78" s="6">
        <v>48</v>
      </c>
      <c r="T78" s="6"/>
      <c r="U78" s="6">
        <f t="shared" si="21"/>
        <v>168480</v>
      </c>
      <c r="V78" s="6">
        <f t="shared" si="22"/>
        <v>168480</v>
      </c>
    </row>
    <row r="79" spans="2:22" x14ac:dyDescent="0.3">
      <c r="B79" s="64" t="s">
        <v>453</v>
      </c>
      <c r="C79" s="151">
        <v>74</v>
      </c>
      <c r="D79" s="4">
        <v>50000000</v>
      </c>
      <c r="E79" s="6">
        <f t="shared" si="15"/>
        <v>50000000</v>
      </c>
      <c r="F79" s="4">
        <v>50000000</v>
      </c>
      <c r="G79" s="6">
        <f t="shared" si="16"/>
        <v>50000000</v>
      </c>
      <c r="H79" s="4">
        <v>10000000</v>
      </c>
      <c r="I79" s="6">
        <f t="shared" si="17"/>
        <v>10000000</v>
      </c>
      <c r="J79" s="4">
        <v>2500000</v>
      </c>
      <c r="K79" s="6">
        <f t="shared" si="18"/>
        <v>2500000</v>
      </c>
      <c r="L79" s="6">
        <v>126</v>
      </c>
      <c r="M79" s="6">
        <f t="shared" si="19"/>
        <v>126</v>
      </c>
      <c r="N79" s="6">
        <v>13</v>
      </c>
      <c r="O79" s="6">
        <f t="shared" si="20"/>
        <v>13</v>
      </c>
      <c r="Q79" s="6">
        <v>1</v>
      </c>
      <c r="R79" s="6">
        <v>22</v>
      </c>
      <c r="S79" s="6">
        <v>48</v>
      </c>
      <c r="T79" s="6"/>
      <c r="U79" s="6">
        <f t="shared" si="21"/>
        <v>168480</v>
      </c>
      <c r="V79" s="6">
        <f t="shared" si="22"/>
        <v>168480</v>
      </c>
    </row>
    <row r="80" spans="2:22" x14ac:dyDescent="0.3">
      <c r="B80" s="64" t="s">
        <v>454</v>
      </c>
      <c r="C80" s="151">
        <v>75</v>
      </c>
      <c r="D80" s="4">
        <v>50000000</v>
      </c>
      <c r="E80" s="6">
        <f t="shared" si="15"/>
        <v>50000000</v>
      </c>
      <c r="F80" s="4">
        <v>50000000</v>
      </c>
      <c r="G80" s="6">
        <f t="shared" si="16"/>
        <v>50000000</v>
      </c>
      <c r="H80" s="4">
        <v>10000000</v>
      </c>
      <c r="I80" s="6">
        <f t="shared" si="17"/>
        <v>10000000</v>
      </c>
      <c r="J80" s="4">
        <v>2500000</v>
      </c>
      <c r="K80" s="6">
        <f t="shared" si="18"/>
        <v>2500000</v>
      </c>
      <c r="L80" s="6">
        <v>63</v>
      </c>
      <c r="M80" s="6">
        <f t="shared" si="19"/>
        <v>63</v>
      </c>
      <c r="N80" s="6">
        <v>27</v>
      </c>
      <c r="O80" s="6">
        <f t="shared" si="20"/>
        <v>27</v>
      </c>
      <c r="Q80" s="6">
        <v>1</v>
      </c>
      <c r="R80" s="6">
        <v>22</v>
      </c>
      <c r="S80" s="6">
        <v>48</v>
      </c>
      <c r="T80" s="6"/>
      <c r="U80" s="6">
        <f t="shared" si="21"/>
        <v>168480</v>
      </c>
      <c r="V80" s="6">
        <f t="shared" si="22"/>
        <v>168480</v>
      </c>
    </row>
    <row r="81" spans="2:22" x14ac:dyDescent="0.3">
      <c r="B81" s="64" t="s">
        <v>455</v>
      </c>
      <c r="C81" s="151">
        <v>76</v>
      </c>
      <c r="D81" s="4">
        <v>59000000</v>
      </c>
      <c r="E81" s="6" t="str">
        <f t="shared" si="15"/>
        <v/>
      </c>
      <c r="F81" s="4">
        <v>59000000</v>
      </c>
      <c r="G81" s="6" t="str">
        <f t="shared" si="16"/>
        <v/>
      </c>
      <c r="H81" s="4">
        <v>11000000</v>
      </c>
      <c r="I81" s="6" t="str">
        <f t="shared" si="17"/>
        <v/>
      </c>
      <c r="J81" s="4">
        <v>2900000</v>
      </c>
      <c r="K81" s="6" t="str">
        <f t="shared" si="18"/>
        <v/>
      </c>
      <c r="L81" s="6">
        <v>157</v>
      </c>
      <c r="M81" s="6" t="str">
        <f t="shared" si="19"/>
        <v/>
      </c>
      <c r="N81" s="6">
        <v>31</v>
      </c>
      <c r="O81" s="6" t="str">
        <f t="shared" si="20"/>
        <v/>
      </c>
      <c r="Q81" s="6">
        <v>3</v>
      </c>
      <c r="R81" s="6"/>
      <c r="S81" s="6"/>
      <c r="T81" s="6"/>
      <c r="U81" s="6">
        <f t="shared" si="21"/>
        <v>259200</v>
      </c>
      <c r="V81" s="6" t="str">
        <f t="shared" si="22"/>
        <v/>
      </c>
    </row>
    <row r="82" spans="2:22" x14ac:dyDescent="0.3">
      <c r="B82" s="64" t="s">
        <v>456</v>
      </c>
      <c r="C82" s="151">
        <v>77</v>
      </c>
      <c r="D82" s="4">
        <v>59000000</v>
      </c>
      <c r="E82" s="6" t="str">
        <f t="shared" si="15"/>
        <v/>
      </c>
      <c r="F82" s="4">
        <v>59000000</v>
      </c>
      <c r="G82" s="6" t="str">
        <f t="shared" si="16"/>
        <v/>
      </c>
      <c r="H82" s="4">
        <v>11000000</v>
      </c>
      <c r="I82" s="6" t="str">
        <f t="shared" si="17"/>
        <v/>
      </c>
      <c r="J82" s="4">
        <v>2900000</v>
      </c>
      <c r="K82" s="6" t="str">
        <f t="shared" si="18"/>
        <v/>
      </c>
      <c r="L82" s="6">
        <v>157</v>
      </c>
      <c r="M82" s="6" t="str">
        <f t="shared" si="19"/>
        <v/>
      </c>
      <c r="N82" s="6">
        <v>31</v>
      </c>
      <c r="O82" s="6" t="str">
        <f t="shared" si="20"/>
        <v/>
      </c>
      <c r="Q82" s="6">
        <v>3</v>
      </c>
      <c r="R82" s="6"/>
      <c r="S82" s="6"/>
      <c r="T82" s="6"/>
      <c r="U82" s="6">
        <f t="shared" si="21"/>
        <v>259200</v>
      </c>
      <c r="V82" s="6" t="str">
        <f t="shared" si="22"/>
        <v/>
      </c>
    </row>
    <row r="83" spans="2:22" x14ac:dyDescent="0.3">
      <c r="B83" s="64" t="s">
        <v>457</v>
      </c>
      <c r="C83" s="151">
        <v>78</v>
      </c>
      <c r="D83" s="4">
        <v>59000000</v>
      </c>
      <c r="E83" s="6" t="str">
        <f t="shared" si="15"/>
        <v/>
      </c>
      <c r="F83" s="4">
        <v>59000000</v>
      </c>
      <c r="G83" s="6" t="str">
        <f t="shared" si="16"/>
        <v/>
      </c>
      <c r="H83" s="4">
        <v>11000000</v>
      </c>
      <c r="I83" s="6" t="str">
        <f t="shared" si="17"/>
        <v/>
      </c>
      <c r="J83" s="4">
        <v>2900000</v>
      </c>
      <c r="K83" s="6" t="str">
        <f t="shared" si="18"/>
        <v/>
      </c>
      <c r="L83" s="6">
        <v>157</v>
      </c>
      <c r="M83" s="6" t="str">
        <f t="shared" si="19"/>
        <v/>
      </c>
      <c r="N83" s="6">
        <v>31</v>
      </c>
      <c r="O83" s="6" t="str">
        <f t="shared" si="20"/>
        <v/>
      </c>
      <c r="Q83" s="6">
        <v>3</v>
      </c>
      <c r="R83" s="6"/>
      <c r="S83" s="6"/>
      <c r="T83" s="6"/>
      <c r="U83" s="6">
        <f t="shared" si="21"/>
        <v>259200</v>
      </c>
      <c r="V83" s="6" t="str">
        <f t="shared" si="22"/>
        <v/>
      </c>
    </row>
    <row r="84" spans="2:22" x14ac:dyDescent="0.3">
      <c r="B84" s="64" t="s">
        <v>458</v>
      </c>
      <c r="C84" s="151">
        <v>79</v>
      </c>
      <c r="D84" s="4">
        <v>59000000</v>
      </c>
      <c r="E84" s="6" t="str">
        <f t="shared" si="15"/>
        <v/>
      </c>
      <c r="F84" s="4">
        <v>59000000</v>
      </c>
      <c r="G84" s="6" t="str">
        <f t="shared" si="16"/>
        <v/>
      </c>
      <c r="H84" s="4">
        <v>11000000</v>
      </c>
      <c r="I84" s="6" t="str">
        <f t="shared" si="17"/>
        <v/>
      </c>
      <c r="J84" s="4">
        <v>2900000</v>
      </c>
      <c r="K84" s="6" t="str">
        <f t="shared" si="18"/>
        <v/>
      </c>
      <c r="L84" s="6">
        <v>157</v>
      </c>
      <c r="M84" s="6" t="str">
        <f t="shared" si="19"/>
        <v/>
      </c>
      <c r="N84" s="6">
        <v>31</v>
      </c>
      <c r="O84" s="6" t="str">
        <f t="shared" si="20"/>
        <v/>
      </c>
      <c r="Q84" s="6">
        <v>3</v>
      </c>
      <c r="R84" s="6"/>
      <c r="S84" s="6"/>
      <c r="T84" s="6"/>
      <c r="U84" s="6">
        <f t="shared" si="21"/>
        <v>259200</v>
      </c>
      <c r="V84" s="6" t="str">
        <f t="shared" si="22"/>
        <v/>
      </c>
    </row>
    <row r="85" spans="2:22" x14ac:dyDescent="0.3">
      <c r="B85" s="148" t="s">
        <v>459</v>
      </c>
      <c r="C85" s="151">
        <v>80</v>
      </c>
      <c r="D85" s="4">
        <v>59000000</v>
      </c>
      <c r="E85" s="6" t="str">
        <f t="shared" si="15"/>
        <v/>
      </c>
      <c r="F85" s="4">
        <v>59000000</v>
      </c>
      <c r="G85" s="6" t="str">
        <f t="shared" si="16"/>
        <v/>
      </c>
      <c r="H85" s="4">
        <v>11000000</v>
      </c>
      <c r="I85" s="6" t="str">
        <f t="shared" si="17"/>
        <v/>
      </c>
      <c r="J85" s="4">
        <v>2900000</v>
      </c>
      <c r="K85" s="6" t="str">
        <f t="shared" si="18"/>
        <v/>
      </c>
      <c r="L85" s="6">
        <v>78</v>
      </c>
      <c r="M85" s="6" t="str">
        <f t="shared" si="19"/>
        <v/>
      </c>
      <c r="N85" s="6">
        <v>63</v>
      </c>
      <c r="O85" s="6" t="str">
        <f t="shared" si="20"/>
        <v/>
      </c>
      <c r="Q85" s="6">
        <v>3</v>
      </c>
      <c r="R85" s="6"/>
      <c r="S85" s="6"/>
      <c r="T85" s="6"/>
      <c r="U85" s="6">
        <f t="shared" si="21"/>
        <v>259200</v>
      </c>
      <c r="V85" s="6" t="str">
        <f t="shared" si="22"/>
        <v/>
      </c>
    </row>
    <row r="86" spans="2:22" x14ac:dyDescent="0.3">
      <c r="Q86" s="6"/>
      <c r="R86" s="6"/>
      <c r="S86" s="6"/>
      <c r="T86" s="6"/>
      <c r="U86" s="6"/>
      <c r="V86" s="6"/>
    </row>
    <row r="87" spans="2:22" x14ac:dyDescent="0.3">
      <c r="D87" s="4">
        <f>SUM(D6:D85)</f>
        <v>2245470000</v>
      </c>
      <c r="E87" s="4">
        <f t="shared" ref="E87:V87" si="23">SUM(E6:E85)</f>
        <v>250000000</v>
      </c>
      <c r="F87" s="4">
        <f t="shared" si="23"/>
        <v>2246208280</v>
      </c>
      <c r="G87" s="4">
        <f t="shared" si="23"/>
        <v>250000000</v>
      </c>
      <c r="H87" s="4">
        <f t="shared" si="23"/>
        <v>448181485</v>
      </c>
      <c r="I87" s="4">
        <f t="shared" si="23"/>
        <v>50000000</v>
      </c>
      <c r="J87" s="4">
        <f t="shared" si="23"/>
        <v>110665465</v>
      </c>
      <c r="K87" s="4">
        <f t="shared" si="23"/>
        <v>12500000</v>
      </c>
      <c r="L87" s="4">
        <f t="shared" si="23"/>
        <v>5215</v>
      </c>
      <c r="M87" s="4">
        <f t="shared" si="23"/>
        <v>567</v>
      </c>
      <c r="N87" s="4">
        <f t="shared" si="23"/>
        <v>383</v>
      </c>
      <c r="O87" s="4">
        <f t="shared" si="23"/>
        <v>79</v>
      </c>
      <c r="P87" s="4">
        <f t="shared" si="23"/>
        <v>0</v>
      </c>
      <c r="Q87" s="4">
        <f t="shared" si="23"/>
        <v>111</v>
      </c>
      <c r="R87" s="4">
        <f t="shared" si="23"/>
        <v>584</v>
      </c>
      <c r="S87" s="4">
        <f t="shared" si="23"/>
        <v>1709</v>
      </c>
      <c r="T87" s="4">
        <f t="shared" si="23"/>
        <v>251</v>
      </c>
      <c r="U87" s="4">
        <f t="shared" si="23"/>
        <v>11795591</v>
      </c>
      <c r="V87" s="4">
        <f t="shared" si="23"/>
        <v>842400</v>
      </c>
    </row>
    <row r="89" spans="2:22" x14ac:dyDescent="0.3">
      <c r="T89" s="4" t="s">
        <v>21</v>
      </c>
      <c r="U89" s="4">
        <f>ROUNDDOWN(U87/60/60/24,0)</f>
        <v>136</v>
      </c>
      <c r="V89" s="4">
        <f>ROUNDDOWN(V87/60/60/24,0)</f>
        <v>9</v>
      </c>
    </row>
    <row r="90" spans="2:22" x14ac:dyDescent="0.3">
      <c r="T90" s="4" t="s">
        <v>20</v>
      </c>
      <c r="U90" s="4">
        <f>ROUNDDOWN((U87-U89*60*60*24)/60/60,0)</f>
        <v>12</v>
      </c>
      <c r="V90" s="4">
        <f>ROUNDDOWN((V87-V89*60*60*24)/60/60,0)</f>
        <v>18</v>
      </c>
    </row>
    <row r="91" spans="2:22" x14ac:dyDescent="0.3">
      <c r="T91" s="4" t="s">
        <v>19</v>
      </c>
      <c r="U91" s="4">
        <f>ROUNDDOWN((U87-U89*60*60*24-U90*60*60)/60,0)</f>
        <v>33</v>
      </c>
      <c r="V91" s="4">
        <f>ROUNDDOWN((V87-V89*60*60*24-V90*60*60)/60,0)</f>
        <v>0</v>
      </c>
    </row>
    <row r="92" spans="2:22" x14ac:dyDescent="0.3">
      <c r="T92" s="4" t="s">
        <v>18</v>
      </c>
      <c r="U92" s="4">
        <f>ROUNDDOWN((U87-U89*60*60*24-U90*60*60-U91*60),0)</f>
        <v>11</v>
      </c>
      <c r="V92" s="4">
        <f>ROUNDDOWN((V87-V89*60*60*24-V90*60*60-V91*60),0)</f>
        <v>0</v>
      </c>
    </row>
  </sheetData>
  <sheetProtection sheet="1" objects="1" scenarios="1"/>
  <mergeCells count="9">
    <mergeCell ref="D3:M3"/>
    <mergeCell ref="Q3:V3"/>
    <mergeCell ref="D4:E4"/>
    <mergeCell ref="F4:G4"/>
    <mergeCell ref="H4:I4"/>
    <mergeCell ref="J4:K4"/>
    <mergeCell ref="U4:V4"/>
    <mergeCell ref="L4:M4"/>
    <mergeCell ref="N4:O4"/>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132B-ABEC-4153-BC66-61492D14CEAC}">
  <sheetPr codeName="Sheet12"/>
  <dimension ref="A1:W92"/>
  <sheetViews>
    <sheetView workbookViewId="0">
      <pane xSplit="2" ySplit="5" topLeftCell="C30" activePane="bottomRight" state="frozen"/>
      <selection sqref="A1:R2"/>
      <selection pane="topRight" sqref="A1:R2"/>
      <selection pane="bottomLeft" sqref="A1:R2"/>
      <selection pane="bottomRight" activeCell="F70" sqref="F70"/>
    </sheetView>
  </sheetViews>
  <sheetFormatPr baseColWidth="10" defaultColWidth="9.109375" defaultRowHeight="14.4" x14ac:dyDescent="0.3"/>
  <cols>
    <col min="1" max="1" width="9.109375" style="4"/>
    <col min="2" max="2" width="16.109375" style="4" bestFit="1" customWidth="1"/>
    <col min="3" max="3" width="16.109375" style="4" customWidth="1"/>
    <col min="4" max="4" width="16.88671875" style="4" bestFit="1" customWidth="1"/>
    <col min="5" max="5" width="14.33203125" style="4" customWidth="1"/>
    <col min="6" max="6" width="16.88671875" style="4" bestFit="1" customWidth="1"/>
    <col min="7" max="7" width="14.33203125" style="4" customWidth="1"/>
    <col min="8" max="8" width="15.33203125" style="4" bestFit="1" customWidth="1"/>
    <col min="9" max="9" width="12.5546875" style="4" customWidth="1"/>
    <col min="10" max="10" width="14.33203125" style="4" bestFit="1" customWidth="1"/>
    <col min="11" max="15" width="11.5546875" style="4" customWidth="1"/>
    <col min="16" max="16" width="9.33203125" style="4" bestFit="1" customWidth="1"/>
    <col min="17" max="17" width="7" style="4" bestFit="1" customWidth="1"/>
    <col min="18" max="18" width="8" style="4" bestFit="1" customWidth="1"/>
    <col min="19" max="19" width="9.5546875" style="4" bestFit="1" customWidth="1"/>
    <col min="20" max="20" width="8.88671875" style="4" bestFit="1" customWidth="1"/>
    <col min="21" max="21" width="13.44140625" style="4" bestFit="1" customWidth="1"/>
    <col min="22" max="22" width="13.33203125" style="4" customWidth="1"/>
    <col min="23" max="16384" width="9.109375" style="4"/>
  </cols>
  <sheetData>
    <row r="1" spans="1:23" x14ac:dyDescent="0.3">
      <c r="D1" s="4" t="s">
        <v>26</v>
      </c>
    </row>
    <row r="2" spans="1:23" x14ac:dyDescent="0.3">
      <c r="A2" s="45"/>
      <c r="D2" s="6">
        <f>LARGE(Furnace!AF4:AF35,1)</f>
        <v>29</v>
      </c>
      <c r="E2" s="6"/>
      <c r="F2" s="45"/>
      <c r="G2" s="45"/>
      <c r="H2" s="45"/>
      <c r="I2" s="45"/>
      <c r="J2" s="45"/>
      <c r="K2" s="45"/>
      <c r="L2" s="45"/>
      <c r="M2" s="45"/>
      <c r="N2" s="45"/>
      <c r="O2" s="45"/>
      <c r="P2" s="45"/>
      <c r="Q2" s="45"/>
      <c r="R2" s="45"/>
      <c r="S2" s="45"/>
      <c r="T2" s="45"/>
      <c r="U2" s="45"/>
      <c r="V2" s="45"/>
      <c r="W2" s="45"/>
    </row>
    <row r="3" spans="1:23" x14ac:dyDescent="0.3">
      <c r="B3" s="45" t="s">
        <v>12</v>
      </c>
      <c r="C3" s="45"/>
      <c r="D3" s="709" t="s">
        <v>16</v>
      </c>
      <c r="E3" s="709"/>
      <c r="F3" s="709"/>
      <c r="G3" s="709"/>
      <c r="H3" s="709"/>
      <c r="I3" s="709"/>
      <c r="J3" s="709"/>
      <c r="K3" s="709"/>
      <c r="L3" s="709"/>
      <c r="M3" s="709"/>
      <c r="N3" s="62"/>
      <c r="O3" s="62"/>
      <c r="Q3" s="709" t="s">
        <v>17</v>
      </c>
      <c r="R3" s="709"/>
      <c r="S3" s="709"/>
      <c r="T3" s="709"/>
      <c r="U3" s="709"/>
      <c r="V3" s="709"/>
    </row>
    <row r="4" spans="1:23" x14ac:dyDescent="0.3">
      <c r="B4" s="45" t="e">
        <f>#REF!</f>
        <v>#REF!</v>
      </c>
      <c r="C4" s="45"/>
      <c r="D4" s="705" t="s">
        <v>0</v>
      </c>
      <c r="E4" s="705"/>
      <c r="F4" s="705" t="s">
        <v>1</v>
      </c>
      <c r="G4" s="705"/>
      <c r="H4" s="705" t="s">
        <v>2</v>
      </c>
      <c r="I4" s="705"/>
      <c r="J4" s="705" t="s">
        <v>3</v>
      </c>
      <c r="K4" s="705"/>
      <c r="L4" s="705" t="s">
        <v>59</v>
      </c>
      <c r="M4" s="705"/>
      <c r="N4" s="705" t="s">
        <v>228</v>
      </c>
      <c r="O4" s="705"/>
      <c r="P4" s="45"/>
      <c r="Q4" s="45"/>
      <c r="R4" s="45"/>
      <c r="S4" s="45"/>
      <c r="T4" s="45"/>
      <c r="U4" s="705" t="s">
        <v>18</v>
      </c>
      <c r="V4" s="705"/>
    </row>
    <row r="5" spans="1:23" x14ac:dyDescent="0.3">
      <c r="B5" s="63">
        <v>0</v>
      </c>
      <c r="C5" s="45" t="s">
        <v>463</v>
      </c>
      <c r="D5" s="45" t="s">
        <v>25</v>
      </c>
      <c r="E5" s="45" t="s">
        <v>24</v>
      </c>
      <c r="F5" s="45" t="s">
        <v>25</v>
      </c>
      <c r="G5" s="45" t="s">
        <v>24</v>
      </c>
      <c r="H5" s="45" t="s">
        <v>25</v>
      </c>
      <c r="I5" s="45" t="s">
        <v>24</v>
      </c>
      <c r="J5" s="45" t="s">
        <v>25</v>
      </c>
      <c r="K5" s="45" t="s">
        <v>24</v>
      </c>
      <c r="L5" s="45" t="s">
        <v>25</v>
      </c>
      <c r="M5" s="45" t="s">
        <v>24</v>
      </c>
      <c r="N5" s="45" t="s">
        <v>25</v>
      </c>
      <c r="O5" s="45" t="s">
        <v>24</v>
      </c>
      <c r="P5" s="45"/>
      <c r="Q5" s="45" t="s">
        <v>21</v>
      </c>
      <c r="R5" s="45" t="s">
        <v>20</v>
      </c>
      <c r="S5" s="45" t="s">
        <v>19</v>
      </c>
      <c r="T5" s="45" t="s">
        <v>18</v>
      </c>
      <c r="U5" s="45" t="s">
        <v>25</v>
      </c>
      <c r="V5" s="45" t="s">
        <v>24</v>
      </c>
    </row>
    <row r="6" spans="1:23" x14ac:dyDescent="0.3">
      <c r="B6" s="64">
        <v>1</v>
      </c>
      <c r="C6" s="151">
        <v>1</v>
      </c>
      <c r="E6" s="6" t="str">
        <f t="shared" ref="E6:E37" si="0">IF($C6&gt;VLOOKUP(MarksmanDesired,$B$6:$C$85,2,FALSE),"",IF($C6&gt;VLOOKUP(MarksmanCurrent,$B$6:$C$85,2,FALSE),D6,""))</f>
        <v/>
      </c>
      <c r="F6" s="4">
        <v>95</v>
      </c>
      <c r="G6" s="6" t="str">
        <f t="shared" ref="G6:G37" si="1">IF($C6&gt;VLOOKUP(MarksmanDesired,$B$6:$C$85,2,FALSE),"",IF($C6&gt;VLOOKUP(MarksmanCurrent,$B$6:$C$85,2,FALSE),F6,""))</f>
        <v/>
      </c>
      <c r="I6" s="6" t="str">
        <f t="shared" ref="I6:I37" si="2">IF($C6&gt;VLOOKUP(MarksmanDesired,$B$6:$C$85,2,FALSE),"",IF($C6&gt;VLOOKUP(MarksmanCurrent,$B$6:$C$85,2,FALSE),H6,""))</f>
        <v/>
      </c>
      <c r="K6" s="6" t="str">
        <f t="shared" ref="K6:K37" si="3">IF($C6&gt;VLOOKUP(MarksmanDesired,$B$6:$C$85,2,FALSE),"",IF($C6&gt;VLOOKUP(MarksmanCurrent,$B$6:$C$85,2,FALSE),J6,""))</f>
        <v/>
      </c>
      <c r="L6" s="6"/>
      <c r="M6" s="6" t="str">
        <f t="shared" ref="M6:M37" si="4">IF($C6&gt;VLOOKUP(MarksmanDesired,$B$6:$C$85,2,FALSE),"",IF($C6&gt;VLOOKUP(MarksmanCurrent,$B$6:$C$85,2,FALSE),L6,""))</f>
        <v/>
      </c>
      <c r="N6" s="6"/>
      <c r="O6" s="6" t="str">
        <f t="shared" ref="O6:O37" si="5">IF($C6&gt;VLOOKUP(MarksmanDesired,$B$6:$C$85,2,FALSE),"",IF($C6&gt;VLOOKUP(MarksmanCurrent,$B$6:$C$85,2,FALSE),N6,""))</f>
        <v/>
      </c>
      <c r="Q6" s="6"/>
      <c r="R6" s="6"/>
      <c r="S6" s="6"/>
      <c r="T6" s="6">
        <v>2</v>
      </c>
      <c r="U6" s="6">
        <f t="shared" ref="U6:U69" si="6">T6+S6*60+R6*60*60+Q6*60*60*24</f>
        <v>2</v>
      </c>
      <c r="V6" s="6" t="str">
        <f t="shared" ref="V6:V37" si="7">IF($C6&gt;VLOOKUP(MarksmanDesired,$B$6:$C$85,2,FALSE),"",IF($C6&gt;VLOOKUP(MarksmanCurrent,$B$6:$C$85,2,FALSE),U6,""))</f>
        <v/>
      </c>
    </row>
    <row r="7" spans="1:23" x14ac:dyDescent="0.3">
      <c r="B7" s="64">
        <v>2</v>
      </c>
      <c r="C7" s="151">
        <v>2</v>
      </c>
      <c r="E7" s="6" t="str">
        <f t="shared" si="0"/>
        <v/>
      </c>
      <c r="F7" s="4">
        <v>140</v>
      </c>
      <c r="G7" s="6" t="str">
        <f t="shared" si="1"/>
        <v/>
      </c>
      <c r="I7" s="6" t="str">
        <f t="shared" si="2"/>
        <v/>
      </c>
      <c r="K7" s="6" t="str">
        <f t="shared" si="3"/>
        <v/>
      </c>
      <c r="L7" s="6"/>
      <c r="M7" s="6" t="str">
        <f t="shared" si="4"/>
        <v/>
      </c>
      <c r="N7" s="6"/>
      <c r="O7" s="6" t="str">
        <f t="shared" si="5"/>
        <v/>
      </c>
      <c r="Q7" s="6"/>
      <c r="R7" s="6"/>
      <c r="S7" s="6"/>
      <c r="T7" s="6">
        <v>9</v>
      </c>
      <c r="U7" s="6">
        <f t="shared" si="6"/>
        <v>9</v>
      </c>
      <c r="V7" s="6" t="str">
        <f t="shared" si="7"/>
        <v/>
      </c>
    </row>
    <row r="8" spans="1:23" x14ac:dyDescent="0.3">
      <c r="B8" s="64">
        <v>3</v>
      </c>
      <c r="C8" s="151">
        <v>3</v>
      </c>
      <c r="E8" s="6" t="str">
        <f t="shared" si="0"/>
        <v/>
      </c>
      <c r="F8" s="4">
        <v>645</v>
      </c>
      <c r="G8" s="6" t="str">
        <f t="shared" si="1"/>
        <v/>
      </c>
      <c r="I8" s="6" t="str">
        <f t="shared" si="2"/>
        <v/>
      </c>
      <c r="K8" s="6" t="str">
        <f t="shared" si="3"/>
        <v/>
      </c>
      <c r="L8" s="6"/>
      <c r="M8" s="6" t="str">
        <f t="shared" si="4"/>
        <v/>
      </c>
      <c r="N8" s="6"/>
      <c r="O8" s="6" t="str">
        <f t="shared" si="5"/>
        <v/>
      </c>
      <c r="Q8" s="6"/>
      <c r="R8" s="6"/>
      <c r="S8" s="6"/>
      <c r="T8" s="6">
        <v>45</v>
      </c>
      <c r="U8" s="6">
        <f t="shared" si="6"/>
        <v>45</v>
      </c>
      <c r="V8" s="6" t="str">
        <f t="shared" si="7"/>
        <v/>
      </c>
    </row>
    <row r="9" spans="1:23" x14ac:dyDescent="0.3">
      <c r="B9" s="64">
        <v>4</v>
      </c>
      <c r="C9" s="151">
        <v>4</v>
      </c>
      <c r="E9" s="6" t="str">
        <f t="shared" si="0"/>
        <v/>
      </c>
      <c r="F9" s="4">
        <v>1400</v>
      </c>
      <c r="G9" s="6" t="str">
        <f t="shared" si="1"/>
        <v/>
      </c>
      <c r="H9" s="4">
        <v>285</v>
      </c>
      <c r="I9" s="6" t="str">
        <f t="shared" si="2"/>
        <v/>
      </c>
      <c r="K9" s="6" t="str">
        <f t="shared" si="3"/>
        <v/>
      </c>
      <c r="L9" s="6"/>
      <c r="M9" s="6" t="str">
        <f t="shared" si="4"/>
        <v/>
      </c>
      <c r="N9" s="6"/>
      <c r="O9" s="6" t="str">
        <f t="shared" si="5"/>
        <v/>
      </c>
      <c r="Q9" s="6"/>
      <c r="R9" s="6"/>
      <c r="S9" s="6">
        <v>2</v>
      </c>
      <c r="T9" s="6">
        <v>15</v>
      </c>
      <c r="U9" s="6">
        <f t="shared" si="6"/>
        <v>135</v>
      </c>
      <c r="V9" s="6" t="str">
        <f t="shared" si="7"/>
        <v/>
      </c>
    </row>
    <row r="10" spans="1:23" x14ac:dyDescent="0.3">
      <c r="B10" s="64">
        <v>5</v>
      </c>
      <c r="C10" s="151">
        <v>5</v>
      </c>
      <c r="E10" s="6" t="str">
        <f t="shared" si="0"/>
        <v/>
      </c>
      <c r="F10" s="4">
        <v>6000</v>
      </c>
      <c r="G10" s="6" t="str">
        <f t="shared" si="1"/>
        <v/>
      </c>
      <c r="H10" s="4">
        <v>1200</v>
      </c>
      <c r="I10" s="6" t="str">
        <f t="shared" si="2"/>
        <v/>
      </c>
      <c r="K10" s="6" t="str">
        <f t="shared" si="3"/>
        <v/>
      </c>
      <c r="L10" s="6"/>
      <c r="M10" s="6" t="str">
        <f t="shared" si="4"/>
        <v/>
      </c>
      <c r="N10" s="6"/>
      <c r="O10" s="6" t="str">
        <f t="shared" si="5"/>
        <v/>
      </c>
      <c r="Q10" s="6"/>
      <c r="R10" s="6"/>
      <c r="S10" s="6">
        <v>4</v>
      </c>
      <c r="T10" s="6">
        <v>30</v>
      </c>
      <c r="U10" s="6">
        <f t="shared" si="6"/>
        <v>270</v>
      </c>
      <c r="V10" s="6" t="str">
        <f t="shared" si="7"/>
        <v/>
      </c>
    </row>
    <row r="11" spans="1:23" x14ac:dyDescent="0.3">
      <c r="B11" s="64">
        <v>6</v>
      </c>
      <c r="C11" s="151">
        <v>6</v>
      </c>
      <c r="E11" s="6" t="str">
        <f t="shared" si="0"/>
        <v/>
      </c>
      <c r="F11" s="4">
        <v>15000</v>
      </c>
      <c r="G11" s="6" t="str">
        <f t="shared" si="1"/>
        <v/>
      </c>
      <c r="H11" s="4">
        <v>3000</v>
      </c>
      <c r="I11" s="6" t="str">
        <f t="shared" si="2"/>
        <v/>
      </c>
      <c r="J11" s="4">
        <v>765</v>
      </c>
      <c r="K11" s="6" t="str">
        <f t="shared" si="3"/>
        <v/>
      </c>
      <c r="L11" s="6"/>
      <c r="M11" s="6" t="str">
        <f t="shared" si="4"/>
        <v/>
      </c>
      <c r="N11" s="6"/>
      <c r="O11" s="6" t="str">
        <f t="shared" si="5"/>
        <v/>
      </c>
      <c r="Q11" s="6"/>
      <c r="R11" s="6"/>
      <c r="S11" s="6">
        <v>9</v>
      </c>
      <c r="T11" s="6"/>
      <c r="U11" s="6">
        <f t="shared" si="6"/>
        <v>540</v>
      </c>
      <c r="V11" s="6" t="str">
        <f t="shared" si="7"/>
        <v/>
      </c>
    </row>
    <row r="12" spans="1:23" x14ac:dyDescent="0.3">
      <c r="B12" s="64">
        <v>7</v>
      </c>
      <c r="C12" s="151">
        <v>7</v>
      </c>
      <c r="E12" s="6" t="str">
        <f t="shared" si="0"/>
        <v/>
      </c>
      <c r="F12" s="4">
        <v>55000</v>
      </c>
      <c r="G12" s="6" t="str">
        <f t="shared" si="1"/>
        <v/>
      </c>
      <c r="H12" s="4">
        <v>11000</v>
      </c>
      <c r="I12" s="6" t="str">
        <f t="shared" si="2"/>
        <v/>
      </c>
      <c r="J12" s="4">
        <v>2700</v>
      </c>
      <c r="K12" s="6" t="str">
        <f t="shared" si="3"/>
        <v/>
      </c>
      <c r="L12" s="6"/>
      <c r="M12" s="6" t="str">
        <f t="shared" si="4"/>
        <v/>
      </c>
      <c r="N12" s="6"/>
      <c r="O12" s="6" t="str">
        <f t="shared" si="5"/>
        <v/>
      </c>
      <c r="Q12" s="6"/>
      <c r="R12" s="6"/>
      <c r="S12" s="6">
        <v>18</v>
      </c>
      <c r="T12" s="6"/>
      <c r="U12" s="6">
        <f t="shared" si="6"/>
        <v>1080</v>
      </c>
      <c r="V12" s="6" t="str">
        <f t="shared" si="7"/>
        <v/>
      </c>
    </row>
    <row r="13" spans="1:23" x14ac:dyDescent="0.3">
      <c r="B13" s="64">
        <v>8</v>
      </c>
      <c r="C13" s="151">
        <v>8</v>
      </c>
      <c r="E13" s="6" t="str">
        <f t="shared" si="0"/>
        <v/>
      </c>
      <c r="F13" s="4">
        <v>100000</v>
      </c>
      <c r="G13" s="6" t="str">
        <f t="shared" si="1"/>
        <v/>
      </c>
      <c r="H13" s="4">
        <v>20000</v>
      </c>
      <c r="I13" s="6" t="str">
        <f t="shared" si="2"/>
        <v/>
      </c>
      <c r="J13" s="4">
        <v>5000</v>
      </c>
      <c r="K13" s="6" t="str">
        <f t="shared" si="3"/>
        <v/>
      </c>
      <c r="L13" s="6"/>
      <c r="M13" s="6" t="str">
        <f t="shared" si="4"/>
        <v/>
      </c>
      <c r="N13" s="6"/>
      <c r="O13" s="6" t="str">
        <f t="shared" si="5"/>
        <v/>
      </c>
      <c r="Q13" s="6"/>
      <c r="R13" s="6"/>
      <c r="S13" s="6">
        <v>27</v>
      </c>
      <c r="T13" s="6"/>
      <c r="U13" s="6">
        <f t="shared" si="6"/>
        <v>1620</v>
      </c>
      <c r="V13" s="6" t="str">
        <f t="shared" si="7"/>
        <v/>
      </c>
    </row>
    <row r="14" spans="1:23" x14ac:dyDescent="0.3">
      <c r="B14" s="64">
        <v>9</v>
      </c>
      <c r="C14" s="151">
        <v>9</v>
      </c>
      <c r="E14" s="6" t="str">
        <f t="shared" si="0"/>
        <v/>
      </c>
      <c r="F14" s="4">
        <v>200000</v>
      </c>
      <c r="G14" s="6" t="str">
        <f t="shared" si="1"/>
        <v/>
      </c>
      <c r="H14" s="4">
        <v>41000</v>
      </c>
      <c r="I14" s="6" t="str">
        <f t="shared" si="2"/>
        <v/>
      </c>
      <c r="J14" s="4">
        <v>10000</v>
      </c>
      <c r="K14" s="6" t="str">
        <f t="shared" si="3"/>
        <v/>
      </c>
      <c r="L14" s="6"/>
      <c r="M14" s="6" t="str">
        <f t="shared" si="4"/>
        <v/>
      </c>
      <c r="N14" s="6"/>
      <c r="O14" s="6" t="str">
        <f t="shared" si="5"/>
        <v/>
      </c>
      <c r="Q14" s="6"/>
      <c r="R14" s="6"/>
      <c r="S14" s="6">
        <v>40</v>
      </c>
      <c r="T14" s="6">
        <v>30</v>
      </c>
      <c r="U14" s="6">
        <f t="shared" si="6"/>
        <v>2430</v>
      </c>
      <c r="V14" s="6" t="str">
        <f t="shared" si="7"/>
        <v/>
      </c>
    </row>
    <row r="15" spans="1:23" x14ac:dyDescent="0.3">
      <c r="B15" s="64">
        <v>10</v>
      </c>
      <c r="C15" s="151">
        <v>10</v>
      </c>
      <c r="E15" s="6" t="str">
        <f t="shared" si="0"/>
        <v/>
      </c>
      <c r="F15" s="4">
        <v>360000</v>
      </c>
      <c r="G15" s="6" t="str">
        <f t="shared" si="1"/>
        <v/>
      </c>
      <c r="H15" s="4">
        <v>73000</v>
      </c>
      <c r="I15" s="6" t="str">
        <f t="shared" si="2"/>
        <v/>
      </c>
      <c r="J15" s="4">
        <v>18000</v>
      </c>
      <c r="K15" s="6" t="str">
        <f t="shared" si="3"/>
        <v/>
      </c>
      <c r="L15" s="6"/>
      <c r="M15" s="6" t="str">
        <f t="shared" si="4"/>
        <v/>
      </c>
      <c r="N15" s="6"/>
      <c r="O15" s="6" t="str">
        <f t="shared" si="5"/>
        <v/>
      </c>
      <c r="Q15" s="6"/>
      <c r="R15" s="6"/>
      <c r="S15" s="6">
        <v>54</v>
      </c>
      <c r="T15" s="6"/>
      <c r="U15" s="6">
        <f t="shared" si="6"/>
        <v>3240</v>
      </c>
      <c r="V15" s="6" t="str">
        <f t="shared" si="7"/>
        <v/>
      </c>
    </row>
    <row r="16" spans="1:23" x14ac:dyDescent="0.3">
      <c r="B16" s="64">
        <v>11</v>
      </c>
      <c r="C16" s="151">
        <v>11</v>
      </c>
      <c r="D16" s="4">
        <v>460000</v>
      </c>
      <c r="E16" s="6" t="str">
        <f t="shared" si="0"/>
        <v/>
      </c>
      <c r="F16" s="4">
        <v>460000</v>
      </c>
      <c r="G16" s="6" t="str">
        <f t="shared" si="1"/>
        <v/>
      </c>
      <c r="H16" s="4">
        <v>92000</v>
      </c>
      <c r="I16" s="6" t="str">
        <f t="shared" si="2"/>
        <v/>
      </c>
      <c r="J16" s="4">
        <v>23000</v>
      </c>
      <c r="K16" s="6" t="str">
        <f t="shared" si="3"/>
        <v/>
      </c>
      <c r="L16" s="6"/>
      <c r="M16" s="6" t="str">
        <f t="shared" si="4"/>
        <v/>
      </c>
      <c r="N16" s="6"/>
      <c r="O16" s="6" t="str">
        <f t="shared" si="5"/>
        <v/>
      </c>
      <c r="Q16" s="6"/>
      <c r="R16" s="6">
        <v>1</v>
      </c>
      <c r="S16" s="6">
        <v>7</v>
      </c>
      <c r="T16" s="6">
        <v>30</v>
      </c>
      <c r="U16" s="6">
        <f t="shared" si="6"/>
        <v>4050</v>
      </c>
      <c r="V16" s="6" t="str">
        <f t="shared" si="7"/>
        <v/>
      </c>
    </row>
    <row r="17" spans="2:22" x14ac:dyDescent="0.3">
      <c r="B17" s="64">
        <v>12</v>
      </c>
      <c r="C17" s="151">
        <v>12</v>
      </c>
      <c r="D17" s="4">
        <v>580000</v>
      </c>
      <c r="E17" s="6" t="str">
        <f t="shared" si="0"/>
        <v/>
      </c>
      <c r="F17" s="4">
        <v>580000</v>
      </c>
      <c r="G17" s="6" t="str">
        <f t="shared" si="1"/>
        <v/>
      </c>
      <c r="H17" s="4">
        <v>110000</v>
      </c>
      <c r="I17" s="6" t="str">
        <f t="shared" si="2"/>
        <v/>
      </c>
      <c r="J17" s="4">
        <v>29000</v>
      </c>
      <c r="K17" s="6" t="str">
        <f t="shared" si="3"/>
        <v/>
      </c>
      <c r="L17" s="6"/>
      <c r="M17" s="6" t="str">
        <f t="shared" si="4"/>
        <v/>
      </c>
      <c r="N17" s="6"/>
      <c r="O17" s="6" t="str">
        <f t="shared" si="5"/>
        <v/>
      </c>
      <c r="Q17" s="6"/>
      <c r="R17" s="6">
        <v>1</v>
      </c>
      <c r="S17" s="6">
        <v>21</v>
      </c>
      <c r="T17" s="6"/>
      <c r="U17" s="6">
        <f t="shared" si="6"/>
        <v>4860</v>
      </c>
      <c r="V17" s="6" t="str">
        <f t="shared" si="7"/>
        <v/>
      </c>
    </row>
    <row r="18" spans="2:22" x14ac:dyDescent="0.3">
      <c r="B18" s="64">
        <v>13</v>
      </c>
      <c r="C18" s="151">
        <v>13</v>
      </c>
      <c r="D18" s="4">
        <v>830000</v>
      </c>
      <c r="E18" s="6" t="str">
        <f t="shared" si="0"/>
        <v/>
      </c>
      <c r="F18" s="4">
        <v>830000</v>
      </c>
      <c r="G18" s="6" t="str">
        <f t="shared" si="1"/>
        <v/>
      </c>
      <c r="H18" s="4">
        <v>160000</v>
      </c>
      <c r="I18" s="6" t="str">
        <f t="shared" si="2"/>
        <v/>
      </c>
      <c r="J18" s="4">
        <v>41000</v>
      </c>
      <c r="K18" s="6" t="str">
        <f t="shared" si="3"/>
        <v/>
      </c>
      <c r="L18" s="6"/>
      <c r="M18" s="6" t="str">
        <f t="shared" si="4"/>
        <v/>
      </c>
      <c r="N18" s="6"/>
      <c r="O18" s="6" t="str">
        <f t="shared" si="5"/>
        <v/>
      </c>
      <c r="Q18" s="6"/>
      <c r="R18" s="6">
        <v>1</v>
      </c>
      <c r="S18" s="6">
        <v>39</v>
      </c>
      <c r="T18" s="6"/>
      <c r="U18" s="6">
        <f t="shared" si="6"/>
        <v>5940</v>
      </c>
      <c r="V18" s="6" t="str">
        <f t="shared" si="7"/>
        <v/>
      </c>
    </row>
    <row r="19" spans="2:22" x14ac:dyDescent="0.3">
      <c r="B19" s="64">
        <v>14</v>
      </c>
      <c r="C19" s="151">
        <v>14</v>
      </c>
      <c r="D19" s="4">
        <v>1100000</v>
      </c>
      <c r="E19" s="6" t="str">
        <f t="shared" si="0"/>
        <v/>
      </c>
      <c r="F19" s="4">
        <v>1100000</v>
      </c>
      <c r="G19" s="6" t="str">
        <f t="shared" si="1"/>
        <v/>
      </c>
      <c r="H19" s="4">
        <v>220000</v>
      </c>
      <c r="I19" s="6" t="str">
        <f t="shared" si="2"/>
        <v/>
      </c>
      <c r="J19" s="4">
        <v>55000</v>
      </c>
      <c r="K19" s="6" t="str">
        <f t="shared" si="3"/>
        <v/>
      </c>
      <c r="L19" s="6"/>
      <c r="M19" s="6" t="str">
        <f t="shared" si="4"/>
        <v/>
      </c>
      <c r="N19" s="6"/>
      <c r="O19" s="6" t="str">
        <f t="shared" si="5"/>
        <v/>
      </c>
      <c r="Q19" s="6"/>
      <c r="R19" s="6">
        <v>2</v>
      </c>
      <c r="S19" s="6">
        <v>6</v>
      </c>
      <c r="T19" s="6"/>
      <c r="U19" s="6">
        <f t="shared" si="6"/>
        <v>7560</v>
      </c>
      <c r="V19" s="6" t="str">
        <f t="shared" si="7"/>
        <v/>
      </c>
    </row>
    <row r="20" spans="2:22" x14ac:dyDescent="0.3">
      <c r="B20" s="64">
        <v>15</v>
      </c>
      <c r="C20" s="151">
        <v>15</v>
      </c>
      <c r="D20" s="4">
        <v>1600000</v>
      </c>
      <c r="E20" s="6" t="str">
        <f t="shared" si="0"/>
        <v/>
      </c>
      <c r="F20" s="4">
        <v>1600000</v>
      </c>
      <c r="G20" s="6" t="str">
        <f t="shared" si="1"/>
        <v/>
      </c>
      <c r="H20" s="4">
        <v>320000</v>
      </c>
      <c r="I20" s="6" t="str">
        <f t="shared" si="2"/>
        <v/>
      </c>
      <c r="J20" s="4">
        <v>81000</v>
      </c>
      <c r="K20" s="6" t="str">
        <f t="shared" si="3"/>
        <v/>
      </c>
      <c r="L20" s="6"/>
      <c r="M20" s="6" t="str">
        <f t="shared" si="4"/>
        <v/>
      </c>
      <c r="N20" s="6"/>
      <c r="O20" s="6" t="str">
        <f t="shared" si="5"/>
        <v/>
      </c>
      <c r="Q20" s="6"/>
      <c r="R20" s="6">
        <v>2</v>
      </c>
      <c r="S20" s="6">
        <v>42</v>
      </c>
      <c r="T20" s="6"/>
      <c r="U20" s="6">
        <f t="shared" si="6"/>
        <v>9720</v>
      </c>
      <c r="V20" s="6" t="str">
        <f t="shared" si="7"/>
        <v/>
      </c>
    </row>
    <row r="21" spans="2:22" x14ac:dyDescent="0.3">
      <c r="B21" s="64">
        <v>16</v>
      </c>
      <c r="C21" s="151">
        <v>16</v>
      </c>
      <c r="D21" s="4">
        <v>2000000</v>
      </c>
      <c r="E21" s="6" t="str">
        <f t="shared" si="0"/>
        <v/>
      </c>
      <c r="F21" s="4">
        <v>2000000</v>
      </c>
      <c r="G21" s="6" t="str">
        <f t="shared" si="1"/>
        <v/>
      </c>
      <c r="H21" s="4">
        <v>410000</v>
      </c>
      <c r="I21" s="6" t="str">
        <f t="shared" si="2"/>
        <v/>
      </c>
      <c r="J21" s="4">
        <v>100000</v>
      </c>
      <c r="K21" s="6" t="str">
        <f t="shared" si="3"/>
        <v/>
      </c>
      <c r="L21" s="6"/>
      <c r="M21" s="6" t="str">
        <f t="shared" si="4"/>
        <v/>
      </c>
      <c r="N21" s="6"/>
      <c r="O21" s="6" t="str">
        <f t="shared" si="5"/>
        <v/>
      </c>
      <c r="Q21" s="6"/>
      <c r="R21" s="6">
        <v>4</v>
      </c>
      <c r="S21" s="6">
        <v>34</v>
      </c>
      <c r="T21" s="6"/>
      <c r="U21" s="6">
        <f t="shared" si="6"/>
        <v>16440</v>
      </c>
      <c r="V21" s="6" t="str">
        <f t="shared" si="7"/>
        <v/>
      </c>
    </row>
    <row r="22" spans="2:22" x14ac:dyDescent="0.3">
      <c r="B22" s="64">
        <v>17</v>
      </c>
      <c r="C22" s="151">
        <v>17</v>
      </c>
      <c r="D22" s="4">
        <v>3200000</v>
      </c>
      <c r="E22" s="6" t="str">
        <f t="shared" si="0"/>
        <v/>
      </c>
      <c r="F22" s="4">
        <v>3200000</v>
      </c>
      <c r="G22" s="6" t="str">
        <f t="shared" si="1"/>
        <v/>
      </c>
      <c r="H22" s="4">
        <v>650000</v>
      </c>
      <c r="I22" s="6" t="str">
        <f t="shared" si="2"/>
        <v/>
      </c>
      <c r="J22" s="4">
        <v>160000</v>
      </c>
      <c r="K22" s="6" t="str">
        <f t="shared" si="3"/>
        <v/>
      </c>
      <c r="L22" s="6"/>
      <c r="M22" s="6" t="str">
        <f t="shared" si="4"/>
        <v/>
      </c>
      <c r="N22" s="6"/>
      <c r="O22" s="6" t="str">
        <f t="shared" si="5"/>
        <v/>
      </c>
      <c r="Q22" s="6"/>
      <c r="R22" s="6">
        <v>5</v>
      </c>
      <c r="S22" s="6">
        <v>29</v>
      </c>
      <c r="T22" s="6"/>
      <c r="U22" s="6">
        <f t="shared" si="6"/>
        <v>19740</v>
      </c>
      <c r="V22" s="6" t="str">
        <f t="shared" si="7"/>
        <v/>
      </c>
    </row>
    <row r="23" spans="2:22" x14ac:dyDescent="0.3">
      <c r="B23" s="64">
        <v>18</v>
      </c>
      <c r="C23" s="151">
        <v>18</v>
      </c>
      <c r="D23" s="4">
        <v>4300000</v>
      </c>
      <c r="E23" s="6" t="str">
        <f t="shared" si="0"/>
        <v/>
      </c>
      <c r="F23" s="4">
        <v>4300000</v>
      </c>
      <c r="G23" s="6" t="str">
        <f t="shared" si="1"/>
        <v/>
      </c>
      <c r="H23" s="4">
        <v>870000</v>
      </c>
      <c r="I23" s="6" t="str">
        <f t="shared" si="2"/>
        <v/>
      </c>
      <c r="J23" s="4">
        <v>210000</v>
      </c>
      <c r="K23" s="6" t="str">
        <f t="shared" si="3"/>
        <v/>
      </c>
      <c r="L23" s="6"/>
      <c r="M23" s="6" t="str">
        <f t="shared" si="4"/>
        <v/>
      </c>
      <c r="N23" s="6"/>
      <c r="O23" s="6" t="str">
        <f t="shared" si="5"/>
        <v/>
      </c>
      <c r="Q23" s="6"/>
      <c r="R23" s="6">
        <v>6</v>
      </c>
      <c r="S23" s="6">
        <v>35</v>
      </c>
      <c r="T23" s="6"/>
      <c r="U23" s="6">
        <f t="shared" si="6"/>
        <v>23700</v>
      </c>
      <c r="V23" s="6" t="str">
        <f t="shared" si="7"/>
        <v/>
      </c>
    </row>
    <row r="24" spans="2:22" x14ac:dyDescent="0.3">
      <c r="B24" s="64">
        <v>19</v>
      </c>
      <c r="C24" s="151">
        <v>19</v>
      </c>
      <c r="D24" s="4">
        <v>5400000</v>
      </c>
      <c r="E24" s="6" t="str">
        <f t="shared" si="0"/>
        <v/>
      </c>
      <c r="F24" s="4">
        <v>5400000</v>
      </c>
      <c r="G24" s="6" t="str">
        <f t="shared" si="1"/>
        <v/>
      </c>
      <c r="H24" s="4">
        <v>1000000</v>
      </c>
      <c r="I24" s="6" t="str">
        <f t="shared" si="2"/>
        <v/>
      </c>
      <c r="J24" s="4">
        <v>270000</v>
      </c>
      <c r="K24" s="6" t="str">
        <f t="shared" si="3"/>
        <v/>
      </c>
      <c r="L24" s="6"/>
      <c r="M24" s="6" t="str">
        <f t="shared" si="4"/>
        <v/>
      </c>
      <c r="N24" s="6"/>
      <c r="O24" s="6" t="str">
        <f t="shared" si="5"/>
        <v/>
      </c>
      <c r="Q24" s="6"/>
      <c r="R24" s="6">
        <v>9</v>
      </c>
      <c r="S24" s="6">
        <v>52</v>
      </c>
      <c r="T24" s="6">
        <v>30</v>
      </c>
      <c r="U24" s="6">
        <f t="shared" si="6"/>
        <v>35550</v>
      </c>
      <c r="V24" s="6" t="str">
        <f t="shared" si="7"/>
        <v/>
      </c>
    </row>
    <row r="25" spans="2:22" x14ac:dyDescent="0.3">
      <c r="B25" s="64">
        <v>20</v>
      </c>
      <c r="C25" s="151">
        <v>20</v>
      </c>
      <c r="D25" s="4">
        <v>7500000</v>
      </c>
      <c r="E25" s="6" t="str">
        <f t="shared" si="0"/>
        <v/>
      </c>
      <c r="F25" s="4">
        <v>7500000</v>
      </c>
      <c r="G25" s="6" t="str">
        <f t="shared" si="1"/>
        <v/>
      </c>
      <c r="H25" s="4">
        <v>1500000</v>
      </c>
      <c r="I25" s="6" t="str">
        <f t="shared" si="2"/>
        <v/>
      </c>
      <c r="J25" s="4">
        <v>370000</v>
      </c>
      <c r="K25" s="6" t="str">
        <f t="shared" si="3"/>
        <v/>
      </c>
      <c r="L25" s="6"/>
      <c r="M25" s="6" t="str">
        <f t="shared" si="4"/>
        <v/>
      </c>
      <c r="N25" s="6"/>
      <c r="O25" s="6" t="str">
        <f t="shared" si="5"/>
        <v/>
      </c>
      <c r="Q25" s="6"/>
      <c r="R25" s="6">
        <v>12</v>
      </c>
      <c r="S25" s="6">
        <v>20</v>
      </c>
      <c r="T25" s="6">
        <v>30</v>
      </c>
      <c r="U25" s="6">
        <f t="shared" si="6"/>
        <v>44430</v>
      </c>
      <c r="V25" s="6" t="str">
        <f t="shared" si="7"/>
        <v/>
      </c>
    </row>
    <row r="26" spans="2:22" x14ac:dyDescent="0.3">
      <c r="B26" s="64">
        <v>21</v>
      </c>
      <c r="C26" s="151">
        <v>21</v>
      </c>
      <c r="D26" s="4">
        <v>9500000</v>
      </c>
      <c r="E26" s="6" t="str">
        <f t="shared" si="0"/>
        <v/>
      </c>
      <c r="F26" s="4">
        <v>9500000</v>
      </c>
      <c r="G26" s="6" t="str">
        <f t="shared" si="1"/>
        <v/>
      </c>
      <c r="H26" s="4">
        <v>1900000</v>
      </c>
      <c r="I26" s="6" t="str">
        <f t="shared" si="2"/>
        <v/>
      </c>
      <c r="J26" s="4">
        <v>470000</v>
      </c>
      <c r="K26" s="6" t="str">
        <f t="shared" si="3"/>
        <v/>
      </c>
      <c r="L26" s="6"/>
      <c r="M26" s="6" t="str">
        <f t="shared" si="4"/>
        <v/>
      </c>
      <c r="N26" s="6"/>
      <c r="O26" s="6" t="str">
        <f t="shared" si="5"/>
        <v/>
      </c>
      <c r="Q26" s="6"/>
      <c r="R26" s="6">
        <v>16</v>
      </c>
      <c r="S26" s="6">
        <v>2</v>
      </c>
      <c r="T26" s="6">
        <v>30</v>
      </c>
      <c r="U26" s="6">
        <f t="shared" si="6"/>
        <v>57750</v>
      </c>
      <c r="V26" s="6" t="str">
        <f t="shared" si="7"/>
        <v/>
      </c>
    </row>
    <row r="27" spans="2:22" x14ac:dyDescent="0.3">
      <c r="B27" s="64">
        <v>22</v>
      </c>
      <c r="C27" s="151">
        <v>22</v>
      </c>
      <c r="D27" s="4">
        <v>12000000</v>
      </c>
      <c r="E27" s="6" t="str">
        <f t="shared" si="0"/>
        <v/>
      </c>
      <c r="F27" s="4">
        <v>12000000</v>
      </c>
      <c r="G27" s="6" t="str">
        <f t="shared" si="1"/>
        <v/>
      </c>
      <c r="H27" s="4">
        <v>2500000</v>
      </c>
      <c r="I27" s="6" t="str">
        <f t="shared" si="2"/>
        <v/>
      </c>
      <c r="J27" s="4">
        <v>630000</v>
      </c>
      <c r="K27" s="6" t="str">
        <f t="shared" si="3"/>
        <v/>
      </c>
      <c r="L27" s="6"/>
      <c r="M27" s="6" t="str">
        <f t="shared" si="4"/>
        <v/>
      </c>
      <c r="N27" s="6"/>
      <c r="O27" s="6" t="str">
        <f t="shared" si="5"/>
        <v/>
      </c>
      <c r="Q27" s="6">
        <v>1</v>
      </c>
      <c r="R27" s="6"/>
      <c r="S27" s="6">
        <v>4</v>
      </c>
      <c r="T27" s="6"/>
      <c r="U27" s="6">
        <f t="shared" si="6"/>
        <v>86640</v>
      </c>
      <c r="V27" s="6" t="str">
        <f t="shared" si="7"/>
        <v/>
      </c>
    </row>
    <row r="28" spans="2:22" x14ac:dyDescent="0.3">
      <c r="B28" s="64">
        <v>23</v>
      </c>
      <c r="C28" s="151">
        <v>23</v>
      </c>
      <c r="D28" s="4">
        <v>15000000</v>
      </c>
      <c r="E28" s="6" t="str">
        <f t="shared" si="0"/>
        <v/>
      </c>
      <c r="F28" s="4">
        <v>15000000</v>
      </c>
      <c r="G28" s="6" t="str">
        <f t="shared" si="1"/>
        <v/>
      </c>
      <c r="H28" s="4">
        <v>3100000</v>
      </c>
      <c r="I28" s="6" t="str">
        <f t="shared" si="2"/>
        <v/>
      </c>
      <c r="J28" s="4">
        <v>490000</v>
      </c>
      <c r="K28" s="6" t="str">
        <f t="shared" si="3"/>
        <v/>
      </c>
      <c r="L28" s="6"/>
      <c r="M28" s="6" t="str">
        <f t="shared" si="4"/>
        <v/>
      </c>
      <c r="N28" s="6"/>
      <c r="O28" s="6" t="str">
        <f t="shared" si="5"/>
        <v/>
      </c>
      <c r="Q28" s="6">
        <v>1</v>
      </c>
      <c r="R28" s="6">
        <v>9</v>
      </c>
      <c r="S28" s="6">
        <v>42</v>
      </c>
      <c r="T28" s="6"/>
      <c r="U28" s="6">
        <f t="shared" si="6"/>
        <v>121320</v>
      </c>
      <c r="V28" s="6" t="str">
        <f t="shared" si="7"/>
        <v/>
      </c>
    </row>
    <row r="29" spans="2:22" x14ac:dyDescent="0.3">
      <c r="B29" s="64">
        <v>24</v>
      </c>
      <c r="C29" s="151">
        <v>24</v>
      </c>
      <c r="D29" s="4">
        <v>21000000</v>
      </c>
      <c r="E29" s="6" t="str">
        <f t="shared" si="0"/>
        <v/>
      </c>
      <c r="F29" s="4">
        <v>21000000</v>
      </c>
      <c r="G29" s="6" t="str">
        <f t="shared" si="1"/>
        <v/>
      </c>
      <c r="H29" s="4">
        <v>4200000</v>
      </c>
      <c r="I29" s="6" t="str">
        <f t="shared" si="2"/>
        <v/>
      </c>
      <c r="J29" s="4">
        <v>1000000</v>
      </c>
      <c r="K29" s="6" t="str">
        <f t="shared" si="3"/>
        <v/>
      </c>
      <c r="L29" s="6"/>
      <c r="M29" s="6" t="str">
        <f t="shared" si="4"/>
        <v/>
      </c>
      <c r="N29" s="6"/>
      <c r="O29" s="6" t="str">
        <f t="shared" si="5"/>
        <v/>
      </c>
      <c r="Q29" s="6">
        <v>1</v>
      </c>
      <c r="R29" s="6">
        <v>23</v>
      </c>
      <c r="S29" s="6">
        <v>11</v>
      </c>
      <c r="T29" s="6"/>
      <c r="U29" s="6">
        <f t="shared" si="6"/>
        <v>169860</v>
      </c>
      <c r="V29" s="6" t="str">
        <f t="shared" si="7"/>
        <v/>
      </c>
    </row>
    <row r="30" spans="2:22" x14ac:dyDescent="0.3">
      <c r="B30" s="64">
        <v>25</v>
      </c>
      <c r="C30" s="151">
        <v>25</v>
      </c>
      <c r="D30" s="4">
        <v>28000000</v>
      </c>
      <c r="E30" s="6" t="str">
        <f t="shared" si="0"/>
        <v/>
      </c>
      <c r="F30" s="4">
        <v>28000000</v>
      </c>
      <c r="G30" s="6" t="str">
        <f t="shared" si="1"/>
        <v/>
      </c>
      <c r="H30" s="4">
        <v>5700000</v>
      </c>
      <c r="I30" s="6" t="str">
        <f t="shared" si="2"/>
        <v/>
      </c>
      <c r="J30" s="4">
        <v>1400000</v>
      </c>
      <c r="K30" s="6" t="str">
        <f t="shared" si="3"/>
        <v/>
      </c>
      <c r="L30" s="6"/>
      <c r="M30" s="6" t="str">
        <f t="shared" si="4"/>
        <v/>
      </c>
      <c r="N30" s="6"/>
      <c r="O30" s="6" t="str">
        <f t="shared" si="5"/>
        <v/>
      </c>
      <c r="Q30" s="6">
        <v>2</v>
      </c>
      <c r="R30" s="6">
        <v>18</v>
      </c>
      <c r="S30" s="6">
        <v>3</v>
      </c>
      <c r="T30" s="6"/>
      <c r="U30" s="6">
        <f t="shared" si="6"/>
        <v>237780</v>
      </c>
      <c r="V30" s="6" t="str">
        <f t="shared" si="7"/>
        <v/>
      </c>
    </row>
    <row r="31" spans="2:22" x14ac:dyDescent="0.3">
      <c r="B31" s="64">
        <v>26</v>
      </c>
      <c r="C31" s="151">
        <v>26</v>
      </c>
      <c r="D31" s="4">
        <v>36000000</v>
      </c>
      <c r="E31" s="6" t="str">
        <f t="shared" si="0"/>
        <v/>
      </c>
      <c r="F31" s="4">
        <v>36000000</v>
      </c>
      <c r="G31" s="6" t="str">
        <f t="shared" si="1"/>
        <v/>
      </c>
      <c r="H31" s="4">
        <v>7300000</v>
      </c>
      <c r="I31" s="6" t="str">
        <f t="shared" si="2"/>
        <v/>
      </c>
      <c r="J31" s="4">
        <v>1800000</v>
      </c>
      <c r="K31" s="6" t="str">
        <f t="shared" si="3"/>
        <v/>
      </c>
      <c r="L31" s="6"/>
      <c r="M31" s="6" t="str">
        <f t="shared" si="4"/>
        <v/>
      </c>
      <c r="N31" s="6"/>
      <c r="O31" s="6" t="str">
        <f t="shared" si="5"/>
        <v/>
      </c>
      <c r="Q31" s="6">
        <v>3</v>
      </c>
      <c r="R31" s="6">
        <v>3</v>
      </c>
      <c r="S31" s="6">
        <v>57</v>
      </c>
      <c r="T31" s="6"/>
      <c r="U31" s="6">
        <f t="shared" si="6"/>
        <v>273420</v>
      </c>
      <c r="V31" s="6" t="str">
        <f t="shared" si="7"/>
        <v/>
      </c>
    </row>
    <row r="32" spans="2:22" x14ac:dyDescent="0.3">
      <c r="B32" s="64">
        <v>27</v>
      </c>
      <c r="C32" s="151">
        <v>27</v>
      </c>
      <c r="D32" s="4">
        <v>52000000</v>
      </c>
      <c r="E32" s="6" t="str">
        <f t="shared" si="0"/>
        <v/>
      </c>
      <c r="F32" s="4">
        <v>52000000</v>
      </c>
      <c r="G32" s="6" t="str">
        <f t="shared" si="1"/>
        <v/>
      </c>
      <c r="H32" s="4">
        <v>10000000</v>
      </c>
      <c r="I32" s="6" t="str">
        <f t="shared" si="2"/>
        <v/>
      </c>
      <c r="J32" s="4">
        <v>2600000</v>
      </c>
      <c r="K32" s="6" t="str">
        <f t="shared" si="3"/>
        <v/>
      </c>
      <c r="L32" s="6"/>
      <c r="M32" s="6" t="str">
        <f t="shared" si="4"/>
        <v/>
      </c>
      <c r="N32" s="6"/>
      <c r="O32" s="6" t="str">
        <f t="shared" si="5"/>
        <v/>
      </c>
      <c r="Q32" s="6">
        <v>3</v>
      </c>
      <c r="R32" s="6">
        <v>19</v>
      </c>
      <c r="S32" s="6">
        <v>9</v>
      </c>
      <c r="T32" s="6"/>
      <c r="U32" s="6">
        <f t="shared" si="6"/>
        <v>328140</v>
      </c>
      <c r="V32" s="6" t="str">
        <f t="shared" si="7"/>
        <v/>
      </c>
    </row>
    <row r="33" spans="2:22" x14ac:dyDescent="0.3">
      <c r="B33" s="64">
        <v>28</v>
      </c>
      <c r="C33" s="151">
        <v>28</v>
      </c>
      <c r="D33" s="4">
        <v>69000000</v>
      </c>
      <c r="E33" s="6" t="str">
        <f t="shared" si="0"/>
        <v/>
      </c>
      <c r="F33" s="4">
        <v>69000000</v>
      </c>
      <c r="G33" s="6" t="str">
        <f t="shared" si="1"/>
        <v/>
      </c>
      <c r="H33" s="4">
        <v>13000000</v>
      </c>
      <c r="I33" s="6" t="str">
        <f t="shared" si="2"/>
        <v/>
      </c>
      <c r="J33" s="4">
        <v>3400000</v>
      </c>
      <c r="K33" s="6" t="str">
        <f t="shared" si="3"/>
        <v/>
      </c>
      <c r="L33" s="6"/>
      <c r="M33" s="6" t="str">
        <f t="shared" si="4"/>
        <v/>
      </c>
      <c r="N33" s="6"/>
      <c r="O33" s="6" t="str">
        <f t="shared" si="5"/>
        <v/>
      </c>
      <c r="Q33" s="6">
        <v>4</v>
      </c>
      <c r="R33" s="6">
        <v>8</v>
      </c>
      <c r="S33" s="6">
        <v>49</v>
      </c>
      <c r="T33" s="6"/>
      <c r="U33" s="6">
        <f t="shared" si="6"/>
        <v>377340</v>
      </c>
      <c r="V33" s="6" t="str">
        <f t="shared" si="7"/>
        <v/>
      </c>
    </row>
    <row r="34" spans="2:22" x14ac:dyDescent="0.3">
      <c r="B34" s="64">
        <v>29</v>
      </c>
      <c r="C34" s="151">
        <v>29</v>
      </c>
      <c r="D34" s="4">
        <v>86000000</v>
      </c>
      <c r="E34" s="6" t="str">
        <f t="shared" si="0"/>
        <v/>
      </c>
      <c r="F34" s="4">
        <v>86000000</v>
      </c>
      <c r="G34" s="6" t="str">
        <f t="shared" si="1"/>
        <v/>
      </c>
      <c r="H34" s="4">
        <v>17000000</v>
      </c>
      <c r="I34" s="6" t="str">
        <f t="shared" si="2"/>
        <v/>
      </c>
      <c r="J34" s="4">
        <v>4300000</v>
      </c>
      <c r="K34" s="6" t="str">
        <f t="shared" si="3"/>
        <v/>
      </c>
      <c r="L34" s="6"/>
      <c r="M34" s="6" t="str">
        <f t="shared" si="4"/>
        <v/>
      </c>
      <c r="N34" s="6"/>
      <c r="O34" s="6" t="str">
        <f t="shared" si="5"/>
        <v/>
      </c>
      <c r="Q34" s="6">
        <v>5</v>
      </c>
      <c r="R34" s="6"/>
      <c r="S34" s="6">
        <v>33</v>
      </c>
      <c r="T34" s="6"/>
      <c r="U34" s="6">
        <f t="shared" si="6"/>
        <v>433980</v>
      </c>
      <c r="V34" s="6" t="str">
        <f t="shared" si="7"/>
        <v/>
      </c>
    </row>
    <row r="35" spans="2:22" x14ac:dyDescent="0.3">
      <c r="B35" s="64">
        <v>30</v>
      </c>
      <c r="C35" s="151">
        <v>30</v>
      </c>
      <c r="D35" s="4">
        <v>100000000</v>
      </c>
      <c r="E35" s="6" t="str">
        <f t="shared" si="0"/>
        <v/>
      </c>
      <c r="F35" s="4">
        <v>100000000</v>
      </c>
      <c r="G35" s="6" t="str">
        <f t="shared" si="1"/>
        <v/>
      </c>
      <c r="H35" s="4">
        <v>21000000</v>
      </c>
      <c r="I35" s="6" t="str">
        <f t="shared" si="2"/>
        <v/>
      </c>
      <c r="J35" s="4">
        <v>5200000</v>
      </c>
      <c r="K35" s="6" t="str">
        <f t="shared" si="3"/>
        <v/>
      </c>
      <c r="L35" s="6"/>
      <c r="M35" s="6" t="str">
        <f t="shared" si="4"/>
        <v/>
      </c>
      <c r="N35" s="6"/>
      <c r="O35" s="6" t="str">
        <f t="shared" si="5"/>
        <v/>
      </c>
      <c r="Q35" s="6">
        <v>6</v>
      </c>
      <c r="R35" s="6"/>
      <c r="S35" s="6">
        <v>40</v>
      </c>
      <c r="T35" s="6"/>
      <c r="U35" s="6">
        <f t="shared" si="6"/>
        <v>520800</v>
      </c>
      <c r="V35" s="6" t="str">
        <f t="shared" si="7"/>
        <v/>
      </c>
    </row>
    <row r="36" spans="2:22" x14ac:dyDescent="0.3">
      <c r="B36" s="64" t="s">
        <v>34</v>
      </c>
      <c r="C36" s="151">
        <v>31</v>
      </c>
      <c r="D36" s="4">
        <v>23000000</v>
      </c>
      <c r="E36" s="6" t="str">
        <f t="shared" si="0"/>
        <v/>
      </c>
      <c r="F36" s="4">
        <v>23000000</v>
      </c>
      <c r="G36" s="6" t="str">
        <f t="shared" si="1"/>
        <v/>
      </c>
      <c r="H36" s="4">
        <v>4700000</v>
      </c>
      <c r="I36" s="6" t="str">
        <f t="shared" si="2"/>
        <v/>
      </c>
      <c r="J36" s="4">
        <v>1100000</v>
      </c>
      <c r="K36" s="6" t="str">
        <f t="shared" si="3"/>
        <v/>
      </c>
      <c r="L36" s="6">
        <v>59</v>
      </c>
      <c r="M36" s="6" t="str">
        <f t="shared" si="4"/>
        <v/>
      </c>
      <c r="N36" s="6"/>
      <c r="O36" s="6" t="str">
        <f t="shared" si="5"/>
        <v/>
      </c>
      <c r="Q36" s="6">
        <v>1</v>
      </c>
      <c r="R36" s="6">
        <v>1</v>
      </c>
      <c r="S36" s="6">
        <v>12</v>
      </c>
      <c r="T36" s="6"/>
      <c r="U36" s="6">
        <f t="shared" si="6"/>
        <v>90720</v>
      </c>
      <c r="V36" s="6" t="str">
        <f t="shared" si="7"/>
        <v/>
      </c>
    </row>
    <row r="37" spans="2:22" x14ac:dyDescent="0.3">
      <c r="B37" s="64" t="s">
        <v>35</v>
      </c>
      <c r="C37" s="151">
        <v>32</v>
      </c>
      <c r="D37" s="4">
        <v>23000000</v>
      </c>
      <c r="E37" s="6" t="str">
        <f t="shared" si="0"/>
        <v/>
      </c>
      <c r="F37" s="4">
        <v>23000000</v>
      </c>
      <c r="G37" s="6" t="str">
        <f t="shared" si="1"/>
        <v/>
      </c>
      <c r="H37" s="4">
        <v>4700000</v>
      </c>
      <c r="I37" s="6" t="str">
        <f t="shared" si="2"/>
        <v/>
      </c>
      <c r="J37" s="4">
        <v>1100000</v>
      </c>
      <c r="K37" s="6" t="str">
        <f t="shared" si="3"/>
        <v/>
      </c>
      <c r="L37" s="6">
        <v>59</v>
      </c>
      <c r="M37" s="6" t="str">
        <f t="shared" si="4"/>
        <v/>
      </c>
      <c r="N37" s="6"/>
      <c r="O37" s="6" t="str">
        <f t="shared" si="5"/>
        <v/>
      </c>
      <c r="Q37" s="6">
        <v>1</v>
      </c>
      <c r="R37" s="6">
        <v>1</v>
      </c>
      <c r="S37" s="6">
        <v>12</v>
      </c>
      <c r="T37" s="6"/>
      <c r="U37" s="6">
        <f t="shared" si="6"/>
        <v>90720</v>
      </c>
      <c r="V37" s="6" t="str">
        <f t="shared" si="7"/>
        <v/>
      </c>
    </row>
    <row r="38" spans="2:22" x14ac:dyDescent="0.3">
      <c r="B38" s="64" t="s">
        <v>36</v>
      </c>
      <c r="C38" s="151">
        <v>33</v>
      </c>
      <c r="D38" s="4">
        <v>23000000</v>
      </c>
      <c r="E38" s="6" t="str">
        <f t="shared" ref="E38:E69" si="8">IF($C38&gt;VLOOKUP(MarksmanDesired,$B$6:$C$85,2,FALSE),"",IF($C38&gt;VLOOKUP(MarksmanCurrent,$B$6:$C$85,2,FALSE),D38,""))</f>
        <v/>
      </c>
      <c r="F38" s="4">
        <v>23000000</v>
      </c>
      <c r="G38" s="6" t="str">
        <f t="shared" ref="G38:G69" si="9">IF($C38&gt;VLOOKUP(MarksmanDesired,$B$6:$C$85,2,FALSE),"",IF($C38&gt;VLOOKUP(MarksmanCurrent,$B$6:$C$85,2,FALSE),F38,""))</f>
        <v/>
      </c>
      <c r="H38" s="4">
        <v>4700000</v>
      </c>
      <c r="I38" s="6" t="str">
        <f t="shared" ref="I38:I69" si="10">IF($C38&gt;VLOOKUP(MarksmanDesired,$B$6:$C$85,2,FALSE),"",IF($C38&gt;VLOOKUP(MarksmanCurrent,$B$6:$C$85,2,FALSE),H38,""))</f>
        <v/>
      </c>
      <c r="J38" s="4">
        <v>1100000</v>
      </c>
      <c r="K38" s="6" t="str">
        <f t="shared" ref="K38:K69" si="11">IF($C38&gt;VLOOKUP(MarksmanDesired,$B$6:$C$85,2,FALSE),"",IF($C38&gt;VLOOKUP(MarksmanCurrent,$B$6:$C$85,2,FALSE),J38,""))</f>
        <v/>
      </c>
      <c r="L38" s="6">
        <v>59</v>
      </c>
      <c r="M38" s="6" t="str">
        <f t="shared" ref="M38:M69" si="12">IF($C38&gt;VLOOKUP(MarksmanDesired,$B$6:$C$85,2,FALSE),"",IF($C38&gt;VLOOKUP(MarksmanCurrent,$B$6:$C$85,2,FALSE),L38,""))</f>
        <v/>
      </c>
      <c r="N38" s="6"/>
      <c r="O38" s="6" t="str">
        <f t="shared" ref="O38:O69" si="13">IF($C38&gt;VLOOKUP(MarksmanDesired,$B$6:$C$85,2,FALSE),"",IF($C38&gt;VLOOKUP(MarksmanCurrent,$B$6:$C$85,2,FALSE),N38,""))</f>
        <v/>
      </c>
      <c r="Q38" s="6">
        <v>1</v>
      </c>
      <c r="R38" s="6">
        <v>1</v>
      </c>
      <c r="S38" s="6">
        <v>12</v>
      </c>
      <c r="T38" s="6"/>
      <c r="U38" s="6">
        <f t="shared" si="6"/>
        <v>90720</v>
      </c>
      <c r="V38" s="6" t="str">
        <f t="shared" ref="V38:V69" si="14">IF($C38&gt;VLOOKUP(MarksmanDesired,$B$6:$C$85,2,FALSE),"",IF($C38&gt;VLOOKUP(MarksmanCurrent,$B$6:$C$85,2,FALSE),U38,""))</f>
        <v/>
      </c>
    </row>
    <row r="39" spans="2:22" x14ac:dyDescent="0.3">
      <c r="B39" s="64" t="s">
        <v>37</v>
      </c>
      <c r="C39" s="151">
        <v>34</v>
      </c>
      <c r="D39" s="4">
        <v>23000000</v>
      </c>
      <c r="E39" s="6" t="str">
        <f t="shared" si="8"/>
        <v/>
      </c>
      <c r="F39" s="4">
        <v>23000000</v>
      </c>
      <c r="G39" s="6" t="str">
        <f t="shared" si="9"/>
        <v/>
      </c>
      <c r="H39" s="4">
        <v>4700000</v>
      </c>
      <c r="I39" s="6" t="str">
        <f t="shared" si="10"/>
        <v/>
      </c>
      <c r="J39" s="4">
        <v>1100000</v>
      </c>
      <c r="K39" s="6" t="str">
        <f t="shared" si="11"/>
        <v/>
      </c>
      <c r="L39" s="6">
        <v>59</v>
      </c>
      <c r="M39" s="6" t="str">
        <f t="shared" si="12"/>
        <v/>
      </c>
      <c r="N39" s="6"/>
      <c r="O39" s="6" t="str">
        <f t="shared" si="13"/>
        <v/>
      </c>
      <c r="Q39" s="6">
        <v>1</v>
      </c>
      <c r="R39" s="6">
        <v>1</v>
      </c>
      <c r="S39" s="6">
        <v>12</v>
      </c>
      <c r="T39" s="6"/>
      <c r="U39" s="6">
        <f t="shared" si="6"/>
        <v>90720</v>
      </c>
      <c r="V39" s="6" t="str">
        <f t="shared" si="14"/>
        <v/>
      </c>
    </row>
    <row r="40" spans="2:22" x14ac:dyDescent="0.3">
      <c r="B40" s="64" t="s">
        <v>38</v>
      </c>
      <c r="C40" s="151">
        <v>35</v>
      </c>
      <c r="D40" s="4">
        <v>23000000</v>
      </c>
      <c r="E40" s="6" t="str">
        <f t="shared" si="8"/>
        <v/>
      </c>
      <c r="F40" s="4">
        <v>23000000</v>
      </c>
      <c r="G40" s="6" t="str">
        <f t="shared" si="9"/>
        <v/>
      </c>
      <c r="H40" s="4">
        <v>4700000</v>
      </c>
      <c r="I40" s="6" t="str">
        <f t="shared" si="10"/>
        <v/>
      </c>
      <c r="J40" s="4">
        <v>1100000</v>
      </c>
      <c r="K40" s="6" t="str">
        <f t="shared" si="11"/>
        <v/>
      </c>
      <c r="L40" s="6">
        <v>59</v>
      </c>
      <c r="M40" s="6" t="str">
        <f t="shared" si="12"/>
        <v/>
      </c>
      <c r="N40" s="6"/>
      <c r="O40" s="6" t="str">
        <f t="shared" si="13"/>
        <v/>
      </c>
      <c r="Q40" s="6">
        <v>1</v>
      </c>
      <c r="R40" s="6">
        <v>1</v>
      </c>
      <c r="S40" s="6">
        <v>12</v>
      </c>
      <c r="T40" s="6"/>
      <c r="U40" s="6">
        <f t="shared" si="6"/>
        <v>90720</v>
      </c>
      <c r="V40" s="6" t="str">
        <f t="shared" si="14"/>
        <v/>
      </c>
    </row>
    <row r="41" spans="2:22" x14ac:dyDescent="0.3">
      <c r="B41" s="64" t="s">
        <v>39</v>
      </c>
      <c r="C41" s="151">
        <v>36</v>
      </c>
      <c r="D41" s="4">
        <v>25000000</v>
      </c>
      <c r="E41" s="6" t="str">
        <f t="shared" si="8"/>
        <v/>
      </c>
      <c r="F41" s="4">
        <v>25000000</v>
      </c>
      <c r="G41" s="6" t="str">
        <f t="shared" si="9"/>
        <v/>
      </c>
      <c r="H41" s="4">
        <v>5000000</v>
      </c>
      <c r="I41" s="6" t="str">
        <f t="shared" si="10"/>
        <v/>
      </c>
      <c r="J41" s="4">
        <v>1200000</v>
      </c>
      <c r="K41" s="6" t="str">
        <f t="shared" si="11"/>
        <v/>
      </c>
      <c r="L41" s="6">
        <v>71</v>
      </c>
      <c r="M41" s="6" t="str">
        <f t="shared" si="12"/>
        <v/>
      </c>
      <c r="N41" s="6"/>
      <c r="O41" s="6" t="str">
        <f t="shared" si="13"/>
        <v/>
      </c>
      <c r="Q41" s="6">
        <v>1</v>
      </c>
      <c r="R41" s="6">
        <v>8</v>
      </c>
      <c r="S41" s="6">
        <v>24</v>
      </c>
      <c r="T41" s="6"/>
      <c r="U41" s="6">
        <f t="shared" si="6"/>
        <v>116640</v>
      </c>
      <c r="V41" s="6" t="str">
        <f t="shared" si="14"/>
        <v/>
      </c>
    </row>
    <row r="42" spans="2:22" x14ac:dyDescent="0.3">
      <c r="B42" s="64" t="s">
        <v>40</v>
      </c>
      <c r="C42" s="151">
        <v>37</v>
      </c>
      <c r="D42" s="4">
        <v>25000000</v>
      </c>
      <c r="E42" s="6" t="str">
        <f t="shared" si="8"/>
        <v/>
      </c>
      <c r="F42" s="4">
        <v>25000000</v>
      </c>
      <c r="G42" s="6" t="str">
        <f t="shared" si="9"/>
        <v/>
      </c>
      <c r="H42" s="4">
        <v>5000000</v>
      </c>
      <c r="I42" s="6" t="str">
        <f t="shared" si="10"/>
        <v/>
      </c>
      <c r="J42" s="4">
        <v>1200000</v>
      </c>
      <c r="K42" s="6" t="str">
        <f t="shared" si="11"/>
        <v/>
      </c>
      <c r="L42" s="6">
        <v>71</v>
      </c>
      <c r="M42" s="6" t="str">
        <f t="shared" si="12"/>
        <v/>
      </c>
      <c r="N42" s="6"/>
      <c r="O42" s="6" t="str">
        <f t="shared" si="13"/>
        <v/>
      </c>
      <c r="Q42" s="6">
        <v>1</v>
      </c>
      <c r="R42" s="6">
        <v>8</v>
      </c>
      <c r="S42" s="6">
        <v>24</v>
      </c>
      <c r="T42" s="6"/>
      <c r="U42" s="6">
        <f t="shared" si="6"/>
        <v>116640</v>
      </c>
      <c r="V42" s="6" t="str">
        <f t="shared" si="14"/>
        <v/>
      </c>
    </row>
    <row r="43" spans="2:22" x14ac:dyDescent="0.3">
      <c r="B43" s="64" t="s">
        <v>41</v>
      </c>
      <c r="C43" s="151">
        <v>38</v>
      </c>
      <c r="D43" s="4">
        <v>25000000</v>
      </c>
      <c r="E43" s="6" t="str">
        <f t="shared" si="8"/>
        <v/>
      </c>
      <c r="F43" s="4">
        <v>25000000</v>
      </c>
      <c r="G43" s="6" t="str">
        <f t="shared" si="9"/>
        <v/>
      </c>
      <c r="H43" s="4">
        <v>5000000</v>
      </c>
      <c r="I43" s="6" t="str">
        <f t="shared" si="10"/>
        <v/>
      </c>
      <c r="J43" s="4">
        <v>1200000</v>
      </c>
      <c r="K43" s="6" t="str">
        <f t="shared" si="11"/>
        <v/>
      </c>
      <c r="L43" s="6">
        <v>71</v>
      </c>
      <c r="M43" s="6" t="str">
        <f t="shared" si="12"/>
        <v/>
      </c>
      <c r="N43" s="6"/>
      <c r="O43" s="6" t="str">
        <f t="shared" si="13"/>
        <v/>
      </c>
      <c r="Q43" s="6">
        <v>1</v>
      </c>
      <c r="R43" s="6">
        <v>8</v>
      </c>
      <c r="S43" s="6">
        <v>24</v>
      </c>
      <c r="T43" s="6"/>
      <c r="U43" s="6">
        <f t="shared" si="6"/>
        <v>116640</v>
      </c>
      <c r="V43" s="6" t="str">
        <f t="shared" si="14"/>
        <v/>
      </c>
    </row>
    <row r="44" spans="2:22" x14ac:dyDescent="0.3">
      <c r="B44" s="64" t="s">
        <v>42</v>
      </c>
      <c r="C44" s="151">
        <v>39</v>
      </c>
      <c r="D44" s="4">
        <v>25000000</v>
      </c>
      <c r="E44" s="6" t="str">
        <f t="shared" si="8"/>
        <v/>
      </c>
      <c r="F44" s="4">
        <v>25000000</v>
      </c>
      <c r="G44" s="6" t="str">
        <f t="shared" si="9"/>
        <v/>
      </c>
      <c r="H44" s="4">
        <v>5000000</v>
      </c>
      <c r="I44" s="6" t="str">
        <f t="shared" si="10"/>
        <v/>
      </c>
      <c r="J44" s="4">
        <v>1200000</v>
      </c>
      <c r="K44" s="6" t="str">
        <f t="shared" si="11"/>
        <v/>
      </c>
      <c r="L44" s="6">
        <v>71</v>
      </c>
      <c r="M44" s="6" t="str">
        <f t="shared" si="12"/>
        <v/>
      </c>
      <c r="N44" s="6"/>
      <c r="O44" s="6" t="str">
        <f t="shared" si="13"/>
        <v/>
      </c>
      <c r="Q44" s="6">
        <v>1</v>
      </c>
      <c r="R44" s="6">
        <v>8</v>
      </c>
      <c r="S44" s="6">
        <v>24</v>
      </c>
      <c r="T44" s="6"/>
      <c r="U44" s="6">
        <f t="shared" si="6"/>
        <v>116640</v>
      </c>
      <c r="V44" s="6" t="str">
        <f t="shared" si="14"/>
        <v/>
      </c>
    </row>
    <row r="45" spans="2:22" x14ac:dyDescent="0.3">
      <c r="B45" s="64" t="s">
        <v>43</v>
      </c>
      <c r="C45" s="151">
        <v>40</v>
      </c>
      <c r="D45" s="4">
        <v>25000000</v>
      </c>
      <c r="E45" s="6" t="str">
        <f t="shared" si="8"/>
        <v/>
      </c>
      <c r="F45" s="4">
        <v>25000000</v>
      </c>
      <c r="G45" s="6" t="str">
        <f t="shared" si="9"/>
        <v/>
      </c>
      <c r="H45" s="4">
        <v>5000000</v>
      </c>
      <c r="I45" s="6" t="str">
        <f t="shared" si="10"/>
        <v/>
      </c>
      <c r="J45" s="4">
        <v>1200000</v>
      </c>
      <c r="K45" s="6" t="str">
        <f t="shared" si="11"/>
        <v/>
      </c>
      <c r="L45" s="6">
        <v>71</v>
      </c>
      <c r="M45" s="6" t="str">
        <f t="shared" si="12"/>
        <v/>
      </c>
      <c r="N45" s="6"/>
      <c r="O45" s="6" t="str">
        <f t="shared" si="13"/>
        <v/>
      </c>
      <c r="Q45" s="6">
        <v>1</v>
      </c>
      <c r="R45" s="6">
        <v>8</v>
      </c>
      <c r="S45" s="6">
        <v>24</v>
      </c>
      <c r="T45" s="6"/>
      <c r="U45" s="6">
        <f t="shared" si="6"/>
        <v>116640</v>
      </c>
      <c r="V45" s="6" t="str">
        <f t="shared" si="14"/>
        <v/>
      </c>
    </row>
    <row r="46" spans="2:22" x14ac:dyDescent="0.3">
      <c r="B46" s="64" t="s">
        <v>44</v>
      </c>
      <c r="C46" s="151">
        <v>41</v>
      </c>
      <c r="D46" s="4">
        <v>27000000</v>
      </c>
      <c r="E46" s="6" t="str">
        <f t="shared" si="8"/>
        <v/>
      </c>
      <c r="F46" s="4">
        <v>27000000</v>
      </c>
      <c r="G46" s="6" t="str">
        <f t="shared" si="9"/>
        <v/>
      </c>
      <c r="H46" s="4">
        <v>5500000</v>
      </c>
      <c r="I46" s="6" t="str">
        <f t="shared" si="10"/>
        <v/>
      </c>
      <c r="J46" s="4">
        <v>1300000</v>
      </c>
      <c r="K46" s="6" t="str">
        <f t="shared" si="11"/>
        <v/>
      </c>
      <c r="L46" s="6">
        <v>107</v>
      </c>
      <c r="M46" s="6" t="str">
        <f t="shared" si="12"/>
        <v/>
      </c>
      <c r="N46" s="6"/>
      <c r="O46" s="6" t="str">
        <f t="shared" si="13"/>
        <v/>
      </c>
      <c r="Q46" s="6">
        <v>1</v>
      </c>
      <c r="R46" s="6">
        <v>15</v>
      </c>
      <c r="S46" s="6">
        <v>36</v>
      </c>
      <c r="T46" s="6"/>
      <c r="U46" s="6">
        <f t="shared" si="6"/>
        <v>142560</v>
      </c>
      <c r="V46" s="6" t="str">
        <f t="shared" si="14"/>
        <v/>
      </c>
    </row>
    <row r="47" spans="2:22" x14ac:dyDescent="0.3">
      <c r="B47" s="64" t="s">
        <v>45</v>
      </c>
      <c r="C47" s="151">
        <v>42</v>
      </c>
      <c r="D47" s="4">
        <v>27000000</v>
      </c>
      <c r="E47" s="6" t="str">
        <f t="shared" si="8"/>
        <v/>
      </c>
      <c r="F47" s="4">
        <v>27000000</v>
      </c>
      <c r="G47" s="6" t="str">
        <f t="shared" si="9"/>
        <v/>
      </c>
      <c r="H47" s="4">
        <v>5500000</v>
      </c>
      <c r="I47" s="6" t="str">
        <f t="shared" si="10"/>
        <v/>
      </c>
      <c r="J47" s="4">
        <v>1300000</v>
      </c>
      <c r="K47" s="6" t="str">
        <f t="shared" si="11"/>
        <v/>
      </c>
      <c r="L47" s="6">
        <v>107</v>
      </c>
      <c r="M47" s="6" t="str">
        <f t="shared" si="12"/>
        <v/>
      </c>
      <c r="N47" s="6"/>
      <c r="O47" s="6" t="str">
        <f t="shared" si="13"/>
        <v/>
      </c>
      <c r="Q47" s="6">
        <v>1</v>
      </c>
      <c r="R47" s="6">
        <v>15</v>
      </c>
      <c r="S47" s="6">
        <v>36</v>
      </c>
      <c r="T47" s="6"/>
      <c r="U47" s="6">
        <f t="shared" si="6"/>
        <v>142560</v>
      </c>
      <c r="V47" s="6" t="str">
        <f t="shared" si="14"/>
        <v/>
      </c>
    </row>
    <row r="48" spans="2:22" x14ac:dyDescent="0.3">
      <c r="B48" s="64" t="s">
        <v>46</v>
      </c>
      <c r="C48" s="151">
        <v>43</v>
      </c>
      <c r="D48" s="4">
        <v>27000000</v>
      </c>
      <c r="E48" s="6" t="str">
        <f t="shared" si="8"/>
        <v/>
      </c>
      <c r="F48" s="4">
        <v>27000000</v>
      </c>
      <c r="G48" s="6" t="str">
        <f t="shared" si="9"/>
        <v/>
      </c>
      <c r="H48" s="4">
        <v>5500000</v>
      </c>
      <c r="I48" s="6" t="str">
        <f t="shared" si="10"/>
        <v/>
      </c>
      <c r="J48" s="4">
        <v>1300000</v>
      </c>
      <c r="K48" s="6" t="str">
        <f t="shared" si="11"/>
        <v/>
      </c>
      <c r="L48" s="6">
        <v>107</v>
      </c>
      <c r="M48" s="6" t="str">
        <f t="shared" si="12"/>
        <v/>
      </c>
      <c r="N48" s="6"/>
      <c r="O48" s="6" t="str">
        <f t="shared" si="13"/>
        <v/>
      </c>
      <c r="Q48" s="6">
        <v>1</v>
      </c>
      <c r="R48" s="6">
        <v>15</v>
      </c>
      <c r="S48" s="6">
        <v>36</v>
      </c>
      <c r="T48" s="6"/>
      <c r="U48" s="6">
        <f t="shared" si="6"/>
        <v>142560</v>
      </c>
      <c r="V48" s="6" t="str">
        <f t="shared" si="14"/>
        <v/>
      </c>
    </row>
    <row r="49" spans="2:22" x14ac:dyDescent="0.3">
      <c r="B49" s="64" t="s">
        <v>47</v>
      </c>
      <c r="C49" s="151">
        <v>44</v>
      </c>
      <c r="D49" s="4">
        <v>27000000</v>
      </c>
      <c r="E49" s="6" t="str">
        <f t="shared" si="8"/>
        <v/>
      </c>
      <c r="F49" s="4">
        <v>27000000</v>
      </c>
      <c r="G49" s="6" t="str">
        <f t="shared" si="9"/>
        <v/>
      </c>
      <c r="H49" s="4">
        <v>5500000</v>
      </c>
      <c r="I49" s="6" t="str">
        <f t="shared" si="10"/>
        <v/>
      </c>
      <c r="J49" s="4">
        <v>1300000</v>
      </c>
      <c r="K49" s="6" t="str">
        <f t="shared" si="11"/>
        <v/>
      </c>
      <c r="L49" s="6">
        <v>107</v>
      </c>
      <c r="M49" s="6" t="str">
        <f t="shared" si="12"/>
        <v/>
      </c>
      <c r="N49" s="6"/>
      <c r="O49" s="6" t="str">
        <f t="shared" si="13"/>
        <v/>
      </c>
      <c r="Q49" s="6">
        <v>1</v>
      </c>
      <c r="R49" s="6">
        <v>15</v>
      </c>
      <c r="S49" s="6">
        <v>36</v>
      </c>
      <c r="T49" s="6"/>
      <c r="U49" s="6">
        <f t="shared" si="6"/>
        <v>142560</v>
      </c>
      <c r="V49" s="6" t="str">
        <f t="shared" si="14"/>
        <v/>
      </c>
    </row>
    <row r="50" spans="2:22" x14ac:dyDescent="0.3">
      <c r="B50" s="64" t="s">
        <v>48</v>
      </c>
      <c r="C50" s="151">
        <v>45</v>
      </c>
      <c r="D50" s="4">
        <v>27000000</v>
      </c>
      <c r="E50" s="6" t="str">
        <f t="shared" si="8"/>
        <v/>
      </c>
      <c r="F50" s="4">
        <v>27000000</v>
      </c>
      <c r="G50" s="6" t="str">
        <f t="shared" si="9"/>
        <v/>
      </c>
      <c r="H50" s="4">
        <v>5500000</v>
      </c>
      <c r="I50" s="6" t="str">
        <f t="shared" si="10"/>
        <v/>
      </c>
      <c r="J50" s="4">
        <v>1300000</v>
      </c>
      <c r="K50" s="6" t="str">
        <f t="shared" si="11"/>
        <v/>
      </c>
      <c r="L50" s="6">
        <v>107</v>
      </c>
      <c r="M50" s="6" t="str">
        <f t="shared" si="12"/>
        <v/>
      </c>
      <c r="N50" s="6"/>
      <c r="O50" s="6" t="str">
        <f t="shared" si="13"/>
        <v/>
      </c>
      <c r="Q50" s="6">
        <v>1</v>
      </c>
      <c r="R50" s="6">
        <v>15</v>
      </c>
      <c r="S50" s="6">
        <v>36</v>
      </c>
      <c r="T50" s="6"/>
      <c r="U50" s="6">
        <f t="shared" si="6"/>
        <v>142560</v>
      </c>
      <c r="V50" s="6" t="str">
        <f t="shared" si="14"/>
        <v/>
      </c>
    </row>
    <row r="51" spans="2:22" x14ac:dyDescent="0.3">
      <c r="B51" s="64" t="s">
        <v>49</v>
      </c>
      <c r="C51" s="151">
        <v>46</v>
      </c>
      <c r="D51" s="4">
        <v>28000000</v>
      </c>
      <c r="E51" s="6" t="str">
        <f t="shared" si="8"/>
        <v/>
      </c>
      <c r="F51" s="4">
        <v>28000000</v>
      </c>
      <c r="G51" s="6" t="str">
        <f t="shared" si="9"/>
        <v/>
      </c>
      <c r="H51" s="4">
        <v>5700000</v>
      </c>
      <c r="I51" s="6" t="str">
        <f t="shared" si="10"/>
        <v/>
      </c>
      <c r="J51" s="4">
        <v>1400000</v>
      </c>
      <c r="K51" s="6" t="str">
        <f t="shared" si="11"/>
        <v/>
      </c>
      <c r="L51" s="6">
        <v>126</v>
      </c>
      <c r="M51" s="6" t="str">
        <f t="shared" si="12"/>
        <v/>
      </c>
      <c r="N51" s="6"/>
      <c r="O51" s="6" t="str">
        <f t="shared" si="13"/>
        <v/>
      </c>
      <c r="Q51" s="6">
        <v>1</v>
      </c>
      <c r="R51" s="6">
        <v>19</v>
      </c>
      <c r="S51" s="6">
        <v>12</v>
      </c>
      <c r="T51" s="6"/>
      <c r="U51" s="6">
        <f t="shared" si="6"/>
        <v>155520</v>
      </c>
      <c r="V51" s="6" t="str">
        <f t="shared" si="14"/>
        <v/>
      </c>
    </row>
    <row r="52" spans="2:22" x14ac:dyDescent="0.3">
      <c r="B52" s="64" t="s">
        <v>50</v>
      </c>
      <c r="C52" s="151">
        <v>47</v>
      </c>
      <c r="D52" s="4">
        <v>28000000</v>
      </c>
      <c r="E52" s="6" t="str">
        <f t="shared" si="8"/>
        <v/>
      </c>
      <c r="F52" s="4">
        <v>28000000</v>
      </c>
      <c r="G52" s="6" t="str">
        <f t="shared" si="9"/>
        <v/>
      </c>
      <c r="H52" s="4">
        <v>5700000</v>
      </c>
      <c r="I52" s="6" t="str">
        <f t="shared" si="10"/>
        <v/>
      </c>
      <c r="J52" s="4">
        <v>1400000</v>
      </c>
      <c r="K52" s="6" t="str">
        <f t="shared" si="11"/>
        <v/>
      </c>
      <c r="L52" s="6">
        <v>126</v>
      </c>
      <c r="M52" s="6" t="str">
        <f t="shared" si="12"/>
        <v/>
      </c>
      <c r="N52" s="6"/>
      <c r="O52" s="6" t="str">
        <f t="shared" si="13"/>
        <v/>
      </c>
      <c r="Q52" s="6">
        <v>1</v>
      </c>
      <c r="R52" s="6">
        <v>19</v>
      </c>
      <c r="S52" s="6">
        <v>12</v>
      </c>
      <c r="T52" s="6"/>
      <c r="U52" s="6">
        <f t="shared" si="6"/>
        <v>155520</v>
      </c>
      <c r="V52" s="6" t="str">
        <f t="shared" si="14"/>
        <v/>
      </c>
    </row>
    <row r="53" spans="2:22" x14ac:dyDescent="0.3">
      <c r="B53" s="64" t="s">
        <v>51</v>
      </c>
      <c r="C53" s="151">
        <v>48</v>
      </c>
      <c r="D53" s="4">
        <v>28000000</v>
      </c>
      <c r="E53" s="6" t="str">
        <f t="shared" si="8"/>
        <v/>
      </c>
      <c r="F53" s="4">
        <v>28000000</v>
      </c>
      <c r="G53" s="6" t="str">
        <f t="shared" si="9"/>
        <v/>
      </c>
      <c r="H53" s="4">
        <v>5700000</v>
      </c>
      <c r="I53" s="6" t="str">
        <f t="shared" si="10"/>
        <v/>
      </c>
      <c r="J53" s="4">
        <v>1400000</v>
      </c>
      <c r="K53" s="6" t="str">
        <f t="shared" si="11"/>
        <v/>
      </c>
      <c r="L53" s="6">
        <v>126</v>
      </c>
      <c r="M53" s="6" t="str">
        <f t="shared" si="12"/>
        <v/>
      </c>
      <c r="N53" s="6"/>
      <c r="O53" s="6" t="str">
        <f t="shared" si="13"/>
        <v/>
      </c>
      <c r="Q53" s="6">
        <v>1</v>
      </c>
      <c r="R53" s="6">
        <v>19</v>
      </c>
      <c r="S53" s="6">
        <v>12</v>
      </c>
      <c r="T53" s="6"/>
      <c r="U53" s="6">
        <f t="shared" si="6"/>
        <v>155520</v>
      </c>
      <c r="V53" s="6" t="str">
        <f t="shared" si="14"/>
        <v/>
      </c>
    </row>
    <row r="54" spans="2:22" x14ac:dyDescent="0.3">
      <c r="B54" s="64" t="s">
        <v>52</v>
      </c>
      <c r="C54" s="151">
        <v>49</v>
      </c>
      <c r="D54" s="4">
        <v>28000000</v>
      </c>
      <c r="E54" s="6" t="str">
        <f t="shared" si="8"/>
        <v/>
      </c>
      <c r="F54" s="4">
        <v>28000000</v>
      </c>
      <c r="G54" s="6" t="str">
        <f t="shared" si="9"/>
        <v/>
      </c>
      <c r="H54" s="4">
        <v>5700000</v>
      </c>
      <c r="I54" s="6" t="str">
        <f t="shared" si="10"/>
        <v/>
      </c>
      <c r="J54" s="4">
        <v>1400000</v>
      </c>
      <c r="K54" s="6" t="str">
        <f t="shared" si="11"/>
        <v/>
      </c>
      <c r="L54" s="6">
        <v>126</v>
      </c>
      <c r="M54" s="6" t="str">
        <f t="shared" si="12"/>
        <v/>
      </c>
      <c r="N54" s="6"/>
      <c r="O54" s="6" t="str">
        <f t="shared" si="13"/>
        <v/>
      </c>
      <c r="Q54" s="6">
        <v>1</v>
      </c>
      <c r="R54" s="6">
        <v>19</v>
      </c>
      <c r="S54" s="6">
        <v>12</v>
      </c>
      <c r="T54" s="6"/>
      <c r="U54" s="6">
        <f t="shared" si="6"/>
        <v>155520</v>
      </c>
      <c r="V54" s="6" t="str">
        <f t="shared" si="14"/>
        <v/>
      </c>
    </row>
    <row r="55" spans="2:22" x14ac:dyDescent="0.3">
      <c r="B55" s="64" t="s">
        <v>53</v>
      </c>
      <c r="C55" s="151">
        <v>50</v>
      </c>
      <c r="D55" s="4">
        <v>28000000</v>
      </c>
      <c r="E55" s="6" t="str">
        <f t="shared" si="8"/>
        <v/>
      </c>
      <c r="F55" s="4">
        <v>28000000</v>
      </c>
      <c r="G55" s="6" t="str">
        <f t="shared" si="9"/>
        <v/>
      </c>
      <c r="H55" s="4">
        <v>5700000</v>
      </c>
      <c r="I55" s="6" t="str">
        <f t="shared" si="10"/>
        <v/>
      </c>
      <c r="J55" s="4">
        <v>1400000</v>
      </c>
      <c r="K55" s="6" t="str">
        <f t="shared" si="11"/>
        <v/>
      </c>
      <c r="L55" s="6">
        <v>126</v>
      </c>
      <c r="M55" s="6" t="str">
        <f t="shared" si="12"/>
        <v/>
      </c>
      <c r="N55" s="6"/>
      <c r="O55" s="6" t="str">
        <f t="shared" si="13"/>
        <v/>
      </c>
      <c r="Q55" s="6">
        <v>1</v>
      </c>
      <c r="R55" s="6">
        <v>19</v>
      </c>
      <c r="S55" s="6">
        <v>12</v>
      </c>
      <c r="T55" s="6"/>
      <c r="U55" s="6">
        <f t="shared" si="6"/>
        <v>155520</v>
      </c>
      <c r="V55" s="6" t="str">
        <f t="shared" si="14"/>
        <v/>
      </c>
    </row>
    <row r="56" spans="2:22" x14ac:dyDescent="0.3">
      <c r="B56" s="64" t="s">
        <v>54</v>
      </c>
      <c r="C56" s="151">
        <v>51</v>
      </c>
      <c r="D56" s="4">
        <v>29000000</v>
      </c>
      <c r="E56" s="6" t="str">
        <f t="shared" si="8"/>
        <v/>
      </c>
      <c r="F56" s="4">
        <v>29000000</v>
      </c>
      <c r="G56" s="6" t="str">
        <f t="shared" si="9"/>
        <v/>
      </c>
      <c r="H56" s="4">
        <v>5900000</v>
      </c>
      <c r="I56" s="6" t="str">
        <f t="shared" si="10"/>
        <v/>
      </c>
      <c r="J56" s="4">
        <v>1400000</v>
      </c>
      <c r="K56" s="6" t="str">
        <f t="shared" si="11"/>
        <v/>
      </c>
      <c r="L56" s="6">
        <v>150</v>
      </c>
      <c r="M56" s="6" t="str">
        <f t="shared" si="12"/>
        <v/>
      </c>
      <c r="N56" s="6"/>
      <c r="O56" s="6" t="str">
        <f t="shared" si="13"/>
        <v/>
      </c>
      <c r="Q56" s="6">
        <v>2</v>
      </c>
      <c r="R56" s="6">
        <v>2</v>
      </c>
      <c r="S56" s="6">
        <v>24</v>
      </c>
      <c r="T56" s="6"/>
      <c r="U56" s="6">
        <f t="shared" si="6"/>
        <v>181440</v>
      </c>
      <c r="V56" s="6" t="str">
        <f t="shared" si="14"/>
        <v/>
      </c>
    </row>
    <row r="57" spans="2:22" x14ac:dyDescent="0.3">
      <c r="B57" s="64" t="s">
        <v>55</v>
      </c>
      <c r="C57" s="151">
        <v>52</v>
      </c>
      <c r="D57" s="4">
        <v>29000000</v>
      </c>
      <c r="E57" s="6" t="str">
        <f t="shared" si="8"/>
        <v/>
      </c>
      <c r="F57" s="4">
        <v>29000000</v>
      </c>
      <c r="G57" s="6" t="str">
        <f t="shared" si="9"/>
        <v/>
      </c>
      <c r="H57" s="4">
        <v>5900000</v>
      </c>
      <c r="I57" s="6" t="str">
        <f t="shared" si="10"/>
        <v/>
      </c>
      <c r="J57" s="4">
        <v>1400000</v>
      </c>
      <c r="K57" s="6" t="str">
        <f t="shared" si="11"/>
        <v/>
      </c>
      <c r="L57" s="6">
        <v>150</v>
      </c>
      <c r="M57" s="6" t="str">
        <f t="shared" si="12"/>
        <v/>
      </c>
      <c r="N57" s="6"/>
      <c r="O57" s="6" t="str">
        <f t="shared" si="13"/>
        <v/>
      </c>
      <c r="Q57" s="6">
        <v>2</v>
      </c>
      <c r="R57" s="6">
        <v>2</v>
      </c>
      <c r="S57" s="6">
        <v>24</v>
      </c>
      <c r="T57" s="6"/>
      <c r="U57" s="6">
        <f t="shared" si="6"/>
        <v>181440</v>
      </c>
      <c r="V57" s="6" t="str">
        <f t="shared" si="14"/>
        <v/>
      </c>
    </row>
    <row r="58" spans="2:22" x14ac:dyDescent="0.3">
      <c r="B58" s="64" t="s">
        <v>56</v>
      </c>
      <c r="C58" s="151">
        <v>53</v>
      </c>
      <c r="D58" s="4">
        <v>29000000</v>
      </c>
      <c r="E58" s="6" t="str">
        <f t="shared" si="8"/>
        <v/>
      </c>
      <c r="F58" s="4">
        <v>29000000</v>
      </c>
      <c r="G58" s="6" t="str">
        <f t="shared" si="9"/>
        <v/>
      </c>
      <c r="H58" s="4">
        <v>5900000</v>
      </c>
      <c r="I58" s="6" t="str">
        <f t="shared" si="10"/>
        <v/>
      </c>
      <c r="J58" s="4">
        <v>1400000</v>
      </c>
      <c r="K58" s="6" t="str">
        <f t="shared" si="11"/>
        <v/>
      </c>
      <c r="L58" s="6">
        <v>150</v>
      </c>
      <c r="M58" s="6" t="str">
        <f t="shared" si="12"/>
        <v/>
      </c>
      <c r="N58" s="6"/>
      <c r="O58" s="6" t="str">
        <f t="shared" si="13"/>
        <v/>
      </c>
      <c r="Q58" s="6">
        <v>2</v>
      </c>
      <c r="R58" s="6">
        <v>2</v>
      </c>
      <c r="S58" s="6">
        <v>24</v>
      </c>
      <c r="T58" s="6"/>
      <c r="U58" s="6">
        <f t="shared" si="6"/>
        <v>181440</v>
      </c>
      <c r="V58" s="6" t="str">
        <f t="shared" si="14"/>
        <v/>
      </c>
    </row>
    <row r="59" spans="2:22" x14ac:dyDescent="0.3">
      <c r="B59" s="64" t="s">
        <v>57</v>
      </c>
      <c r="C59" s="151">
        <v>54</v>
      </c>
      <c r="D59" s="4">
        <v>29000000</v>
      </c>
      <c r="E59" s="6" t="str">
        <f t="shared" si="8"/>
        <v/>
      </c>
      <c r="F59" s="4">
        <v>29000000</v>
      </c>
      <c r="G59" s="6" t="str">
        <f t="shared" si="9"/>
        <v/>
      </c>
      <c r="H59" s="4">
        <v>5900000</v>
      </c>
      <c r="I59" s="6" t="str">
        <f t="shared" si="10"/>
        <v/>
      </c>
      <c r="J59" s="4">
        <v>1400000</v>
      </c>
      <c r="K59" s="6" t="str">
        <f t="shared" si="11"/>
        <v/>
      </c>
      <c r="L59" s="6">
        <v>150</v>
      </c>
      <c r="M59" s="6" t="str">
        <f t="shared" si="12"/>
        <v/>
      </c>
      <c r="N59" s="6"/>
      <c r="O59" s="6" t="str">
        <f t="shared" si="13"/>
        <v/>
      </c>
      <c r="Q59" s="6">
        <v>2</v>
      </c>
      <c r="R59" s="6">
        <v>2</v>
      </c>
      <c r="S59" s="6">
        <v>24</v>
      </c>
      <c r="T59" s="6"/>
      <c r="U59" s="6">
        <f t="shared" si="6"/>
        <v>181440</v>
      </c>
      <c r="V59" s="6" t="str">
        <f t="shared" si="14"/>
        <v/>
      </c>
    </row>
    <row r="60" spans="2:22" x14ac:dyDescent="0.3">
      <c r="B60" s="64" t="s">
        <v>58</v>
      </c>
      <c r="C60" s="151">
        <v>55</v>
      </c>
      <c r="D60" s="4">
        <v>29000000</v>
      </c>
      <c r="E60" s="6" t="str">
        <f t="shared" si="8"/>
        <v/>
      </c>
      <c r="F60" s="4">
        <v>29000000</v>
      </c>
      <c r="G60" s="6" t="str">
        <f t="shared" si="9"/>
        <v/>
      </c>
      <c r="H60" s="4">
        <v>5900000</v>
      </c>
      <c r="I60" s="6" t="str">
        <f t="shared" si="10"/>
        <v/>
      </c>
      <c r="J60" s="4">
        <v>1400000</v>
      </c>
      <c r="K60" s="6" t="str">
        <f t="shared" si="11"/>
        <v/>
      </c>
      <c r="L60" s="6">
        <v>150</v>
      </c>
      <c r="M60" s="6" t="str">
        <f t="shared" si="12"/>
        <v/>
      </c>
      <c r="N60" s="6"/>
      <c r="O60" s="6" t="str">
        <f t="shared" si="13"/>
        <v/>
      </c>
      <c r="Q60" s="6">
        <v>2</v>
      </c>
      <c r="R60" s="6">
        <v>2</v>
      </c>
      <c r="S60" s="6">
        <v>24</v>
      </c>
      <c r="T60" s="6"/>
      <c r="U60" s="6">
        <f t="shared" si="6"/>
        <v>181440</v>
      </c>
      <c r="V60" s="6" t="str">
        <f t="shared" si="14"/>
        <v/>
      </c>
    </row>
    <row r="61" spans="2:22" x14ac:dyDescent="0.3">
      <c r="B61" s="64" t="s">
        <v>230</v>
      </c>
      <c r="C61" s="151">
        <v>56</v>
      </c>
      <c r="D61" s="4">
        <v>33000000</v>
      </c>
      <c r="E61" s="6" t="str">
        <f t="shared" si="8"/>
        <v/>
      </c>
      <c r="F61" s="4">
        <v>33000000</v>
      </c>
      <c r="G61" s="6" t="str">
        <f t="shared" si="9"/>
        <v/>
      </c>
      <c r="H61" s="4">
        <v>6700000</v>
      </c>
      <c r="I61" s="6" t="str">
        <f t="shared" si="10"/>
        <v/>
      </c>
      <c r="J61" s="4">
        <v>1600000</v>
      </c>
      <c r="K61" s="6" t="str">
        <f t="shared" si="11"/>
        <v/>
      </c>
      <c r="L61" s="6">
        <v>90</v>
      </c>
      <c r="M61" s="6" t="str">
        <f t="shared" si="12"/>
        <v/>
      </c>
      <c r="N61" s="6">
        <v>4</v>
      </c>
      <c r="O61" s="6" t="str">
        <f t="shared" si="13"/>
        <v/>
      </c>
      <c r="Q61" s="6">
        <v>2</v>
      </c>
      <c r="R61" s="6">
        <v>6</v>
      </c>
      <c r="S61" s="6"/>
      <c r="T61" s="6"/>
      <c r="U61" s="6">
        <f t="shared" si="6"/>
        <v>194400</v>
      </c>
      <c r="V61" s="6" t="str">
        <f t="shared" si="14"/>
        <v/>
      </c>
    </row>
    <row r="62" spans="2:22" x14ac:dyDescent="0.3">
      <c r="B62" s="64" t="s">
        <v>231</v>
      </c>
      <c r="C62" s="151">
        <v>57</v>
      </c>
      <c r="D62" s="4">
        <v>33000000</v>
      </c>
      <c r="E62" s="6" t="str">
        <f t="shared" si="8"/>
        <v/>
      </c>
      <c r="F62" s="4">
        <v>33000000</v>
      </c>
      <c r="G62" s="6" t="str">
        <f t="shared" si="9"/>
        <v/>
      </c>
      <c r="H62" s="4">
        <v>6700000</v>
      </c>
      <c r="I62" s="6" t="str">
        <f t="shared" si="10"/>
        <v/>
      </c>
      <c r="J62" s="4">
        <v>1600000</v>
      </c>
      <c r="K62" s="6" t="str">
        <f t="shared" si="11"/>
        <v/>
      </c>
      <c r="L62" s="6">
        <v>90</v>
      </c>
      <c r="M62" s="6" t="str">
        <f t="shared" si="12"/>
        <v/>
      </c>
      <c r="N62" s="6">
        <v>4</v>
      </c>
      <c r="O62" s="6" t="str">
        <f t="shared" si="13"/>
        <v/>
      </c>
      <c r="Q62" s="6">
        <v>2</v>
      </c>
      <c r="R62" s="6">
        <v>6</v>
      </c>
      <c r="S62" s="6"/>
      <c r="T62" s="6"/>
      <c r="U62" s="6">
        <f t="shared" si="6"/>
        <v>194400</v>
      </c>
      <c r="V62" s="6" t="str">
        <f t="shared" si="14"/>
        <v/>
      </c>
    </row>
    <row r="63" spans="2:22" x14ac:dyDescent="0.3">
      <c r="B63" s="64" t="s">
        <v>232</v>
      </c>
      <c r="C63" s="151">
        <v>58</v>
      </c>
      <c r="D63" s="4">
        <v>33000000</v>
      </c>
      <c r="E63" s="6" t="str">
        <f t="shared" si="8"/>
        <v/>
      </c>
      <c r="F63" s="4">
        <v>33000000</v>
      </c>
      <c r="G63" s="6" t="str">
        <f t="shared" si="9"/>
        <v/>
      </c>
      <c r="H63" s="4">
        <v>6700000</v>
      </c>
      <c r="I63" s="6" t="str">
        <f t="shared" si="10"/>
        <v/>
      </c>
      <c r="J63" s="4">
        <v>1600000</v>
      </c>
      <c r="K63" s="6" t="str">
        <f t="shared" si="11"/>
        <v/>
      </c>
      <c r="L63" s="6">
        <v>90</v>
      </c>
      <c r="M63" s="6" t="str">
        <f t="shared" si="12"/>
        <v/>
      </c>
      <c r="N63" s="6">
        <v>4</v>
      </c>
      <c r="O63" s="6" t="str">
        <f t="shared" si="13"/>
        <v/>
      </c>
      <c r="Q63" s="6">
        <v>2</v>
      </c>
      <c r="R63" s="6">
        <v>6</v>
      </c>
      <c r="S63" s="6"/>
      <c r="T63" s="6"/>
      <c r="U63" s="6">
        <f t="shared" si="6"/>
        <v>194400</v>
      </c>
      <c r="V63" s="6" t="str">
        <f t="shared" si="14"/>
        <v/>
      </c>
    </row>
    <row r="64" spans="2:22" x14ac:dyDescent="0.3">
      <c r="B64" s="64" t="s">
        <v>233</v>
      </c>
      <c r="C64" s="151">
        <v>59</v>
      </c>
      <c r="D64" s="4">
        <v>33000000</v>
      </c>
      <c r="E64" s="6" t="str">
        <f t="shared" si="8"/>
        <v/>
      </c>
      <c r="F64" s="4">
        <v>33000000</v>
      </c>
      <c r="G64" s="6" t="str">
        <f t="shared" si="9"/>
        <v/>
      </c>
      <c r="H64" s="4">
        <v>6700000</v>
      </c>
      <c r="I64" s="6" t="str">
        <f t="shared" si="10"/>
        <v/>
      </c>
      <c r="J64" s="4">
        <v>1600000</v>
      </c>
      <c r="K64" s="6" t="str">
        <f t="shared" si="11"/>
        <v/>
      </c>
      <c r="L64" s="6">
        <v>90</v>
      </c>
      <c r="M64" s="6" t="str">
        <f t="shared" si="12"/>
        <v/>
      </c>
      <c r="N64" s="6">
        <v>4</v>
      </c>
      <c r="O64" s="6" t="str">
        <f t="shared" si="13"/>
        <v/>
      </c>
      <c r="Q64" s="6">
        <v>2</v>
      </c>
      <c r="R64" s="6">
        <v>6</v>
      </c>
      <c r="S64" s="6"/>
      <c r="T64" s="6"/>
      <c r="U64" s="6">
        <f t="shared" si="6"/>
        <v>194400</v>
      </c>
      <c r="V64" s="6" t="str">
        <f t="shared" si="14"/>
        <v/>
      </c>
    </row>
    <row r="65" spans="2:22" x14ac:dyDescent="0.3">
      <c r="B65" s="64" t="s">
        <v>234</v>
      </c>
      <c r="C65" s="151">
        <v>60</v>
      </c>
      <c r="D65" s="4">
        <v>33000000</v>
      </c>
      <c r="E65" s="6" t="str">
        <f t="shared" si="8"/>
        <v/>
      </c>
      <c r="F65" s="4">
        <v>33000000</v>
      </c>
      <c r="G65" s="6" t="str">
        <f t="shared" si="9"/>
        <v/>
      </c>
      <c r="H65" s="4">
        <v>6700000</v>
      </c>
      <c r="I65" s="6" t="str">
        <f t="shared" si="10"/>
        <v/>
      </c>
      <c r="J65" s="4">
        <v>1600000</v>
      </c>
      <c r="K65" s="6" t="str">
        <f t="shared" si="11"/>
        <v/>
      </c>
      <c r="L65" s="6">
        <v>45</v>
      </c>
      <c r="M65" s="6" t="str">
        <f t="shared" si="12"/>
        <v/>
      </c>
      <c r="N65" s="6">
        <v>9</v>
      </c>
      <c r="O65" s="6" t="str">
        <f t="shared" si="13"/>
        <v/>
      </c>
      <c r="Q65" s="6">
        <v>2</v>
      </c>
      <c r="R65" s="6">
        <v>6</v>
      </c>
      <c r="S65" s="6"/>
      <c r="T65" s="6"/>
      <c r="U65" s="6">
        <f t="shared" si="6"/>
        <v>194400</v>
      </c>
      <c r="V65" s="6" t="str">
        <f t="shared" si="14"/>
        <v/>
      </c>
    </row>
    <row r="66" spans="2:22" x14ac:dyDescent="0.3">
      <c r="B66" s="64" t="s">
        <v>235</v>
      </c>
      <c r="C66" s="151">
        <v>61</v>
      </c>
      <c r="D66" s="4">
        <v>38000000</v>
      </c>
      <c r="E66" s="6" t="str">
        <f t="shared" si="8"/>
        <v/>
      </c>
      <c r="F66" s="4">
        <v>38000000</v>
      </c>
      <c r="G66" s="6" t="str">
        <f t="shared" si="9"/>
        <v/>
      </c>
      <c r="H66" s="4">
        <v>7600000</v>
      </c>
      <c r="I66" s="6" t="str">
        <f t="shared" si="10"/>
        <v/>
      </c>
      <c r="J66" s="4">
        <v>1900000</v>
      </c>
      <c r="K66" s="6" t="str">
        <f t="shared" si="11"/>
        <v/>
      </c>
      <c r="L66" s="6">
        <v>108</v>
      </c>
      <c r="M66" s="6" t="str">
        <f t="shared" si="12"/>
        <v/>
      </c>
      <c r="N66" s="6">
        <v>6</v>
      </c>
      <c r="O66" s="6" t="str">
        <f t="shared" si="13"/>
        <v/>
      </c>
      <c r="Q66" s="6">
        <v>2</v>
      </c>
      <c r="R66" s="6">
        <v>16</v>
      </c>
      <c r="S66" s="6">
        <v>48</v>
      </c>
      <c r="T66" s="6"/>
      <c r="U66" s="6">
        <f t="shared" si="6"/>
        <v>233280</v>
      </c>
      <c r="V66" s="6" t="str">
        <f t="shared" si="14"/>
        <v/>
      </c>
    </row>
    <row r="67" spans="2:22" x14ac:dyDescent="0.3">
      <c r="B67" s="64" t="s">
        <v>236</v>
      </c>
      <c r="C67" s="151">
        <v>62</v>
      </c>
      <c r="D67" s="4">
        <v>38000000</v>
      </c>
      <c r="E67" s="6" t="str">
        <f t="shared" si="8"/>
        <v/>
      </c>
      <c r="F67" s="4">
        <v>38000000</v>
      </c>
      <c r="G67" s="6" t="str">
        <f t="shared" si="9"/>
        <v/>
      </c>
      <c r="H67" s="4">
        <v>7600000</v>
      </c>
      <c r="I67" s="6" t="str">
        <f t="shared" si="10"/>
        <v/>
      </c>
      <c r="J67" s="4">
        <v>1900000</v>
      </c>
      <c r="K67" s="6" t="str">
        <f t="shared" si="11"/>
        <v/>
      </c>
      <c r="L67" s="6">
        <v>108</v>
      </c>
      <c r="M67" s="6" t="str">
        <f t="shared" si="12"/>
        <v/>
      </c>
      <c r="N67" s="6">
        <v>6</v>
      </c>
      <c r="O67" s="6" t="str">
        <f t="shared" si="13"/>
        <v/>
      </c>
      <c r="Q67" s="6">
        <v>2</v>
      </c>
      <c r="R67" s="6">
        <v>16</v>
      </c>
      <c r="S67" s="6">
        <v>48</v>
      </c>
      <c r="T67" s="6"/>
      <c r="U67" s="6">
        <f t="shared" si="6"/>
        <v>233280</v>
      </c>
      <c r="V67" s="6" t="str">
        <f t="shared" si="14"/>
        <v/>
      </c>
    </row>
    <row r="68" spans="2:22" x14ac:dyDescent="0.3">
      <c r="B68" s="64" t="s">
        <v>237</v>
      </c>
      <c r="C68" s="151">
        <v>63</v>
      </c>
      <c r="D68" s="4">
        <v>38000000</v>
      </c>
      <c r="E68" s="6" t="str">
        <f t="shared" si="8"/>
        <v/>
      </c>
      <c r="F68" s="4">
        <v>38000000</v>
      </c>
      <c r="G68" s="6" t="str">
        <f t="shared" si="9"/>
        <v/>
      </c>
      <c r="H68" s="4">
        <v>7600000</v>
      </c>
      <c r="I68" s="6" t="str">
        <f t="shared" si="10"/>
        <v/>
      </c>
      <c r="J68" s="4">
        <v>1900000</v>
      </c>
      <c r="K68" s="6" t="str">
        <f t="shared" si="11"/>
        <v/>
      </c>
      <c r="L68" s="6">
        <v>108</v>
      </c>
      <c r="M68" s="6" t="str">
        <f t="shared" si="12"/>
        <v/>
      </c>
      <c r="N68" s="6">
        <v>6</v>
      </c>
      <c r="O68" s="6" t="str">
        <f t="shared" si="13"/>
        <v/>
      </c>
      <c r="Q68" s="6">
        <v>2</v>
      </c>
      <c r="R68" s="6">
        <v>16</v>
      </c>
      <c r="S68" s="6">
        <v>48</v>
      </c>
      <c r="T68" s="6"/>
      <c r="U68" s="6">
        <f t="shared" si="6"/>
        <v>233280</v>
      </c>
      <c r="V68" s="6" t="str">
        <f t="shared" si="14"/>
        <v/>
      </c>
    </row>
    <row r="69" spans="2:22" x14ac:dyDescent="0.3">
      <c r="B69" s="64" t="s">
        <v>238</v>
      </c>
      <c r="C69" s="151">
        <v>64</v>
      </c>
      <c r="D69" s="4">
        <v>38000000</v>
      </c>
      <c r="E69" s="6" t="str">
        <f t="shared" si="8"/>
        <v/>
      </c>
      <c r="F69" s="4">
        <v>38000000</v>
      </c>
      <c r="G69" s="6" t="str">
        <f t="shared" si="9"/>
        <v/>
      </c>
      <c r="H69" s="4">
        <v>7600000</v>
      </c>
      <c r="I69" s="6" t="str">
        <f t="shared" si="10"/>
        <v/>
      </c>
      <c r="J69" s="4">
        <v>1900000</v>
      </c>
      <c r="K69" s="6" t="str">
        <f t="shared" si="11"/>
        <v/>
      </c>
      <c r="L69" s="6">
        <v>108</v>
      </c>
      <c r="M69" s="6" t="str">
        <f t="shared" si="12"/>
        <v/>
      </c>
      <c r="N69" s="6">
        <v>6</v>
      </c>
      <c r="O69" s="6" t="str">
        <f t="shared" si="13"/>
        <v/>
      </c>
      <c r="Q69" s="6">
        <v>2</v>
      </c>
      <c r="R69" s="6">
        <v>16</v>
      </c>
      <c r="S69" s="6">
        <v>48</v>
      </c>
      <c r="T69" s="6"/>
      <c r="U69" s="6">
        <f t="shared" si="6"/>
        <v>233280</v>
      </c>
      <c r="V69" s="6" t="str">
        <f t="shared" si="14"/>
        <v/>
      </c>
    </row>
    <row r="70" spans="2:22" x14ac:dyDescent="0.3">
      <c r="B70" s="64" t="s">
        <v>239</v>
      </c>
      <c r="C70" s="151">
        <v>65</v>
      </c>
      <c r="D70" s="4">
        <v>38000000</v>
      </c>
      <c r="E70" s="6" t="str">
        <f t="shared" ref="E70:E85" si="15">IF($C70&gt;VLOOKUP(MarksmanDesired,$B$6:$C$85,2,FALSE),"",IF($C70&gt;VLOOKUP(MarksmanCurrent,$B$6:$C$85,2,FALSE),D70,""))</f>
        <v/>
      </c>
      <c r="F70" s="4">
        <v>38000000</v>
      </c>
      <c r="G70" s="6" t="str">
        <f t="shared" ref="G70:G85" si="16">IF($C70&gt;VLOOKUP(MarksmanDesired,$B$6:$C$85,2,FALSE),"",IF($C70&gt;VLOOKUP(MarksmanCurrent,$B$6:$C$85,2,FALSE),F70,""))</f>
        <v/>
      </c>
      <c r="H70" s="4">
        <v>7600000</v>
      </c>
      <c r="I70" s="6" t="str">
        <f t="shared" ref="I70:I85" si="17">IF($C70&gt;VLOOKUP(MarksmanDesired,$B$6:$C$85,2,FALSE),"",IF($C70&gt;VLOOKUP(MarksmanCurrent,$B$6:$C$85,2,FALSE),H70,""))</f>
        <v/>
      </c>
      <c r="J70" s="4">
        <v>1900000</v>
      </c>
      <c r="K70" s="6" t="str">
        <f t="shared" ref="K70:K85" si="18">IF($C70&gt;VLOOKUP(MarksmanDesired,$B$6:$C$85,2,FALSE),"",IF($C70&gt;VLOOKUP(MarksmanCurrent,$B$6:$C$85,2,FALSE),J70,""))</f>
        <v/>
      </c>
      <c r="L70" s="6">
        <v>54</v>
      </c>
      <c r="M70" s="6" t="str">
        <f t="shared" ref="M70:M85" si="19">IF($C70&gt;VLOOKUP(MarksmanDesired,$B$6:$C$85,2,FALSE),"",IF($C70&gt;VLOOKUP(MarksmanCurrent,$B$6:$C$85,2,FALSE),L70,""))</f>
        <v/>
      </c>
      <c r="N70" s="6">
        <v>13</v>
      </c>
      <c r="O70" s="6" t="str">
        <f t="shared" ref="O70:O85" si="20">IF($C70&gt;VLOOKUP(MarksmanDesired,$B$6:$C$85,2,FALSE),"",IF($C70&gt;VLOOKUP(MarksmanCurrent,$B$6:$C$85,2,FALSE),N70,""))</f>
        <v/>
      </c>
      <c r="Q70" s="6">
        <v>2</v>
      </c>
      <c r="R70" s="6">
        <v>16</v>
      </c>
      <c r="S70" s="6">
        <v>48</v>
      </c>
      <c r="T70" s="6"/>
      <c r="U70" s="6">
        <f t="shared" ref="U70:U85" si="21">T70+S70*60+R70*60*60+Q70*60*60*24</f>
        <v>233280</v>
      </c>
      <c r="V70" s="6" t="str">
        <f t="shared" ref="V70:V85" si="22">IF($C70&gt;VLOOKUP(MarksmanDesired,$B$6:$C$85,2,FALSE),"",IF($C70&gt;VLOOKUP(MarksmanCurrent,$B$6:$C$85,2,FALSE),U70,""))</f>
        <v/>
      </c>
    </row>
    <row r="71" spans="2:22" x14ac:dyDescent="0.3">
      <c r="B71" s="64" t="s">
        <v>240</v>
      </c>
      <c r="C71" s="151">
        <v>66</v>
      </c>
      <c r="D71" s="4">
        <v>46000000</v>
      </c>
      <c r="E71" s="6" t="str">
        <f t="shared" si="15"/>
        <v/>
      </c>
      <c r="F71" s="4">
        <v>46000000</v>
      </c>
      <c r="G71" s="6" t="str">
        <f t="shared" si="16"/>
        <v/>
      </c>
      <c r="H71" s="4">
        <v>9300000</v>
      </c>
      <c r="I71" s="6" t="str">
        <f t="shared" si="17"/>
        <v/>
      </c>
      <c r="J71" s="4">
        <v>2300000</v>
      </c>
      <c r="K71" s="6" t="str">
        <f t="shared" si="18"/>
        <v/>
      </c>
      <c r="L71" s="6">
        <v>108</v>
      </c>
      <c r="M71" s="6" t="str">
        <f t="shared" si="19"/>
        <v/>
      </c>
      <c r="N71" s="6">
        <v>9</v>
      </c>
      <c r="O71" s="6" t="str">
        <f t="shared" si="20"/>
        <v/>
      </c>
      <c r="Q71" s="6">
        <v>3</v>
      </c>
      <c r="R71" s="6"/>
      <c r="S71" s="6"/>
      <c r="T71" s="6"/>
      <c r="U71" s="6">
        <f t="shared" si="21"/>
        <v>259200</v>
      </c>
      <c r="V71" s="6" t="str">
        <f t="shared" si="22"/>
        <v/>
      </c>
    </row>
    <row r="72" spans="2:22" x14ac:dyDescent="0.3">
      <c r="B72" s="64" t="s">
        <v>241</v>
      </c>
      <c r="C72" s="151">
        <v>67</v>
      </c>
      <c r="D72" s="4">
        <v>46000000</v>
      </c>
      <c r="E72" s="6" t="str">
        <f t="shared" si="15"/>
        <v/>
      </c>
      <c r="F72" s="4">
        <v>46000000</v>
      </c>
      <c r="G72" s="6" t="str">
        <f t="shared" si="16"/>
        <v/>
      </c>
      <c r="H72" s="4">
        <v>9300000</v>
      </c>
      <c r="I72" s="6" t="str">
        <f t="shared" si="17"/>
        <v/>
      </c>
      <c r="J72" s="4">
        <v>2300000</v>
      </c>
      <c r="K72" s="6" t="str">
        <f t="shared" si="18"/>
        <v/>
      </c>
      <c r="L72" s="6">
        <v>108</v>
      </c>
      <c r="M72" s="6" t="str">
        <f t="shared" si="19"/>
        <v/>
      </c>
      <c r="N72" s="6">
        <v>9</v>
      </c>
      <c r="O72" s="6" t="str">
        <f t="shared" si="20"/>
        <v/>
      </c>
      <c r="Q72" s="6">
        <v>3</v>
      </c>
      <c r="R72" s="6"/>
      <c r="S72" s="6"/>
      <c r="T72" s="6"/>
      <c r="U72" s="6">
        <f t="shared" si="21"/>
        <v>259200</v>
      </c>
      <c r="V72" s="6" t="str">
        <f t="shared" si="22"/>
        <v/>
      </c>
    </row>
    <row r="73" spans="2:22" x14ac:dyDescent="0.3">
      <c r="B73" s="64" t="s">
        <v>242</v>
      </c>
      <c r="C73" s="151">
        <v>68</v>
      </c>
      <c r="D73" s="4">
        <v>46000000</v>
      </c>
      <c r="E73" s="6" t="str">
        <f t="shared" si="15"/>
        <v/>
      </c>
      <c r="F73" s="4">
        <v>46000000</v>
      </c>
      <c r="G73" s="6" t="str">
        <f t="shared" si="16"/>
        <v/>
      </c>
      <c r="H73" s="4">
        <v>9300000</v>
      </c>
      <c r="I73" s="6" t="str">
        <f t="shared" si="17"/>
        <v/>
      </c>
      <c r="J73" s="4">
        <v>2300000</v>
      </c>
      <c r="K73" s="6" t="str">
        <f t="shared" si="18"/>
        <v/>
      </c>
      <c r="L73" s="6">
        <v>108</v>
      </c>
      <c r="M73" s="6" t="str">
        <f t="shared" si="19"/>
        <v/>
      </c>
      <c r="N73" s="6">
        <v>9</v>
      </c>
      <c r="O73" s="6" t="str">
        <f t="shared" si="20"/>
        <v/>
      </c>
      <c r="Q73" s="6">
        <v>3</v>
      </c>
      <c r="R73" s="6"/>
      <c r="S73" s="6"/>
      <c r="T73" s="6"/>
      <c r="U73" s="6">
        <f t="shared" si="21"/>
        <v>259200</v>
      </c>
      <c r="V73" s="6" t="str">
        <f t="shared" si="22"/>
        <v/>
      </c>
    </row>
    <row r="74" spans="2:22" x14ac:dyDescent="0.3">
      <c r="B74" s="64" t="s">
        <v>243</v>
      </c>
      <c r="C74" s="151">
        <v>69</v>
      </c>
      <c r="D74" s="4">
        <v>46000000</v>
      </c>
      <c r="E74" s="6" t="str">
        <f t="shared" si="15"/>
        <v/>
      </c>
      <c r="F74" s="4">
        <v>46000000</v>
      </c>
      <c r="G74" s="6" t="str">
        <f t="shared" si="16"/>
        <v/>
      </c>
      <c r="H74" s="4">
        <v>9300000</v>
      </c>
      <c r="I74" s="6" t="str">
        <f t="shared" si="17"/>
        <v/>
      </c>
      <c r="J74" s="4">
        <v>2300000</v>
      </c>
      <c r="K74" s="6" t="str">
        <f t="shared" si="18"/>
        <v/>
      </c>
      <c r="L74" s="6">
        <v>108</v>
      </c>
      <c r="M74" s="6" t="str">
        <f t="shared" si="19"/>
        <v/>
      </c>
      <c r="N74" s="6">
        <v>9</v>
      </c>
      <c r="O74" s="6" t="str">
        <f t="shared" si="20"/>
        <v/>
      </c>
      <c r="Q74" s="6">
        <v>3</v>
      </c>
      <c r="R74" s="6"/>
      <c r="S74" s="6"/>
      <c r="T74" s="6"/>
      <c r="U74" s="6">
        <f t="shared" si="21"/>
        <v>259200</v>
      </c>
      <c r="V74" s="6" t="str">
        <f t="shared" si="22"/>
        <v/>
      </c>
    </row>
    <row r="75" spans="2:22" x14ac:dyDescent="0.3">
      <c r="B75" s="64" t="s">
        <v>244</v>
      </c>
      <c r="C75" s="151">
        <v>70</v>
      </c>
      <c r="D75" s="4">
        <v>46000000</v>
      </c>
      <c r="E75" s="6" t="str">
        <f t="shared" si="15"/>
        <v/>
      </c>
      <c r="F75" s="4">
        <v>46000000</v>
      </c>
      <c r="G75" s="6" t="str">
        <f t="shared" si="16"/>
        <v/>
      </c>
      <c r="H75" s="4">
        <v>9300000</v>
      </c>
      <c r="I75" s="6" t="str">
        <f t="shared" si="17"/>
        <v/>
      </c>
      <c r="J75" s="4">
        <v>2300000</v>
      </c>
      <c r="K75" s="6" t="str">
        <f t="shared" si="18"/>
        <v/>
      </c>
      <c r="L75" s="6">
        <v>54</v>
      </c>
      <c r="M75" s="6" t="str">
        <f t="shared" si="19"/>
        <v/>
      </c>
      <c r="N75" s="6">
        <v>19</v>
      </c>
      <c r="O75" s="6" t="str">
        <f t="shared" si="20"/>
        <v/>
      </c>
      <c r="Q75" s="6">
        <v>3</v>
      </c>
      <c r="R75" s="6"/>
      <c r="S75" s="6"/>
      <c r="T75" s="6"/>
      <c r="U75" s="6">
        <f t="shared" si="21"/>
        <v>259200</v>
      </c>
      <c r="V75" s="6" t="str">
        <f t="shared" si="22"/>
        <v/>
      </c>
    </row>
    <row r="76" spans="2:22" x14ac:dyDescent="0.3">
      <c r="B76" s="64" t="s">
        <v>450</v>
      </c>
      <c r="C76" s="151">
        <v>71</v>
      </c>
      <c r="D76" s="4">
        <v>50000000</v>
      </c>
      <c r="E76" s="6">
        <f t="shared" si="15"/>
        <v>50000000</v>
      </c>
      <c r="F76" s="4">
        <v>50000000</v>
      </c>
      <c r="G76" s="6">
        <f t="shared" si="16"/>
        <v>50000000</v>
      </c>
      <c r="H76" s="4">
        <v>10000000</v>
      </c>
      <c r="I76" s="6">
        <f t="shared" si="17"/>
        <v>10000000</v>
      </c>
      <c r="J76" s="4">
        <v>2500000</v>
      </c>
      <c r="K76" s="6">
        <f t="shared" si="18"/>
        <v>2500000</v>
      </c>
      <c r="L76" s="6">
        <v>126</v>
      </c>
      <c r="M76" s="6">
        <f t="shared" si="19"/>
        <v>126</v>
      </c>
      <c r="N76" s="6">
        <v>13</v>
      </c>
      <c r="O76" s="6">
        <f t="shared" si="20"/>
        <v>13</v>
      </c>
      <c r="Q76" s="6">
        <v>1</v>
      </c>
      <c r="R76" s="6">
        <v>22</v>
      </c>
      <c r="S76" s="6">
        <v>48</v>
      </c>
      <c r="T76" s="6"/>
      <c r="U76" s="6">
        <f t="shared" si="21"/>
        <v>168480</v>
      </c>
      <c r="V76" s="6">
        <f t="shared" si="22"/>
        <v>168480</v>
      </c>
    </row>
    <row r="77" spans="2:22" x14ac:dyDescent="0.3">
      <c r="B77" s="64" t="s">
        <v>451</v>
      </c>
      <c r="C77" s="151">
        <v>72</v>
      </c>
      <c r="D77" s="4">
        <v>50000000</v>
      </c>
      <c r="E77" s="6">
        <f t="shared" si="15"/>
        <v>50000000</v>
      </c>
      <c r="F77" s="4">
        <v>50000000</v>
      </c>
      <c r="G77" s="6">
        <f t="shared" si="16"/>
        <v>50000000</v>
      </c>
      <c r="H77" s="4">
        <v>10000000</v>
      </c>
      <c r="I77" s="6">
        <f t="shared" si="17"/>
        <v>10000000</v>
      </c>
      <c r="J77" s="4">
        <v>2500000</v>
      </c>
      <c r="K77" s="6">
        <f t="shared" si="18"/>
        <v>2500000</v>
      </c>
      <c r="L77" s="6">
        <v>126</v>
      </c>
      <c r="M77" s="6">
        <f t="shared" si="19"/>
        <v>126</v>
      </c>
      <c r="N77" s="6">
        <v>13</v>
      </c>
      <c r="O77" s="6">
        <f t="shared" si="20"/>
        <v>13</v>
      </c>
      <c r="Q77" s="6">
        <v>1</v>
      </c>
      <c r="R77" s="6">
        <v>22</v>
      </c>
      <c r="S77" s="6">
        <v>48</v>
      </c>
      <c r="T77" s="6"/>
      <c r="U77" s="6">
        <f t="shared" si="21"/>
        <v>168480</v>
      </c>
      <c r="V77" s="6">
        <f t="shared" si="22"/>
        <v>168480</v>
      </c>
    </row>
    <row r="78" spans="2:22" x14ac:dyDescent="0.3">
      <c r="B78" s="64" t="s">
        <v>452</v>
      </c>
      <c r="C78" s="151">
        <v>73</v>
      </c>
      <c r="D78" s="4">
        <v>50000000</v>
      </c>
      <c r="E78" s="6">
        <f t="shared" si="15"/>
        <v>50000000</v>
      </c>
      <c r="F78" s="4">
        <v>50000000</v>
      </c>
      <c r="G78" s="6">
        <f t="shared" si="16"/>
        <v>50000000</v>
      </c>
      <c r="H78" s="4">
        <v>10000000</v>
      </c>
      <c r="I78" s="6">
        <f t="shared" si="17"/>
        <v>10000000</v>
      </c>
      <c r="J78" s="4">
        <v>2500000</v>
      </c>
      <c r="K78" s="6">
        <f t="shared" si="18"/>
        <v>2500000</v>
      </c>
      <c r="L78" s="6">
        <v>126</v>
      </c>
      <c r="M78" s="6">
        <f t="shared" si="19"/>
        <v>126</v>
      </c>
      <c r="N78" s="6">
        <v>13</v>
      </c>
      <c r="O78" s="6">
        <f t="shared" si="20"/>
        <v>13</v>
      </c>
      <c r="Q78" s="6">
        <v>1</v>
      </c>
      <c r="R78" s="6">
        <v>22</v>
      </c>
      <c r="S78" s="6">
        <v>48</v>
      </c>
      <c r="T78" s="6"/>
      <c r="U78" s="6">
        <f t="shared" si="21"/>
        <v>168480</v>
      </c>
      <c r="V78" s="6">
        <f t="shared" si="22"/>
        <v>168480</v>
      </c>
    </row>
    <row r="79" spans="2:22" x14ac:dyDescent="0.3">
      <c r="B79" s="64" t="s">
        <v>453</v>
      </c>
      <c r="C79" s="151">
        <v>74</v>
      </c>
      <c r="D79" s="4">
        <v>50000000</v>
      </c>
      <c r="E79" s="6">
        <f t="shared" si="15"/>
        <v>50000000</v>
      </c>
      <c r="F79" s="4">
        <v>50000000</v>
      </c>
      <c r="G79" s="6">
        <f t="shared" si="16"/>
        <v>50000000</v>
      </c>
      <c r="H79" s="4">
        <v>10000000</v>
      </c>
      <c r="I79" s="6">
        <f t="shared" si="17"/>
        <v>10000000</v>
      </c>
      <c r="J79" s="4">
        <v>2500000</v>
      </c>
      <c r="K79" s="6">
        <f t="shared" si="18"/>
        <v>2500000</v>
      </c>
      <c r="L79" s="6">
        <v>126</v>
      </c>
      <c r="M79" s="6">
        <f t="shared" si="19"/>
        <v>126</v>
      </c>
      <c r="N79" s="6">
        <v>13</v>
      </c>
      <c r="O79" s="6">
        <f t="shared" si="20"/>
        <v>13</v>
      </c>
      <c r="Q79" s="6">
        <v>1</v>
      </c>
      <c r="R79" s="6">
        <v>22</v>
      </c>
      <c r="S79" s="6">
        <v>48</v>
      </c>
      <c r="T79" s="6"/>
      <c r="U79" s="6">
        <f t="shared" si="21"/>
        <v>168480</v>
      </c>
      <c r="V79" s="6">
        <f t="shared" si="22"/>
        <v>168480</v>
      </c>
    </row>
    <row r="80" spans="2:22" x14ac:dyDescent="0.3">
      <c r="B80" s="64" t="s">
        <v>454</v>
      </c>
      <c r="C80" s="151">
        <v>75</v>
      </c>
      <c r="D80" s="4">
        <v>50000000</v>
      </c>
      <c r="E80" s="6">
        <f t="shared" si="15"/>
        <v>50000000</v>
      </c>
      <c r="F80" s="4">
        <v>50000000</v>
      </c>
      <c r="G80" s="6">
        <f t="shared" si="16"/>
        <v>50000000</v>
      </c>
      <c r="H80" s="4">
        <v>10000000</v>
      </c>
      <c r="I80" s="6">
        <f t="shared" si="17"/>
        <v>10000000</v>
      </c>
      <c r="J80" s="4">
        <v>2500000</v>
      </c>
      <c r="K80" s="6">
        <f t="shared" si="18"/>
        <v>2500000</v>
      </c>
      <c r="L80" s="6">
        <v>63</v>
      </c>
      <c r="M80" s="6">
        <f t="shared" si="19"/>
        <v>63</v>
      </c>
      <c r="N80" s="6">
        <v>27</v>
      </c>
      <c r="O80" s="6">
        <f t="shared" si="20"/>
        <v>27</v>
      </c>
      <c r="Q80" s="6">
        <v>1</v>
      </c>
      <c r="R80" s="6">
        <v>22</v>
      </c>
      <c r="S80" s="6">
        <v>48</v>
      </c>
      <c r="T80" s="6"/>
      <c r="U80" s="6">
        <f t="shared" si="21"/>
        <v>168480</v>
      </c>
      <c r="V80" s="6">
        <f t="shared" si="22"/>
        <v>168480</v>
      </c>
    </row>
    <row r="81" spans="2:22" x14ac:dyDescent="0.3">
      <c r="B81" s="64" t="s">
        <v>455</v>
      </c>
      <c r="C81" s="151">
        <v>76</v>
      </c>
      <c r="D81" s="4">
        <v>59000000</v>
      </c>
      <c r="E81" s="6" t="str">
        <f t="shared" si="15"/>
        <v/>
      </c>
      <c r="F81" s="4">
        <v>59000000</v>
      </c>
      <c r="G81" s="6" t="str">
        <f t="shared" si="16"/>
        <v/>
      </c>
      <c r="H81" s="4">
        <v>11000000</v>
      </c>
      <c r="I81" s="6" t="str">
        <f t="shared" si="17"/>
        <v/>
      </c>
      <c r="J81" s="4">
        <v>2900000</v>
      </c>
      <c r="K81" s="6" t="str">
        <f t="shared" si="18"/>
        <v/>
      </c>
      <c r="L81" s="6">
        <v>157</v>
      </c>
      <c r="M81" s="6" t="str">
        <f t="shared" si="19"/>
        <v/>
      </c>
      <c r="N81" s="6">
        <v>31</v>
      </c>
      <c r="O81" s="6" t="str">
        <f t="shared" si="20"/>
        <v/>
      </c>
      <c r="Q81" s="6">
        <v>3</v>
      </c>
      <c r="R81" s="6"/>
      <c r="S81" s="6"/>
      <c r="T81" s="6"/>
      <c r="U81" s="6">
        <f t="shared" si="21"/>
        <v>259200</v>
      </c>
      <c r="V81" s="6" t="str">
        <f t="shared" si="22"/>
        <v/>
      </c>
    </row>
    <row r="82" spans="2:22" x14ac:dyDescent="0.3">
      <c r="B82" s="64" t="s">
        <v>456</v>
      </c>
      <c r="C82" s="151">
        <v>77</v>
      </c>
      <c r="D82" s="4">
        <v>59000000</v>
      </c>
      <c r="E82" s="6" t="str">
        <f t="shared" si="15"/>
        <v/>
      </c>
      <c r="F82" s="4">
        <v>59000000</v>
      </c>
      <c r="G82" s="6" t="str">
        <f t="shared" si="16"/>
        <v/>
      </c>
      <c r="H82" s="4">
        <v>11000000</v>
      </c>
      <c r="I82" s="6" t="str">
        <f t="shared" si="17"/>
        <v/>
      </c>
      <c r="J82" s="4">
        <v>2900000</v>
      </c>
      <c r="K82" s="6" t="str">
        <f t="shared" si="18"/>
        <v/>
      </c>
      <c r="L82" s="6">
        <v>157</v>
      </c>
      <c r="M82" s="6" t="str">
        <f t="shared" si="19"/>
        <v/>
      </c>
      <c r="N82" s="6">
        <v>31</v>
      </c>
      <c r="O82" s="6" t="str">
        <f t="shared" si="20"/>
        <v/>
      </c>
      <c r="Q82" s="6">
        <v>3</v>
      </c>
      <c r="R82" s="6"/>
      <c r="S82" s="6"/>
      <c r="T82" s="6"/>
      <c r="U82" s="6">
        <f t="shared" si="21"/>
        <v>259200</v>
      </c>
      <c r="V82" s="6" t="str">
        <f t="shared" si="22"/>
        <v/>
      </c>
    </row>
    <row r="83" spans="2:22" x14ac:dyDescent="0.3">
      <c r="B83" s="64" t="s">
        <v>457</v>
      </c>
      <c r="C83" s="151">
        <v>78</v>
      </c>
      <c r="D83" s="4">
        <v>59000000</v>
      </c>
      <c r="E83" s="6" t="str">
        <f t="shared" si="15"/>
        <v/>
      </c>
      <c r="F83" s="4">
        <v>59000000</v>
      </c>
      <c r="G83" s="6" t="str">
        <f t="shared" si="16"/>
        <v/>
      </c>
      <c r="H83" s="4">
        <v>11000000</v>
      </c>
      <c r="I83" s="6" t="str">
        <f t="shared" si="17"/>
        <v/>
      </c>
      <c r="J83" s="4">
        <v>2900000</v>
      </c>
      <c r="K83" s="6" t="str">
        <f t="shared" si="18"/>
        <v/>
      </c>
      <c r="L83" s="6">
        <v>157</v>
      </c>
      <c r="M83" s="6" t="str">
        <f t="shared" si="19"/>
        <v/>
      </c>
      <c r="N83" s="6">
        <v>31</v>
      </c>
      <c r="O83" s="6" t="str">
        <f t="shared" si="20"/>
        <v/>
      </c>
      <c r="Q83" s="6">
        <v>3</v>
      </c>
      <c r="R83" s="6"/>
      <c r="S83" s="6"/>
      <c r="T83" s="6"/>
      <c r="U83" s="6">
        <f t="shared" si="21"/>
        <v>259200</v>
      </c>
      <c r="V83" s="6" t="str">
        <f t="shared" si="22"/>
        <v/>
      </c>
    </row>
    <row r="84" spans="2:22" x14ac:dyDescent="0.3">
      <c r="B84" s="64" t="s">
        <v>458</v>
      </c>
      <c r="C84" s="151">
        <v>79</v>
      </c>
      <c r="D84" s="4">
        <v>59000000</v>
      </c>
      <c r="E84" s="6" t="str">
        <f t="shared" si="15"/>
        <v/>
      </c>
      <c r="F84" s="4">
        <v>59000000</v>
      </c>
      <c r="G84" s="6" t="str">
        <f t="shared" si="16"/>
        <v/>
      </c>
      <c r="H84" s="4">
        <v>11000000</v>
      </c>
      <c r="I84" s="6" t="str">
        <f t="shared" si="17"/>
        <v/>
      </c>
      <c r="J84" s="4">
        <v>2900000</v>
      </c>
      <c r="K84" s="6" t="str">
        <f t="shared" si="18"/>
        <v/>
      </c>
      <c r="L84" s="6">
        <v>157</v>
      </c>
      <c r="M84" s="6" t="str">
        <f t="shared" si="19"/>
        <v/>
      </c>
      <c r="N84" s="6">
        <v>31</v>
      </c>
      <c r="O84" s="6" t="str">
        <f t="shared" si="20"/>
        <v/>
      </c>
      <c r="Q84" s="6">
        <v>3</v>
      </c>
      <c r="R84" s="6"/>
      <c r="S84" s="6"/>
      <c r="T84" s="6"/>
      <c r="U84" s="6">
        <f t="shared" si="21"/>
        <v>259200</v>
      </c>
      <c r="V84" s="6" t="str">
        <f t="shared" si="22"/>
        <v/>
      </c>
    </row>
    <row r="85" spans="2:22" x14ac:dyDescent="0.3">
      <c r="B85" s="148" t="s">
        <v>459</v>
      </c>
      <c r="C85" s="151">
        <v>80</v>
      </c>
      <c r="D85" s="4">
        <v>59000000</v>
      </c>
      <c r="E85" s="6" t="str">
        <f t="shared" si="15"/>
        <v/>
      </c>
      <c r="F85" s="4">
        <v>59000000</v>
      </c>
      <c r="G85" s="6" t="str">
        <f t="shared" si="16"/>
        <v/>
      </c>
      <c r="H85" s="4">
        <v>11000000</v>
      </c>
      <c r="I85" s="6" t="str">
        <f t="shared" si="17"/>
        <v/>
      </c>
      <c r="J85" s="4">
        <v>2900000</v>
      </c>
      <c r="K85" s="6" t="str">
        <f t="shared" si="18"/>
        <v/>
      </c>
      <c r="L85" s="6">
        <v>78</v>
      </c>
      <c r="M85" s="6" t="str">
        <f t="shared" si="19"/>
        <v/>
      </c>
      <c r="N85" s="6">
        <v>63</v>
      </c>
      <c r="O85" s="6" t="str">
        <f t="shared" si="20"/>
        <v/>
      </c>
      <c r="Q85" s="6">
        <v>3</v>
      </c>
      <c r="R85" s="6"/>
      <c r="S85" s="6"/>
      <c r="T85" s="6"/>
      <c r="U85" s="6">
        <f t="shared" si="21"/>
        <v>259200</v>
      </c>
      <c r="V85" s="6" t="str">
        <f t="shared" si="22"/>
        <v/>
      </c>
    </row>
    <row r="86" spans="2:22" x14ac:dyDescent="0.3">
      <c r="Q86" s="6"/>
      <c r="R86" s="6"/>
      <c r="S86" s="6"/>
      <c r="T86" s="6"/>
      <c r="U86" s="6"/>
      <c r="V86" s="6"/>
    </row>
    <row r="87" spans="2:22" x14ac:dyDescent="0.3">
      <c r="D87" s="4">
        <f>SUM(D6:D85)</f>
        <v>2245470000</v>
      </c>
      <c r="E87" s="4">
        <f t="shared" ref="E87:V87" si="23">SUM(E6:E85)</f>
        <v>250000000</v>
      </c>
      <c r="F87" s="4">
        <f t="shared" si="23"/>
        <v>2246208280</v>
      </c>
      <c r="G87" s="4">
        <f t="shared" si="23"/>
        <v>250000000</v>
      </c>
      <c r="H87" s="4">
        <f t="shared" si="23"/>
        <v>448181485</v>
      </c>
      <c r="I87" s="4">
        <f t="shared" si="23"/>
        <v>50000000</v>
      </c>
      <c r="J87" s="4">
        <f t="shared" si="23"/>
        <v>110665465</v>
      </c>
      <c r="K87" s="4">
        <f t="shared" si="23"/>
        <v>12500000</v>
      </c>
      <c r="L87" s="4">
        <f t="shared" si="23"/>
        <v>5215</v>
      </c>
      <c r="M87" s="4">
        <f t="shared" si="23"/>
        <v>567</v>
      </c>
      <c r="N87" s="4">
        <f t="shared" si="23"/>
        <v>383</v>
      </c>
      <c r="O87" s="4">
        <f t="shared" si="23"/>
        <v>79</v>
      </c>
      <c r="P87" s="4">
        <f t="shared" si="23"/>
        <v>0</v>
      </c>
      <c r="Q87" s="4">
        <f t="shared" si="23"/>
        <v>111</v>
      </c>
      <c r="R87" s="4">
        <f t="shared" si="23"/>
        <v>584</v>
      </c>
      <c r="S87" s="4">
        <f t="shared" si="23"/>
        <v>1709</v>
      </c>
      <c r="T87" s="4">
        <f t="shared" si="23"/>
        <v>251</v>
      </c>
      <c r="U87" s="4">
        <f t="shared" si="23"/>
        <v>11795591</v>
      </c>
      <c r="V87" s="4">
        <f t="shared" si="23"/>
        <v>842400</v>
      </c>
    </row>
    <row r="89" spans="2:22" x14ac:dyDescent="0.3">
      <c r="T89" s="4" t="s">
        <v>21</v>
      </c>
      <c r="U89" s="4">
        <f>ROUNDDOWN(U87/60/60/24,0)</f>
        <v>136</v>
      </c>
      <c r="V89" s="4">
        <f>ROUNDDOWN(V87/60/60/24,0)</f>
        <v>9</v>
      </c>
    </row>
    <row r="90" spans="2:22" x14ac:dyDescent="0.3">
      <c r="T90" s="4" t="s">
        <v>20</v>
      </c>
      <c r="U90" s="4">
        <f>ROUNDDOWN((U87-U89*60*60*24)/60/60,0)</f>
        <v>12</v>
      </c>
      <c r="V90" s="4">
        <f>ROUNDDOWN((V87-V89*60*60*24)/60/60,0)</f>
        <v>18</v>
      </c>
    </row>
    <row r="91" spans="2:22" x14ac:dyDescent="0.3">
      <c r="T91" s="4" t="s">
        <v>19</v>
      </c>
      <c r="U91" s="4">
        <f>ROUNDDOWN((U87-U89*60*60*24-U90*60*60)/60,0)</f>
        <v>33</v>
      </c>
      <c r="V91" s="4">
        <f>ROUNDDOWN((V87-V89*60*60*24-V90*60*60)/60,0)</f>
        <v>0</v>
      </c>
    </row>
    <row r="92" spans="2:22" x14ac:dyDescent="0.3">
      <c r="T92" s="4" t="s">
        <v>18</v>
      </c>
      <c r="U92" s="4">
        <f>ROUNDDOWN((U87-U89*60*60*24-U90*60*60-U91*60),0)</f>
        <v>11</v>
      </c>
      <c r="V92" s="4">
        <f>ROUNDDOWN((V87-V89*60*60*24-V90*60*60-V91*60),0)</f>
        <v>0</v>
      </c>
    </row>
  </sheetData>
  <sheetProtection sheet="1" objects="1" scenarios="1"/>
  <mergeCells count="9">
    <mergeCell ref="D3:M3"/>
    <mergeCell ref="Q3:V3"/>
    <mergeCell ref="D4:E4"/>
    <mergeCell ref="F4:G4"/>
    <mergeCell ref="H4:I4"/>
    <mergeCell ref="J4:K4"/>
    <mergeCell ref="U4:V4"/>
    <mergeCell ref="L4:M4"/>
    <mergeCell ref="N4:O4"/>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06BA-A2EE-40E2-8F12-019078564454}">
  <sheetPr codeName="Sheet13"/>
  <dimension ref="A1:T42"/>
  <sheetViews>
    <sheetView workbookViewId="0">
      <pane xSplit="2" ySplit="5" topLeftCell="C6" activePane="bottomRight" state="frozen"/>
      <selection sqref="A1:R2"/>
      <selection pane="topRight" sqref="A1:R2"/>
      <selection pane="bottomLeft" sqref="A1:R2"/>
      <selection pane="bottomRight" activeCell="B3" sqref="B3"/>
    </sheetView>
  </sheetViews>
  <sheetFormatPr baseColWidth="10" defaultColWidth="8.88671875" defaultRowHeight="14.4" x14ac:dyDescent="0.3"/>
  <cols>
    <col min="2" max="2" width="16.33203125" bestFit="1" customWidth="1"/>
    <col min="3" max="3" width="14.33203125" bestFit="1" customWidth="1"/>
    <col min="4" max="4" width="14.33203125" customWidth="1"/>
    <col min="5" max="5" width="14.33203125" bestFit="1" customWidth="1"/>
    <col min="6" max="6" width="14.33203125" customWidth="1"/>
    <col min="7" max="7" width="12.5546875" bestFit="1" customWidth="1"/>
    <col min="8" max="8" width="12.5546875" customWidth="1"/>
    <col min="9" max="9" width="11.5546875" bestFit="1" customWidth="1"/>
    <col min="10" max="12" width="11.5546875" customWidth="1"/>
    <col min="14" max="14" width="5.44140625" bestFit="1" customWidth="1"/>
    <col min="15" max="15" width="6.44140625" bestFit="1" customWidth="1"/>
    <col min="16" max="16" width="8.33203125" bestFit="1" customWidth="1"/>
    <col min="17" max="17" width="8.6640625" bestFit="1" customWidth="1"/>
    <col min="18" max="18" width="13.33203125" bestFit="1" customWidth="1"/>
    <col min="19" max="19" width="13.33203125" customWidth="1"/>
  </cols>
  <sheetData>
    <row r="1" spans="1:20" x14ac:dyDescent="0.3">
      <c r="C1" t="s">
        <v>26</v>
      </c>
    </row>
    <row r="2" spans="1:20" x14ac:dyDescent="0.3">
      <c r="A2" s="2"/>
      <c r="C2" s="1">
        <f>LARGE(Furnace!AG4:AG35,1)</f>
        <v>27</v>
      </c>
      <c r="D2" s="1"/>
      <c r="E2" s="2"/>
      <c r="F2" s="2"/>
      <c r="G2" s="2"/>
      <c r="H2" s="2"/>
      <c r="I2" s="2"/>
      <c r="J2" s="2"/>
      <c r="K2" s="2"/>
      <c r="L2" s="2"/>
      <c r="M2" s="2"/>
      <c r="N2" s="2"/>
      <c r="O2" s="2"/>
      <c r="P2" s="2"/>
      <c r="Q2" s="2"/>
      <c r="R2" s="2"/>
      <c r="S2" s="2"/>
      <c r="T2" s="2"/>
    </row>
    <row r="3" spans="1:20" x14ac:dyDescent="0.3">
      <c r="B3" s="2" t="s">
        <v>13</v>
      </c>
      <c r="C3" s="598" t="s">
        <v>16</v>
      </c>
      <c r="D3" s="598"/>
      <c r="E3" s="598"/>
      <c r="F3" s="598"/>
      <c r="G3" s="598"/>
      <c r="H3" s="598"/>
      <c r="I3" s="598"/>
      <c r="J3" s="598"/>
      <c r="K3" s="598"/>
      <c r="L3" s="598"/>
      <c r="N3" s="598" t="s">
        <v>17</v>
      </c>
      <c r="O3" s="598"/>
      <c r="P3" s="598"/>
      <c r="Q3" s="598"/>
      <c r="R3" s="598"/>
      <c r="S3" s="598"/>
    </row>
    <row r="4" spans="1:20" x14ac:dyDescent="0.3">
      <c r="B4" s="2" t="e">
        <f>#REF!</f>
        <v>#REF!</v>
      </c>
      <c r="C4" s="435" t="s">
        <v>0</v>
      </c>
      <c r="D4" s="435"/>
      <c r="E4" s="435" t="s">
        <v>1</v>
      </c>
      <c r="F4" s="435"/>
      <c r="G4" s="435" t="s">
        <v>2</v>
      </c>
      <c r="H4" s="435"/>
      <c r="I4" s="435" t="s">
        <v>3</v>
      </c>
      <c r="J4" s="435"/>
      <c r="K4" s="435" t="s">
        <v>59</v>
      </c>
      <c r="L4" s="435"/>
      <c r="M4" s="2"/>
      <c r="N4" s="2"/>
      <c r="O4" s="2"/>
      <c r="P4" s="2"/>
      <c r="Q4" s="2"/>
      <c r="R4" s="435" t="s">
        <v>18</v>
      </c>
      <c r="S4" s="435"/>
    </row>
    <row r="5" spans="1:20" x14ac:dyDescent="0.3">
      <c r="B5" s="11">
        <v>0</v>
      </c>
      <c r="C5" s="2" t="s">
        <v>25</v>
      </c>
      <c r="D5" s="2" t="s">
        <v>24</v>
      </c>
      <c r="E5" s="2" t="s">
        <v>25</v>
      </c>
      <c r="F5" s="2" t="s">
        <v>24</v>
      </c>
      <c r="G5" s="2" t="s">
        <v>25</v>
      </c>
      <c r="H5" s="2" t="s">
        <v>24</v>
      </c>
      <c r="I5" s="2" t="s">
        <v>25</v>
      </c>
      <c r="J5" s="2" t="s">
        <v>24</v>
      </c>
      <c r="K5" s="2" t="s">
        <v>25</v>
      </c>
      <c r="L5" s="2" t="s">
        <v>24</v>
      </c>
      <c r="M5" s="2"/>
      <c r="N5" s="2" t="s">
        <v>21</v>
      </c>
      <c r="O5" s="2" t="s">
        <v>20</v>
      </c>
      <c r="P5" s="2" t="s">
        <v>19</v>
      </c>
      <c r="Q5" s="2" t="s">
        <v>18</v>
      </c>
      <c r="R5" s="2" t="s">
        <v>25</v>
      </c>
      <c r="S5" s="2" t="s">
        <v>24</v>
      </c>
    </row>
    <row r="6" spans="1:20" x14ac:dyDescent="0.3">
      <c r="B6" s="3">
        <v>1</v>
      </c>
      <c r="C6" s="4"/>
      <c r="D6" s="6" t="str">
        <f t="shared" ref="D6:D35" si="0">IF($B6&gt;ResearchDesired,"",IF($B6&gt;ResearchCurrent,C6,""))</f>
        <v/>
      </c>
      <c r="E6" s="4">
        <v>105</v>
      </c>
      <c r="F6" s="6" t="str">
        <f t="shared" ref="F6:F35" si="1">IF($B6&gt;ResearchDesired,"",IF($B6&gt;ResearchCurrent,E6,""))</f>
        <v/>
      </c>
      <c r="G6" s="4"/>
      <c r="H6" s="6" t="str">
        <f t="shared" ref="H6:H35" si="2">IF($B6&gt;ResearchDesired,"",IF($B6&gt;ResearchCurrent,G6,""))</f>
        <v/>
      </c>
      <c r="I6" s="4"/>
      <c r="J6" s="6" t="str">
        <f t="shared" ref="J6:J35" si="3">IF($B6&gt;ResearchDesired,"",IF($B6&gt;ResearchCurrent,I6,""))</f>
        <v/>
      </c>
      <c r="K6" s="6"/>
      <c r="L6" s="6" t="str">
        <f t="shared" ref="L6:L35" si="4">IF($B6&gt;ResearchDesired,"",IF($B6&gt;ResearchCurrent,K6,""))</f>
        <v/>
      </c>
      <c r="N6" s="1"/>
      <c r="O6" s="1"/>
      <c r="P6" s="1"/>
      <c r="Q6" s="1">
        <v>2</v>
      </c>
      <c r="R6" s="6">
        <f>Q6+P6*60+O6*60*60+N6*60*60*24</f>
        <v>2</v>
      </c>
      <c r="S6" s="6" t="str">
        <f t="shared" ref="S6:S35" si="5">IF($B6&gt;ResearchDesired,"",IF($B6&gt;ResearchCurrent,R6,""))</f>
        <v/>
      </c>
    </row>
    <row r="7" spans="1:20" x14ac:dyDescent="0.3">
      <c r="B7" s="3">
        <v>2</v>
      </c>
      <c r="C7" s="4"/>
      <c r="D7" s="6" t="str">
        <f t="shared" si="0"/>
        <v/>
      </c>
      <c r="E7" s="4">
        <v>160</v>
      </c>
      <c r="F7" s="6" t="str">
        <f t="shared" si="1"/>
        <v/>
      </c>
      <c r="G7" s="4"/>
      <c r="H7" s="6" t="str">
        <f t="shared" si="2"/>
        <v/>
      </c>
      <c r="I7" s="4"/>
      <c r="J7" s="6" t="str">
        <f t="shared" si="3"/>
        <v/>
      </c>
      <c r="K7" s="6"/>
      <c r="L7" s="6" t="str">
        <f t="shared" si="4"/>
        <v/>
      </c>
      <c r="N7" s="1"/>
      <c r="O7" s="1"/>
      <c r="P7" s="1"/>
      <c r="Q7" s="1">
        <v>9</v>
      </c>
      <c r="R7" s="6">
        <f t="shared" ref="R7:R35" si="6">Q7+P7*60+O7*60*60+N7*60*60*24</f>
        <v>9</v>
      </c>
      <c r="S7" s="6" t="str">
        <f t="shared" si="5"/>
        <v/>
      </c>
    </row>
    <row r="8" spans="1:20" x14ac:dyDescent="0.3">
      <c r="B8" s="3">
        <v>3</v>
      </c>
      <c r="C8" s="4"/>
      <c r="D8" s="6" t="str">
        <f t="shared" si="0"/>
        <v/>
      </c>
      <c r="E8" s="4">
        <v>725</v>
      </c>
      <c r="F8" s="6" t="str">
        <f t="shared" si="1"/>
        <v/>
      </c>
      <c r="G8" s="4"/>
      <c r="H8" s="6" t="str">
        <f t="shared" si="2"/>
        <v/>
      </c>
      <c r="I8" s="4"/>
      <c r="J8" s="6" t="str">
        <f t="shared" si="3"/>
        <v/>
      </c>
      <c r="K8" s="6"/>
      <c r="L8" s="6" t="str">
        <f t="shared" si="4"/>
        <v/>
      </c>
      <c r="N8" s="1"/>
      <c r="O8" s="1"/>
      <c r="P8" s="1"/>
      <c r="Q8" s="1">
        <v>45</v>
      </c>
      <c r="R8" s="6">
        <f t="shared" si="6"/>
        <v>45</v>
      </c>
      <c r="S8" s="6" t="str">
        <f t="shared" si="5"/>
        <v/>
      </c>
    </row>
    <row r="9" spans="1:20" x14ac:dyDescent="0.3">
      <c r="B9" s="3">
        <v>4</v>
      </c>
      <c r="C9" s="4"/>
      <c r="D9" s="6" t="str">
        <f t="shared" si="0"/>
        <v/>
      </c>
      <c r="E9" s="4">
        <v>1600</v>
      </c>
      <c r="F9" s="6" t="str">
        <f t="shared" si="1"/>
        <v/>
      </c>
      <c r="G9" s="4">
        <v>320</v>
      </c>
      <c r="H9" s="6" t="str">
        <f t="shared" si="2"/>
        <v/>
      </c>
      <c r="I9" s="4"/>
      <c r="J9" s="6" t="str">
        <f t="shared" si="3"/>
        <v/>
      </c>
      <c r="K9" s="6"/>
      <c r="L9" s="6" t="str">
        <f t="shared" si="4"/>
        <v/>
      </c>
      <c r="N9" s="1"/>
      <c r="O9" s="1"/>
      <c r="P9" s="1">
        <v>2</v>
      </c>
      <c r="Q9" s="1">
        <v>15</v>
      </c>
      <c r="R9" s="6">
        <f t="shared" si="6"/>
        <v>135</v>
      </c>
      <c r="S9" s="6" t="str">
        <f t="shared" si="5"/>
        <v/>
      </c>
    </row>
    <row r="10" spans="1:20" x14ac:dyDescent="0.3">
      <c r="B10" s="3">
        <v>5</v>
      </c>
      <c r="C10" s="4"/>
      <c r="D10" s="6" t="str">
        <f t="shared" si="0"/>
        <v/>
      </c>
      <c r="E10" s="4">
        <v>6800</v>
      </c>
      <c r="F10" s="6" t="str">
        <f t="shared" si="1"/>
        <v/>
      </c>
      <c r="G10" s="4">
        <v>1300</v>
      </c>
      <c r="H10" s="6" t="str">
        <f t="shared" si="2"/>
        <v/>
      </c>
      <c r="I10" s="4"/>
      <c r="J10" s="6" t="str">
        <f t="shared" si="3"/>
        <v/>
      </c>
      <c r="K10" s="6"/>
      <c r="L10" s="6" t="str">
        <f t="shared" si="4"/>
        <v/>
      </c>
      <c r="N10" s="1"/>
      <c r="O10" s="1"/>
      <c r="P10" s="1">
        <v>4</v>
      </c>
      <c r="Q10" s="1">
        <v>30</v>
      </c>
      <c r="R10" s="6">
        <f t="shared" si="6"/>
        <v>270</v>
      </c>
      <c r="S10" s="6" t="str">
        <f t="shared" si="5"/>
        <v/>
      </c>
    </row>
    <row r="11" spans="1:20" x14ac:dyDescent="0.3">
      <c r="B11" s="3">
        <v>6</v>
      </c>
      <c r="C11" s="4"/>
      <c r="D11" s="6" t="str">
        <f t="shared" si="0"/>
        <v/>
      </c>
      <c r="E11" s="4">
        <v>17000</v>
      </c>
      <c r="F11" s="6" t="str">
        <f t="shared" si="1"/>
        <v/>
      </c>
      <c r="G11" s="4">
        <v>3400</v>
      </c>
      <c r="H11" s="6" t="str">
        <f t="shared" si="2"/>
        <v/>
      </c>
      <c r="I11" s="4">
        <v>860</v>
      </c>
      <c r="J11" s="6" t="str">
        <f t="shared" si="3"/>
        <v/>
      </c>
      <c r="K11" s="6"/>
      <c r="L11" s="6" t="str">
        <f t="shared" si="4"/>
        <v/>
      </c>
      <c r="N11" s="1"/>
      <c r="O11" s="7"/>
      <c r="P11" s="7">
        <v>9</v>
      </c>
      <c r="Q11" s="1"/>
      <c r="R11" s="6">
        <f t="shared" si="6"/>
        <v>540</v>
      </c>
      <c r="S11" s="6" t="str">
        <f t="shared" si="5"/>
        <v/>
      </c>
    </row>
    <row r="12" spans="1:20" x14ac:dyDescent="0.3">
      <c r="B12" s="3">
        <v>7</v>
      </c>
      <c r="C12" s="4"/>
      <c r="D12" s="6" t="str">
        <f t="shared" si="0"/>
        <v/>
      </c>
      <c r="E12" s="4">
        <v>62000</v>
      </c>
      <c r="F12" s="6" t="str">
        <f t="shared" si="1"/>
        <v/>
      </c>
      <c r="G12" s="4">
        <v>12000</v>
      </c>
      <c r="H12" s="6" t="str">
        <f t="shared" si="2"/>
        <v/>
      </c>
      <c r="I12" s="4">
        <v>3100</v>
      </c>
      <c r="J12" s="6" t="str">
        <f t="shared" si="3"/>
        <v/>
      </c>
      <c r="K12" s="6"/>
      <c r="L12" s="6" t="str">
        <f t="shared" si="4"/>
        <v/>
      </c>
      <c r="N12" s="1"/>
      <c r="O12" s="7"/>
      <c r="P12" s="1">
        <v>18</v>
      </c>
      <c r="Q12" s="1"/>
      <c r="R12" s="6">
        <f t="shared" si="6"/>
        <v>1080</v>
      </c>
      <c r="S12" s="6" t="str">
        <f t="shared" si="5"/>
        <v/>
      </c>
    </row>
    <row r="13" spans="1:20" x14ac:dyDescent="0.3">
      <c r="B13" s="3">
        <v>8</v>
      </c>
      <c r="C13" s="4"/>
      <c r="D13" s="6" t="str">
        <f t="shared" si="0"/>
        <v/>
      </c>
      <c r="E13" s="4">
        <v>110000</v>
      </c>
      <c r="F13" s="6" t="str">
        <f t="shared" si="1"/>
        <v/>
      </c>
      <c r="G13" s="4">
        <v>22000</v>
      </c>
      <c r="H13" s="6" t="str">
        <f t="shared" si="2"/>
        <v/>
      </c>
      <c r="I13" s="4">
        <v>5600</v>
      </c>
      <c r="J13" s="6" t="str">
        <f t="shared" si="3"/>
        <v/>
      </c>
      <c r="K13" s="6"/>
      <c r="L13" s="6" t="str">
        <f t="shared" si="4"/>
        <v/>
      </c>
      <c r="N13" s="1"/>
      <c r="O13" s="7"/>
      <c r="P13" s="7">
        <v>27</v>
      </c>
      <c r="Q13" s="1"/>
      <c r="R13" s="6">
        <f t="shared" si="6"/>
        <v>1620</v>
      </c>
      <c r="S13" s="6" t="str">
        <f t="shared" si="5"/>
        <v/>
      </c>
    </row>
    <row r="14" spans="1:20" x14ac:dyDescent="0.3">
      <c r="B14" s="3">
        <v>9</v>
      </c>
      <c r="C14" s="4"/>
      <c r="D14" s="6" t="str">
        <f t="shared" si="0"/>
        <v/>
      </c>
      <c r="E14" s="4">
        <v>230000</v>
      </c>
      <c r="F14" s="6" t="str">
        <f t="shared" si="1"/>
        <v/>
      </c>
      <c r="G14" s="4">
        <v>47000</v>
      </c>
      <c r="H14" s="6" t="str">
        <f t="shared" si="2"/>
        <v/>
      </c>
      <c r="I14" s="4">
        <v>11000</v>
      </c>
      <c r="J14" s="6" t="str">
        <f t="shared" si="3"/>
        <v/>
      </c>
      <c r="K14" s="6"/>
      <c r="L14" s="6" t="str">
        <f t="shared" si="4"/>
        <v/>
      </c>
      <c r="N14" s="1"/>
      <c r="O14" s="7"/>
      <c r="P14" s="7">
        <v>40</v>
      </c>
      <c r="Q14" s="1">
        <v>30</v>
      </c>
      <c r="R14" s="6">
        <f t="shared" si="6"/>
        <v>2430</v>
      </c>
      <c r="S14" s="6" t="str">
        <f t="shared" si="5"/>
        <v/>
      </c>
    </row>
    <row r="15" spans="1:20" x14ac:dyDescent="0.3">
      <c r="B15" s="3">
        <v>10</v>
      </c>
      <c r="C15" s="4"/>
      <c r="D15" s="6" t="str">
        <f t="shared" si="0"/>
        <v/>
      </c>
      <c r="E15" s="4">
        <v>410000</v>
      </c>
      <c r="F15" s="6" t="str">
        <f t="shared" si="1"/>
        <v/>
      </c>
      <c r="G15" s="4">
        <v>82000</v>
      </c>
      <c r="H15" s="6" t="str">
        <f t="shared" si="2"/>
        <v/>
      </c>
      <c r="I15" s="4">
        <v>20000</v>
      </c>
      <c r="J15" s="6" t="str">
        <f t="shared" si="3"/>
        <v/>
      </c>
      <c r="K15" s="6"/>
      <c r="L15" s="6" t="str">
        <f t="shared" si="4"/>
        <v/>
      </c>
      <c r="N15" s="1"/>
      <c r="O15" s="7"/>
      <c r="P15" s="1">
        <v>54</v>
      </c>
      <c r="Q15" s="1"/>
      <c r="R15" s="6">
        <f t="shared" si="6"/>
        <v>3240</v>
      </c>
      <c r="S15" s="6" t="str">
        <f t="shared" si="5"/>
        <v/>
      </c>
    </row>
    <row r="16" spans="1:20" x14ac:dyDescent="0.3">
      <c r="B16" s="3">
        <v>11</v>
      </c>
      <c r="C16" s="4">
        <v>520000</v>
      </c>
      <c r="D16" s="6" t="str">
        <f t="shared" si="0"/>
        <v/>
      </c>
      <c r="E16" s="4">
        <v>520000</v>
      </c>
      <c r="F16" s="6" t="str">
        <f t="shared" si="1"/>
        <v/>
      </c>
      <c r="G16" s="4">
        <v>100000</v>
      </c>
      <c r="H16" s="6" t="str">
        <f t="shared" si="2"/>
        <v/>
      </c>
      <c r="I16" s="4">
        <v>26000</v>
      </c>
      <c r="J16" s="6" t="str">
        <f t="shared" si="3"/>
        <v/>
      </c>
      <c r="K16" s="6"/>
      <c r="L16" s="6" t="str">
        <f t="shared" si="4"/>
        <v/>
      </c>
      <c r="N16" s="1"/>
      <c r="O16" s="7">
        <v>1</v>
      </c>
      <c r="P16" s="7">
        <v>7</v>
      </c>
      <c r="Q16" s="1">
        <v>30</v>
      </c>
      <c r="R16" s="6">
        <f t="shared" si="6"/>
        <v>4050</v>
      </c>
      <c r="S16" s="6" t="str">
        <f t="shared" si="5"/>
        <v/>
      </c>
    </row>
    <row r="17" spans="2:19" x14ac:dyDescent="0.3">
      <c r="B17" s="3">
        <v>12</v>
      </c>
      <c r="C17" s="4">
        <v>670000</v>
      </c>
      <c r="D17" s="6" t="str">
        <f t="shared" si="0"/>
        <v/>
      </c>
      <c r="E17" s="4">
        <v>670000</v>
      </c>
      <c r="F17" s="6" t="str">
        <f t="shared" si="1"/>
        <v/>
      </c>
      <c r="G17" s="4">
        <v>130000</v>
      </c>
      <c r="H17" s="6" t="str">
        <f t="shared" si="2"/>
        <v/>
      </c>
      <c r="I17" s="4">
        <v>33000</v>
      </c>
      <c r="J17" s="6" t="str">
        <f t="shared" si="3"/>
        <v/>
      </c>
      <c r="K17" s="6"/>
      <c r="L17" s="6" t="str">
        <f t="shared" si="4"/>
        <v/>
      </c>
      <c r="N17" s="1"/>
      <c r="O17" s="7">
        <v>1</v>
      </c>
      <c r="P17" s="1">
        <v>21</v>
      </c>
      <c r="Q17" s="1"/>
      <c r="R17" s="6">
        <f t="shared" si="6"/>
        <v>4860</v>
      </c>
      <c r="S17" s="6" t="str">
        <f t="shared" si="5"/>
        <v/>
      </c>
    </row>
    <row r="18" spans="2:19" x14ac:dyDescent="0.3">
      <c r="B18" s="3">
        <v>13</v>
      </c>
      <c r="C18" s="4">
        <v>950000</v>
      </c>
      <c r="D18" s="6" t="str">
        <f t="shared" si="0"/>
        <v/>
      </c>
      <c r="E18" s="4">
        <v>950000</v>
      </c>
      <c r="F18" s="6" t="str">
        <f t="shared" si="1"/>
        <v/>
      </c>
      <c r="G18" s="4">
        <v>190000</v>
      </c>
      <c r="H18" s="6" t="str">
        <f t="shared" si="2"/>
        <v/>
      </c>
      <c r="I18" s="4">
        <v>47000</v>
      </c>
      <c r="J18" s="6" t="str">
        <f t="shared" si="3"/>
        <v/>
      </c>
      <c r="K18" s="6"/>
      <c r="L18" s="6" t="str">
        <f t="shared" si="4"/>
        <v/>
      </c>
      <c r="N18" s="1"/>
      <c r="O18" s="7">
        <v>1</v>
      </c>
      <c r="P18" s="1">
        <v>39</v>
      </c>
      <c r="Q18" s="1"/>
      <c r="R18" s="6">
        <f t="shared" si="6"/>
        <v>5940</v>
      </c>
      <c r="S18" s="6" t="str">
        <f t="shared" si="5"/>
        <v/>
      </c>
    </row>
    <row r="19" spans="2:19" x14ac:dyDescent="0.3">
      <c r="B19" s="3">
        <v>14</v>
      </c>
      <c r="C19" s="4">
        <v>1200000</v>
      </c>
      <c r="D19" s="6" t="str">
        <f t="shared" si="0"/>
        <v/>
      </c>
      <c r="E19" s="4">
        <v>1200000</v>
      </c>
      <c r="F19" s="6" t="str">
        <f t="shared" si="1"/>
        <v/>
      </c>
      <c r="G19" s="4">
        <v>250000</v>
      </c>
      <c r="H19" s="6" t="str">
        <f t="shared" si="2"/>
        <v/>
      </c>
      <c r="I19" s="4">
        <v>63000</v>
      </c>
      <c r="J19" s="6" t="str">
        <f t="shared" si="3"/>
        <v/>
      </c>
      <c r="K19" s="6"/>
      <c r="L19" s="6" t="str">
        <f t="shared" si="4"/>
        <v/>
      </c>
      <c r="N19" s="1"/>
      <c r="O19" s="7">
        <v>2</v>
      </c>
      <c r="P19" s="1">
        <v>6</v>
      </c>
      <c r="Q19" s="1"/>
      <c r="R19" s="6">
        <f t="shared" si="6"/>
        <v>7560</v>
      </c>
      <c r="S19" s="6" t="str">
        <f t="shared" si="5"/>
        <v/>
      </c>
    </row>
    <row r="20" spans="2:19" x14ac:dyDescent="0.3">
      <c r="B20" s="3">
        <v>15</v>
      </c>
      <c r="C20" s="4">
        <v>1800000</v>
      </c>
      <c r="D20" s="6" t="str">
        <f t="shared" si="0"/>
        <v/>
      </c>
      <c r="E20" s="4">
        <v>1800000</v>
      </c>
      <c r="F20" s="6" t="str">
        <f t="shared" si="1"/>
        <v/>
      </c>
      <c r="G20" s="4">
        <v>370000</v>
      </c>
      <c r="H20" s="6" t="str">
        <f t="shared" si="2"/>
        <v/>
      </c>
      <c r="I20" s="4">
        <v>93000</v>
      </c>
      <c r="J20" s="6" t="str">
        <f t="shared" si="3"/>
        <v/>
      </c>
      <c r="K20" s="6"/>
      <c r="L20" s="6" t="str">
        <f t="shared" si="4"/>
        <v/>
      </c>
      <c r="N20" s="1"/>
      <c r="O20" s="7">
        <v>2</v>
      </c>
      <c r="P20" s="1">
        <v>42</v>
      </c>
      <c r="Q20" s="1"/>
      <c r="R20" s="6">
        <f t="shared" si="6"/>
        <v>9720</v>
      </c>
      <c r="S20" s="6" t="str">
        <f t="shared" si="5"/>
        <v/>
      </c>
    </row>
    <row r="21" spans="2:19" x14ac:dyDescent="0.3">
      <c r="B21" s="3">
        <v>16</v>
      </c>
      <c r="C21" s="4">
        <v>2300000</v>
      </c>
      <c r="D21" s="6" t="str">
        <f t="shared" si="0"/>
        <v/>
      </c>
      <c r="E21" s="4">
        <v>2300000</v>
      </c>
      <c r="F21" s="6" t="str">
        <f t="shared" si="1"/>
        <v/>
      </c>
      <c r="G21" s="4">
        <v>470000</v>
      </c>
      <c r="H21" s="6" t="str">
        <f t="shared" si="2"/>
        <v/>
      </c>
      <c r="I21" s="4">
        <v>110000</v>
      </c>
      <c r="J21" s="6" t="str">
        <f t="shared" si="3"/>
        <v/>
      </c>
      <c r="K21" s="6"/>
      <c r="L21" s="6" t="str">
        <f t="shared" si="4"/>
        <v/>
      </c>
      <c r="N21" s="7"/>
      <c r="O21" s="7">
        <v>4</v>
      </c>
      <c r="P21" s="7">
        <v>34</v>
      </c>
      <c r="Q21" s="1"/>
      <c r="R21" s="6">
        <f t="shared" si="6"/>
        <v>16440</v>
      </c>
      <c r="S21" s="6" t="str">
        <f t="shared" si="5"/>
        <v/>
      </c>
    </row>
    <row r="22" spans="2:19" x14ac:dyDescent="0.3">
      <c r="B22" s="3">
        <v>17</v>
      </c>
      <c r="C22" s="4">
        <v>3700000</v>
      </c>
      <c r="D22" s="6" t="str">
        <f t="shared" si="0"/>
        <v/>
      </c>
      <c r="E22" s="4">
        <v>3700000</v>
      </c>
      <c r="F22" s="6" t="str">
        <f t="shared" si="1"/>
        <v/>
      </c>
      <c r="G22" s="4">
        <v>740000</v>
      </c>
      <c r="H22" s="6" t="str">
        <f t="shared" si="2"/>
        <v/>
      </c>
      <c r="I22" s="4">
        <v>180000</v>
      </c>
      <c r="J22" s="6" t="str">
        <f t="shared" si="3"/>
        <v/>
      </c>
      <c r="K22" s="6"/>
      <c r="L22" s="6" t="str">
        <f t="shared" si="4"/>
        <v/>
      </c>
      <c r="N22" s="7"/>
      <c r="O22" s="7">
        <v>5</v>
      </c>
      <c r="P22" s="7">
        <v>29</v>
      </c>
      <c r="Q22" s="1"/>
      <c r="R22" s="6">
        <f t="shared" si="6"/>
        <v>19740</v>
      </c>
      <c r="S22" s="6" t="str">
        <f t="shared" si="5"/>
        <v/>
      </c>
    </row>
    <row r="23" spans="2:19" x14ac:dyDescent="0.3">
      <c r="B23" s="3">
        <v>18</v>
      </c>
      <c r="C23" s="4">
        <v>5000000</v>
      </c>
      <c r="D23" s="6" t="str">
        <f t="shared" si="0"/>
        <v/>
      </c>
      <c r="E23" s="4">
        <v>5000000</v>
      </c>
      <c r="F23" s="6" t="str">
        <f t="shared" si="1"/>
        <v/>
      </c>
      <c r="G23" s="4">
        <v>1000000</v>
      </c>
      <c r="H23" s="6" t="str">
        <f t="shared" si="2"/>
        <v/>
      </c>
      <c r="I23" s="4">
        <v>250000</v>
      </c>
      <c r="J23" s="6" t="str">
        <f t="shared" si="3"/>
        <v/>
      </c>
      <c r="K23" s="6"/>
      <c r="L23" s="6" t="str">
        <f t="shared" si="4"/>
        <v/>
      </c>
      <c r="N23" s="7"/>
      <c r="O23" s="7">
        <v>6</v>
      </c>
      <c r="P23" s="7">
        <v>35</v>
      </c>
      <c r="Q23" s="1"/>
      <c r="R23" s="6">
        <f t="shared" si="6"/>
        <v>23700</v>
      </c>
      <c r="S23" s="6" t="str">
        <f t="shared" si="5"/>
        <v/>
      </c>
    </row>
    <row r="24" spans="2:19" x14ac:dyDescent="0.3">
      <c r="B24" s="3">
        <v>19</v>
      </c>
      <c r="C24" s="4">
        <v>6200000</v>
      </c>
      <c r="D24" s="6" t="str">
        <f t="shared" si="0"/>
        <v/>
      </c>
      <c r="E24" s="4">
        <v>6200000</v>
      </c>
      <c r="F24" s="6" t="str">
        <f t="shared" si="1"/>
        <v/>
      </c>
      <c r="G24" s="4">
        <v>1200000</v>
      </c>
      <c r="H24" s="6" t="str">
        <f t="shared" si="2"/>
        <v/>
      </c>
      <c r="I24" s="4">
        <v>310000</v>
      </c>
      <c r="J24" s="6" t="str">
        <f t="shared" si="3"/>
        <v/>
      </c>
      <c r="K24" s="6"/>
      <c r="L24" s="6" t="str">
        <f t="shared" si="4"/>
        <v/>
      </c>
      <c r="N24" s="7"/>
      <c r="O24" s="7">
        <v>9</v>
      </c>
      <c r="P24" s="7">
        <v>52</v>
      </c>
      <c r="Q24" s="1">
        <v>30</v>
      </c>
      <c r="R24" s="6">
        <f t="shared" si="6"/>
        <v>35550</v>
      </c>
      <c r="S24" s="6" t="str">
        <f t="shared" si="5"/>
        <v/>
      </c>
    </row>
    <row r="25" spans="2:19" x14ac:dyDescent="0.3">
      <c r="B25" s="3">
        <v>20</v>
      </c>
      <c r="C25" s="4">
        <v>8600000</v>
      </c>
      <c r="D25" s="6" t="str">
        <f t="shared" si="0"/>
        <v/>
      </c>
      <c r="E25" s="4">
        <v>8600000</v>
      </c>
      <c r="F25" s="6" t="str">
        <f t="shared" si="1"/>
        <v/>
      </c>
      <c r="G25" s="4">
        <v>1700000</v>
      </c>
      <c r="H25" s="6" t="str">
        <f t="shared" si="2"/>
        <v/>
      </c>
      <c r="I25" s="4">
        <v>430000</v>
      </c>
      <c r="J25" s="6" t="str">
        <f t="shared" si="3"/>
        <v/>
      </c>
      <c r="K25" s="6"/>
      <c r="L25" s="6" t="str">
        <f t="shared" si="4"/>
        <v/>
      </c>
      <c r="N25" s="7"/>
      <c r="O25" s="7">
        <v>12</v>
      </c>
      <c r="P25" s="7">
        <v>20</v>
      </c>
      <c r="Q25" s="1">
        <v>30</v>
      </c>
      <c r="R25" s="6">
        <f t="shared" si="6"/>
        <v>44430</v>
      </c>
      <c r="S25" s="6" t="str">
        <f t="shared" si="5"/>
        <v/>
      </c>
    </row>
    <row r="26" spans="2:19" x14ac:dyDescent="0.3">
      <c r="B26" s="3">
        <v>21</v>
      </c>
      <c r="C26" s="4">
        <v>10000000</v>
      </c>
      <c r="D26" s="6" t="str">
        <f t="shared" si="0"/>
        <v/>
      </c>
      <c r="E26" s="4">
        <v>10000000</v>
      </c>
      <c r="F26" s="6" t="str">
        <f t="shared" si="1"/>
        <v/>
      </c>
      <c r="G26" s="4">
        <v>2100000</v>
      </c>
      <c r="H26" s="6" t="str">
        <f t="shared" si="2"/>
        <v/>
      </c>
      <c r="I26" s="4">
        <v>540000</v>
      </c>
      <c r="J26" s="6" t="str">
        <f t="shared" si="3"/>
        <v/>
      </c>
      <c r="K26" s="6"/>
      <c r="L26" s="6" t="str">
        <f t="shared" si="4"/>
        <v/>
      </c>
      <c r="N26" s="7"/>
      <c r="O26" s="7">
        <v>16</v>
      </c>
      <c r="P26" s="7">
        <v>2</v>
      </c>
      <c r="Q26" s="1">
        <v>30</v>
      </c>
      <c r="R26" s="6">
        <f t="shared" si="6"/>
        <v>57750</v>
      </c>
      <c r="S26" s="6" t="str">
        <f t="shared" si="5"/>
        <v/>
      </c>
    </row>
    <row r="27" spans="2:19" x14ac:dyDescent="0.3">
      <c r="B27" s="3">
        <v>22</v>
      </c>
      <c r="C27" s="4">
        <v>14000000</v>
      </c>
      <c r="D27" s="6" t="str">
        <f t="shared" si="0"/>
        <v/>
      </c>
      <c r="E27" s="4">
        <v>14000000</v>
      </c>
      <c r="F27" s="6" t="str">
        <f t="shared" si="1"/>
        <v/>
      </c>
      <c r="G27" s="4">
        <v>2800000</v>
      </c>
      <c r="H27" s="6" t="str">
        <f t="shared" si="2"/>
        <v/>
      </c>
      <c r="I27" s="4">
        <v>720000</v>
      </c>
      <c r="J27" s="6" t="str">
        <f t="shared" si="3"/>
        <v/>
      </c>
      <c r="K27" s="6"/>
      <c r="L27" s="6" t="str">
        <f t="shared" si="4"/>
        <v/>
      </c>
      <c r="N27" s="7">
        <v>1</v>
      </c>
      <c r="O27" s="7"/>
      <c r="P27" s="7">
        <v>4</v>
      </c>
      <c r="Q27" s="1"/>
      <c r="R27" s="6">
        <f t="shared" si="6"/>
        <v>86640</v>
      </c>
      <c r="S27" s="6" t="str">
        <f t="shared" si="5"/>
        <v/>
      </c>
    </row>
    <row r="28" spans="2:19" x14ac:dyDescent="0.3">
      <c r="B28" s="3">
        <v>23</v>
      </c>
      <c r="C28" s="4">
        <v>17000000</v>
      </c>
      <c r="D28" s="6" t="str">
        <f t="shared" si="0"/>
        <v/>
      </c>
      <c r="E28" s="4">
        <v>17000000</v>
      </c>
      <c r="F28" s="6" t="str">
        <f t="shared" si="1"/>
        <v/>
      </c>
      <c r="G28" s="4">
        <v>3500000</v>
      </c>
      <c r="H28" s="6" t="str">
        <f t="shared" si="2"/>
        <v/>
      </c>
      <c r="I28" s="4">
        <v>890000</v>
      </c>
      <c r="J28" s="6" t="str">
        <f t="shared" si="3"/>
        <v/>
      </c>
      <c r="K28" s="6"/>
      <c r="L28" s="6" t="str">
        <f t="shared" si="4"/>
        <v/>
      </c>
      <c r="N28" s="7">
        <v>1</v>
      </c>
      <c r="O28" s="7">
        <v>9</v>
      </c>
      <c r="P28" s="7">
        <v>42</v>
      </c>
      <c r="Q28" s="1"/>
      <c r="R28" s="6">
        <f t="shared" si="6"/>
        <v>121320</v>
      </c>
      <c r="S28" s="6" t="str">
        <f t="shared" si="5"/>
        <v/>
      </c>
    </row>
    <row r="29" spans="2:19" x14ac:dyDescent="0.3">
      <c r="B29" s="3">
        <v>24</v>
      </c>
      <c r="C29" s="4">
        <v>24000000</v>
      </c>
      <c r="D29" s="6" t="str">
        <f t="shared" si="0"/>
        <v/>
      </c>
      <c r="E29" s="4">
        <v>24000000</v>
      </c>
      <c r="F29" s="6" t="str">
        <f t="shared" si="1"/>
        <v/>
      </c>
      <c r="G29" s="4">
        <v>4800000</v>
      </c>
      <c r="H29" s="6" t="str">
        <f t="shared" si="2"/>
        <v/>
      </c>
      <c r="I29" s="4">
        <v>1200000</v>
      </c>
      <c r="J29" s="6" t="str">
        <f t="shared" si="3"/>
        <v/>
      </c>
      <c r="K29" s="6"/>
      <c r="L29" s="6" t="str">
        <f t="shared" si="4"/>
        <v/>
      </c>
      <c r="N29" s="7">
        <v>1</v>
      </c>
      <c r="O29" s="7">
        <v>23</v>
      </c>
      <c r="P29" s="7">
        <v>11</v>
      </c>
      <c r="Q29" s="1"/>
      <c r="R29" s="6">
        <f t="shared" si="6"/>
        <v>169860</v>
      </c>
      <c r="S29" s="6" t="str">
        <f t="shared" si="5"/>
        <v/>
      </c>
    </row>
    <row r="30" spans="2:19" x14ac:dyDescent="0.3">
      <c r="B30" s="3">
        <v>25</v>
      </c>
      <c r="C30" s="4">
        <v>32000000</v>
      </c>
      <c r="D30" s="6" t="str">
        <f t="shared" si="0"/>
        <v/>
      </c>
      <c r="E30" s="4">
        <v>32000000</v>
      </c>
      <c r="F30" s="6" t="str">
        <f t="shared" si="1"/>
        <v/>
      </c>
      <c r="G30" s="4">
        <v>6500000</v>
      </c>
      <c r="H30" s="6" t="str">
        <f t="shared" si="2"/>
        <v/>
      </c>
      <c r="I30" s="4">
        <v>1600000</v>
      </c>
      <c r="J30" s="6" t="str">
        <f t="shared" si="3"/>
        <v/>
      </c>
      <c r="K30" s="6"/>
      <c r="L30" s="6" t="str">
        <f t="shared" si="4"/>
        <v/>
      </c>
      <c r="N30" s="7">
        <v>2</v>
      </c>
      <c r="O30" s="7">
        <v>18</v>
      </c>
      <c r="P30" s="7">
        <v>3</v>
      </c>
      <c r="Q30" s="1"/>
      <c r="R30" s="6">
        <f t="shared" si="6"/>
        <v>237780</v>
      </c>
      <c r="S30" s="6" t="str">
        <f t="shared" si="5"/>
        <v/>
      </c>
    </row>
    <row r="31" spans="2:19" x14ac:dyDescent="0.3">
      <c r="B31" s="3">
        <v>26</v>
      </c>
      <c r="C31" s="4">
        <v>42000000</v>
      </c>
      <c r="D31" s="6" t="str">
        <f t="shared" si="0"/>
        <v/>
      </c>
      <c r="E31" s="4">
        <v>42000000</v>
      </c>
      <c r="F31" s="6" t="str">
        <f t="shared" si="1"/>
        <v/>
      </c>
      <c r="G31" s="4">
        <v>8400000</v>
      </c>
      <c r="H31" s="6" t="str">
        <f t="shared" si="2"/>
        <v/>
      </c>
      <c r="I31" s="4">
        <v>2100000</v>
      </c>
      <c r="J31" s="6" t="str">
        <f t="shared" si="3"/>
        <v/>
      </c>
      <c r="K31" s="6"/>
      <c r="L31" s="6" t="str">
        <f t="shared" si="4"/>
        <v/>
      </c>
      <c r="N31" s="7">
        <v>3</v>
      </c>
      <c r="O31" s="7">
        <v>3</v>
      </c>
      <c r="P31" s="7">
        <v>57</v>
      </c>
      <c r="Q31" s="1"/>
      <c r="R31" s="6">
        <f t="shared" si="6"/>
        <v>273420</v>
      </c>
      <c r="S31" s="6" t="str">
        <f t="shared" si="5"/>
        <v/>
      </c>
    </row>
    <row r="32" spans="2:19" x14ac:dyDescent="0.3">
      <c r="B32" s="3">
        <v>27</v>
      </c>
      <c r="C32" s="4">
        <v>59000000</v>
      </c>
      <c r="D32" s="6" t="str">
        <f t="shared" si="0"/>
        <v/>
      </c>
      <c r="E32" s="4">
        <v>59000000</v>
      </c>
      <c r="F32" s="6" t="str">
        <f t="shared" si="1"/>
        <v/>
      </c>
      <c r="G32" s="4">
        <v>11000000</v>
      </c>
      <c r="H32" s="6" t="str">
        <f t="shared" si="2"/>
        <v/>
      </c>
      <c r="I32" s="4">
        <v>2900000</v>
      </c>
      <c r="J32" s="6" t="str">
        <f t="shared" si="3"/>
        <v/>
      </c>
      <c r="K32" s="6"/>
      <c r="L32" s="6" t="str">
        <f t="shared" si="4"/>
        <v/>
      </c>
      <c r="N32" s="7">
        <v>3</v>
      </c>
      <c r="O32" s="7">
        <v>19</v>
      </c>
      <c r="P32" s="7">
        <v>9</v>
      </c>
      <c r="Q32" s="1"/>
      <c r="R32" s="6">
        <f t="shared" si="6"/>
        <v>328140</v>
      </c>
      <c r="S32" s="6" t="str">
        <f t="shared" si="5"/>
        <v/>
      </c>
    </row>
    <row r="33" spans="2:19" x14ac:dyDescent="0.3">
      <c r="B33" s="3">
        <v>28</v>
      </c>
      <c r="C33" s="4">
        <v>79000000</v>
      </c>
      <c r="D33" s="6" t="str">
        <f t="shared" si="0"/>
        <v/>
      </c>
      <c r="E33" s="4">
        <v>79000000</v>
      </c>
      <c r="F33" s="6" t="str">
        <f t="shared" si="1"/>
        <v/>
      </c>
      <c r="G33" s="4">
        <v>15000000</v>
      </c>
      <c r="H33" s="6" t="str">
        <f t="shared" si="2"/>
        <v/>
      </c>
      <c r="I33" s="4">
        <v>3900000</v>
      </c>
      <c r="J33" s="6" t="str">
        <f t="shared" si="3"/>
        <v/>
      </c>
      <c r="K33" s="6"/>
      <c r="L33" s="6" t="str">
        <f t="shared" si="4"/>
        <v/>
      </c>
      <c r="N33" s="7">
        <v>4</v>
      </c>
      <c r="O33" s="7">
        <v>8</v>
      </c>
      <c r="P33" s="7">
        <v>49</v>
      </c>
      <c r="Q33" s="1"/>
      <c r="R33" s="6">
        <f t="shared" si="6"/>
        <v>377340</v>
      </c>
      <c r="S33" s="6" t="str">
        <f t="shared" si="5"/>
        <v/>
      </c>
    </row>
    <row r="34" spans="2:19" x14ac:dyDescent="0.3">
      <c r="B34" s="3">
        <v>29</v>
      </c>
      <c r="C34" s="4">
        <v>98000000</v>
      </c>
      <c r="D34" s="6" t="str">
        <f t="shared" si="0"/>
        <v/>
      </c>
      <c r="E34" s="4">
        <v>98000000</v>
      </c>
      <c r="F34" s="6" t="str">
        <f t="shared" si="1"/>
        <v/>
      </c>
      <c r="G34" s="4">
        <v>19000000</v>
      </c>
      <c r="H34" s="6" t="str">
        <f t="shared" si="2"/>
        <v/>
      </c>
      <c r="I34" s="4">
        <v>4900000</v>
      </c>
      <c r="J34" s="6" t="str">
        <f t="shared" si="3"/>
        <v/>
      </c>
      <c r="K34" s="6"/>
      <c r="L34" s="6" t="str">
        <f t="shared" si="4"/>
        <v/>
      </c>
      <c r="N34" s="7">
        <v>5</v>
      </c>
      <c r="O34" s="7"/>
      <c r="P34" s="7">
        <v>33</v>
      </c>
      <c r="Q34" s="1"/>
      <c r="R34" s="6">
        <f t="shared" si="6"/>
        <v>433980</v>
      </c>
      <c r="S34" s="6" t="str">
        <f t="shared" si="5"/>
        <v/>
      </c>
    </row>
    <row r="35" spans="2:19" x14ac:dyDescent="0.3">
      <c r="B35" s="3">
        <v>30</v>
      </c>
      <c r="C35" s="4">
        <v>120000000</v>
      </c>
      <c r="D35" s="6" t="str">
        <f t="shared" si="0"/>
        <v/>
      </c>
      <c r="E35" s="4">
        <v>120000000</v>
      </c>
      <c r="F35" s="6" t="str">
        <f t="shared" si="1"/>
        <v/>
      </c>
      <c r="G35" s="4">
        <v>24000000</v>
      </c>
      <c r="H35" s="6" t="str">
        <f t="shared" si="2"/>
        <v/>
      </c>
      <c r="I35" s="4">
        <v>6000000</v>
      </c>
      <c r="J35" s="6" t="str">
        <f t="shared" si="3"/>
        <v/>
      </c>
      <c r="K35" s="6"/>
      <c r="L35" s="6" t="str">
        <f t="shared" si="4"/>
        <v/>
      </c>
      <c r="N35" s="7">
        <v>6</v>
      </c>
      <c r="O35" s="7"/>
      <c r="P35" s="7">
        <v>40</v>
      </c>
      <c r="Q35" s="1"/>
      <c r="R35" s="6">
        <f t="shared" si="6"/>
        <v>520800</v>
      </c>
      <c r="S35" s="6" t="str">
        <f t="shared" si="5"/>
        <v/>
      </c>
    </row>
    <row r="36" spans="2:19" x14ac:dyDescent="0.3">
      <c r="N36" s="1"/>
      <c r="O36" s="1"/>
      <c r="P36" s="1"/>
      <c r="Q36" s="1"/>
      <c r="R36" s="1"/>
      <c r="S36" s="1"/>
    </row>
    <row r="37" spans="2:19" x14ac:dyDescent="0.3">
      <c r="C37" s="5">
        <f>SUM(C6:C35)</f>
        <v>525940000</v>
      </c>
      <c r="D37" s="5">
        <f>SUM(D6:D35)</f>
        <v>0</v>
      </c>
      <c r="E37" s="5">
        <f>SUM(E6:E35)</f>
        <v>526778390</v>
      </c>
      <c r="F37" s="5">
        <f>SUM(F6:F35)</f>
        <v>0</v>
      </c>
      <c r="G37" s="5">
        <f>SUM(G6:G35)</f>
        <v>103418020</v>
      </c>
      <c r="H37" s="5">
        <f>SUM(H6:H36)</f>
        <v>0</v>
      </c>
      <c r="I37" s="5">
        <f>SUM(I6:I35)</f>
        <v>26332560</v>
      </c>
      <c r="J37" s="5">
        <f>SUM(J6:J36)</f>
        <v>0</v>
      </c>
      <c r="K37" s="5">
        <f t="shared" ref="K37:L37" si="7">SUM(K6:K36)</f>
        <v>0</v>
      </c>
      <c r="L37" s="5">
        <f t="shared" si="7"/>
        <v>0</v>
      </c>
      <c r="N37" s="1"/>
      <c r="O37" s="1"/>
      <c r="P37" s="1"/>
      <c r="Q37" s="1"/>
      <c r="R37" s="12">
        <f>SUM(R5:R35)</f>
        <v>2788391</v>
      </c>
      <c r="S37" s="12">
        <f>SUM(S5:S35)</f>
        <v>0</v>
      </c>
    </row>
    <row r="39" spans="2:19" x14ac:dyDescent="0.3">
      <c r="Q39" t="s">
        <v>21</v>
      </c>
      <c r="R39" s="4">
        <f>ROUNDDOWN(R37/60/60/24,0)</f>
        <v>32</v>
      </c>
      <c r="S39" s="4">
        <f>ROUNDDOWN(S37/60/60/24,0)</f>
        <v>0</v>
      </c>
    </row>
    <row r="40" spans="2:19" x14ac:dyDescent="0.3">
      <c r="Q40" t="s">
        <v>20</v>
      </c>
      <c r="R40" s="5">
        <f>ROUNDDOWN((R37-R39*60*60*24)/60/60,0)</f>
        <v>6</v>
      </c>
      <c r="S40" s="5">
        <f>ROUNDDOWN((S37-S39*60*60*24)/60/60,0)</f>
        <v>0</v>
      </c>
    </row>
    <row r="41" spans="2:19" x14ac:dyDescent="0.3">
      <c r="Q41" t="s">
        <v>19</v>
      </c>
      <c r="R41" s="5">
        <f>ROUNDDOWN((R37-R39*60*60*24-R40*60*60)/60,0)</f>
        <v>33</v>
      </c>
      <c r="S41" s="5">
        <f>ROUNDDOWN((S37-S39*60*60*24-S40*60*60)/60,0)</f>
        <v>0</v>
      </c>
    </row>
    <row r="42" spans="2:19" x14ac:dyDescent="0.3">
      <c r="Q42" t="s">
        <v>18</v>
      </c>
      <c r="R42" s="5">
        <f>ROUNDDOWN((R37-R39*60*60*24-R40*60*60-R41*60),0)</f>
        <v>11</v>
      </c>
      <c r="S42" s="5">
        <f>ROUNDDOWN((S37-S39*60*60*24-S40*60*60-S41*60),0)</f>
        <v>0</v>
      </c>
    </row>
  </sheetData>
  <sheetProtection sheet="1" objects="1" scenarios="1"/>
  <mergeCells count="8">
    <mergeCell ref="C3:L3"/>
    <mergeCell ref="K4:L4"/>
    <mergeCell ref="N3:S3"/>
    <mergeCell ref="C4:D4"/>
    <mergeCell ref="E4:F4"/>
    <mergeCell ref="G4:H4"/>
    <mergeCell ref="I4:J4"/>
    <mergeCell ref="R4:S4"/>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32A9-D5DD-4046-B700-71C03D183746}">
  <sheetPr codeName="Sheet14"/>
  <dimension ref="A1:R42"/>
  <sheetViews>
    <sheetView workbookViewId="0">
      <pane xSplit="2" ySplit="5" topLeftCell="C6" activePane="bottomRight" state="frozen"/>
      <selection sqref="A1:R2"/>
      <selection pane="topRight" sqref="A1:R2"/>
      <selection pane="bottomLeft" sqref="A1:R2"/>
      <selection pane="bottomRight" activeCell="B3" sqref="B3"/>
    </sheetView>
  </sheetViews>
  <sheetFormatPr baseColWidth="10" defaultColWidth="8.88671875" defaultRowHeight="14.4" x14ac:dyDescent="0.3"/>
  <cols>
    <col min="2" max="2" width="15.88671875" bestFit="1" customWidth="1"/>
    <col min="3" max="3" width="14.33203125" bestFit="1" customWidth="1"/>
    <col min="4" max="4" width="14.33203125" customWidth="1"/>
    <col min="5" max="5" width="14.33203125" bestFit="1" customWidth="1"/>
    <col min="6" max="6" width="14.33203125" customWidth="1"/>
    <col min="7" max="7" width="12.5546875" bestFit="1" customWidth="1"/>
    <col min="8" max="8" width="12.5546875" customWidth="1"/>
    <col min="9" max="9" width="11.5546875" bestFit="1" customWidth="1"/>
    <col min="10" max="10" width="11.5546875" customWidth="1"/>
    <col min="12" max="12" width="5.44140625" bestFit="1" customWidth="1"/>
    <col min="13" max="13" width="6.44140625" bestFit="1" customWidth="1"/>
    <col min="14" max="14" width="8.33203125" bestFit="1" customWidth="1"/>
    <col min="15" max="15" width="8.6640625" bestFit="1" customWidth="1"/>
    <col min="16" max="16" width="13.33203125" bestFit="1" customWidth="1"/>
    <col min="17" max="17" width="13.33203125" customWidth="1"/>
  </cols>
  <sheetData>
    <row r="1" spans="1:18" x14ac:dyDescent="0.3">
      <c r="C1" t="s">
        <v>26</v>
      </c>
    </row>
    <row r="2" spans="1:18" x14ac:dyDescent="0.3">
      <c r="A2" s="2"/>
      <c r="C2" s="1">
        <f>LARGE(Furnace!AH4:AH35,1)</f>
        <v>1</v>
      </c>
      <c r="D2" s="1"/>
      <c r="E2" s="2"/>
      <c r="F2" s="2"/>
      <c r="G2" s="2"/>
      <c r="H2" s="2"/>
      <c r="I2" s="2"/>
      <c r="J2" s="2"/>
      <c r="K2" s="2"/>
      <c r="L2" s="2"/>
      <c r="M2" s="2"/>
      <c r="N2" s="2"/>
      <c r="O2" s="2"/>
      <c r="P2" s="2"/>
      <c r="Q2" s="2"/>
      <c r="R2" s="2"/>
    </row>
    <row r="3" spans="1:18" x14ac:dyDescent="0.3">
      <c r="B3" s="2" t="s">
        <v>4</v>
      </c>
      <c r="C3" s="598" t="s">
        <v>16</v>
      </c>
      <c r="D3" s="598"/>
      <c r="E3" s="598"/>
      <c r="F3" s="598"/>
      <c r="G3" s="598"/>
      <c r="H3" s="598"/>
      <c r="I3" s="598"/>
      <c r="J3" s="598"/>
      <c r="L3" s="598" t="s">
        <v>17</v>
      </c>
      <c r="M3" s="598"/>
      <c r="N3" s="598"/>
      <c r="O3" s="598"/>
      <c r="P3" s="598"/>
      <c r="Q3" s="598"/>
    </row>
    <row r="4" spans="1:18" x14ac:dyDescent="0.3">
      <c r="B4" s="2" t="e">
        <f>#REF!</f>
        <v>#REF!</v>
      </c>
      <c r="C4" s="435" t="s">
        <v>0</v>
      </c>
      <c r="D4" s="435"/>
      <c r="E4" s="435" t="s">
        <v>1</v>
      </c>
      <c r="F4" s="435"/>
      <c r="G4" s="435" t="s">
        <v>2</v>
      </c>
      <c r="H4" s="435"/>
      <c r="I4" s="435" t="s">
        <v>3</v>
      </c>
      <c r="J4" s="435"/>
      <c r="K4" s="2"/>
      <c r="L4" s="2"/>
      <c r="M4" s="2"/>
      <c r="N4" s="2"/>
      <c r="O4" s="2"/>
      <c r="P4" s="435" t="s">
        <v>18</v>
      </c>
      <c r="Q4" s="435"/>
    </row>
    <row r="5" spans="1:18" x14ac:dyDescent="0.3">
      <c r="B5" s="11">
        <v>0</v>
      </c>
      <c r="C5" s="2" t="s">
        <v>25</v>
      </c>
      <c r="D5" s="2" t="s">
        <v>24</v>
      </c>
      <c r="E5" s="2" t="s">
        <v>25</v>
      </c>
      <c r="F5" s="2" t="s">
        <v>24</v>
      </c>
      <c r="G5" s="2" t="s">
        <v>25</v>
      </c>
      <c r="H5" s="2" t="s">
        <v>24</v>
      </c>
      <c r="I5" s="2" t="s">
        <v>25</v>
      </c>
      <c r="J5" s="2" t="s">
        <v>24</v>
      </c>
      <c r="K5" s="2"/>
      <c r="L5" s="2" t="s">
        <v>21</v>
      </c>
      <c r="M5" s="2" t="s">
        <v>20</v>
      </c>
      <c r="N5" s="2" t="s">
        <v>19</v>
      </c>
      <c r="O5" s="2" t="s">
        <v>18</v>
      </c>
      <c r="P5" s="2" t="s">
        <v>25</v>
      </c>
      <c r="Q5" s="2" t="s">
        <v>24</v>
      </c>
    </row>
    <row r="6" spans="1:18" x14ac:dyDescent="0.3">
      <c r="B6" s="3">
        <v>1</v>
      </c>
      <c r="C6" s="4"/>
      <c r="D6" s="6" t="str">
        <f t="shared" ref="D6:D35" si="0">IF($B6&gt;SawmillDesired,"",IF($B6&gt;SawmillCurrent,C6,""))</f>
        <v/>
      </c>
      <c r="E6" s="4">
        <v>30</v>
      </c>
      <c r="F6" s="6" t="str">
        <f t="shared" ref="F6:F35" si="1">IF($B6&gt;SawmillDesired,"",IF($B6&gt;SawmillCurrent,E6,""))</f>
        <v/>
      </c>
      <c r="G6" s="4"/>
      <c r="H6" s="6" t="str">
        <f t="shared" ref="H6:H35" si="2">IF($B6&gt;SawmillDesired,"",IF($B6&gt;SawmillCurrent,G6,""))</f>
        <v/>
      </c>
      <c r="I6" s="4"/>
      <c r="J6" s="6" t="str">
        <f t="shared" ref="J6:J35" si="3">IF($B6&gt;SawmillDesired,"",IF($B6&gt;SawmillCurrent,I6,""))</f>
        <v/>
      </c>
      <c r="L6" s="1"/>
      <c r="M6" s="1"/>
      <c r="N6" s="1"/>
      <c r="O6" s="1">
        <v>2</v>
      </c>
      <c r="P6" s="6">
        <f>O6+N6*60+M6*60*60+L6*60*60*24</f>
        <v>2</v>
      </c>
      <c r="Q6" s="6" t="str">
        <f t="shared" ref="Q6:Q35" si="4">IF($B6&gt;SawmillDesired,"",IF($B6&gt;SawmillCurrent,P6,""))</f>
        <v/>
      </c>
    </row>
    <row r="7" spans="1:18" x14ac:dyDescent="0.3">
      <c r="B7" s="3">
        <v>2</v>
      </c>
      <c r="C7" s="4"/>
      <c r="D7" s="6" t="str">
        <f t="shared" si="0"/>
        <v/>
      </c>
      <c r="E7" s="4">
        <v>45</v>
      </c>
      <c r="F7" s="6" t="str">
        <f t="shared" si="1"/>
        <v/>
      </c>
      <c r="G7" s="4"/>
      <c r="H7" s="6" t="str">
        <f t="shared" si="2"/>
        <v/>
      </c>
      <c r="I7" s="4"/>
      <c r="J7" s="6" t="str">
        <f t="shared" si="3"/>
        <v/>
      </c>
      <c r="L7" s="1"/>
      <c r="M7" s="1"/>
      <c r="N7" s="1"/>
      <c r="O7" s="1">
        <v>3</v>
      </c>
      <c r="P7" s="6">
        <f t="shared" ref="P7:P35" si="5">O7+N7*60+M7*60*60+L7*60*60*24</f>
        <v>3</v>
      </c>
      <c r="Q7" s="6" t="str">
        <f t="shared" si="4"/>
        <v/>
      </c>
    </row>
    <row r="8" spans="1:18" x14ac:dyDescent="0.3">
      <c r="B8" s="3">
        <v>3</v>
      </c>
      <c r="C8" s="4"/>
      <c r="D8" s="6" t="str">
        <f t="shared" si="0"/>
        <v/>
      </c>
      <c r="E8" s="4">
        <v>200</v>
      </c>
      <c r="F8" s="6" t="str">
        <f t="shared" si="1"/>
        <v/>
      </c>
      <c r="G8" s="4"/>
      <c r="H8" s="6" t="str">
        <f t="shared" si="2"/>
        <v/>
      </c>
      <c r="I8" s="4"/>
      <c r="J8" s="6" t="str">
        <f t="shared" si="3"/>
        <v/>
      </c>
      <c r="L8" s="1"/>
      <c r="M8" s="1"/>
      <c r="N8" s="1"/>
      <c r="O8" s="1">
        <v>10</v>
      </c>
      <c r="P8" s="6">
        <f t="shared" si="5"/>
        <v>10</v>
      </c>
      <c r="Q8" s="6" t="str">
        <f t="shared" si="4"/>
        <v/>
      </c>
    </row>
    <row r="9" spans="1:18" x14ac:dyDescent="0.3">
      <c r="B9" s="3">
        <v>4</v>
      </c>
      <c r="C9" s="4"/>
      <c r="D9" s="6" t="str">
        <f t="shared" si="0"/>
        <v/>
      </c>
      <c r="E9" s="4">
        <v>450</v>
      </c>
      <c r="F9" s="6" t="str">
        <f t="shared" si="1"/>
        <v/>
      </c>
      <c r="G9" s="4">
        <v>90</v>
      </c>
      <c r="H9" s="6" t="str">
        <f t="shared" si="2"/>
        <v/>
      </c>
      <c r="I9" s="4"/>
      <c r="J9" s="6" t="str">
        <f t="shared" si="3"/>
        <v/>
      </c>
      <c r="L9" s="1"/>
      <c r="M9" s="1"/>
      <c r="N9" s="1"/>
      <c r="O9" s="1">
        <v>35</v>
      </c>
      <c r="P9" s="6">
        <f t="shared" si="5"/>
        <v>35</v>
      </c>
      <c r="Q9" s="6" t="str">
        <f t="shared" si="4"/>
        <v/>
      </c>
    </row>
    <row r="10" spans="1:18" x14ac:dyDescent="0.3">
      <c r="B10" s="3">
        <v>5</v>
      </c>
      <c r="C10" s="4"/>
      <c r="D10" s="6" t="str">
        <f t="shared" si="0"/>
        <v/>
      </c>
      <c r="E10" s="4">
        <v>1900</v>
      </c>
      <c r="F10" s="6" t="str">
        <f t="shared" si="1"/>
        <v/>
      </c>
      <c r="G10" s="4">
        <v>380</v>
      </c>
      <c r="H10" s="6" t="str">
        <f t="shared" si="2"/>
        <v/>
      </c>
      <c r="I10" s="4"/>
      <c r="J10" s="6" t="str">
        <f t="shared" si="3"/>
        <v/>
      </c>
      <c r="L10" s="1"/>
      <c r="M10" s="1"/>
      <c r="N10" s="1">
        <v>1</v>
      </c>
      <c r="O10" s="1">
        <v>10</v>
      </c>
      <c r="P10" s="6">
        <f t="shared" si="5"/>
        <v>70</v>
      </c>
      <c r="Q10" s="6" t="str">
        <f t="shared" si="4"/>
        <v/>
      </c>
    </row>
    <row r="11" spans="1:18" x14ac:dyDescent="0.3">
      <c r="B11" s="3">
        <v>6</v>
      </c>
      <c r="C11" s="4"/>
      <c r="D11" s="6" t="str">
        <f t="shared" si="0"/>
        <v/>
      </c>
      <c r="E11" s="4">
        <v>4800</v>
      </c>
      <c r="F11" s="6" t="str">
        <f t="shared" si="1"/>
        <v/>
      </c>
      <c r="G11" s="4">
        <v>960</v>
      </c>
      <c r="H11" s="6" t="str">
        <f t="shared" si="2"/>
        <v/>
      </c>
      <c r="I11" s="4">
        <v>240</v>
      </c>
      <c r="J11" s="6" t="str">
        <f t="shared" si="3"/>
        <v/>
      </c>
      <c r="L11" s="1"/>
      <c r="M11" s="7"/>
      <c r="N11" s="7">
        <v>2</v>
      </c>
      <c r="O11" s="1">
        <v>20</v>
      </c>
      <c r="P11" s="6">
        <f t="shared" si="5"/>
        <v>140</v>
      </c>
      <c r="Q11" s="6" t="str">
        <f t="shared" si="4"/>
        <v/>
      </c>
    </row>
    <row r="12" spans="1:18" x14ac:dyDescent="0.3">
      <c r="B12" s="3">
        <v>7</v>
      </c>
      <c r="C12" s="4"/>
      <c r="D12" s="6" t="str">
        <f t="shared" si="0"/>
        <v/>
      </c>
      <c r="E12" s="4">
        <v>17000</v>
      </c>
      <c r="F12" s="6" t="str">
        <f t="shared" si="1"/>
        <v/>
      </c>
      <c r="G12" s="4">
        <v>3400</v>
      </c>
      <c r="H12" s="6" t="str">
        <f t="shared" si="2"/>
        <v/>
      </c>
      <c r="I12" s="4">
        <v>865</v>
      </c>
      <c r="J12" s="6" t="str">
        <f t="shared" si="3"/>
        <v/>
      </c>
      <c r="L12" s="1"/>
      <c r="M12" s="7"/>
      <c r="N12" s="1">
        <v>4</v>
      </c>
      <c r="O12" s="1">
        <v>45</v>
      </c>
      <c r="P12" s="6">
        <f t="shared" si="5"/>
        <v>285</v>
      </c>
      <c r="Q12" s="6" t="str">
        <f t="shared" si="4"/>
        <v/>
      </c>
    </row>
    <row r="13" spans="1:18" x14ac:dyDescent="0.3">
      <c r="B13" s="3">
        <v>8</v>
      </c>
      <c r="C13" s="4"/>
      <c r="D13" s="6" t="str">
        <f t="shared" si="0"/>
        <v/>
      </c>
      <c r="E13" s="4">
        <v>31000</v>
      </c>
      <c r="F13" s="6" t="str">
        <f t="shared" si="1"/>
        <v/>
      </c>
      <c r="G13" s="4">
        <v>6300</v>
      </c>
      <c r="H13" s="6" t="str">
        <f t="shared" si="2"/>
        <v/>
      </c>
      <c r="I13" s="4">
        <v>1500</v>
      </c>
      <c r="J13" s="6" t="str">
        <f t="shared" si="3"/>
        <v/>
      </c>
      <c r="L13" s="1"/>
      <c r="M13" s="7"/>
      <c r="N13" s="7">
        <v>7</v>
      </c>
      <c r="O13" s="1">
        <v>10</v>
      </c>
      <c r="P13" s="6">
        <f t="shared" si="5"/>
        <v>430</v>
      </c>
      <c r="Q13" s="6" t="str">
        <f t="shared" si="4"/>
        <v/>
      </c>
    </row>
    <row r="14" spans="1:18" x14ac:dyDescent="0.3">
      <c r="B14" s="3">
        <v>9</v>
      </c>
      <c r="C14" s="4"/>
      <c r="D14" s="6" t="str">
        <f t="shared" si="0"/>
        <v/>
      </c>
      <c r="E14" s="4">
        <v>65000</v>
      </c>
      <c r="F14" s="6" t="str">
        <f t="shared" si="1"/>
        <v/>
      </c>
      <c r="G14" s="4">
        <v>13000</v>
      </c>
      <c r="H14" s="6" t="str">
        <f t="shared" si="2"/>
        <v/>
      </c>
      <c r="I14" s="4">
        <v>3200</v>
      </c>
      <c r="J14" s="6" t="str">
        <f t="shared" si="3"/>
        <v/>
      </c>
      <c r="L14" s="1"/>
      <c r="M14" s="7"/>
      <c r="N14" s="7">
        <v>10</v>
      </c>
      <c r="O14" s="1">
        <v>30</v>
      </c>
      <c r="P14" s="6">
        <f t="shared" si="5"/>
        <v>630</v>
      </c>
      <c r="Q14" s="6" t="str">
        <f t="shared" si="4"/>
        <v/>
      </c>
    </row>
    <row r="15" spans="1:18" x14ac:dyDescent="0.3">
      <c r="B15" s="3">
        <v>10</v>
      </c>
      <c r="C15" s="4"/>
      <c r="D15" s="6" t="str">
        <f t="shared" si="0"/>
        <v/>
      </c>
      <c r="E15" s="4">
        <v>110000</v>
      </c>
      <c r="F15" s="6" t="str">
        <f t="shared" si="1"/>
        <v/>
      </c>
      <c r="G15" s="4">
        <v>23000</v>
      </c>
      <c r="H15" s="6" t="str">
        <f t="shared" si="2"/>
        <v/>
      </c>
      <c r="I15" s="4">
        <v>5700</v>
      </c>
      <c r="J15" s="6" t="str">
        <f t="shared" si="3"/>
        <v/>
      </c>
      <c r="L15" s="1"/>
      <c r="M15" s="7"/>
      <c r="N15" s="1">
        <v>14</v>
      </c>
      <c r="O15" s="1"/>
      <c r="P15" s="6">
        <f t="shared" si="5"/>
        <v>840</v>
      </c>
      <c r="Q15" s="6" t="str">
        <f t="shared" si="4"/>
        <v/>
      </c>
    </row>
    <row r="16" spans="1:18" x14ac:dyDescent="0.3">
      <c r="B16" s="3">
        <v>11</v>
      </c>
      <c r="C16" s="4">
        <v>110000</v>
      </c>
      <c r="D16" s="6" t="str">
        <f t="shared" si="0"/>
        <v/>
      </c>
      <c r="E16" s="4">
        <v>110000</v>
      </c>
      <c r="F16" s="6" t="str">
        <f t="shared" si="1"/>
        <v/>
      </c>
      <c r="G16" s="4">
        <v>23000</v>
      </c>
      <c r="H16" s="6" t="str">
        <f t="shared" si="2"/>
        <v/>
      </c>
      <c r="I16" s="4">
        <v>5900</v>
      </c>
      <c r="J16" s="6" t="str">
        <f t="shared" si="3"/>
        <v/>
      </c>
      <c r="L16" s="1"/>
      <c r="M16" s="7"/>
      <c r="N16" s="7">
        <v>18</v>
      </c>
      <c r="O16" s="1"/>
      <c r="P16" s="6">
        <f t="shared" si="5"/>
        <v>1080</v>
      </c>
      <c r="Q16" s="6" t="str">
        <f t="shared" si="4"/>
        <v/>
      </c>
    </row>
    <row r="17" spans="2:17" x14ac:dyDescent="0.3">
      <c r="B17" s="3">
        <v>12</v>
      </c>
      <c r="C17" s="4">
        <v>150000</v>
      </c>
      <c r="D17" s="6" t="str">
        <f t="shared" si="0"/>
        <v/>
      </c>
      <c r="E17" s="4">
        <v>150000</v>
      </c>
      <c r="F17" s="6" t="str">
        <f t="shared" si="1"/>
        <v/>
      </c>
      <c r="G17" s="4">
        <v>30000</v>
      </c>
      <c r="H17" s="6" t="str">
        <f t="shared" si="2"/>
        <v/>
      </c>
      <c r="I17" s="4">
        <v>7500</v>
      </c>
      <c r="J17" s="6" t="str">
        <f t="shared" si="3"/>
        <v/>
      </c>
      <c r="L17" s="1"/>
      <c r="M17" s="7"/>
      <c r="N17" s="1">
        <v>21</v>
      </c>
      <c r="O17" s="1">
        <v>30</v>
      </c>
      <c r="P17" s="6">
        <f t="shared" si="5"/>
        <v>1290</v>
      </c>
      <c r="Q17" s="6" t="str">
        <f t="shared" si="4"/>
        <v/>
      </c>
    </row>
    <row r="18" spans="2:17" x14ac:dyDescent="0.3">
      <c r="B18" s="3">
        <v>13</v>
      </c>
      <c r="C18" s="4">
        <v>210000</v>
      </c>
      <c r="D18" s="6" t="str">
        <f t="shared" si="0"/>
        <v/>
      </c>
      <c r="E18" s="4">
        <v>210000</v>
      </c>
      <c r="F18" s="6" t="str">
        <f t="shared" si="1"/>
        <v/>
      </c>
      <c r="G18" s="4">
        <v>42000</v>
      </c>
      <c r="H18" s="6" t="str">
        <f t="shared" si="2"/>
        <v/>
      </c>
      <c r="I18" s="4">
        <v>10000</v>
      </c>
      <c r="J18" s="6" t="str">
        <f t="shared" si="3"/>
        <v/>
      </c>
      <c r="L18" s="1"/>
      <c r="M18" s="7"/>
      <c r="N18" s="1">
        <v>26</v>
      </c>
      <c r="O18" s="1"/>
      <c r="P18" s="6">
        <f t="shared" si="5"/>
        <v>1560</v>
      </c>
      <c r="Q18" s="6" t="str">
        <f t="shared" si="4"/>
        <v/>
      </c>
    </row>
    <row r="19" spans="2:17" x14ac:dyDescent="0.3">
      <c r="B19" s="3">
        <v>14</v>
      </c>
      <c r="C19" s="4">
        <v>280000</v>
      </c>
      <c r="D19" s="6" t="str">
        <f t="shared" si="0"/>
        <v/>
      </c>
      <c r="E19" s="4">
        <v>280000</v>
      </c>
      <c r="F19" s="6" t="str">
        <f t="shared" si="1"/>
        <v/>
      </c>
      <c r="G19" s="4">
        <v>56000</v>
      </c>
      <c r="H19" s="6" t="str">
        <f t="shared" si="2"/>
        <v/>
      </c>
      <c r="I19" s="4">
        <v>14000</v>
      </c>
      <c r="J19" s="6" t="str">
        <f t="shared" si="3"/>
        <v/>
      </c>
      <c r="L19" s="1"/>
      <c r="M19" s="7"/>
      <c r="N19" s="1">
        <v>33</v>
      </c>
      <c r="O19" s="1">
        <v>30</v>
      </c>
      <c r="P19" s="6">
        <f t="shared" si="5"/>
        <v>2010</v>
      </c>
      <c r="Q19" s="6" t="str">
        <f t="shared" si="4"/>
        <v/>
      </c>
    </row>
    <row r="20" spans="2:17" x14ac:dyDescent="0.3">
      <c r="B20" s="3">
        <v>15</v>
      </c>
      <c r="C20" s="4">
        <v>410000</v>
      </c>
      <c r="D20" s="6" t="str">
        <f t="shared" si="0"/>
        <v/>
      </c>
      <c r="E20" s="4">
        <v>410000</v>
      </c>
      <c r="F20" s="6" t="str">
        <f t="shared" si="1"/>
        <v/>
      </c>
      <c r="G20" s="4">
        <v>83000</v>
      </c>
      <c r="H20" s="6" t="str">
        <f t="shared" si="2"/>
        <v/>
      </c>
      <c r="I20" s="4">
        <v>20000</v>
      </c>
      <c r="J20" s="6" t="str">
        <f t="shared" si="3"/>
        <v/>
      </c>
      <c r="L20" s="1"/>
      <c r="M20" s="7"/>
      <c r="N20" s="1">
        <v>43</v>
      </c>
      <c r="O20" s="1"/>
      <c r="P20" s="6">
        <f t="shared" si="5"/>
        <v>2580</v>
      </c>
      <c r="Q20" s="6" t="str">
        <f t="shared" si="4"/>
        <v/>
      </c>
    </row>
    <row r="21" spans="2:17" x14ac:dyDescent="0.3">
      <c r="B21" s="3">
        <v>16</v>
      </c>
      <c r="C21" s="4">
        <v>530000</v>
      </c>
      <c r="D21" s="6" t="str">
        <f t="shared" si="0"/>
        <v/>
      </c>
      <c r="E21" s="4">
        <v>530000</v>
      </c>
      <c r="F21" s="6" t="str">
        <f t="shared" si="1"/>
        <v/>
      </c>
      <c r="G21" s="4">
        <v>100000</v>
      </c>
      <c r="H21" s="6" t="str">
        <f t="shared" si="2"/>
        <v/>
      </c>
      <c r="I21" s="4">
        <v>26000</v>
      </c>
      <c r="J21" s="6" t="str">
        <f t="shared" si="3"/>
        <v/>
      </c>
      <c r="L21" s="7"/>
      <c r="M21" s="7">
        <v>1</v>
      </c>
      <c r="N21" s="7">
        <v>13</v>
      </c>
      <c r="O21" s="1"/>
      <c r="P21" s="6">
        <f t="shared" si="5"/>
        <v>4380</v>
      </c>
      <c r="Q21" s="6" t="str">
        <f t="shared" si="4"/>
        <v/>
      </c>
    </row>
    <row r="22" spans="2:17" x14ac:dyDescent="0.3">
      <c r="B22" s="3">
        <v>17</v>
      </c>
      <c r="C22" s="4">
        <v>830000</v>
      </c>
      <c r="D22" s="6" t="str">
        <f t="shared" si="0"/>
        <v/>
      </c>
      <c r="E22" s="4">
        <v>830000</v>
      </c>
      <c r="F22" s="6" t="str">
        <f t="shared" si="1"/>
        <v/>
      </c>
      <c r="G22" s="4">
        <v>160000</v>
      </c>
      <c r="H22" s="6" t="str">
        <f t="shared" si="2"/>
        <v/>
      </c>
      <c r="I22" s="4">
        <v>41000</v>
      </c>
      <c r="J22" s="6" t="str">
        <f t="shared" si="3"/>
        <v/>
      </c>
      <c r="L22" s="7"/>
      <c r="M22" s="7">
        <v>1</v>
      </c>
      <c r="N22" s="7">
        <v>27</v>
      </c>
      <c r="O22" s="1">
        <v>30</v>
      </c>
      <c r="P22" s="6">
        <f t="shared" si="5"/>
        <v>5250</v>
      </c>
      <c r="Q22" s="6" t="str">
        <f t="shared" si="4"/>
        <v/>
      </c>
    </row>
    <row r="23" spans="2:17" x14ac:dyDescent="0.3">
      <c r="B23" s="3">
        <v>18</v>
      </c>
      <c r="C23" s="4">
        <v>1100000</v>
      </c>
      <c r="D23" s="6" t="str">
        <f t="shared" si="0"/>
        <v/>
      </c>
      <c r="E23" s="4">
        <v>1100000</v>
      </c>
      <c r="F23" s="6" t="str">
        <f t="shared" si="1"/>
        <v/>
      </c>
      <c r="G23" s="4">
        <v>220000</v>
      </c>
      <c r="H23" s="6" t="str">
        <f t="shared" si="2"/>
        <v/>
      </c>
      <c r="I23" s="4">
        <v>56000</v>
      </c>
      <c r="J23" s="6" t="str">
        <f t="shared" si="3"/>
        <v/>
      </c>
      <c r="L23" s="7"/>
      <c r="M23" s="7">
        <v>1</v>
      </c>
      <c r="N23" s="7">
        <v>45</v>
      </c>
      <c r="O23" s="1"/>
      <c r="P23" s="6">
        <f t="shared" si="5"/>
        <v>6300</v>
      </c>
      <c r="Q23" s="6" t="str">
        <f t="shared" si="4"/>
        <v/>
      </c>
    </row>
    <row r="24" spans="2:17" x14ac:dyDescent="0.3">
      <c r="B24" s="3">
        <v>19</v>
      </c>
      <c r="C24" s="4">
        <v>1400000</v>
      </c>
      <c r="D24" s="6" t="str">
        <f t="shared" si="0"/>
        <v/>
      </c>
      <c r="E24" s="4">
        <v>1400000</v>
      </c>
      <c r="F24" s="6" t="str">
        <f t="shared" si="1"/>
        <v/>
      </c>
      <c r="G24" s="4">
        <v>280000</v>
      </c>
      <c r="H24" s="6" t="str">
        <f t="shared" si="2"/>
        <v/>
      </c>
      <c r="I24" s="4">
        <v>70000</v>
      </c>
      <c r="J24" s="6" t="str">
        <f t="shared" si="3"/>
        <v/>
      </c>
      <c r="L24" s="7"/>
      <c r="M24" s="7">
        <v>2</v>
      </c>
      <c r="N24" s="7">
        <v>38</v>
      </c>
      <c r="O24" s="1"/>
      <c r="P24" s="6">
        <f t="shared" si="5"/>
        <v>9480</v>
      </c>
      <c r="Q24" s="6" t="str">
        <f t="shared" si="4"/>
        <v/>
      </c>
    </row>
    <row r="25" spans="2:17" x14ac:dyDescent="0.3">
      <c r="B25" s="3">
        <v>20</v>
      </c>
      <c r="C25" s="4">
        <v>1900000</v>
      </c>
      <c r="D25" s="6" t="str">
        <f t="shared" si="0"/>
        <v/>
      </c>
      <c r="E25" s="4">
        <v>1900000</v>
      </c>
      <c r="F25" s="6" t="str">
        <f t="shared" si="1"/>
        <v/>
      </c>
      <c r="G25" s="4">
        <v>300000</v>
      </c>
      <c r="H25" s="6" t="str">
        <f t="shared" si="2"/>
        <v/>
      </c>
      <c r="I25" s="4">
        <v>96000</v>
      </c>
      <c r="J25" s="6" t="str">
        <f t="shared" si="3"/>
        <v/>
      </c>
      <c r="L25" s="7"/>
      <c r="M25" s="7">
        <v>3</v>
      </c>
      <c r="N25" s="7">
        <v>17</v>
      </c>
      <c r="O25" s="1">
        <v>30</v>
      </c>
      <c r="P25" s="6">
        <f t="shared" si="5"/>
        <v>11850</v>
      </c>
      <c r="Q25" s="6" t="str">
        <f t="shared" si="4"/>
        <v/>
      </c>
    </row>
    <row r="26" spans="2:17" x14ac:dyDescent="0.3">
      <c r="B26" s="3">
        <v>21</v>
      </c>
      <c r="C26" s="4">
        <v>2400000</v>
      </c>
      <c r="D26" s="6" t="str">
        <f t="shared" si="0"/>
        <v/>
      </c>
      <c r="E26" s="4">
        <v>2400000</v>
      </c>
      <c r="F26" s="6" t="str">
        <f t="shared" si="1"/>
        <v/>
      </c>
      <c r="G26" s="4">
        <v>490000</v>
      </c>
      <c r="H26" s="6" t="str">
        <f t="shared" si="2"/>
        <v/>
      </c>
      <c r="I26" s="4">
        <v>120000</v>
      </c>
      <c r="J26" s="6" t="str">
        <f t="shared" si="3"/>
        <v/>
      </c>
      <c r="L26" s="7"/>
      <c r="M26" s="7">
        <v>4</v>
      </c>
      <c r="N26" s="7">
        <v>16</v>
      </c>
      <c r="O26" s="1">
        <v>30</v>
      </c>
      <c r="P26" s="6">
        <f t="shared" si="5"/>
        <v>15390</v>
      </c>
      <c r="Q26" s="6" t="str">
        <f t="shared" si="4"/>
        <v/>
      </c>
    </row>
    <row r="27" spans="2:17" x14ac:dyDescent="0.3">
      <c r="B27" s="3">
        <v>22</v>
      </c>
      <c r="C27" s="4">
        <v>3200000</v>
      </c>
      <c r="D27" s="6" t="str">
        <f t="shared" si="0"/>
        <v/>
      </c>
      <c r="E27" s="4">
        <v>3200000</v>
      </c>
      <c r="F27" s="6" t="str">
        <f t="shared" si="1"/>
        <v/>
      </c>
      <c r="G27" s="4">
        <v>640000</v>
      </c>
      <c r="H27" s="6" t="str">
        <f t="shared" si="2"/>
        <v/>
      </c>
      <c r="I27" s="4">
        <v>160000</v>
      </c>
      <c r="J27" s="6" t="str">
        <f t="shared" si="3"/>
        <v/>
      </c>
      <c r="L27" s="7"/>
      <c r="M27" s="7">
        <v>6</v>
      </c>
      <c r="N27" s="7">
        <v>25</v>
      </c>
      <c r="O27" s="1"/>
      <c r="P27" s="6">
        <f t="shared" si="5"/>
        <v>23100</v>
      </c>
      <c r="Q27" s="6" t="str">
        <f t="shared" si="4"/>
        <v/>
      </c>
    </row>
    <row r="28" spans="2:17" x14ac:dyDescent="0.3">
      <c r="B28" s="3">
        <v>23</v>
      </c>
      <c r="C28" s="4">
        <v>4000000</v>
      </c>
      <c r="D28" s="6" t="str">
        <f t="shared" si="0"/>
        <v/>
      </c>
      <c r="E28" s="4">
        <v>4000000</v>
      </c>
      <c r="F28" s="6" t="str">
        <f t="shared" si="1"/>
        <v/>
      </c>
      <c r="G28" s="4">
        <v>800000</v>
      </c>
      <c r="H28" s="6" t="str">
        <f t="shared" si="2"/>
        <v/>
      </c>
      <c r="I28" s="4">
        <v>200000</v>
      </c>
      <c r="J28" s="6" t="str">
        <f t="shared" si="3"/>
        <v/>
      </c>
      <c r="L28" s="7"/>
      <c r="M28" s="7">
        <v>8</v>
      </c>
      <c r="N28" s="7">
        <v>59</v>
      </c>
      <c r="O28" s="1"/>
      <c r="P28" s="6">
        <f t="shared" si="5"/>
        <v>32340</v>
      </c>
      <c r="Q28" s="6" t="str">
        <f t="shared" si="4"/>
        <v/>
      </c>
    </row>
    <row r="29" spans="2:17" x14ac:dyDescent="0.3">
      <c r="B29" s="3">
        <v>24</v>
      </c>
      <c r="C29" s="4">
        <v>5400000</v>
      </c>
      <c r="D29" s="6" t="str">
        <f t="shared" si="0"/>
        <v/>
      </c>
      <c r="E29" s="4">
        <v>5400000</v>
      </c>
      <c r="F29" s="6" t="str">
        <f t="shared" si="1"/>
        <v/>
      </c>
      <c r="G29" s="4">
        <v>1000000</v>
      </c>
      <c r="H29" s="6" t="str">
        <f t="shared" si="2"/>
        <v/>
      </c>
      <c r="I29" s="4">
        <v>270000</v>
      </c>
      <c r="J29" s="6" t="str">
        <f t="shared" si="3"/>
        <v/>
      </c>
      <c r="L29" s="7"/>
      <c r="M29" s="7">
        <v>12</v>
      </c>
      <c r="N29" s="7">
        <v>34</v>
      </c>
      <c r="O29" s="1">
        <v>30</v>
      </c>
      <c r="P29" s="6">
        <f t="shared" si="5"/>
        <v>45270</v>
      </c>
      <c r="Q29" s="6" t="str">
        <f t="shared" si="4"/>
        <v/>
      </c>
    </row>
    <row r="30" spans="2:17" x14ac:dyDescent="0.3">
      <c r="B30" s="3">
        <v>25</v>
      </c>
      <c r="C30" s="4">
        <v>7300000</v>
      </c>
      <c r="D30" s="6" t="str">
        <f t="shared" si="0"/>
        <v/>
      </c>
      <c r="E30" s="4">
        <v>7300000</v>
      </c>
      <c r="F30" s="6" t="str">
        <f t="shared" si="1"/>
        <v/>
      </c>
      <c r="G30" s="4">
        <v>1400000</v>
      </c>
      <c r="H30" s="6" t="str">
        <f t="shared" si="2"/>
        <v/>
      </c>
      <c r="I30" s="4">
        <v>360000</v>
      </c>
      <c r="J30" s="6" t="str">
        <f t="shared" si="3"/>
        <v/>
      </c>
      <c r="L30" s="7"/>
      <c r="M30" s="7">
        <v>17</v>
      </c>
      <c r="N30" s="7">
        <v>36</v>
      </c>
      <c r="O30" s="1">
        <v>30</v>
      </c>
      <c r="P30" s="6">
        <f t="shared" si="5"/>
        <v>63390</v>
      </c>
      <c r="Q30" s="6" t="str">
        <f t="shared" si="4"/>
        <v/>
      </c>
    </row>
    <row r="31" spans="2:17" x14ac:dyDescent="0.3">
      <c r="B31" s="3">
        <v>26</v>
      </c>
      <c r="C31" s="4">
        <v>9400000</v>
      </c>
      <c r="D31" s="6" t="str">
        <f t="shared" si="0"/>
        <v/>
      </c>
      <c r="E31" s="4">
        <v>9400000</v>
      </c>
      <c r="F31" s="6" t="str">
        <f t="shared" si="1"/>
        <v/>
      </c>
      <c r="G31" s="4">
        <v>1800000</v>
      </c>
      <c r="H31" s="6" t="str">
        <f t="shared" si="2"/>
        <v/>
      </c>
      <c r="I31" s="4">
        <v>470000</v>
      </c>
      <c r="J31" s="6" t="str">
        <f t="shared" si="3"/>
        <v/>
      </c>
      <c r="L31" s="7"/>
      <c r="M31" s="7">
        <v>20</v>
      </c>
      <c r="N31" s="7">
        <v>15</v>
      </c>
      <c r="O31" s="1"/>
      <c r="P31" s="6">
        <f t="shared" si="5"/>
        <v>72900</v>
      </c>
      <c r="Q31" s="6" t="str">
        <f t="shared" si="4"/>
        <v/>
      </c>
    </row>
    <row r="32" spans="2:17" x14ac:dyDescent="0.3">
      <c r="B32" s="3">
        <v>27</v>
      </c>
      <c r="C32" s="4">
        <v>13000000</v>
      </c>
      <c r="D32" s="6" t="str">
        <f t="shared" si="0"/>
        <v/>
      </c>
      <c r="E32" s="4">
        <v>13000000</v>
      </c>
      <c r="F32" s="6" t="str">
        <f t="shared" si="1"/>
        <v/>
      </c>
      <c r="G32" s="4">
        <v>2600000</v>
      </c>
      <c r="H32" s="6" t="str">
        <f t="shared" si="2"/>
        <v/>
      </c>
      <c r="I32" s="4">
        <v>670000</v>
      </c>
      <c r="J32" s="6" t="str">
        <f t="shared" si="3"/>
        <v/>
      </c>
      <c r="L32" s="7">
        <v>1</v>
      </c>
      <c r="M32" s="7"/>
      <c r="N32" s="7">
        <v>18</v>
      </c>
      <c r="O32" s="1"/>
      <c r="P32" s="6">
        <f t="shared" si="5"/>
        <v>87480</v>
      </c>
      <c r="Q32" s="6" t="str">
        <f t="shared" si="4"/>
        <v/>
      </c>
    </row>
    <row r="33" spans="2:17" x14ac:dyDescent="0.3">
      <c r="B33" s="3">
        <v>28</v>
      </c>
      <c r="C33" s="4">
        <v>17000000</v>
      </c>
      <c r="D33" s="6" t="str">
        <f t="shared" si="0"/>
        <v/>
      </c>
      <c r="E33" s="4">
        <v>17000000</v>
      </c>
      <c r="F33" s="6" t="str">
        <f t="shared" si="1"/>
        <v/>
      </c>
      <c r="G33" s="4">
        <v>3500000</v>
      </c>
      <c r="H33" s="6" t="str">
        <f t="shared" si="2"/>
        <v/>
      </c>
      <c r="I33" s="4">
        <v>890000</v>
      </c>
      <c r="J33" s="6" t="str">
        <f t="shared" si="3"/>
        <v/>
      </c>
      <c r="L33" s="7">
        <v>1</v>
      </c>
      <c r="M33" s="7">
        <v>3</v>
      </c>
      <c r="N33" s="7">
        <v>57</v>
      </c>
      <c r="O33" s="1"/>
      <c r="P33" s="6">
        <f t="shared" si="5"/>
        <v>100620</v>
      </c>
      <c r="Q33" s="6" t="str">
        <f t="shared" si="4"/>
        <v/>
      </c>
    </row>
    <row r="34" spans="2:17" x14ac:dyDescent="0.3">
      <c r="B34" s="3">
        <v>29</v>
      </c>
      <c r="C34" s="4">
        <v>22000000</v>
      </c>
      <c r="D34" s="6" t="str">
        <f t="shared" si="0"/>
        <v/>
      </c>
      <c r="E34" s="4">
        <v>22000000</v>
      </c>
      <c r="F34" s="6" t="str">
        <f t="shared" si="1"/>
        <v/>
      </c>
      <c r="G34" s="4">
        <v>4400000</v>
      </c>
      <c r="H34" s="6" t="str">
        <f t="shared" si="2"/>
        <v/>
      </c>
      <c r="I34" s="4">
        <v>1100000</v>
      </c>
      <c r="J34" s="6" t="str">
        <f t="shared" si="3"/>
        <v/>
      </c>
      <c r="L34" s="7">
        <v>1</v>
      </c>
      <c r="M34" s="7">
        <v>8</v>
      </c>
      <c r="N34" s="7">
        <v>8</v>
      </c>
      <c r="O34" s="1"/>
      <c r="P34" s="6">
        <f t="shared" si="5"/>
        <v>115680</v>
      </c>
      <c r="Q34" s="6" t="str">
        <f t="shared" si="4"/>
        <v/>
      </c>
    </row>
    <row r="35" spans="2:17" x14ac:dyDescent="0.3">
      <c r="B35" s="3">
        <v>30</v>
      </c>
      <c r="C35" s="4">
        <v>27000000</v>
      </c>
      <c r="D35" s="6" t="str">
        <f t="shared" si="0"/>
        <v/>
      </c>
      <c r="E35" s="4">
        <v>27000000</v>
      </c>
      <c r="F35" s="6" t="str">
        <f t="shared" si="1"/>
        <v/>
      </c>
      <c r="G35" s="4">
        <v>5400000</v>
      </c>
      <c r="H35" s="6" t="str">
        <f t="shared" si="2"/>
        <v/>
      </c>
      <c r="I35" s="4">
        <v>1300000</v>
      </c>
      <c r="J35" s="6" t="str">
        <f t="shared" si="3"/>
        <v/>
      </c>
      <c r="L35" s="7">
        <v>1</v>
      </c>
      <c r="M35" s="7">
        <v>14</v>
      </c>
      <c r="N35" s="7">
        <v>34</v>
      </c>
      <c r="O35" s="1"/>
      <c r="P35" s="6">
        <f t="shared" si="5"/>
        <v>138840</v>
      </c>
      <c r="Q35" s="6" t="str">
        <f t="shared" si="4"/>
        <v/>
      </c>
    </row>
    <row r="36" spans="2:17" x14ac:dyDescent="0.3">
      <c r="L36" s="1"/>
      <c r="M36" s="1"/>
      <c r="N36" s="1"/>
      <c r="O36" s="1"/>
      <c r="P36" s="1"/>
      <c r="Q36" s="1"/>
    </row>
    <row r="37" spans="2:17" x14ac:dyDescent="0.3">
      <c r="C37" s="5">
        <f>SUM(C6:C35)</f>
        <v>117620000</v>
      </c>
      <c r="D37" s="5">
        <f>SUM(D6:D35)</f>
        <v>0</v>
      </c>
      <c r="E37" s="5">
        <f>SUM(E6:E35)</f>
        <v>117850425</v>
      </c>
      <c r="F37" s="5">
        <f>SUM(F6:F35)</f>
        <v>0</v>
      </c>
      <c r="G37" s="5">
        <f>SUM(G6:G35)</f>
        <v>23371130</v>
      </c>
      <c r="H37" s="5">
        <f>SUM(H6:H36)</f>
        <v>0</v>
      </c>
      <c r="I37" s="5">
        <f>SUM(I6:I35)</f>
        <v>5897905</v>
      </c>
      <c r="J37" s="5">
        <f>SUM(J6:J36)</f>
        <v>0</v>
      </c>
      <c r="L37" s="1"/>
      <c r="M37" s="1"/>
      <c r="N37" s="1"/>
      <c r="O37" s="1"/>
      <c r="P37" s="12">
        <f>SUM(P5:P35)</f>
        <v>743235</v>
      </c>
      <c r="Q37" s="12">
        <f>SUM(Q5:Q35)</f>
        <v>0</v>
      </c>
    </row>
    <row r="39" spans="2:17" x14ac:dyDescent="0.3">
      <c r="O39" t="s">
        <v>21</v>
      </c>
      <c r="P39" s="4">
        <f>ROUNDDOWN(P37/60/60/24,0)</f>
        <v>8</v>
      </c>
      <c r="Q39" s="4">
        <f>ROUNDDOWN(Q37/60/60/24,0)</f>
        <v>0</v>
      </c>
    </row>
    <row r="40" spans="2:17" x14ac:dyDescent="0.3">
      <c r="O40" t="s">
        <v>20</v>
      </c>
      <c r="P40" s="5">
        <f>ROUNDDOWN((P37-P39*60*60*24)/60/60,0)</f>
        <v>14</v>
      </c>
      <c r="Q40" s="5">
        <f>ROUNDDOWN((Q37-Q39*60*60*24)/60/60,0)</f>
        <v>0</v>
      </c>
    </row>
    <row r="41" spans="2:17" x14ac:dyDescent="0.3">
      <c r="O41" t="s">
        <v>19</v>
      </c>
      <c r="P41" s="5">
        <f>ROUNDDOWN((P37-P39*60*60*24-P40*60*60)/60,0)</f>
        <v>27</v>
      </c>
      <c r="Q41" s="5">
        <f>ROUNDDOWN((Q37-Q39*60*60*24-Q40*60*60)/60,0)</f>
        <v>0</v>
      </c>
    </row>
    <row r="42" spans="2:17" x14ac:dyDescent="0.3">
      <c r="O42" t="s">
        <v>18</v>
      </c>
      <c r="P42" s="5">
        <f>ROUNDDOWN((P37-P39*60*60*24-P40*60*60-P41*60),0)</f>
        <v>15</v>
      </c>
      <c r="Q42" s="5">
        <f>ROUNDDOWN((Q37-Q39*60*60*24-Q40*60*60-Q41*60),0)</f>
        <v>0</v>
      </c>
    </row>
  </sheetData>
  <sheetProtection sheet="1" objects="1" scenarios="1"/>
  <mergeCells count="7">
    <mergeCell ref="C3:J3"/>
    <mergeCell ref="L3:Q3"/>
    <mergeCell ref="C4:D4"/>
    <mergeCell ref="E4:F4"/>
    <mergeCell ref="G4:H4"/>
    <mergeCell ref="I4:J4"/>
    <mergeCell ref="P4:Q4"/>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FC806-46D5-40CE-AC99-363C0934B45C}">
  <sheetPr codeName="Sheet15"/>
  <dimension ref="A1:R36"/>
  <sheetViews>
    <sheetView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8.88671875" defaultRowHeight="14.4" x14ac:dyDescent="0.3"/>
  <cols>
    <col min="2" max="2" width="15.88671875" bestFit="1" customWidth="1"/>
    <col min="3" max="3" width="14.33203125" bestFit="1" customWidth="1"/>
    <col min="4" max="4" width="14.33203125" customWidth="1"/>
    <col min="5" max="5" width="14.33203125" bestFit="1" customWidth="1"/>
    <col min="6" max="6" width="14.33203125" customWidth="1"/>
    <col min="7" max="7" width="12.5546875" bestFit="1" customWidth="1"/>
    <col min="8" max="8" width="12.5546875" customWidth="1"/>
    <col min="9" max="9" width="11.5546875" bestFit="1" customWidth="1"/>
    <col min="10" max="10" width="11.5546875" customWidth="1"/>
    <col min="12" max="12" width="5.44140625" bestFit="1" customWidth="1"/>
    <col min="13" max="13" width="6.44140625" bestFit="1" customWidth="1"/>
    <col min="14" max="14" width="8.33203125" bestFit="1" customWidth="1"/>
    <col min="15" max="15" width="8.6640625" bestFit="1" customWidth="1"/>
    <col min="16" max="16" width="13.33203125" bestFit="1" customWidth="1"/>
    <col min="17" max="17" width="13.33203125" customWidth="1"/>
  </cols>
  <sheetData>
    <row r="1" spans="1:18" x14ac:dyDescent="0.3">
      <c r="C1" t="s">
        <v>26</v>
      </c>
    </row>
    <row r="2" spans="1:18" x14ac:dyDescent="0.3">
      <c r="A2" s="2"/>
      <c r="C2" s="1">
        <f>LARGE(Furnace!AI4:AI35,1)</f>
        <v>3</v>
      </c>
      <c r="D2" s="1"/>
      <c r="E2" s="2"/>
      <c r="F2" s="2"/>
      <c r="G2" s="2"/>
      <c r="H2" s="2"/>
      <c r="I2" s="2"/>
      <c r="J2" s="2"/>
      <c r="K2" s="2"/>
      <c r="L2" s="2"/>
      <c r="M2" s="2"/>
      <c r="N2" s="2"/>
      <c r="O2" s="2"/>
      <c r="P2" s="2"/>
      <c r="Q2" s="2"/>
      <c r="R2" s="2"/>
    </row>
    <row r="3" spans="1:18" x14ac:dyDescent="0.3">
      <c r="B3" s="2" t="s">
        <v>6</v>
      </c>
      <c r="C3" s="598" t="s">
        <v>16</v>
      </c>
      <c r="D3" s="598"/>
      <c r="E3" s="598"/>
      <c r="F3" s="598"/>
      <c r="G3" s="598"/>
      <c r="H3" s="598"/>
      <c r="I3" s="598"/>
      <c r="J3" s="598"/>
      <c r="L3" s="598" t="s">
        <v>17</v>
      </c>
      <c r="M3" s="598"/>
      <c r="N3" s="598"/>
      <c r="O3" s="598"/>
      <c r="P3" s="598"/>
      <c r="Q3" s="598"/>
    </row>
    <row r="4" spans="1:18" x14ac:dyDescent="0.3">
      <c r="B4" s="2" t="e">
        <f>#REF!</f>
        <v>#REF!</v>
      </c>
      <c r="C4" s="435" t="s">
        <v>0</v>
      </c>
      <c r="D4" s="435"/>
      <c r="E4" s="435" t="s">
        <v>1</v>
      </c>
      <c r="F4" s="435"/>
      <c r="G4" s="435" t="s">
        <v>2</v>
      </c>
      <c r="H4" s="435"/>
      <c r="I4" s="435" t="s">
        <v>3</v>
      </c>
      <c r="J4" s="435"/>
      <c r="K4" s="2"/>
      <c r="L4" s="2"/>
      <c r="M4" s="2"/>
      <c r="N4" s="2"/>
      <c r="O4" s="2"/>
      <c r="P4" s="435" t="s">
        <v>18</v>
      </c>
      <c r="Q4" s="435"/>
    </row>
    <row r="5" spans="1:18" x14ac:dyDescent="0.3">
      <c r="B5" s="3">
        <v>0</v>
      </c>
      <c r="C5" s="2" t="s">
        <v>25</v>
      </c>
      <c r="D5" s="2" t="s">
        <v>24</v>
      </c>
      <c r="E5" s="2" t="s">
        <v>25</v>
      </c>
      <c r="F5" s="2" t="s">
        <v>24</v>
      </c>
      <c r="G5" s="2" t="s">
        <v>25</v>
      </c>
      <c r="H5" s="2" t="s">
        <v>24</v>
      </c>
      <c r="I5" s="2" t="s">
        <v>25</v>
      </c>
      <c r="J5" s="2" t="s">
        <v>24</v>
      </c>
      <c r="K5" s="2"/>
      <c r="L5" s="2" t="s">
        <v>21</v>
      </c>
      <c r="M5" s="2" t="s">
        <v>20</v>
      </c>
      <c r="N5" s="2" t="s">
        <v>19</v>
      </c>
      <c r="O5" s="2" t="s">
        <v>18</v>
      </c>
      <c r="P5" s="2" t="s">
        <v>25</v>
      </c>
      <c r="Q5" s="2" t="s">
        <v>24</v>
      </c>
    </row>
    <row r="6" spans="1:18" x14ac:dyDescent="0.3">
      <c r="B6" s="3">
        <v>1</v>
      </c>
      <c r="C6" s="4"/>
      <c r="D6" s="6" t="str">
        <f t="shared" ref="D6:D15" si="0">IF($B6&gt;ShelterDesired,"",IF($B6&gt;ShelterCurrent,C6,""))</f>
        <v/>
      </c>
      <c r="E6" s="4">
        <v>20</v>
      </c>
      <c r="F6" s="6" t="str">
        <f t="shared" ref="F6:F15" si="1">IF($B6&gt;ShelterDesired,"",IF($B6&gt;ShelterCurrent,E6,""))</f>
        <v/>
      </c>
      <c r="G6" s="4"/>
      <c r="H6" s="6" t="str">
        <f t="shared" ref="H6:H15" si="2">IF($B6&gt;ShelterDesired,"",IF($B6&gt;ShelterCurrent,G6,""))</f>
        <v/>
      </c>
      <c r="I6" s="4"/>
      <c r="J6" s="6" t="str">
        <f t="shared" ref="J6:J15" si="3">IF($B6&gt;ShelterDesired,"",IF($B6&gt;ShelterCurrent,I6,""))</f>
        <v/>
      </c>
      <c r="L6" s="1"/>
      <c r="M6" s="1"/>
      <c r="N6" s="1"/>
      <c r="O6" s="1">
        <v>2</v>
      </c>
      <c r="P6" s="6">
        <f>O6+N6*60+M6*60*60+L6*60*60*24</f>
        <v>2</v>
      </c>
      <c r="Q6" s="6" t="str">
        <f t="shared" ref="Q6:Q15" si="4">IF($B6&gt;ShelterDesired,"",IF($B6&gt;ShelterCurrent,P6,""))</f>
        <v/>
      </c>
    </row>
    <row r="7" spans="1:18" x14ac:dyDescent="0.3">
      <c r="B7" s="3">
        <v>2</v>
      </c>
      <c r="C7" s="4"/>
      <c r="D7" s="6" t="str">
        <f t="shared" si="0"/>
        <v/>
      </c>
      <c r="E7" s="4">
        <v>35</v>
      </c>
      <c r="F7" s="6" t="str">
        <f t="shared" si="1"/>
        <v/>
      </c>
      <c r="G7" s="4"/>
      <c r="H7" s="6" t="str">
        <f t="shared" si="2"/>
        <v/>
      </c>
      <c r="I7" s="4"/>
      <c r="J7" s="6" t="str">
        <f t="shared" si="3"/>
        <v/>
      </c>
      <c r="L7" s="1"/>
      <c r="M7" s="1"/>
      <c r="N7" s="1"/>
      <c r="O7" s="1">
        <v>6</v>
      </c>
      <c r="P7" s="6">
        <f t="shared" ref="P7:P15" si="5">O7+N7*60+M7*60*60+L7*60*60*24</f>
        <v>6</v>
      </c>
      <c r="Q7" s="6" t="str">
        <f t="shared" si="4"/>
        <v/>
      </c>
    </row>
    <row r="8" spans="1:18" x14ac:dyDescent="0.3">
      <c r="B8" s="3">
        <v>3</v>
      </c>
      <c r="C8" s="4"/>
      <c r="D8" s="6" t="str">
        <f t="shared" si="0"/>
        <v/>
      </c>
      <c r="E8" s="4">
        <v>160</v>
      </c>
      <c r="F8" s="6" t="str">
        <f t="shared" si="1"/>
        <v/>
      </c>
      <c r="G8" s="4"/>
      <c r="H8" s="6" t="str">
        <f t="shared" si="2"/>
        <v/>
      </c>
      <c r="I8" s="4"/>
      <c r="J8" s="6" t="str">
        <f t="shared" si="3"/>
        <v/>
      </c>
      <c r="L8" s="1"/>
      <c r="M8" s="1"/>
      <c r="N8" s="1"/>
      <c r="O8" s="1">
        <v>30</v>
      </c>
      <c r="P8" s="6">
        <f t="shared" si="5"/>
        <v>30</v>
      </c>
      <c r="Q8" s="6" t="str">
        <f t="shared" si="4"/>
        <v/>
      </c>
    </row>
    <row r="9" spans="1:18" x14ac:dyDescent="0.3">
      <c r="B9" s="3">
        <v>4</v>
      </c>
      <c r="C9" s="4"/>
      <c r="D9" s="6" t="str">
        <f t="shared" si="0"/>
        <v/>
      </c>
      <c r="E9" s="4">
        <v>360</v>
      </c>
      <c r="F9" s="6" t="str">
        <f t="shared" si="1"/>
        <v/>
      </c>
      <c r="G9" s="4">
        <v>70</v>
      </c>
      <c r="H9" s="6" t="str">
        <f t="shared" si="2"/>
        <v/>
      </c>
      <c r="I9" s="4"/>
      <c r="J9" s="6" t="str">
        <f t="shared" si="3"/>
        <v/>
      </c>
      <c r="L9" s="1"/>
      <c r="M9" s="1"/>
      <c r="N9" s="1">
        <v>1</v>
      </c>
      <c r="O9" s="1">
        <v>30</v>
      </c>
      <c r="P9" s="6">
        <f t="shared" si="5"/>
        <v>90</v>
      </c>
      <c r="Q9" s="6" t="str">
        <f t="shared" si="4"/>
        <v/>
      </c>
    </row>
    <row r="10" spans="1:18" x14ac:dyDescent="0.3">
      <c r="B10" s="3">
        <v>5</v>
      </c>
      <c r="C10" s="4"/>
      <c r="D10" s="6" t="str">
        <f t="shared" si="0"/>
        <v/>
      </c>
      <c r="E10" s="4">
        <v>1500</v>
      </c>
      <c r="F10" s="6" t="str">
        <f t="shared" si="1"/>
        <v/>
      </c>
      <c r="G10" s="4">
        <v>300</v>
      </c>
      <c r="H10" s="6" t="str">
        <f t="shared" si="2"/>
        <v/>
      </c>
      <c r="I10" s="4"/>
      <c r="J10" s="6" t="str">
        <f t="shared" si="3"/>
        <v/>
      </c>
      <c r="L10" s="1"/>
      <c r="M10" s="1"/>
      <c r="N10" s="1">
        <v>3</v>
      </c>
      <c r="O10" s="1"/>
      <c r="P10" s="6">
        <f t="shared" si="5"/>
        <v>180</v>
      </c>
      <c r="Q10" s="6" t="str">
        <f t="shared" si="4"/>
        <v/>
      </c>
    </row>
    <row r="11" spans="1:18" x14ac:dyDescent="0.3">
      <c r="B11" s="3">
        <v>6</v>
      </c>
      <c r="C11" s="4"/>
      <c r="D11" s="6" t="str">
        <f t="shared" si="0"/>
        <v/>
      </c>
      <c r="E11" s="4">
        <v>3800</v>
      </c>
      <c r="F11" s="6" t="str">
        <f t="shared" si="1"/>
        <v/>
      </c>
      <c r="G11" s="4">
        <v>765</v>
      </c>
      <c r="H11" s="6" t="str">
        <f t="shared" si="2"/>
        <v/>
      </c>
      <c r="I11" s="4">
        <v>190</v>
      </c>
      <c r="J11" s="6" t="str">
        <f t="shared" si="3"/>
        <v/>
      </c>
      <c r="L11" s="1"/>
      <c r="M11" s="7"/>
      <c r="N11" s="7">
        <v>6</v>
      </c>
      <c r="O11" s="1"/>
      <c r="P11" s="6">
        <f t="shared" si="5"/>
        <v>360</v>
      </c>
      <c r="Q11" s="6" t="str">
        <f t="shared" si="4"/>
        <v/>
      </c>
    </row>
    <row r="12" spans="1:18" x14ac:dyDescent="0.3">
      <c r="B12" s="3">
        <v>7</v>
      </c>
      <c r="C12" s="4"/>
      <c r="D12" s="6" t="str">
        <f t="shared" si="0"/>
        <v/>
      </c>
      <c r="E12" s="4">
        <v>13000</v>
      </c>
      <c r="F12" s="6" t="str">
        <f t="shared" si="1"/>
        <v/>
      </c>
      <c r="G12" s="4">
        <v>2700</v>
      </c>
      <c r="H12" s="6" t="str">
        <f t="shared" si="2"/>
        <v/>
      </c>
      <c r="I12" s="4">
        <v>690</v>
      </c>
      <c r="J12" s="6" t="str">
        <f t="shared" si="3"/>
        <v/>
      </c>
      <c r="L12" s="1"/>
      <c r="M12" s="7"/>
      <c r="N12" s="1">
        <v>12</v>
      </c>
      <c r="O12" s="1"/>
      <c r="P12" s="6">
        <f t="shared" si="5"/>
        <v>720</v>
      </c>
      <c r="Q12" s="6" t="str">
        <f t="shared" si="4"/>
        <v/>
      </c>
    </row>
    <row r="13" spans="1:18" x14ac:dyDescent="0.3">
      <c r="B13" s="3">
        <v>8</v>
      </c>
      <c r="C13" s="4"/>
      <c r="D13" s="6" t="str">
        <f t="shared" si="0"/>
        <v/>
      </c>
      <c r="E13" s="4">
        <v>25000</v>
      </c>
      <c r="F13" s="6" t="str">
        <f t="shared" si="1"/>
        <v/>
      </c>
      <c r="G13" s="4">
        <v>5000</v>
      </c>
      <c r="H13" s="6" t="str">
        <f t="shared" si="2"/>
        <v/>
      </c>
      <c r="I13" s="4">
        <v>1200</v>
      </c>
      <c r="J13" s="6" t="str">
        <f t="shared" si="3"/>
        <v/>
      </c>
      <c r="L13" s="1"/>
      <c r="M13" s="7"/>
      <c r="N13" s="7">
        <v>18</v>
      </c>
      <c r="O13" s="1"/>
      <c r="P13" s="6">
        <f t="shared" si="5"/>
        <v>1080</v>
      </c>
      <c r="Q13" s="6" t="str">
        <f t="shared" si="4"/>
        <v/>
      </c>
    </row>
    <row r="14" spans="1:18" x14ac:dyDescent="0.3">
      <c r="B14" s="3">
        <v>9</v>
      </c>
      <c r="C14" s="4"/>
      <c r="D14" s="6" t="str">
        <f t="shared" si="0"/>
        <v/>
      </c>
      <c r="E14" s="4">
        <v>52000</v>
      </c>
      <c r="F14" s="6" t="str">
        <f t="shared" si="1"/>
        <v/>
      </c>
      <c r="G14" s="4">
        <v>10000</v>
      </c>
      <c r="H14" s="6" t="str">
        <f t="shared" si="2"/>
        <v/>
      </c>
      <c r="I14" s="4">
        <v>2600</v>
      </c>
      <c r="J14" s="6" t="str">
        <f t="shared" si="3"/>
        <v/>
      </c>
      <c r="L14" s="1"/>
      <c r="M14" s="7"/>
      <c r="N14" s="7">
        <v>27</v>
      </c>
      <c r="O14" s="1"/>
      <c r="P14" s="6">
        <f t="shared" si="5"/>
        <v>1620</v>
      </c>
      <c r="Q14" s="6" t="str">
        <f t="shared" si="4"/>
        <v/>
      </c>
    </row>
    <row r="15" spans="1:18" x14ac:dyDescent="0.3">
      <c r="B15" s="3">
        <v>10</v>
      </c>
      <c r="C15" s="4"/>
      <c r="D15" s="6" t="str">
        <f t="shared" si="0"/>
        <v/>
      </c>
      <c r="E15" s="4">
        <v>92000</v>
      </c>
      <c r="F15" s="6" t="str">
        <f t="shared" si="1"/>
        <v/>
      </c>
      <c r="G15" s="4">
        <v>18000</v>
      </c>
      <c r="H15" s="6" t="str">
        <f t="shared" si="2"/>
        <v/>
      </c>
      <c r="I15" s="4">
        <v>4600</v>
      </c>
      <c r="J15" s="6" t="str">
        <f t="shared" si="3"/>
        <v/>
      </c>
      <c r="L15" s="1"/>
      <c r="M15" s="7"/>
      <c r="N15" s="1">
        <v>36</v>
      </c>
      <c r="O15" s="1"/>
      <c r="P15" s="6">
        <f t="shared" si="5"/>
        <v>2160</v>
      </c>
      <c r="Q15" s="6" t="str">
        <f t="shared" si="4"/>
        <v/>
      </c>
    </row>
    <row r="16" spans="1:18" x14ac:dyDescent="0.3">
      <c r="L16" s="1"/>
      <c r="M16" s="1"/>
      <c r="N16" s="1"/>
      <c r="O16" s="1"/>
      <c r="P16" s="6"/>
      <c r="Q16" s="6"/>
    </row>
    <row r="17" spans="3:17" x14ac:dyDescent="0.3">
      <c r="C17" s="5">
        <f>SUM(C6:C15)</f>
        <v>0</v>
      </c>
      <c r="D17" s="5">
        <f>SUM(D5:D15)</f>
        <v>0</v>
      </c>
      <c r="E17" s="5">
        <f>SUM(E6:E15)</f>
        <v>187875</v>
      </c>
      <c r="F17" s="5">
        <f>SUM(F5:F15)</f>
        <v>0</v>
      </c>
      <c r="G17" s="5">
        <f>SUM(G6:G15)</f>
        <v>36835</v>
      </c>
      <c r="H17" s="5">
        <f>SUM(H5:H15)</f>
        <v>0</v>
      </c>
      <c r="I17" s="5">
        <f>SUM(I6:I15)</f>
        <v>9280</v>
      </c>
      <c r="J17" s="5">
        <f>SUM(J5:J15)</f>
        <v>0</v>
      </c>
      <c r="L17" s="1">
        <f>SUM(L6:L15)</f>
        <v>0</v>
      </c>
      <c r="M17" s="1">
        <f>SUM(M6:M15)</f>
        <v>0</v>
      </c>
      <c r="N17" s="1">
        <f>SUM(N6:N15)</f>
        <v>103</v>
      </c>
      <c r="O17" s="1">
        <f>SUM(O6:O15)</f>
        <v>68</v>
      </c>
      <c r="P17" s="12">
        <f>SUM(P5:P15)</f>
        <v>6248</v>
      </c>
      <c r="Q17" s="12">
        <f>SUM(Q6:Q15)</f>
        <v>0</v>
      </c>
    </row>
    <row r="18" spans="3:17" x14ac:dyDescent="0.3">
      <c r="P18" s="6"/>
      <c r="Q18" s="6"/>
    </row>
    <row r="19" spans="3:17" x14ac:dyDescent="0.3">
      <c r="O19" t="s">
        <v>21</v>
      </c>
      <c r="P19" s="4">
        <f>ROUNDDOWN(P17/60/60/24,0)</f>
        <v>0</v>
      </c>
      <c r="Q19" s="4">
        <f>ROUNDDOWN(Q17/60/60/24,0)</f>
        <v>0</v>
      </c>
    </row>
    <row r="20" spans="3:17" x14ac:dyDescent="0.3">
      <c r="O20" t="s">
        <v>20</v>
      </c>
      <c r="P20" s="5">
        <f>ROUNDDOWN((P17-P19*60*60*24)/60/60,0)</f>
        <v>1</v>
      </c>
      <c r="Q20" s="5">
        <f>ROUNDDOWN((Q17-Q19*60*60*24)/60/60,0)</f>
        <v>0</v>
      </c>
    </row>
    <row r="21" spans="3:17" x14ac:dyDescent="0.3">
      <c r="O21" t="s">
        <v>19</v>
      </c>
      <c r="P21" s="5">
        <f>ROUNDDOWN((P17-P19*60*60*24-P20*60*60)/60,0)</f>
        <v>44</v>
      </c>
      <c r="Q21" s="5">
        <f>ROUNDDOWN((Q17-Q19*60*60*24-Q20*60*60)/60,0)</f>
        <v>0</v>
      </c>
    </row>
    <row r="22" spans="3:17" x14ac:dyDescent="0.3">
      <c r="O22" t="s">
        <v>18</v>
      </c>
      <c r="P22" s="5">
        <f>ROUNDDOWN((P17-P19*60*60*24-P20*60*60-P21*60),0)</f>
        <v>8</v>
      </c>
      <c r="Q22" s="5">
        <f>ROUNDDOWN((Q17-Q19*60*60*24-Q20*60*60-Q21*60),0)</f>
        <v>0</v>
      </c>
    </row>
    <row r="23" spans="3:17" x14ac:dyDescent="0.3">
      <c r="P23" s="6"/>
      <c r="Q23" s="6"/>
    </row>
    <row r="24" spans="3:17" x14ac:dyDescent="0.3">
      <c r="P24" s="6"/>
      <c r="Q24" s="6"/>
    </row>
    <row r="25" spans="3:17" x14ac:dyDescent="0.3">
      <c r="P25" s="6"/>
      <c r="Q25" s="6"/>
    </row>
    <row r="26" spans="3:17" x14ac:dyDescent="0.3">
      <c r="P26" s="6"/>
      <c r="Q26" s="6"/>
    </row>
    <row r="27" spans="3:17" x14ac:dyDescent="0.3">
      <c r="P27" s="6"/>
      <c r="Q27" s="6"/>
    </row>
    <row r="28" spans="3:17" x14ac:dyDescent="0.3">
      <c r="P28" s="6"/>
      <c r="Q28" s="6"/>
    </row>
    <row r="29" spans="3:17" x14ac:dyDescent="0.3">
      <c r="P29" s="6"/>
      <c r="Q29" s="6"/>
    </row>
    <row r="30" spans="3:17" x14ac:dyDescent="0.3">
      <c r="P30" s="6"/>
      <c r="Q30" s="6"/>
    </row>
    <row r="31" spans="3:17" x14ac:dyDescent="0.3">
      <c r="P31" s="6"/>
      <c r="Q31" s="6"/>
    </row>
    <row r="32" spans="3:17" x14ac:dyDescent="0.3">
      <c r="P32" s="6"/>
      <c r="Q32" s="6"/>
    </row>
    <row r="33" spans="16:17" x14ac:dyDescent="0.3">
      <c r="P33" s="6"/>
      <c r="Q33" s="6"/>
    </row>
    <row r="34" spans="16:17" x14ac:dyDescent="0.3">
      <c r="P34" s="6"/>
      <c r="Q34" s="6"/>
    </row>
    <row r="35" spans="16:17" x14ac:dyDescent="0.3">
      <c r="P35" s="6"/>
      <c r="Q35" s="6"/>
    </row>
    <row r="36" spans="16:17" x14ac:dyDescent="0.3">
      <c r="P36" s="1"/>
      <c r="Q36" s="1"/>
    </row>
  </sheetData>
  <sheetProtection sheet="1" objects="1" scenarios="1"/>
  <mergeCells count="7">
    <mergeCell ref="C3:J3"/>
    <mergeCell ref="L3:Q3"/>
    <mergeCell ref="C4:D4"/>
    <mergeCell ref="I4:J4"/>
    <mergeCell ref="G4:H4"/>
    <mergeCell ref="E4:F4"/>
    <mergeCell ref="P4:Q4"/>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6EA08-122B-4E2D-A60D-8549B68809F0}">
  <sheetPr codeName="Sheet27"/>
  <dimension ref="A2:W58"/>
  <sheetViews>
    <sheetView workbookViewId="0">
      <pane xSplit="2" ySplit="5" topLeftCell="C6" activePane="bottomRight" state="frozen"/>
      <selection sqref="A1:R2"/>
      <selection pane="topRight" sqref="A1:R2"/>
      <selection pane="bottomLeft" sqref="A1:R2"/>
      <selection pane="bottomRight" activeCell="V6" sqref="V6:V51"/>
    </sheetView>
  </sheetViews>
  <sheetFormatPr baseColWidth="10" defaultColWidth="9.109375" defaultRowHeight="14.4" x14ac:dyDescent="0.3"/>
  <cols>
    <col min="1" max="1" width="9.109375" style="4"/>
    <col min="2" max="2" width="16.109375" style="4" bestFit="1" customWidth="1"/>
    <col min="3" max="3" width="16.109375" style="4" customWidth="1"/>
    <col min="4" max="4" width="16.88671875" style="4" bestFit="1" customWidth="1"/>
    <col min="5" max="5" width="14.33203125" style="4" customWidth="1"/>
    <col min="6" max="6" width="16.88671875" style="4" bestFit="1" customWidth="1"/>
    <col min="7" max="7" width="14.33203125" style="4" customWidth="1"/>
    <col min="8" max="8" width="15.33203125" style="4" bestFit="1" customWidth="1"/>
    <col min="9" max="9" width="12.5546875" style="4" customWidth="1"/>
    <col min="10" max="10" width="14.33203125" style="4" bestFit="1" customWidth="1"/>
    <col min="11" max="15" width="11.5546875" style="4" customWidth="1"/>
    <col min="16" max="16" width="9.33203125" style="4" bestFit="1" customWidth="1"/>
    <col min="17" max="17" width="7" style="4" bestFit="1" customWidth="1"/>
    <col min="18" max="18" width="8" style="4" bestFit="1" customWidth="1"/>
    <col min="19" max="19" width="9.5546875" style="4" bestFit="1" customWidth="1"/>
    <col min="20" max="20" width="8.88671875" style="4" bestFit="1" customWidth="1"/>
    <col min="21" max="21" width="13.44140625" style="4" bestFit="1" customWidth="1"/>
    <col min="22" max="22" width="13.33203125" style="4" customWidth="1"/>
    <col min="23" max="16384" width="9.109375" style="4"/>
  </cols>
  <sheetData>
    <row r="2" spans="1:23" x14ac:dyDescent="0.3">
      <c r="A2" s="45"/>
      <c r="D2" s="6"/>
      <c r="E2" s="6"/>
      <c r="F2" s="45"/>
      <c r="G2" s="45"/>
      <c r="H2" s="45"/>
      <c r="I2" s="45"/>
      <c r="J2" s="45"/>
      <c r="K2" s="45"/>
      <c r="L2" s="45"/>
      <c r="M2" s="45"/>
      <c r="N2" s="45"/>
      <c r="O2" s="45"/>
      <c r="P2" s="45"/>
      <c r="Q2" s="45"/>
      <c r="R2" s="45"/>
      <c r="S2" s="45"/>
      <c r="T2" s="45"/>
      <c r="U2" s="45"/>
      <c r="V2" s="45"/>
      <c r="W2" s="45"/>
    </row>
    <row r="3" spans="1:23" x14ac:dyDescent="0.3">
      <c r="B3" s="45" t="s">
        <v>245</v>
      </c>
      <c r="C3" s="45"/>
      <c r="D3" s="709" t="s">
        <v>16</v>
      </c>
      <c r="E3" s="709"/>
      <c r="F3" s="709"/>
      <c r="G3" s="709"/>
      <c r="H3" s="709"/>
      <c r="I3" s="709"/>
      <c r="J3" s="709"/>
      <c r="K3" s="709"/>
      <c r="L3" s="709"/>
      <c r="M3" s="709"/>
      <c r="N3" s="62"/>
      <c r="O3" s="62"/>
      <c r="Q3" s="709" t="s">
        <v>17</v>
      </c>
      <c r="R3" s="709"/>
      <c r="S3" s="709"/>
      <c r="T3" s="709"/>
      <c r="U3" s="709"/>
      <c r="V3" s="709"/>
    </row>
    <row r="4" spans="1:23" x14ac:dyDescent="0.3">
      <c r="B4" s="45" t="e">
        <f>#REF!</f>
        <v>#REF!</v>
      </c>
      <c r="C4" s="45"/>
      <c r="D4" s="705" t="s">
        <v>0</v>
      </c>
      <c r="E4" s="705"/>
      <c r="F4" s="705" t="s">
        <v>1</v>
      </c>
      <c r="G4" s="705"/>
      <c r="H4" s="705" t="s">
        <v>2</v>
      </c>
      <c r="I4" s="705"/>
      <c r="J4" s="705" t="s">
        <v>3</v>
      </c>
      <c r="K4" s="705"/>
      <c r="L4" s="705" t="s">
        <v>59</v>
      </c>
      <c r="M4" s="705"/>
      <c r="N4" s="705" t="s">
        <v>228</v>
      </c>
      <c r="O4" s="705"/>
      <c r="P4" s="45"/>
      <c r="Q4" s="45"/>
      <c r="R4" s="45"/>
      <c r="S4" s="45"/>
      <c r="T4" s="45"/>
      <c r="U4" s="705" t="s">
        <v>18</v>
      </c>
      <c r="V4" s="705"/>
    </row>
    <row r="5" spans="1:23" x14ac:dyDescent="0.3">
      <c r="B5" s="64">
        <v>0</v>
      </c>
      <c r="C5" s="45" t="s">
        <v>463</v>
      </c>
      <c r="D5" s="45" t="s">
        <v>25</v>
      </c>
      <c r="E5" s="45" t="s">
        <v>24</v>
      </c>
      <c r="F5" s="45" t="s">
        <v>25</v>
      </c>
      <c r="G5" s="45" t="s">
        <v>24</v>
      </c>
      <c r="H5" s="45" t="s">
        <v>25</v>
      </c>
      <c r="I5" s="45" t="s">
        <v>24</v>
      </c>
      <c r="J5" s="45" t="s">
        <v>25</v>
      </c>
      <c r="K5" s="45" t="s">
        <v>24</v>
      </c>
      <c r="L5" s="45" t="s">
        <v>25</v>
      </c>
      <c r="M5" s="45" t="s">
        <v>24</v>
      </c>
      <c r="N5" s="45" t="s">
        <v>25</v>
      </c>
      <c r="O5" s="45" t="s">
        <v>24</v>
      </c>
      <c r="P5" s="45"/>
      <c r="Q5" s="45" t="s">
        <v>21</v>
      </c>
      <c r="R5" s="45" t="s">
        <v>20</v>
      </c>
      <c r="S5" s="45" t="s">
        <v>19</v>
      </c>
      <c r="T5" s="45" t="s">
        <v>18</v>
      </c>
      <c r="U5" s="45" t="s">
        <v>25</v>
      </c>
      <c r="V5" s="45" t="s">
        <v>24</v>
      </c>
    </row>
    <row r="6" spans="1:23" x14ac:dyDescent="0.3">
      <c r="B6" s="64" t="s">
        <v>38</v>
      </c>
      <c r="C6" s="151">
        <v>35</v>
      </c>
      <c r="E6" s="6">
        <f t="shared" ref="E6:E51" si="0">IFERROR(IF(AND(WarAcademyCurrent=OR(,0),WarAcademyDesired=OR(,0)),0,IF($C6&gt;VLOOKUP(WarAcademyDesired,$B$6:$C$51,2,FALSE),,IF($C6&gt;VLOOKUP(WarAcademyCurrent,$B$6:$C$51,2,FALSE),D6,))),)</f>
        <v>0</v>
      </c>
      <c r="G6" s="6">
        <f t="shared" ref="G6:G51" si="1">IFERROR(IF(AND(WarAcademyCurrent=OR(,0),WarAcademyDesired=OR(,0)),0,IF($C6&gt;VLOOKUP(WarAcademyDesired,$B$6:$C$51,2,FALSE),"",IF($C6&gt;VLOOKUP(WarAcademyCurrent,$B$6:$C$51,2,FALSE),F6,""))),)</f>
        <v>0</v>
      </c>
      <c r="I6" s="6">
        <f t="shared" ref="I6:I51" si="2">IFERROR(IF(AND(WarAcademyCurrent=OR(,0),WarAcademyDesired=OR(,0)),0,IF($C6&gt;VLOOKUP(WarAcademyDesired,$B$6:$C$51,2,FALSE),"",IF($C6&gt;VLOOKUP(WarAcademyCurrent,$B$6:$C$51,2,FALSE),H6,""))),)</f>
        <v>0</v>
      </c>
      <c r="K6" s="6">
        <f t="shared" ref="K6:K51" si="3">IFERROR(IF(AND(WarAcademyCurrent=OR(,0),WarAcademyDesired=OR(,0)),0,IF($C6&gt;VLOOKUP(WarAcademyDesired,$B$6:$C$51,2,FALSE),"",IF($C6&gt;VLOOKUP(WarAcademyCurrent,$B$6:$C$51,2,FALSE),J6,""))),)</f>
        <v>0</v>
      </c>
      <c r="L6" s="6"/>
      <c r="M6" s="6">
        <f t="shared" ref="M6:M51" si="4">IFERROR(IF(AND(WarAcademyCurrent=OR(,0),WarAcademyDesired=OR(,0)),0,IF($C6&gt;VLOOKUP(WarAcademyDesired,$B$6:$C$51,2,FALSE),"",IF($C6&gt;VLOOKUP(WarAcademyCurrent,$B$6:$C$51,2,FALSE),L6,""))),)</f>
        <v>0</v>
      </c>
      <c r="N6" s="6"/>
      <c r="O6" s="6">
        <f t="shared" ref="O6:O51" si="5">IFERROR(IF(AND(WarAcademyCurrent=OR(,0),WarAcademyDesired=OR(,0)),0,IF($C6&gt;VLOOKUP(WarAcademyDesired,$B$6:$C$51,2,FALSE),"",IF($C6&gt;VLOOKUP(WarAcademyCurrent,$B$6:$C$51,2,FALSE),N6,""))),)</f>
        <v>0</v>
      </c>
      <c r="Q6" s="6"/>
      <c r="R6" s="6"/>
      <c r="S6" s="6"/>
      <c r="T6" s="6">
        <v>2</v>
      </c>
      <c r="U6" s="6">
        <f t="shared" ref="U6:U35" si="6">T6+S6*60+R6*60*60+Q6*60*60*24</f>
        <v>2</v>
      </c>
      <c r="V6" s="6">
        <f t="shared" ref="V6:V51" si="7">IFERROR(IF(AND(WarAcademyCurrent=OR(,0),WarAcademyDesired=OR(,0)),0,IF($C6&gt;VLOOKUP(WarAcademyDesired,$B$6:$C$51,2,FALSE),"",IF($C6&gt;VLOOKUP(WarAcademyCurrent,$B$6:$C$51,2,FALSE),U6,""))),)</f>
        <v>0</v>
      </c>
    </row>
    <row r="7" spans="1:23" x14ac:dyDescent="0.3">
      <c r="B7" s="64" t="s">
        <v>39</v>
      </c>
      <c r="C7" s="151">
        <v>36</v>
      </c>
      <c r="D7" s="4">
        <v>36000000</v>
      </c>
      <c r="E7" s="6">
        <f t="shared" si="0"/>
        <v>0</v>
      </c>
      <c r="F7" s="4">
        <v>36000000</v>
      </c>
      <c r="G7" s="6">
        <f t="shared" si="1"/>
        <v>0</v>
      </c>
      <c r="H7" s="4">
        <v>7200000</v>
      </c>
      <c r="I7" s="6">
        <f t="shared" si="2"/>
        <v>0</v>
      </c>
      <c r="J7" s="4">
        <v>1800000</v>
      </c>
      <c r="K7" s="6">
        <f t="shared" si="3"/>
        <v>0</v>
      </c>
      <c r="L7" s="6">
        <v>71</v>
      </c>
      <c r="M7" s="6">
        <f t="shared" si="4"/>
        <v>0</v>
      </c>
      <c r="N7" s="6"/>
      <c r="O7" s="6">
        <f t="shared" si="5"/>
        <v>0</v>
      </c>
      <c r="Q7" s="6">
        <v>1</v>
      </c>
      <c r="R7" s="6">
        <v>19</v>
      </c>
      <c r="S7" s="6">
        <v>12</v>
      </c>
      <c r="T7" s="6"/>
      <c r="U7" s="6">
        <f t="shared" si="6"/>
        <v>155520</v>
      </c>
      <c r="V7" s="6">
        <f t="shared" si="7"/>
        <v>0</v>
      </c>
    </row>
    <row r="8" spans="1:23" x14ac:dyDescent="0.3">
      <c r="B8" s="64" t="s">
        <v>40</v>
      </c>
      <c r="C8" s="151">
        <v>37</v>
      </c>
      <c r="D8" s="4">
        <v>36000000</v>
      </c>
      <c r="E8" s="6">
        <f t="shared" si="0"/>
        <v>0</v>
      </c>
      <c r="F8" s="4">
        <v>36000000</v>
      </c>
      <c r="G8" s="6">
        <f t="shared" si="1"/>
        <v>0</v>
      </c>
      <c r="H8" s="4">
        <v>7200000</v>
      </c>
      <c r="I8" s="6">
        <f t="shared" si="2"/>
        <v>0</v>
      </c>
      <c r="J8" s="4">
        <v>1800000</v>
      </c>
      <c r="K8" s="6">
        <f t="shared" si="3"/>
        <v>0</v>
      </c>
      <c r="L8" s="6">
        <v>71</v>
      </c>
      <c r="M8" s="6">
        <f t="shared" si="4"/>
        <v>0</v>
      </c>
      <c r="N8" s="6"/>
      <c r="O8" s="6">
        <f t="shared" si="5"/>
        <v>0</v>
      </c>
      <c r="Q8" s="6">
        <v>1</v>
      </c>
      <c r="R8" s="6">
        <v>19</v>
      </c>
      <c r="S8" s="6">
        <v>12</v>
      </c>
      <c r="T8" s="6"/>
      <c r="U8" s="6">
        <f t="shared" si="6"/>
        <v>155520</v>
      </c>
      <c r="V8" s="6">
        <f t="shared" si="7"/>
        <v>0</v>
      </c>
    </row>
    <row r="9" spans="1:23" x14ac:dyDescent="0.3">
      <c r="B9" s="64" t="s">
        <v>41</v>
      </c>
      <c r="C9" s="151">
        <v>38</v>
      </c>
      <c r="D9" s="4">
        <v>36000000</v>
      </c>
      <c r="E9" s="6">
        <f t="shared" si="0"/>
        <v>0</v>
      </c>
      <c r="F9" s="4">
        <v>36000000</v>
      </c>
      <c r="G9" s="6">
        <f t="shared" si="1"/>
        <v>0</v>
      </c>
      <c r="H9" s="4">
        <v>7200000</v>
      </c>
      <c r="I9" s="6">
        <f t="shared" si="2"/>
        <v>0</v>
      </c>
      <c r="J9" s="4">
        <v>1800000</v>
      </c>
      <c r="K9" s="6">
        <f t="shared" si="3"/>
        <v>0</v>
      </c>
      <c r="L9" s="6">
        <v>71</v>
      </c>
      <c r="M9" s="6">
        <f t="shared" si="4"/>
        <v>0</v>
      </c>
      <c r="N9" s="6"/>
      <c r="O9" s="6">
        <f t="shared" si="5"/>
        <v>0</v>
      </c>
      <c r="Q9" s="6">
        <v>1</v>
      </c>
      <c r="R9" s="6">
        <v>19</v>
      </c>
      <c r="S9" s="6">
        <v>12</v>
      </c>
      <c r="T9" s="6"/>
      <c r="U9" s="6">
        <f t="shared" si="6"/>
        <v>155520</v>
      </c>
      <c r="V9" s="6">
        <f t="shared" si="7"/>
        <v>0</v>
      </c>
    </row>
    <row r="10" spans="1:23" x14ac:dyDescent="0.3">
      <c r="B10" s="64" t="s">
        <v>42</v>
      </c>
      <c r="C10" s="151">
        <v>39</v>
      </c>
      <c r="D10" s="4">
        <v>36000000</v>
      </c>
      <c r="E10" s="6">
        <f t="shared" si="0"/>
        <v>0</v>
      </c>
      <c r="F10" s="4">
        <v>36000000</v>
      </c>
      <c r="G10" s="6">
        <f t="shared" si="1"/>
        <v>0</v>
      </c>
      <c r="H10" s="4">
        <v>7200000</v>
      </c>
      <c r="I10" s="6">
        <f t="shared" si="2"/>
        <v>0</v>
      </c>
      <c r="J10" s="4">
        <v>1800000</v>
      </c>
      <c r="K10" s="6">
        <f t="shared" si="3"/>
        <v>0</v>
      </c>
      <c r="L10" s="6">
        <v>71</v>
      </c>
      <c r="M10" s="6">
        <f t="shared" si="4"/>
        <v>0</v>
      </c>
      <c r="N10" s="6"/>
      <c r="O10" s="6">
        <f t="shared" si="5"/>
        <v>0</v>
      </c>
      <c r="Q10" s="6">
        <v>1</v>
      </c>
      <c r="R10" s="6">
        <v>19</v>
      </c>
      <c r="S10" s="6">
        <v>12</v>
      </c>
      <c r="T10" s="6"/>
      <c r="U10" s="6">
        <f t="shared" si="6"/>
        <v>155520</v>
      </c>
      <c r="V10" s="6">
        <f t="shared" si="7"/>
        <v>0</v>
      </c>
    </row>
    <row r="11" spans="1:23" x14ac:dyDescent="0.3">
      <c r="B11" s="64" t="s">
        <v>43</v>
      </c>
      <c r="C11" s="151">
        <v>40</v>
      </c>
      <c r="D11" s="4">
        <v>36000000</v>
      </c>
      <c r="E11" s="6">
        <f t="shared" si="0"/>
        <v>0</v>
      </c>
      <c r="F11" s="4">
        <v>36000000</v>
      </c>
      <c r="G11" s="6">
        <f t="shared" si="1"/>
        <v>0</v>
      </c>
      <c r="H11" s="4">
        <v>7200000</v>
      </c>
      <c r="I11" s="6">
        <f t="shared" si="2"/>
        <v>0</v>
      </c>
      <c r="J11" s="4">
        <v>1800000</v>
      </c>
      <c r="K11" s="6">
        <f t="shared" si="3"/>
        <v>0</v>
      </c>
      <c r="L11" s="6">
        <v>71</v>
      </c>
      <c r="M11" s="6">
        <f t="shared" si="4"/>
        <v>0</v>
      </c>
      <c r="N11" s="6"/>
      <c r="O11" s="6">
        <f t="shared" si="5"/>
        <v>0</v>
      </c>
      <c r="Q11" s="6">
        <v>1</v>
      </c>
      <c r="R11" s="6">
        <v>19</v>
      </c>
      <c r="S11" s="6">
        <v>12</v>
      </c>
      <c r="T11" s="6"/>
      <c r="U11" s="6">
        <f t="shared" si="6"/>
        <v>155520</v>
      </c>
      <c r="V11" s="6">
        <f t="shared" si="7"/>
        <v>0</v>
      </c>
    </row>
    <row r="12" spans="1:23" x14ac:dyDescent="0.3">
      <c r="B12" s="64" t="s">
        <v>44</v>
      </c>
      <c r="C12" s="151">
        <v>41</v>
      </c>
      <c r="D12" s="4">
        <v>39000000</v>
      </c>
      <c r="E12" s="6">
        <f t="shared" si="0"/>
        <v>0</v>
      </c>
      <c r="F12" s="4">
        <v>39000000</v>
      </c>
      <c r="G12" s="6">
        <f t="shared" si="1"/>
        <v>0</v>
      </c>
      <c r="H12" s="4">
        <v>7900000</v>
      </c>
      <c r="I12" s="6">
        <f t="shared" si="2"/>
        <v>0</v>
      </c>
      <c r="J12" s="4">
        <v>1900000</v>
      </c>
      <c r="K12" s="6">
        <f t="shared" si="3"/>
        <v>0</v>
      </c>
      <c r="L12" s="6">
        <v>107</v>
      </c>
      <c r="M12" s="6">
        <f t="shared" si="4"/>
        <v>0</v>
      </c>
      <c r="N12" s="6"/>
      <c r="O12" s="6">
        <f t="shared" si="5"/>
        <v>0</v>
      </c>
      <c r="Q12" s="6">
        <v>2</v>
      </c>
      <c r="R12" s="6">
        <v>4</v>
      </c>
      <c r="S12" s="6">
        <v>48</v>
      </c>
      <c r="T12" s="6"/>
      <c r="U12" s="6">
        <f t="shared" si="6"/>
        <v>190080</v>
      </c>
      <c r="V12" s="6">
        <f t="shared" si="7"/>
        <v>0</v>
      </c>
    </row>
    <row r="13" spans="1:23" x14ac:dyDescent="0.3">
      <c r="B13" s="64" t="s">
        <v>45</v>
      </c>
      <c r="C13" s="151">
        <v>42</v>
      </c>
      <c r="D13" s="4">
        <v>39000000</v>
      </c>
      <c r="E13" s="6">
        <f t="shared" si="0"/>
        <v>0</v>
      </c>
      <c r="F13" s="4">
        <v>39000000</v>
      </c>
      <c r="G13" s="6">
        <f t="shared" si="1"/>
        <v>0</v>
      </c>
      <c r="H13" s="4">
        <v>7900000</v>
      </c>
      <c r="I13" s="6">
        <f t="shared" si="2"/>
        <v>0</v>
      </c>
      <c r="J13" s="4">
        <v>1900000</v>
      </c>
      <c r="K13" s="6">
        <f t="shared" si="3"/>
        <v>0</v>
      </c>
      <c r="L13" s="6">
        <v>107</v>
      </c>
      <c r="M13" s="6">
        <f t="shared" si="4"/>
        <v>0</v>
      </c>
      <c r="N13" s="6"/>
      <c r="O13" s="6">
        <f t="shared" si="5"/>
        <v>0</v>
      </c>
      <c r="Q13" s="6">
        <v>2</v>
      </c>
      <c r="R13" s="6">
        <v>4</v>
      </c>
      <c r="S13" s="6">
        <v>48</v>
      </c>
      <c r="T13" s="6"/>
      <c r="U13" s="6">
        <f t="shared" si="6"/>
        <v>190080</v>
      </c>
      <c r="V13" s="6">
        <f t="shared" si="7"/>
        <v>0</v>
      </c>
    </row>
    <row r="14" spans="1:23" x14ac:dyDescent="0.3">
      <c r="B14" s="64" t="s">
        <v>46</v>
      </c>
      <c r="C14" s="151">
        <v>43</v>
      </c>
      <c r="D14" s="4">
        <v>39000000</v>
      </c>
      <c r="E14" s="6">
        <f t="shared" si="0"/>
        <v>0</v>
      </c>
      <c r="F14" s="4">
        <v>39000000</v>
      </c>
      <c r="G14" s="6">
        <f t="shared" si="1"/>
        <v>0</v>
      </c>
      <c r="H14" s="4">
        <v>7900000</v>
      </c>
      <c r="I14" s="6">
        <f t="shared" si="2"/>
        <v>0</v>
      </c>
      <c r="J14" s="4">
        <v>1900000</v>
      </c>
      <c r="K14" s="6">
        <f t="shared" si="3"/>
        <v>0</v>
      </c>
      <c r="L14" s="6">
        <v>107</v>
      </c>
      <c r="M14" s="6">
        <f t="shared" si="4"/>
        <v>0</v>
      </c>
      <c r="N14" s="6"/>
      <c r="O14" s="6">
        <f t="shared" si="5"/>
        <v>0</v>
      </c>
      <c r="Q14" s="6">
        <v>2</v>
      </c>
      <c r="R14" s="6">
        <v>4</v>
      </c>
      <c r="S14" s="6">
        <v>48</v>
      </c>
      <c r="T14" s="6"/>
      <c r="U14" s="6">
        <f t="shared" si="6"/>
        <v>190080</v>
      </c>
      <c r="V14" s="6">
        <f t="shared" si="7"/>
        <v>0</v>
      </c>
    </row>
    <row r="15" spans="1:23" x14ac:dyDescent="0.3">
      <c r="B15" s="64" t="s">
        <v>47</v>
      </c>
      <c r="C15" s="151">
        <v>44</v>
      </c>
      <c r="D15" s="4">
        <v>39000000</v>
      </c>
      <c r="E15" s="6">
        <f t="shared" si="0"/>
        <v>0</v>
      </c>
      <c r="F15" s="4">
        <v>39000000</v>
      </c>
      <c r="G15" s="6">
        <f t="shared" si="1"/>
        <v>0</v>
      </c>
      <c r="H15" s="4">
        <v>7900000</v>
      </c>
      <c r="I15" s="6">
        <f t="shared" si="2"/>
        <v>0</v>
      </c>
      <c r="J15" s="4">
        <v>1900000</v>
      </c>
      <c r="K15" s="6">
        <f t="shared" si="3"/>
        <v>0</v>
      </c>
      <c r="L15" s="6">
        <v>107</v>
      </c>
      <c r="M15" s="6">
        <f t="shared" si="4"/>
        <v>0</v>
      </c>
      <c r="N15" s="6"/>
      <c r="O15" s="6">
        <f t="shared" si="5"/>
        <v>0</v>
      </c>
      <c r="Q15" s="6">
        <v>2</v>
      </c>
      <c r="R15" s="6">
        <v>4</v>
      </c>
      <c r="S15" s="6">
        <v>48</v>
      </c>
      <c r="T15" s="6"/>
      <c r="U15" s="6">
        <f t="shared" si="6"/>
        <v>190080</v>
      </c>
      <c r="V15" s="6">
        <f t="shared" si="7"/>
        <v>0</v>
      </c>
    </row>
    <row r="16" spans="1:23" x14ac:dyDescent="0.3">
      <c r="B16" s="64" t="s">
        <v>48</v>
      </c>
      <c r="C16" s="151">
        <v>45</v>
      </c>
      <c r="D16" s="4">
        <v>39000000</v>
      </c>
      <c r="E16" s="6">
        <f t="shared" si="0"/>
        <v>0</v>
      </c>
      <c r="F16" s="4">
        <v>39000000</v>
      </c>
      <c r="G16" s="6">
        <f t="shared" si="1"/>
        <v>0</v>
      </c>
      <c r="H16" s="4">
        <v>7900000</v>
      </c>
      <c r="I16" s="6">
        <f t="shared" si="2"/>
        <v>0</v>
      </c>
      <c r="J16" s="4">
        <v>1900000</v>
      </c>
      <c r="K16" s="6">
        <f t="shared" si="3"/>
        <v>0</v>
      </c>
      <c r="L16" s="6">
        <v>107</v>
      </c>
      <c r="M16" s="6">
        <f t="shared" si="4"/>
        <v>0</v>
      </c>
      <c r="N16" s="6"/>
      <c r="O16" s="6">
        <f t="shared" si="5"/>
        <v>0</v>
      </c>
      <c r="Q16" s="6">
        <v>2</v>
      </c>
      <c r="R16" s="6">
        <v>4</v>
      </c>
      <c r="S16" s="6">
        <v>48</v>
      </c>
      <c r="T16" s="6"/>
      <c r="U16" s="6">
        <f t="shared" si="6"/>
        <v>190080</v>
      </c>
      <c r="V16" s="6">
        <f t="shared" si="7"/>
        <v>0</v>
      </c>
    </row>
    <row r="17" spans="2:22" x14ac:dyDescent="0.3">
      <c r="B17" s="64" t="s">
        <v>49</v>
      </c>
      <c r="C17" s="151">
        <v>46</v>
      </c>
      <c r="D17" s="4">
        <v>41000000</v>
      </c>
      <c r="E17" s="6">
        <f t="shared" si="0"/>
        <v>0</v>
      </c>
      <c r="F17" s="4">
        <v>41000000</v>
      </c>
      <c r="G17" s="6">
        <f t="shared" si="1"/>
        <v>0</v>
      </c>
      <c r="H17" s="4">
        <v>8200000</v>
      </c>
      <c r="I17" s="6">
        <f t="shared" si="2"/>
        <v>0</v>
      </c>
      <c r="J17" s="4">
        <v>2000000</v>
      </c>
      <c r="K17" s="6">
        <f t="shared" si="3"/>
        <v>0</v>
      </c>
      <c r="L17" s="6">
        <v>126</v>
      </c>
      <c r="M17" s="6">
        <f t="shared" si="4"/>
        <v>0</v>
      </c>
      <c r="N17" s="6"/>
      <c r="O17" s="6">
        <f t="shared" si="5"/>
        <v>0</v>
      </c>
      <c r="Q17" s="6">
        <v>2</v>
      </c>
      <c r="R17" s="6">
        <v>9</v>
      </c>
      <c r="S17" s="6">
        <v>36</v>
      </c>
      <c r="T17" s="6"/>
      <c r="U17" s="6">
        <f t="shared" si="6"/>
        <v>207360</v>
      </c>
      <c r="V17" s="6">
        <f t="shared" si="7"/>
        <v>0</v>
      </c>
    </row>
    <row r="18" spans="2:22" x14ac:dyDescent="0.3">
      <c r="B18" s="64" t="s">
        <v>50</v>
      </c>
      <c r="C18" s="151">
        <v>47</v>
      </c>
      <c r="D18" s="4">
        <v>41000000</v>
      </c>
      <c r="E18" s="6">
        <f t="shared" si="0"/>
        <v>0</v>
      </c>
      <c r="F18" s="4">
        <v>41000000</v>
      </c>
      <c r="G18" s="6">
        <f t="shared" si="1"/>
        <v>0</v>
      </c>
      <c r="H18" s="4">
        <v>8200000</v>
      </c>
      <c r="I18" s="6">
        <f t="shared" si="2"/>
        <v>0</v>
      </c>
      <c r="J18" s="4">
        <v>2000000</v>
      </c>
      <c r="K18" s="6">
        <f t="shared" si="3"/>
        <v>0</v>
      </c>
      <c r="L18" s="6">
        <v>126</v>
      </c>
      <c r="M18" s="6">
        <f t="shared" si="4"/>
        <v>0</v>
      </c>
      <c r="N18" s="6"/>
      <c r="O18" s="6">
        <f t="shared" si="5"/>
        <v>0</v>
      </c>
      <c r="Q18" s="6">
        <v>2</v>
      </c>
      <c r="R18" s="6">
        <v>9</v>
      </c>
      <c r="S18" s="6">
        <v>36</v>
      </c>
      <c r="T18" s="6"/>
      <c r="U18" s="6">
        <f t="shared" si="6"/>
        <v>207360</v>
      </c>
      <c r="V18" s="6">
        <f t="shared" si="7"/>
        <v>0</v>
      </c>
    </row>
    <row r="19" spans="2:22" x14ac:dyDescent="0.3">
      <c r="B19" s="64" t="s">
        <v>51</v>
      </c>
      <c r="C19" s="151">
        <v>48</v>
      </c>
      <c r="D19" s="4">
        <v>41000000</v>
      </c>
      <c r="E19" s="6">
        <f t="shared" si="0"/>
        <v>0</v>
      </c>
      <c r="F19" s="4">
        <v>41000000</v>
      </c>
      <c r="G19" s="6">
        <f t="shared" si="1"/>
        <v>0</v>
      </c>
      <c r="H19" s="4">
        <v>8200000</v>
      </c>
      <c r="I19" s="6">
        <f t="shared" si="2"/>
        <v>0</v>
      </c>
      <c r="J19" s="4">
        <v>2000000</v>
      </c>
      <c r="K19" s="6">
        <f t="shared" si="3"/>
        <v>0</v>
      </c>
      <c r="L19" s="6">
        <v>126</v>
      </c>
      <c r="M19" s="6">
        <f t="shared" si="4"/>
        <v>0</v>
      </c>
      <c r="N19" s="6"/>
      <c r="O19" s="6">
        <f t="shared" si="5"/>
        <v>0</v>
      </c>
      <c r="Q19" s="6">
        <v>2</v>
      </c>
      <c r="R19" s="6">
        <v>9</v>
      </c>
      <c r="S19" s="6">
        <v>36</v>
      </c>
      <c r="T19" s="6"/>
      <c r="U19" s="6">
        <f t="shared" si="6"/>
        <v>207360</v>
      </c>
      <c r="V19" s="6">
        <f t="shared" si="7"/>
        <v>0</v>
      </c>
    </row>
    <row r="20" spans="2:22" x14ac:dyDescent="0.3">
      <c r="B20" s="64" t="s">
        <v>52</v>
      </c>
      <c r="C20" s="151">
        <v>49</v>
      </c>
      <c r="D20" s="4">
        <v>41000000</v>
      </c>
      <c r="E20" s="6">
        <f t="shared" si="0"/>
        <v>0</v>
      </c>
      <c r="F20" s="4">
        <v>41000000</v>
      </c>
      <c r="G20" s="6">
        <f t="shared" si="1"/>
        <v>0</v>
      </c>
      <c r="H20" s="4">
        <v>8200000</v>
      </c>
      <c r="I20" s="6">
        <f t="shared" si="2"/>
        <v>0</v>
      </c>
      <c r="J20" s="4">
        <v>2000000</v>
      </c>
      <c r="K20" s="6">
        <f t="shared" si="3"/>
        <v>0</v>
      </c>
      <c r="L20" s="6">
        <v>126</v>
      </c>
      <c r="M20" s="6">
        <f t="shared" si="4"/>
        <v>0</v>
      </c>
      <c r="N20" s="6"/>
      <c r="O20" s="6">
        <f t="shared" si="5"/>
        <v>0</v>
      </c>
      <c r="Q20" s="6">
        <v>2</v>
      </c>
      <c r="R20" s="6">
        <v>9</v>
      </c>
      <c r="S20" s="6">
        <v>36</v>
      </c>
      <c r="T20" s="6"/>
      <c r="U20" s="6">
        <f t="shared" si="6"/>
        <v>207360</v>
      </c>
      <c r="V20" s="6">
        <f t="shared" si="7"/>
        <v>0</v>
      </c>
    </row>
    <row r="21" spans="2:22" x14ac:dyDescent="0.3">
      <c r="B21" s="64" t="s">
        <v>53</v>
      </c>
      <c r="C21" s="151">
        <v>50</v>
      </c>
      <c r="D21" s="4">
        <v>41000000</v>
      </c>
      <c r="E21" s="6">
        <f t="shared" si="0"/>
        <v>0</v>
      </c>
      <c r="F21" s="4">
        <v>41000000</v>
      </c>
      <c r="G21" s="6">
        <f t="shared" si="1"/>
        <v>0</v>
      </c>
      <c r="H21" s="4">
        <v>8200000</v>
      </c>
      <c r="I21" s="6">
        <f t="shared" si="2"/>
        <v>0</v>
      </c>
      <c r="J21" s="4">
        <v>2000000</v>
      </c>
      <c r="K21" s="6">
        <f t="shared" si="3"/>
        <v>0</v>
      </c>
      <c r="L21" s="6">
        <v>126</v>
      </c>
      <c r="M21" s="6">
        <f t="shared" si="4"/>
        <v>0</v>
      </c>
      <c r="N21" s="6"/>
      <c r="O21" s="6">
        <f t="shared" si="5"/>
        <v>0</v>
      </c>
      <c r="Q21" s="6">
        <v>2</v>
      </c>
      <c r="R21" s="6">
        <v>9</v>
      </c>
      <c r="S21" s="6">
        <v>36</v>
      </c>
      <c r="T21" s="6"/>
      <c r="U21" s="6">
        <f t="shared" si="6"/>
        <v>207360</v>
      </c>
      <c r="V21" s="6">
        <f t="shared" si="7"/>
        <v>0</v>
      </c>
    </row>
    <row r="22" spans="2:22" x14ac:dyDescent="0.3">
      <c r="B22" s="64" t="s">
        <v>54</v>
      </c>
      <c r="C22" s="151">
        <v>51</v>
      </c>
      <c r="D22" s="4">
        <v>42000000</v>
      </c>
      <c r="E22" s="6">
        <f t="shared" si="0"/>
        <v>0</v>
      </c>
      <c r="F22" s="4">
        <v>42000000</v>
      </c>
      <c r="G22" s="6">
        <f t="shared" si="1"/>
        <v>0</v>
      </c>
      <c r="H22" s="4">
        <v>8200000</v>
      </c>
      <c r="I22" s="6">
        <f t="shared" si="2"/>
        <v>0</v>
      </c>
      <c r="J22" s="4">
        <v>2100000</v>
      </c>
      <c r="K22" s="6">
        <f t="shared" si="3"/>
        <v>0</v>
      </c>
      <c r="L22" s="6">
        <v>150</v>
      </c>
      <c r="M22" s="6">
        <f t="shared" si="4"/>
        <v>0</v>
      </c>
      <c r="N22" s="6"/>
      <c r="O22" s="6">
        <f t="shared" si="5"/>
        <v>0</v>
      </c>
      <c r="Q22" s="6">
        <v>2</v>
      </c>
      <c r="R22" s="6">
        <v>19</v>
      </c>
      <c r="S22" s="6">
        <v>12</v>
      </c>
      <c r="T22" s="6"/>
      <c r="U22" s="6">
        <f t="shared" si="6"/>
        <v>241920</v>
      </c>
      <c r="V22" s="6">
        <f t="shared" si="7"/>
        <v>0</v>
      </c>
    </row>
    <row r="23" spans="2:22" x14ac:dyDescent="0.3">
      <c r="B23" s="64" t="s">
        <v>55</v>
      </c>
      <c r="C23" s="151">
        <v>52</v>
      </c>
      <c r="D23" s="4">
        <v>42000000</v>
      </c>
      <c r="E23" s="6">
        <f t="shared" si="0"/>
        <v>0</v>
      </c>
      <c r="F23" s="4">
        <v>42000000</v>
      </c>
      <c r="G23" s="6">
        <f t="shared" si="1"/>
        <v>0</v>
      </c>
      <c r="H23" s="4">
        <v>8200000</v>
      </c>
      <c r="I23" s="6">
        <f t="shared" si="2"/>
        <v>0</v>
      </c>
      <c r="J23" s="4">
        <v>2100000</v>
      </c>
      <c r="K23" s="6">
        <f t="shared" si="3"/>
        <v>0</v>
      </c>
      <c r="L23" s="6">
        <v>150</v>
      </c>
      <c r="M23" s="6">
        <f t="shared" si="4"/>
        <v>0</v>
      </c>
      <c r="N23" s="6"/>
      <c r="O23" s="6">
        <f t="shared" si="5"/>
        <v>0</v>
      </c>
      <c r="Q23" s="6">
        <v>2</v>
      </c>
      <c r="R23" s="6">
        <v>19</v>
      </c>
      <c r="S23" s="6">
        <v>12</v>
      </c>
      <c r="T23" s="6"/>
      <c r="U23" s="6">
        <f t="shared" si="6"/>
        <v>241920</v>
      </c>
      <c r="V23" s="6">
        <f t="shared" si="7"/>
        <v>0</v>
      </c>
    </row>
    <row r="24" spans="2:22" x14ac:dyDescent="0.3">
      <c r="B24" s="64" t="s">
        <v>56</v>
      </c>
      <c r="C24" s="151">
        <v>53</v>
      </c>
      <c r="D24" s="4">
        <v>42000000</v>
      </c>
      <c r="E24" s="6">
        <f t="shared" si="0"/>
        <v>0</v>
      </c>
      <c r="F24" s="4">
        <v>42000000</v>
      </c>
      <c r="G24" s="6">
        <f t="shared" si="1"/>
        <v>0</v>
      </c>
      <c r="H24" s="4">
        <v>8200000</v>
      </c>
      <c r="I24" s="6">
        <f t="shared" si="2"/>
        <v>0</v>
      </c>
      <c r="J24" s="4">
        <v>2100000</v>
      </c>
      <c r="K24" s="6">
        <f t="shared" si="3"/>
        <v>0</v>
      </c>
      <c r="L24" s="6">
        <v>150</v>
      </c>
      <c r="M24" s="6">
        <f t="shared" si="4"/>
        <v>0</v>
      </c>
      <c r="N24" s="6"/>
      <c r="O24" s="6">
        <f t="shared" si="5"/>
        <v>0</v>
      </c>
      <c r="Q24" s="6">
        <v>2</v>
      </c>
      <c r="R24" s="6">
        <v>19</v>
      </c>
      <c r="S24" s="6">
        <v>12</v>
      </c>
      <c r="T24" s="6"/>
      <c r="U24" s="6">
        <f t="shared" si="6"/>
        <v>241920</v>
      </c>
      <c r="V24" s="6">
        <f t="shared" si="7"/>
        <v>0</v>
      </c>
    </row>
    <row r="25" spans="2:22" x14ac:dyDescent="0.3">
      <c r="B25" s="64" t="s">
        <v>57</v>
      </c>
      <c r="C25" s="151">
        <v>54</v>
      </c>
      <c r="D25" s="4">
        <v>42000000</v>
      </c>
      <c r="E25" s="6">
        <f t="shared" si="0"/>
        <v>0</v>
      </c>
      <c r="F25" s="4">
        <v>42000000</v>
      </c>
      <c r="G25" s="6">
        <f t="shared" si="1"/>
        <v>0</v>
      </c>
      <c r="H25" s="4">
        <v>8200000</v>
      </c>
      <c r="I25" s="6">
        <f t="shared" si="2"/>
        <v>0</v>
      </c>
      <c r="J25" s="4">
        <v>2100000</v>
      </c>
      <c r="K25" s="6">
        <f t="shared" si="3"/>
        <v>0</v>
      </c>
      <c r="L25" s="6">
        <v>150</v>
      </c>
      <c r="M25" s="6">
        <f t="shared" si="4"/>
        <v>0</v>
      </c>
      <c r="N25" s="6"/>
      <c r="O25" s="6">
        <f t="shared" si="5"/>
        <v>0</v>
      </c>
      <c r="Q25" s="6">
        <v>2</v>
      </c>
      <c r="R25" s="6">
        <v>19</v>
      </c>
      <c r="S25" s="6">
        <v>12</v>
      </c>
      <c r="T25" s="6"/>
      <c r="U25" s="6">
        <f t="shared" si="6"/>
        <v>241920</v>
      </c>
      <c r="V25" s="6">
        <f t="shared" si="7"/>
        <v>0</v>
      </c>
    </row>
    <row r="26" spans="2:22" x14ac:dyDescent="0.3">
      <c r="B26" s="64" t="s">
        <v>58</v>
      </c>
      <c r="C26" s="151">
        <v>55</v>
      </c>
      <c r="D26" s="4">
        <v>42000000</v>
      </c>
      <c r="E26" s="6">
        <f t="shared" si="0"/>
        <v>0</v>
      </c>
      <c r="F26" s="4">
        <v>42000000</v>
      </c>
      <c r="G26" s="6">
        <f t="shared" si="1"/>
        <v>0</v>
      </c>
      <c r="H26" s="4">
        <v>8200000</v>
      </c>
      <c r="I26" s="6">
        <f t="shared" si="2"/>
        <v>0</v>
      </c>
      <c r="J26" s="4">
        <v>2100000</v>
      </c>
      <c r="K26" s="6">
        <f t="shared" si="3"/>
        <v>0</v>
      </c>
      <c r="L26" s="6">
        <v>150</v>
      </c>
      <c r="M26" s="6">
        <f t="shared" si="4"/>
        <v>0</v>
      </c>
      <c r="N26" s="6"/>
      <c r="O26" s="6">
        <f t="shared" si="5"/>
        <v>0</v>
      </c>
      <c r="Q26" s="6">
        <v>2</v>
      </c>
      <c r="R26" s="6">
        <v>19</v>
      </c>
      <c r="S26" s="6">
        <v>12</v>
      </c>
      <c r="T26" s="6"/>
      <c r="U26" s="6">
        <f t="shared" si="6"/>
        <v>241920</v>
      </c>
      <c r="V26" s="6">
        <f t="shared" si="7"/>
        <v>0</v>
      </c>
    </row>
    <row r="27" spans="2:22" x14ac:dyDescent="0.3">
      <c r="B27" s="64" t="s">
        <v>230</v>
      </c>
      <c r="C27" s="151">
        <v>56</v>
      </c>
      <c r="D27" s="4">
        <v>48000000</v>
      </c>
      <c r="E27" s="6">
        <f t="shared" si="0"/>
        <v>0</v>
      </c>
      <c r="F27" s="4">
        <v>48000000</v>
      </c>
      <c r="G27" s="6">
        <f t="shared" si="1"/>
        <v>0</v>
      </c>
      <c r="H27" s="4">
        <v>9600000</v>
      </c>
      <c r="I27" s="6">
        <f t="shared" si="2"/>
        <v>0</v>
      </c>
      <c r="J27" s="4">
        <v>2400000</v>
      </c>
      <c r="K27" s="6">
        <f t="shared" si="3"/>
        <v>0</v>
      </c>
      <c r="L27" s="6">
        <v>90</v>
      </c>
      <c r="M27" s="6">
        <f t="shared" si="4"/>
        <v>0</v>
      </c>
      <c r="N27" s="6">
        <v>4</v>
      </c>
      <c r="O27" s="6">
        <f t="shared" si="5"/>
        <v>0</v>
      </c>
      <c r="Q27" s="6">
        <v>3</v>
      </c>
      <c r="R27" s="6"/>
      <c r="S27" s="6"/>
      <c r="T27" s="6"/>
      <c r="U27" s="6">
        <f t="shared" si="6"/>
        <v>259200</v>
      </c>
      <c r="V27" s="6">
        <f t="shared" si="7"/>
        <v>0</v>
      </c>
    </row>
    <row r="28" spans="2:22" x14ac:dyDescent="0.3">
      <c r="B28" s="64" t="s">
        <v>231</v>
      </c>
      <c r="C28" s="151">
        <v>57</v>
      </c>
      <c r="D28" s="4">
        <v>48000000</v>
      </c>
      <c r="E28" s="6">
        <f t="shared" si="0"/>
        <v>0</v>
      </c>
      <c r="F28" s="4">
        <v>48000000</v>
      </c>
      <c r="G28" s="6">
        <f t="shared" si="1"/>
        <v>0</v>
      </c>
      <c r="H28" s="4">
        <v>9600000</v>
      </c>
      <c r="I28" s="6">
        <f t="shared" si="2"/>
        <v>0</v>
      </c>
      <c r="J28" s="4">
        <v>2400000</v>
      </c>
      <c r="K28" s="6">
        <f t="shared" si="3"/>
        <v>0</v>
      </c>
      <c r="L28" s="6">
        <v>90</v>
      </c>
      <c r="M28" s="6">
        <f t="shared" si="4"/>
        <v>0</v>
      </c>
      <c r="N28" s="6">
        <v>4</v>
      </c>
      <c r="O28" s="6">
        <f t="shared" si="5"/>
        <v>0</v>
      </c>
      <c r="Q28" s="6">
        <v>3</v>
      </c>
      <c r="R28" s="6"/>
      <c r="S28" s="6"/>
      <c r="T28" s="6"/>
      <c r="U28" s="6">
        <f t="shared" si="6"/>
        <v>259200</v>
      </c>
      <c r="V28" s="6">
        <f t="shared" si="7"/>
        <v>0</v>
      </c>
    </row>
    <row r="29" spans="2:22" x14ac:dyDescent="0.3">
      <c r="B29" s="64" t="s">
        <v>232</v>
      </c>
      <c r="C29" s="151">
        <v>58</v>
      </c>
      <c r="D29" s="4">
        <v>48000000</v>
      </c>
      <c r="E29" s="6">
        <f t="shared" si="0"/>
        <v>0</v>
      </c>
      <c r="F29" s="4">
        <v>48000000</v>
      </c>
      <c r="G29" s="6">
        <f t="shared" si="1"/>
        <v>0</v>
      </c>
      <c r="H29" s="4">
        <v>9600000</v>
      </c>
      <c r="I29" s="6">
        <f t="shared" si="2"/>
        <v>0</v>
      </c>
      <c r="J29" s="4">
        <v>2400000</v>
      </c>
      <c r="K29" s="6">
        <f t="shared" si="3"/>
        <v>0</v>
      </c>
      <c r="L29" s="6">
        <v>90</v>
      </c>
      <c r="M29" s="6">
        <f t="shared" si="4"/>
        <v>0</v>
      </c>
      <c r="N29" s="6">
        <v>4</v>
      </c>
      <c r="O29" s="6">
        <f t="shared" si="5"/>
        <v>0</v>
      </c>
      <c r="Q29" s="6">
        <v>3</v>
      </c>
      <c r="R29" s="6"/>
      <c r="S29" s="6"/>
      <c r="T29" s="6"/>
      <c r="U29" s="6">
        <f t="shared" si="6"/>
        <v>259200</v>
      </c>
      <c r="V29" s="6">
        <f t="shared" si="7"/>
        <v>0</v>
      </c>
    </row>
    <row r="30" spans="2:22" x14ac:dyDescent="0.3">
      <c r="B30" s="64" t="s">
        <v>233</v>
      </c>
      <c r="C30" s="151">
        <v>59</v>
      </c>
      <c r="D30" s="4">
        <v>48000000</v>
      </c>
      <c r="E30" s="6">
        <f t="shared" si="0"/>
        <v>0</v>
      </c>
      <c r="F30" s="4">
        <v>48000000</v>
      </c>
      <c r="G30" s="6">
        <f t="shared" si="1"/>
        <v>0</v>
      </c>
      <c r="H30" s="4">
        <v>9600000</v>
      </c>
      <c r="I30" s="6">
        <f t="shared" si="2"/>
        <v>0</v>
      </c>
      <c r="J30" s="4">
        <v>2400000</v>
      </c>
      <c r="K30" s="6">
        <f t="shared" si="3"/>
        <v>0</v>
      </c>
      <c r="L30" s="6">
        <v>90</v>
      </c>
      <c r="M30" s="6">
        <f t="shared" si="4"/>
        <v>0</v>
      </c>
      <c r="N30" s="6">
        <v>4</v>
      </c>
      <c r="O30" s="6">
        <f t="shared" si="5"/>
        <v>0</v>
      </c>
      <c r="Q30" s="6">
        <v>3</v>
      </c>
      <c r="R30" s="6"/>
      <c r="S30" s="6"/>
      <c r="T30" s="6"/>
      <c r="U30" s="6">
        <f t="shared" si="6"/>
        <v>259200</v>
      </c>
      <c r="V30" s="6">
        <f t="shared" si="7"/>
        <v>0</v>
      </c>
    </row>
    <row r="31" spans="2:22" x14ac:dyDescent="0.3">
      <c r="B31" s="64" t="s">
        <v>234</v>
      </c>
      <c r="C31" s="151">
        <v>60</v>
      </c>
      <c r="D31" s="4">
        <v>48000000</v>
      </c>
      <c r="E31" s="6">
        <f t="shared" si="0"/>
        <v>0</v>
      </c>
      <c r="F31" s="4">
        <v>48000000</v>
      </c>
      <c r="G31" s="6">
        <f t="shared" si="1"/>
        <v>0</v>
      </c>
      <c r="H31" s="4">
        <v>9600000</v>
      </c>
      <c r="I31" s="6">
        <f t="shared" si="2"/>
        <v>0</v>
      </c>
      <c r="J31" s="4">
        <v>2400000</v>
      </c>
      <c r="K31" s="6">
        <f t="shared" si="3"/>
        <v>0</v>
      </c>
      <c r="L31" s="6">
        <v>45</v>
      </c>
      <c r="M31" s="6">
        <f t="shared" si="4"/>
        <v>0</v>
      </c>
      <c r="N31" s="6">
        <v>9</v>
      </c>
      <c r="O31" s="6">
        <f t="shared" si="5"/>
        <v>0</v>
      </c>
      <c r="Q31" s="6">
        <v>3</v>
      </c>
      <c r="R31" s="6"/>
      <c r="S31" s="6"/>
      <c r="T31" s="6"/>
      <c r="U31" s="6">
        <f t="shared" si="6"/>
        <v>259200</v>
      </c>
      <c r="V31" s="6">
        <f t="shared" si="7"/>
        <v>0</v>
      </c>
    </row>
    <row r="32" spans="2:22" x14ac:dyDescent="0.3">
      <c r="B32" s="64" t="s">
        <v>235</v>
      </c>
      <c r="C32" s="151">
        <v>61</v>
      </c>
      <c r="D32" s="4">
        <v>54000000</v>
      </c>
      <c r="E32" s="6">
        <f t="shared" si="0"/>
        <v>0</v>
      </c>
      <c r="F32" s="4">
        <v>54000000</v>
      </c>
      <c r="G32" s="6">
        <f t="shared" si="1"/>
        <v>0</v>
      </c>
      <c r="H32" s="4">
        <v>10000000</v>
      </c>
      <c r="I32" s="6">
        <f t="shared" si="2"/>
        <v>0</v>
      </c>
      <c r="J32" s="4">
        <v>2700000</v>
      </c>
      <c r="K32" s="6">
        <f t="shared" si="3"/>
        <v>0</v>
      </c>
      <c r="L32" s="6">
        <v>108</v>
      </c>
      <c r="M32" s="6">
        <f t="shared" si="4"/>
        <v>0</v>
      </c>
      <c r="N32" s="6">
        <v>6</v>
      </c>
      <c r="O32" s="6">
        <f t="shared" si="5"/>
        <v>0</v>
      </c>
      <c r="Q32" s="6">
        <v>3</v>
      </c>
      <c r="R32" s="6">
        <v>14</v>
      </c>
      <c r="S32" s="6">
        <v>24</v>
      </c>
      <c r="T32" s="6"/>
      <c r="U32" s="6">
        <f t="shared" si="6"/>
        <v>311040</v>
      </c>
      <c r="V32" s="6">
        <f t="shared" si="7"/>
        <v>0</v>
      </c>
    </row>
    <row r="33" spans="2:22" x14ac:dyDescent="0.3">
      <c r="B33" s="64" t="s">
        <v>236</v>
      </c>
      <c r="C33" s="151">
        <v>62</v>
      </c>
      <c r="D33" s="4">
        <v>54000000</v>
      </c>
      <c r="E33" s="6">
        <f t="shared" si="0"/>
        <v>0</v>
      </c>
      <c r="F33" s="4">
        <v>54000000</v>
      </c>
      <c r="G33" s="6">
        <f t="shared" si="1"/>
        <v>0</v>
      </c>
      <c r="H33" s="4">
        <v>10000000</v>
      </c>
      <c r="I33" s="6">
        <f t="shared" si="2"/>
        <v>0</v>
      </c>
      <c r="J33" s="4">
        <v>2700000</v>
      </c>
      <c r="K33" s="6">
        <f t="shared" si="3"/>
        <v>0</v>
      </c>
      <c r="L33" s="6">
        <v>108</v>
      </c>
      <c r="M33" s="6">
        <f t="shared" si="4"/>
        <v>0</v>
      </c>
      <c r="N33" s="6">
        <v>6</v>
      </c>
      <c r="O33" s="6">
        <f t="shared" si="5"/>
        <v>0</v>
      </c>
      <c r="Q33" s="6">
        <v>3</v>
      </c>
      <c r="R33" s="6">
        <v>14</v>
      </c>
      <c r="S33" s="6">
        <v>24</v>
      </c>
      <c r="T33" s="6"/>
      <c r="U33" s="6">
        <f t="shared" si="6"/>
        <v>311040</v>
      </c>
      <c r="V33" s="6">
        <f t="shared" si="7"/>
        <v>0</v>
      </c>
    </row>
    <row r="34" spans="2:22" x14ac:dyDescent="0.3">
      <c r="B34" s="64" t="s">
        <v>237</v>
      </c>
      <c r="C34" s="151">
        <v>63</v>
      </c>
      <c r="D34" s="4">
        <v>54000000</v>
      </c>
      <c r="E34" s="6">
        <f t="shared" si="0"/>
        <v>0</v>
      </c>
      <c r="F34" s="4">
        <v>54000000</v>
      </c>
      <c r="G34" s="6">
        <f t="shared" si="1"/>
        <v>0</v>
      </c>
      <c r="H34" s="4">
        <v>10000000</v>
      </c>
      <c r="I34" s="6">
        <f t="shared" si="2"/>
        <v>0</v>
      </c>
      <c r="J34" s="4">
        <v>2700000</v>
      </c>
      <c r="K34" s="6">
        <f t="shared" si="3"/>
        <v>0</v>
      </c>
      <c r="L34" s="6">
        <v>108</v>
      </c>
      <c r="M34" s="6">
        <f t="shared" si="4"/>
        <v>0</v>
      </c>
      <c r="N34" s="6">
        <v>6</v>
      </c>
      <c r="O34" s="6">
        <f t="shared" si="5"/>
        <v>0</v>
      </c>
      <c r="Q34" s="6">
        <v>3</v>
      </c>
      <c r="R34" s="6">
        <v>14</v>
      </c>
      <c r="S34" s="6">
        <v>24</v>
      </c>
      <c r="T34" s="6"/>
      <c r="U34" s="6">
        <f t="shared" si="6"/>
        <v>311040</v>
      </c>
      <c r="V34" s="6">
        <f t="shared" si="7"/>
        <v>0</v>
      </c>
    </row>
    <row r="35" spans="2:22" x14ac:dyDescent="0.3">
      <c r="B35" s="64" t="s">
        <v>238</v>
      </c>
      <c r="C35" s="151">
        <v>64</v>
      </c>
      <c r="D35" s="4">
        <v>54000000</v>
      </c>
      <c r="E35" s="6">
        <f t="shared" si="0"/>
        <v>0</v>
      </c>
      <c r="F35" s="4">
        <v>54000000</v>
      </c>
      <c r="G35" s="6">
        <f t="shared" si="1"/>
        <v>0</v>
      </c>
      <c r="H35" s="4">
        <v>10000000</v>
      </c>
      <c r="I35" s="6">
        <f t="shared" si="2"/>
        <v>0</v>
      </c>
      <c r="J35" s="4">
        <v>2700000</v>
      </c>
      <c r="K35" s="6">
        <f t="shared" si="3"/>
        <v>0</v>
      </c>
      <c r="L35" s="6">
        <v>108</v>
      </c>
      <c r="M35" s="6">
        <f t="shared" si="4"/>
        <v>0</v>
      </c>
      <c r="N35" s="6">
        <v>6</v>
      </c>
      <c r="O35" s="6">
        <f t="shared" si="5"/>
        <v>0</v>
      </c>
      <c r="Q35" s="6">
        <v>3</v>
      </c>
      <c r="R35" s="6">
        <v>14</v>
      </c>
      <c r="S35" s="6">
        <v>24</v>
      </c>
      <c r="T35" s="6"/>
      <c r="U35" s="6">
        <f t="shared" si="6"/>
        <v>311040</v>
      </c>
      <c r="V35" s="6">
        <f t="shared" si="7"/>
        <v>0</v>
      </c>
    </row>
    <row r="36" spans="2:22" x14ac:dyDescent="0.3">
      <c r="B36" s="64" t="s">
        <v>239</v>
      </c>
      <c r="C36" s="151">
        <v>65</v>
      </c>
      <c r="D36" s="4">
        <v>54000000</v>
      </c>
      <c r="E36" s="6">
        <f t="shared" si="0"/>
        <v>0</v>
      </c>
      <c r="F36" s="4">
        <v>54000000</v>
      </c>
      <c r="G36" s="6">
        <f t="shared" si="1"/>
        <v>0</v>
      </c>
      <c r="H36" s="4">
        <v>10000000</v>
      </c>
      <c r="I36" s="6">
        <f t="shared" si="2"/>
        <v>0</v>
      </c>
      <c r="J36" s="4">
        <v>2700000</v>
      </c>
      <c r="K36" s="6">
        <f t="shared" si="3"/>
        <v>0</v>
      </c>
      <c r="L36" s="6">
        <v>54</v>
      </c>
      <c r="M36" s="6">
        <f t="shared" si="4"/>
        <v>0</v>
      </c>
      <c r="N36" s="6">
        <v>13</v>
      </c>
      <c r="O36" s="6">
        <f t="shared" si="5"/>
        <v>0</v>
      </c>
      <c r="Q36" s="6">
        <v>3</v>
      </c>
      <c r="R36" s="6">
        <v>14</v>
      </c>
      <c r="S36" s="6">
        <v>24</v>
      </c>
      <c r="T36" s="6"/>
      <c r="U36" s="6">
        <f t="shared" ref="U36:U51" si="8">T36+S36*60+R36*60*60+Q36*60*60*24</f>
        <v>311040</v>
      </c>
      <c r="V36" s="6">
        <f t="shared" si="7"/>
        <v>0</v>
      </c>
    </row>
    <row r="37" spans="2:22" x14ac:dyDescent="0.3">
      <c r="B37" s="64" t="s">
        <v>240</v>
      </c>
      <c r="C37" s="151">
        <v>66</v>
      </c>
      <c r="D37" s="4">
        <v>66000000</v>
      </c>
      <c r="E37" s="6">
        <f t="shared" si="0"/>
        <v>0</v>
      </c>
      <c r="F37" s="4">
        <v>66000000</v>
      </c>
      <c r="G37" s="6">
        <f t="shared" si="1"/>
        <v>0</v>
      </c>
      <c r="H37" s="4">
        <v>13000000</v>
      </c>
      <c r="I37" s="6">
        <f t="shared" si="2"/>
        <v>0</v>
      </c>
      <c r="J37" s="4">
        <v>3300000</v>
      </c>
      <c r="K37" s="6">
        <f t="shared" si="3"/>
        <v>0</v>
      </c>
      <c r="L37" s="6">
        <v>108</v>
      </c>
      <c r="M37" s="6">
        <f t="shared" si="4"/>
        <v>0</v>
      </c>
      <c r="N37" s="6">
        <v>9</v>
      </c>
      <c r="O37" s="6">
        <f t="shared" si="5"/>
        <v>0</v>
      </c>
      <c r="Q37" s="6">
        <v>4</v>
      </c>
      <c r="R37" s="6"/>
      <c r="S37" s="6"/>
      <c r="T37" s="6"/>
      <c r="U37" s="6">
        <f t="shared" si="8"/>
        <v>345600</v>
      </c>
      <c r="V37" s="6">
        <f t="shared" si="7"/>
        <v>0</v>
      </c>
    </row>
    <row r="38" spans="2:22" x14ac:dyDescent="0.3">
      <c r="B38" s="64" t="s">
        <v>241</v>
      </c>
      <c r="C38" s="151">
        <v>67</v>
      </c>
      <c r="D38" s="4">
        <v>66000000</v>
      </c>
      <c r="E38" s="6">
        <f t="shared" si="0"/>
        <v>0</v>
      </c>
      <c r="F38" s="4">
        <v>66000000</v>
      </c>
      <c r="G38" s="6">
        <f t="shared" si="1"/>
        <v>0</v>
      </c>
      <c r="H38" s="4">
        <v>13000000</v>
      </c>
      <c r="I38" s="6">
        <f t="shared" si="2"/>
        <v>0</v>
      </c>
      <c r="J38" s="4">
        <v>3300000</v>
      </c>
      <c r="K38" s="6">
        <f t="shared" si="3"/>
        <v>0</v>
      </c>
      <c r="L38" s="6">
        <v>108</v>
      </c>
      <c r="M38" s="6">
        <f t="shared" si="4"/>
        <v>0</v>
      </c>
      <c r="N38" s="6">
        <v>9</v>
      </c>
      <c r="O38" s="6">
        <f t="shared" si="5"/>
        <v>0</v>
      </c>
      <c r="Q38" s="6">
        <v>4</v>
      </c>
      <c r="R38" s="6"/>
      <c r="S38" s="6"/>
      <c r="T38" s="6"/>
      <c r="U38" s="6">
        <f t="shared" si="8"/>
        <v>345600</v>
      </c>
      <c r="V38" s="6">
        <f t="shared" si="7"/>
        <v>0</v>
      </c>
    </row>
    <row r="39" spans="2:22" x14ac:dyDescent="0.3">
      <c r="B39" s="64" t="s">
        <v>242</v>
      </c>
      <c r="C39" s="151">
        <v>68</v>
      </c>
      <c r="D39" s="4">
        <v>66000000</v>
      </c>
      <c r="E39" s="6">
        <f t="shared" si="0"/>
        <v>0</v>
      </c>
      <c r="F39" s="4">
        <v>66000000</v>
      </c>
      <c r="G39" s="6">
        <f t="shared" si="1"/>
        <v>0</v>
      </c>
      <c r="H39" s="4">
        <v>13000000</v>
      </c>
      <c r="I39" s="6">
        <f t="shared" si="2"/>
        <v>0</v>
      </c>
      <c r="J39" s="4">
        <v>3300000</v>
      </c>
      <c r="K39" s="6">
        <f t="shared" si="3"/>
        <v>0</v>
      </c>
      <c r="L39" s="6">
        <v>108</v>
      </c>
      <c r="M39" s="6">
        <f t="shared" si="4"/>
        <v>0</v>
      </c>
      <c r="N39" s="6">
        <v>9</v>
      </c>
      <c r="O39" s="6">
        <f t="shared" si="5"/>
        <v>0</v>
      </c>
      <c r="Q39" s="6">
        <v>4</v>
      </c>
      <c r="R39" s="6"/>
      <c r="S39" s="6"/>
      <c r="T39" s="6"/>
      <c r="U39" s="6">
        <f t="shared" si="8"/>
        <v>345600</v>
      </c>
      <c r="V39" s="6">
        <f t="shared" si="7"/>
        <v>0</v>
      </c>
    </row>
    <row r="40" spans="2:22" x14ac:dyDescent="0.3">
      <c r="B40" s="64" t="s">
        <v>243</v>
      </c>
      <c r="C40" s="151">
        <v>69</v>
      </c>
      <c r="D40" s="4">
        <v>66000000</v>
      </c>
      <c r="E40" s="6">
        <f t="shared" si="0"/>
        <v>0</v>
      </c>
      <c r="F40" s="4">
        <v>66000000</v>
      </c>
      <c r="G40" s="6">
        <f t="shared" si="1"/>
        <v>0</v>
      </c>
      <c r="H40" s="4">
        <v>13000000</v>
      </c>
      <c r="I40" s="6">
        <f t="shared" si="2"/>
        <v>0</v>
      </c>
      <c r="J40" s="4">
        <v>3300000</v>
      </c>
      <c r="K40" s="6">
        <f t="shared" si="3"/>
        <v>0</v>
      </c>
      <c r="L40" s="6">
        <v>108</v>
      </c>
      <c r="M40" s="6">
        <f t="shared" si="4"/>
        <v>0</v>
      </c>
      <c r="N40" s="6">
        <v>9</v>
      </c>
      <c r="O40" s="6">
        <f t="shared" si="5"/>
        <v>0</v>
      </c>
      <c r="Q40" s="6">
        <v>4</v>
      </c>
      <c r="R40" s="6"/>
      <c r="S40" s="6"/>
      <c r="T40" s="6"/>
      <c r="U40" s="6">
        <f t="shared" si="8"/>
        <v>345600</v>
      </c>
      <c r="V40" s="6">
        <f t="shared" si="7"/>
        <v>0</v>
      </c>
    </row>
    <row r="41" spans="2:22" x14ac:dyDescent="0.3">
      <c r="B41" s="64" t="s">
        <v>244</v>
      </c>
      <c r="C41" s="151">
        <v>70</v>
      </c>
      <c r="D41" s="4">
        <v>66000000</v>
      </c>
      <c r="E41" s="6">
        <f t="shared" si="0"/>
        <v>0</v>
      </c>
      <c r="F41" s="4">
        <v>66000000</v>
      </c>
      <c r="G41" s="6">
        <f t="shared" si="1"/>
        <v>0</v>
      </c>
      <c r="H41" s="4">
        <v>13000000</v>
      </c>
      <c r="I41" s="6">
        <f t="shared" si="2"/>
        <v>0</v>
      </c>
      <c r="J41" s="4">
        <v>3300000</v>
      </c>
      <c r="K41" s="6">
        <f t="shared" si="3"/>
        <v>0</v>
      </c>
      <c r="L41" s="6">
        <v>54</v>
      </c>
      <c r="M41" s="6">
        <f t="shared" si="4"/>
        <v>0</v>
      </c>
      <c r="N41" s="6">
        <v>18</v>
      </c>
      <c r="O41" s="6">
        <f t="shared" si="5"/>
        <v>0</v>
      </c>
      <c r="Q41" s="6">
        <v>4</v>
      </c>
      <c r="R41" s="6"/>
      <c r="S41" s="6"/>
      <c r="T41" s="6"/>
      <c r="U41" s="6">
        <f t="shared" si="8"/>
        <v>345600</v>
      </c>
      <c r="V41" s="6">
        <f t="shared" si="7"/>
        <v>0</v>
      </c>
    </row>
    <row r="42" spans="2:22" x14ac:dyDescent="0.3">
      <c r="B42" s="64" t="s">
        <v>450</v>
      </c>
      <c r="C42" s="151">
        <v>71</v>
      </c>
      <c r="D42" s="4">
        <v>72000000</v>
      </c>
      <c r="E42" s="6">
        <f t="shared" si="0"/>
        <v>0</v>
      </c>
      <c r="F42" s="4">
        <v>72000000</v>
      </c>
      <c r="G42" s="6">
        <f t="shared" si="1"/>
        <v>0</v>
      </c>
      <c r="H42" s="4">
        <v>14000000</v>
      </c>
      <c r="I42" s="6">
        <f t="shared" si="2"/>
        <v>0</v>
      </c>
      <c r="J42" s="4">
        <v>3600000</v>
      </c>
      <c r="K42" s="6">
        <f t="shared" si="3"/>
        <v>0</v>
      </c>
      <c r="L42" s="4">
        <v>126</v>
      </c>
      <c r="M42" s="6">
        <f t="shared" si="4"/>
        <v>0</v>
      </c>
      <c r="N42" s="4">
        <v>13</v>
      </c>
      <c r="O42" s="6">
        <f t="shared" si="5"/>
        <v>0</v>
      </c>
      <c r="Q42" s="6">
        <v>2</v>
      </c>
      <c r="R42" s="6">
        <v>14</v>
      </c>
      <c r="S42" s="6">
        <v>24</v>
      </c>
      <c r="T42" s="6"/>
      <c r="U42" s="6">
        <f t="shared" si="8"/>
        <v>224640</v>
      </c>
      <c r="V42" s="6">
        <f t="shared" si="7"/>
        <v>0</v>
      </c>
    </row>
    <row r="43" spans="2:22" x14ac:dyDescent="0.3">
      <c r="B43" s="64" t="s">
        <v>451</v>
      </c>
      <c r="C43" s="151">
        <v>72</v>
      </c>
      <c r="D43" s="4">
        <v>72000000</v>
      </c>
      <c r="E43" s="6">
        <f t="shared" si="0"/>
        <v>0</v>
      </c>
      <c r="F43" s="4">
        <v>72000000</v>
      </c>
      <c r="G43" s="6">
        <f t="shared" si="1"/>
        <v>0</v>
      </c>
      <c r="H43" s="4">
        <v>14000000</v>
      </c>
      <c r="I43" s="6">
        <f t="shared" si="2"/>
        <v>0</v>
      </c>
      <c r="J43" s="4">
        <v>3600000</v>
      </c>
      <c r="K43" s="6">
        <f t="shared" si="3"/>
        <v>0</v>
      </c>
      <c r="L43" s="4">
        <v>126</v>
      </c>
      <c r="M43" s="6">
        <f t="shared" si="4"/>
        <v>0</v>
      </c>
      <c r="N43" s="4">
        <v>13</v>
      </c>
      <c r="O43" s="6">
        <f t="shared" si="5"/>
        <v>0</v>
      </c>
      <c r="Q43" s="6">
        <v>2</v>
      </c>
      <c r="R43" s="6">
        <v>14</v>
      </c>
      <c r="S43" s="6">
        <v>24</v>
      </c>
      <c r="T43" s="6"/>
      <c r="U43" s="6">
        <f t="shared" si="8"/>
        <v>224640</v>
      </c>
      <c r="V43" s="6">
        <f t="shared" si="7"/>
        <v>0</v>
      </c>
    </row>
    <row r="44" spans="2:22" x14ac:dyDescent="0.3">
      <c r="B44" s="64" t="s">
        <v>452</v>
      </c>
      <c r="C44" s="151">
        <v>73</v>
      </c>
      <c r="D44" s="4">
        <v>72000000</v>
      </c>
      <c r="E44" s="6">
        <f t="shared" si="0"/>
        <v>0</v>
      </c>
      <c r="F44" s="4">
        <v>72000000</v>
      </c>
      <c r="G44" s="6">
        <f t="shared" si="1"/>
        <v>0</v>
      </c>
      <c r="H44" s="4">
        <v>14000000</v>
      </c>
      <c r="I44" s="6">
        <f t="shared" si="2"/>
        <v>0</v>
      </c>
      <c r="J44" s="4">
        <v>3600000</v>
      </c>
      <c r="K44" s="6">
        <f t="shared" si="3"/>
        <v>0</v>
      </c>
      <c r="L44" s="4">
        <v>126</v>
      </c>
      <c r="M44" s="6">
        <f t="shared" si="4"/>
        <v>0</v>
      </c>
      <c r="N44" s="4">
        <v>13</v>
      </c>
      <c r="O44" s="6">
        <f t="shared" si="5"/>
        <v>0</v>
      </c>
      <c r="Q44" s="6">
        <v>2</v>
      </c>
      <c r="R44" s="6">
        <v>14</v>
      </c>
      <c r="S44" s="6">
        <v>24</v>
      </c>
      <c r="T44" s="6"/>
      <c r="U44" s="6">
        <f t="shared" si="8"/>
        <v>224640</v>
      </c>
      <c r="V44" s="6">
        <f t="shared" si="7"/>
        <v>0</v>
      </c>
    </row>
    <row r="45" spans="2:22" x14ac:dyDescent="0.3">
      <c r="B45" s="64" t="s">
        <v>453</v>
      </c>
      <c r="C45" s="151">
        <v>74</v>
      </c>
      <c r="D45" s="4">
        <v>72000000</v>
      </c>
      <c r="E45" s="6">
        <f t="shared" si="0"/>
        <v>0</v>
      </c>
      <c r="F45" s="4">
        <v>72000000</v>
      </c>
      <c r="G45" s="6">
        <f t="shared" si="1"/>
        <v>0</v>
      </c>
      <c r="H45" s="4">
        <v>14000000</v>
      </c>
      <c r="I45" s="6">
        <f t="shared" si="2"/>
        <v>0</v>
      </c>
      <c r="J45" s="4">
        <v>3600000</v>
      </c>
      <c r="K45" s="6">
        <f t="shared" si="3"/>
        <v>0</v>
      </c>
      <c r="L45" s="4">
        <v>126</v>
      </c>
      <c r="M45" s="6">
        <f t="shared" si="4"/>
        <v>0</v>
      </c>
      <c r="N45" s="4">
        <v>13</v>
      </c>
      <c r="O45" s="6">
        <f t="shared" si="5"/>
        <v>0</v>
      </c>
      <c r="Q45" s="6">
        <v>2</v>
      </c>
      <c r="R45" s="6">
        <v>14</v>
      </c>
      <c r="S45" s="6">
        <v>24</v>
      </c>
      <c r="T45" s="6"/>
      <c r="U45" s="6">
        <f t="shared" si="8"/>
        <v>224640</v>
      </c>
      <c r="V45" s="6">
        <f t="shared" si="7"/>
        <v>0</v>
      </c>
    </row>
    <row r="46" spans="2:22" x14ac:dyDescent="0.3">
      <c r="B46" s="64" t="s">
        <v>454</v>
      </c>
      <c r="C46" s="151">
        <v>75</v>
      </c>
      <c r="D46" s="4">
        <v>72000000</v>
      </c>
      <c r="E46" s="6">
        <f t="shared" si="0"/>
        <v>0</v>
      </c>
      <c r="F46" s="4">
        <v>72000000</v>
      </c>
      <c r="G46" s="6">
        <f t="shared" si="1"/>
        <v>0</v>
      </c>
      <c r="H46" s="4">
        <v>14000000</v>
      </c>
      <c r="I46" s="6">
        <f t="shared" si="2"/>
        <v>0</v>
      </c>
      <c r="J46" s="4">
        <v>3600000</v>
      </c>
      <c r="K46" s="6">
        <f t="shared" si="3"/>
        <v>0</v>
      </c>
      <c r="L46" s="4">
        <v>63</v>
      </c>
      <c r="M46" s="6">
        <f t="shared" si="4"/>
        <v>0</v>
      </c>
      <c r="N46" s="4">
        <v>27</v>
      </c>
      <c r="O46" s="6">
        <f t="shared" si="5"/>
        <v>0</v>
      </c>
      <c r="Q46" s="6">
        <v>2</v>
      </c>
      <c r="R46" s="6">
        <v>14</v>
      </c>
      <c r="S46" s="6">
        <v>24</v>
      </c>
      <c r="T46" s="6"/>
      <c r="U46" s="6">
        <f t="shared" si="8"/>
        <v>224640</v>
      </c>
      <c r="V46" s="6">
        <f t="shared" si="7"/>
        <v>0</v>
      </c>
    </row>
    <row r="47" spans="2:22" x14ac:dyDescent="0.3">
      <c r="B47" s="64" t="s">
        <v>455</v>
      </c>
      <c r="C47" s="151">
        <v>76</v>
      </c>
      <c r="D47" s="4">
        <v>84000000</v>
      </c>
      <c r="E47" s="6">
        <f t="shared" si="0"/>
        <v>0</v>
      </c>
      <c r="F47" s="4">
        <v>84000000</v>
      </c>
      <c r="G47" s="6">
        <f t="shared" si="1"/>
        <v>0</v>
      </c>
      <c r="H47" s="4">
        <v>16000000</v>
      </c>
      <c r="I47" s="6">
        <f t="shared" si="2"/>
        <v>0</v>
      </c>
      <c r="J47" s="4">
        <v>7200000</v>
      </c>
      <c r="K47" s="6">
        <f t="shared" si="3"/>
        <v>0</v>
      </c>
      <c r="L47" s="4">
        <v>157</v>
      </c>
      <c r="M47" s="6">
        <f t="shared" si="4"/>
        <v>0</v>
      </c>
      <c r="N47" s="4">
        <v>31</v>
      </c>
      <c r="O47" s="6">
        <f t="shared" si="5"/>
        <v>0</v>
      </c>
      <c r="Q47" s="6">
        <v>4</v>
      </c>
      <c r="R47" s="6"/>
      <c r="S47" s="6"/>
      <c r="T47" s="6"/>
      <c r="U47" s="6">
        <f t="shared" si="8"/>
        <v>345600</v>
      </c>
      <c r="V47" s="6">
        <f t="shared" si="7"/>
        <v>0</v>
      </c>
    </row>
    <row r="48" spans="2:22" x14ac:dyDescent="0.3">
      <c r="B48" s="64" t="s">
        <v>456</v>
      </c>
      <c r="C48" s="151">
        <v>77</v>
      </c>
      <c r="D48" s="4">
        <v>84000000</v>
      </c>
      <c r="E48" s="6">
        <f t="shared" si="0"/>
        <v>0</v>
      </c>
      <c r="F48" s="4">
        <v>84000000</v>
      </c>
      <c r="G48" s="6">
        <f t="shared" si="1"/>
        <v>0</v>
      </c>
      <c r="H48" s="4">
        <v>16000000</v>
      </c>
      <c r="I48" s="6">
        <f t="shared" si="2"/>
        <v>0</v>
      </c>
      <c r="J48" s="4">
        <v>7200000</v>
      </c>
      <c r="K48" s="6">
        <f t="shared" si="3"/>
        <v>0</v>
      </c>
      <c r="L48" s="4">
        <v>157</v>
      </c>
      <c r="M48" s="6">
        <f t="shared" si="4"/>
        <v>0</v>
      </c>
      <c r="N48" s="4">
        <v>31</v>
      </c>
      <c r="O48" s="6">
        <f t="shared" si="5"/>
        <v>0</v>
      </c>
      <c r="Q48" s="6">
        <v>4</v>
      </c>
      <c r="R48" s="6"/>
      <c r="S48" s="6"/>
      <c r="T48" s="6"/>
      <c r="U48" s="6">
        <f t="shared" si="8"/>
        <v>345600</v>
      </c>
      <c r="V48" s="6">
        <f t="shared" si="7"/>
        <v>0</v>
      </c>
    </row>
    <row r="49" spans="2:22" x14ac:dyDescent="0.3">
      <c r="B49" s="64" t="s">
        <v>457</v>
      </c>
      <c r="C49" s="151">
        <v>78</v>
      </c>
      <c r="D49" s="4">
        <v>84000000</v>
      </c>
      <c r="E49" s="6">
        <f t="shared" si="0"/>
        <v>0</v>
      </c>
      <c r="F49" s="4">
        <v>84000000</v>
      </c>
      <c r="G49" s="6">
        <f t="shared" si="1"/>
        <v>0</v>
      </c>
      <c r="H49" s="4">
        <v>16000000</v>
      </c>
      <c r="I49" s="6">
        <f t="shared" si="2"/>
        <v>0</v>
      </c>
      <c r="J49" s="4">
        <v>7200000</v>
      </c>
      <c r="K49" s="6">
        <f t="shared" si="3"/>
        <v>0</v>
      </c>
      <c r="L49" s="4">
        <v>157</v>
      </c>
      <c r="M49" s="6">
        <f t="shared" si="4"/>
        <v>0</v>
      </c>
      <c r="N49" s="4">
        <v>31</v>
      </c>
      <c r="O49" s="6">
        <f t="shared" si="5"/>
        <v>0</v>
      </c>
      <c r="Q49" s="6">
        <v>4</v>
      </c>
      <c r="R49" s="6"/>
      <c r="S49" s="6"/>
      <c r="T49" s="6"/>
      <c r="U49" s="6">
        <f t="shared" si="8"/>
        <v>345600</v>
      </c>
      <c r="V49" s="6">
        <f t="shared" si="7"/>
        <v>0</v>
      </c>
    </row>
    <row r="50" spans="2:22" x14ac:dyDescent="0.3">
      <c r="B50" s="64" t="s">
        <v>458</v>
      </c>
      <c r="C50" s="151">
        <v>79</v>
      </c>
      <c r="D50" s="4">
        <v>84000000</v>
      </c>
      <c r="E50" s="6">
        <f t="shared" si="0"/>
        <v>0</v>
      </c>
      <c r="F50" s="4">
        <v>84000000</v>
      </c>
      <c r="G50" s="6">
        <f t="shared" si="1"/>
        <v>0</v>
      </c>
      <c r="H50" s="4">
        <v>16000000</v>
      </c>
      <c r="I50" s="6">
        <f t="shared" si="2"/>
        <v>0</v>
      </c>
      <c r="J50" s="4">
        <v>7200000</v>
      </c>
      <c r="K50" s="6">
        <f t="shared" si="3"/>
        <v>0</v>
      </c>
      <c r="L50" s="4">
        <v>157</v>
      </c>
      <c r="M50" s="6">
        <f t="shared" si="4"/>
        <v>0</v>
      </c>
      <c r="N50" s="4">
        <v>31</v>
      </c>
      <c r="O50" s="6">
        <f t="shared" si="5"/>
        <v>0</v>
      </c>
      <c r="Q50" s="6">
        <v>4</v>
      </c>
      <c r="R50" s="6"/>
      <c r="S50" s="6"/>
      <c r="T50" s="6"/>
      <c r="U50" s="6">
        <f t="shared" si="8"/>
        <v>345600</v>
      </c>
      <c r="V50" s="6">
        <f t="shared" si="7"/>
        <v>0</v>
      </c>
    </row>
    <row r="51" spans="2:22" x14ac:dyDescent="0.3">
      <c r="B51" s="64" t="s">
        <v>459</v>
      </c>
      <c r="C51" s="151">
        <v>80</v>
      </c>
      <c r="D51" s="4">
        <v>84000000</v>
      </c>
      <c r="E51" s="6">
        <f t="shared" si="0"/>
        <v>0</v>
      </c>
      <c r="F51" s="4">
        <v>84000000</v>
      </c>
      <c r="G51" s="6">
        <f t="shared" si="1"/>
        <v>0</v>
      </c>
      <c r="H51" s="4">
        <v>16000000</v>
      </c>
      <c r="I51" s="6">
        <f t="shared" si="2"/>
        <v>0</v>
      </c>
      <c r="J51" s="4">
        <v>7200000</v>
      </c>
      <c r="K51" s="6">
        <f t="shared" si="3"/>
        <v>0</v>
      </c>
      <c r="L51" s="4">
        <v>78</v>
      </c>
      <c r="M51" s="6">
        <f t="shared" si="4"/>
        <v>0</v>
      </c>
      <c r="N51" s="4">
        <v>61</v>
      </c>
      <c r="O51" s="6">
        <f t="shared" si="5"/>
        <v>0</v>
      </c>
      <c r="Q51" s="6">
        <v>4</v>
      </c>
      <c r="R51" s="6"/>
      <c r="S51" s="6"/>
      <c r="T51" s="6"/>
      <c r="U51" s="6">
        <f t="shared" si="8"/>
        <v>345600</v>
      </c>
      <c r="V51" s="6">
        <f t="shared" si="7"/>
        <v>0</v>
      </c>
    </row>
    <row r="52" spans="2:22" x14ac:dyDescent="0.3">
      <c r="Q52" s="6"/>
      <c r="R52" s="6"/>
      <c r="S52" s="6"/>
      <c r="T52" s="6"/>
      <c r="U52" s="6"/>
      <c r="V52" s="6"/>
    </row>
    <row r="53" spans="2:22" x14ac:dyDescent="0.3">
      <c r="D53" s="4">
        <f>SUM(D6:D51)</f>
        <v>2410000000</v>
      </c>
      <c r="E53" s="4">
        <f t="shared" ref="E53:V53" si="9">SUM(E6:E51)</f>
        <v>0</v>
      </c>
      <c r="F53" s="4">
        <f t="shared" si="9"/>
        <v>2410000000</v>
      </c>
      <c r="G53" s="4">
        <f t="shared" si="9"/>
        <v>0</v>
      </c>
      <c r="H53" s="4">
        <f t="shared" si="9"/>
        <v>470500000</v>
      </c>
      <c r="I53" s="4">
        <f t="shared" si="9"/>
        <v>0</v>
      </c>
      <c r="J53" s="4">
        <f t="shared" si="9"/>
        <v>135000000</v>
      </c>
      <c r="K53" s="4">
        <f t="shared" si="9"/>
        <v>0</v>
      </c>
      <c r="L53" s="4">
        <f t="shared" si="9"/>
        <v>4920</v>
      </c>
      <c r="M53" s="4">
        <f t="shared" si="9"/>
        <v>0</v>
      </c>
      <c r="N53" s="4">
        <f t="shared" si="9"/>
        <v>380</v>
      </c>
      <c r="O53" s="4">
        <f t="shared" si="9"/>
        <v>0</v>
      </c>
      <c r="P53" s="4">
        <f t="shared" si="9"/>
        <v>0</v>
      </c>
      <c r="Q53" s="4">
        <f t="shared" si="9"/>
        <v>115</v>
      </c>
      <c r="R53" s="4">
        <f t="shared" si="9"/>
        <v>395</v>
      </c>
      <c r="S53" s="4">
        <f t="shared" si="9"/>
        <v>780</v>
      </c>
      <c r="T53" s="4">
        <f t="shared" si="9"/>
        <v>2</v>
      </c>
      <c r="U53" s="4">
        <f t="shared" si="9"/>
        <v>11404802</v>
      </c>
      <c r="V53" s="4">
        <f t="shared" si="9"/>
        <v>0</v>
      </c>
    </row>
    <row r="55" spans="2:22" x14ac:dyDescent="0.3">
      <c r="T55" s="4" t="s">
        <v>21</v>
      </c>
      <c r="U55" s="4">
        <f>ROUNDDOWN(U53/60/60/24,0)</f>
        <v>132</v>
      </c>
      <c r="V55" s="4">
        <f>ROUNDDOWN(V53/60/60/24,0)</f>
        <v>0</v>
      </c>
    </row>
    <row r="56" spans="2:22" x14ac:dyDescent="0.3">
      <c r="T56" s="4" t="s">
        <v>20</v>
      </c>
      <c r="U56" s="4">
        <f>ROUNDDOWN((U53-U55*60*60*24)/60/60,0)</f>
        <v>0</v>
      </c>
      <c r="V56" s="4">
        <f>ROUNDDOWN((V53-V55*60*60*24)/60/60,0)</f>
        <v>0</v>
      </c>
    </row>
    <row r="57" spans="2:22" x14ac:dyDescent="0.3">
      <c r="T57" s="4" t="s">
        <v>19</v>
      </c>
      <c r="U57" s="4">
        <f>ROUNDDOWN((U53-U55*60*60*24-U56*60*60)/60,0)</f>
        <v>0</v>
      </c>
      <c r="V57" s="4">
        <f>ROUNDDOWN((V53-V55*60*60*24-V56*60*60)/60,0)</f>
        <v>0</v>
      </c>
    </row>
    <row r="58" spans="2:22" x14ac:dyDescent="0.3">
      <c r="T58" s="4" t="s">
        <v>18</v>
      </c>
      <c r="U58" s="4">
        <f>ROUNDDOWN((U53-U55*60*60*24-U56*60*60-U57*60),0)</f>
        <v>2</v>
      </c>
      <c r="V58" s="4">
        <f>ROUNDDOWN((V53-V55*60*60*24-V56*60*60-V57*60),0)</f>
        <v>0</v>
      </c>
    </row>
  </sheetData>
  <sheetProtection sheet="1" objects="1" scenarios="1" formatColumns="0"/>
  <mergeCells count="9">
    <mergeCell ref="D3:M3"/>
    <mergeCell ref="Q3:V3"/>
    <mergeCell ref="D4:E4"/>
    <mergeCell ref="F4:G4"/>
    <mergeCell ref="H4:I4"/>
    <mergeCell ref="J4:K4"/>
    <mergeCell ref="L4:M4"/>
    <mergeCell ref="N4:O4"/>
    <mergeCell ref="U4:V4"/>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C119-9A99-413F-A1A0-4249CC37DBA1}">
  <dimension ref="A1:AL232"/>
  <sheetViews>
    <sheetView workbookViewId="0">
      <selection sqref="A1:W2"/>
    </sheetView>
  </sheetViews>
  <sheetFormatPr baseColWidth="10" defaultColWidth="8.88671875" defaultRowHeight="14.4" x14ac:dyDescent="0.3"/>
  <cols>
    <col min="2" max="3" width="9.109375" style="9"/>
    <col min="7" max="7" width="9.109375" style="288"/>
    <col min="8" max="8" width="10.109375" bestFit="1" customWidth="1"/>
    <col min="10" max="10" width="9.109375" style="289"/>
    <col min="11" max="11" width="10.109375" style="289" bestFit="1" customWidth="1"/>
    <col min="12" max="12" width="11.33203125" style="38" bestFit="1" customWidth="1"/>
    <col min="13" max="14" width="9.109375" style="289"/>
    <col min="15" max="15" width="9.88671875" customWidth="1"/>
    <col min="16" max="16" width="11.109375" bestFit="1" customWidth="1"/>
    <col min="17" max="17" width="11.44140625" style="288" bestFit="1" customWidth="1"/>
    <col min="18" max="18" width="11.33203125" style="289" bestFit="1" customWidth="1"/>
    <col min="21" max="21" width="10.109375" bestFit="1" customWidth="1"/>
    <col min="22" max="22" width="9.88671875" style="38" bestFit="1" customWidth="1"/>
    <col min="23" max="23" width="10.109375" bestFit="1" customWidth="1"/>
    <col min="24" max="24" width="11.109375" bestFit="1" customWidth="1"/>
    <col min="25" max="25" width="10.109375" bestFit="1" customWidth="1"/>
    <col min="27" max="27" width="11.33203125" bestFit="1" customWidth="1"/>
    <col min="28" max="28" width="10.109375" bestFit="1" customWidth="1"/>
    <col min="29" max="29" width="9.6640625" bestFit="1" customWidth="1"/>
    <col min="30" max="30" width="11.33203125" bestFit="1" customWidth="1"/>
    <col min="32" max="32" width="11.33203125" bestFit="1" customWidth="1"/>
    <col min="33" max="33" width="9.44140625" bestFit="1" customWidth="1"/>
    <col min="34" max="34" width="11.33203125" bestFit="1" customWidth="1"/>
  </cols>
  <sheetData>
    <row r="1" spans="1:38" ht="15" customHeight="1" x14ac:dyDescent="0.3">
      <c r="A1" s="728" t="s">
        <v>821</v>
      </c>
      <c r="B1" s="728"/>
      <c r="C1" s="728"/>
      <c r="D1" s="728"/>
      <c r="E1" s="728"/>
      <c r="F1" s="728"/>
      <c r="G1" s="728"/>
      <c r="H1" s="728"/>
      <c r="I1" s="728"/>
      <c r="J1" s="728"/>
      <c r="K1" s="728"/>
      <c r="L1" s="728"/>
      <c r="M1" s="728"/>
      <c r="N1" s="728"/>
      <c r="O1" s="728"/>
      <c r="P1" s="728"/>
      <c r="Q1" s="728"/>
      <c r="R1" s="728"/>
      <c r="S1" s="728"/>
      <c r="T1" s="728"/>
      <c r="U1" s="728"/>
      <c r="V1" s="728"/>
      <c r="W1" s="728"/>
    </row>
    <row r="2" spans="1:38" ht="15" customHeight="1" x14ac:dyDescent="0.3">
      <c r="A2" s="728"/>
      <c r="B2" s="728"/>
      <c r="C2" s="728"/>
      <c r="D2" s="728"/>
      <c r="E2" s="728"/>
      <c r="F2" s="728"/>
      <c r="G2" s="728"/>
      <c r="H2" s="728"/>
      <c r="I2" s="728"/>
      <c r="J2" s="728"/>
      <c r="K2" s="728"/>
      <c r="L2" s="728"/>
      <c r="M2" s="728"/>
      <c r="N2" s="728"/>
      <c r="O2" s="728"/>
      <c r="P2" s="728"/>
      <c r="Q2" s="728"/>
      <c r="R2" s="728"/>
      <c r="S2" s="728"/>
      <c r="T2" s="728"/>
      <c r="U2" s="728"/>
      <c r="V2" s="728"/>
      <c r="W2" s="728"/>
    </row>
    <row r="3" spans="1:38" x14ac:dyDescent="0.3">
      <c r="V3"/>
    </row>
    <row r="4" spans="1:38" x14ac:dyDescent="0.3">
      <c r="A4" s="406" t="s">
        <v>867</v>
      </c>
      <c r="B4" s="406"/>
      <c r="C4" s="406"/>
      <c r="D4" s="406"/>
      <c r="E4" s="406"/>
      <c r="F4" s="406"/>
      <c r="G4" s="406"/>
      <c r="H4" s="406"/>
      <c r="I4" s="406"/>
      <c r="J4" s="406"/>
      <c r="K4" s="406"/>
      <c r="L4" s="406"/>
      <c r="M4" s="406"/>
      <c r="N4" s="406"/>
      <c r="O4" s="406"/>
      <c r="P4" s="406"/>
      <c r="Q4" s="406"/>
      <c r="R4" s="406"/>
      <c r="S4" s="406"/>
      <c r="T4" s="406"/>
      <c r="U4" s="406"/>
      <c r="V4" s="406"/>
      <c r="W4" s="406"/>
    </row>
    <row r="6" spans="1:38" x14ac:dyDescent="0.3">
      <c r="B6" s="420" t="s">
        <v>904</v>
      </c>
      <c r="C6" s="420"/>
      <c r="D6" s="420"/>
      <c r="E6" s="420"/>
      <c r="G6" s="635" t="s">
        <v>839</v>
      </c>
      <c r="H6" s="635"/>
      <c r="I6" s="635"/>
      <c r="J6" s="635"/>
      <c r="K6" s="635"/>
      <c r="L6" s="635"/>
      <c r="M6" s="635"/>
      <c r="Q6" s="527" t="s">
        <v>872</v>
      </c>
      <c r="R6" s="528"/>
      <c r="S6" s="528"/>
      <c r="T6" s="528"/>
      <c r="U6" s="528"/>
      <c r="V6" s="529"/>
    </row>
    <row r="7" spans="1:38" x14ac:dyDescent="0.3">
      <c r="B7" s="420"/>
      <c r="C7" s="420"/>
      <c r="D7" s="420"/>
      <c r="E7" s="420"/>
      <c r="G7" s="291" t="s">
        <v>506</v>
      </c>
      <c r="H7" s="291" t="s">
        <v>822</v>
      </c>
      <c r="I7" s="291" t="s">
        <v>823</v>
      </c>
      <c r="J7" s="291" t="s">
        <v>825</v>
      </c>
      <c r="K7" s="291" t="s">
        <v>824</v>
      </c>
      <c r="L7" s="291" t="s">
        <v>1007</v>
      </c>
      <c r="M7" s="291" t="s">
        <v>1006</v>
      </c>
      <c r="Q7" s="530" t="s">
        <v>838</v>
      </c>
      <c r="R7" s="531"/>
      <c r="S7" s="531"/>
      <c r="T7" s="531"/>
      <c r="U7" s="531"/>
      <c r="V7" s="532"/>
    </row>
    <row r="8" spans="1:38" x14ac:dyDescent="0.3">
      <c r="B8" s="420"/>
      <c r="C8" s="420"/>
      <c r="D8" s="420"/>
      <c r="E8" s="420"/>
      <c r="G8" s="121">
        <v>218</v>
      </c>
      <c r="H8" s="121">
        <v>40</v>
      </c>
      <c r="I8" s="121">
        <v>20</v>
      </c>
      <c r="J8" s="121">
        <v>28</v>
      </c>
      <c r="K8" s="121">
        <v>15</v>
      </c>
      <c r="L8" s="121">
        <v>45</v>
      </c>
      <c r="M8" s="121">
        <v>40</v>
      </c>
      <c r="Q8" s="163" t="b">
        <v>0</v>
      </c>
      <c r="R8" s="163" t="b">
        <v>0</v>
      </c>
      <c r="S8" s="163" t="b">
        <v>0</v>
      </c>
      <c r="T8" s="163" t="b">
        <v>0</v>
      </c>
      <c r="U8" s="163" t="b">
        <v>0</v>
      </c>
      <c r="V8" s="14" t="s">
        <v>25</v>
      </c>
    </row>
    <row r="9" spans="1:38" x14ac:dyDescent="0.3">
      <c r="B9" s="420"/>
      <c r="C9" s="420"/>
      <c r="D9" s="420"/>
      <c r="E9" s="420"/>
      <c r="G9"/>
      <c r="J9"/>
      <c r="K9"/>
      <c r="L9"/>
      <c r="M9"/>
      <c r="P9" s="11" t="s">
        <v>870</v>
      </c>
      <c r="Q9" s="235">
        <v>12</v>
      </c>
      <c r="R9" s="80">
        <f>Q9*2</f>
        <v>24</v>
      </c>
      <c r="S9" s="80">
        <f>Q9*4</f>
        <v>48</v>
      </c>
      <c r="T9" s="80">
        <f>Q9*10</f>
        <v>120</v>
      </c>
      <c r="U9" s="66">
        <f>Q9*20</f>
        <v>240</v>
      </c>
      <c r="V9" s="81">
        <f>(IF(Q8=TRUE,Q9,0)+IF(R8=TRUE,R9,0)+IF(S8=TRUE,S9,0)+IF(T8=TRUE,T9,0)+IF(U8=TRUE,U9,0))*1000</f>
        <v>0</v>
      </c>
    </row>
    <row r="10" spans="1:38" x14ac:dyDescent="0.3">
      <c r="B10" s="420"/>
      <c r="C10" s="420"/>
      <c r="D10" s="420"/>
      <c r="E10" s="420"/>
      <c r="G10" s="389" t="s">
        <v>939</v>
      </c>
      <c r="H10" s="450"/>
      <c r="I10" s="450"/>
      <c r="J10" s="450"/>
      <c r="K10" s="450"/>
      <c r="L10" s="450"/>
      <c r="M10"/>
      <c r="P10" s="11" t="s">
        <v>869</v>
      </c>
      <c r="Q10" s="235">
        <v>12</v>
      </c>
      <c r="R10" s="88">
        <f>Q10*2</f>
        <v>24</v>
      </c>
      <c r="S10" s="88">
        <f>Q10*4</f>
        <v>48</v>
      </c>
      <c r="T10" s="88">
        <f>Q10*10</f>
        <v>120</v>
      </c>
      <c r="U10" s="68">
        <f>Q10*20</f>
        <v>240</v>
      </c>
      <c r="V10" s="82">
        <f>(IF(Q8=TRUE,Q10,0)+IF(R8=TRUE,R10,0)+IF(S8=TRUE,S10,0)+IF(T8=TRUE,T10,0)+IF(U8=TRUE,U10,0))*100</f>
        <v>0</v>
      </c>
    </row>
    <row r="11" spans="1:38" x14ac:dyDescent="0.3">
      <c r="B11" s="420"/>
      <c r="C11" s="420"/>
      <c r="D11" s="420"/>
      <c r="E11" s="420"/>
      <c r="G11" s="515" t="s">
        <v>868</v>
      </c>
      <c r="H11" s="516"/>
      <c r="I11" s="515" t="s">
        <v>869</v>
      </c>
      <c r="J11" s="516"/>
      <c r="K11" s="515" t="s">
        <v>870</v>
      </c>
      <c r="L11" s="516"/>
      <c r="M11"/>
      <c r="P11" s="8"/>
      <c r="Q11" s="533" t="s">
        <v>874</v>
      </c>
      <c r="R11" s="534"/>
      <c r="S11" s="534"/>
      <c r="T11" s="534"/>
      <c r="U11" s="534"/>
      <c r="V11" s="535"/>
      <c r="X11" s="418" t="s">
        <v>1005</v>
      </c>
      <c r="Y11" s="418"/>
      <c r="Z11" s="418"/>
      <c r="AA11" s="418"/>
      <c r="AB11" s="418"/>
      <c r="AC11" s="418"/>
      <c r="AD11" s="418"/>
      <c r="AE11" s="418"/>
    </row>
    <row r="12" spans="1:38" x14ac:dyDescent="0.3">
      <c r="G12" s="750">
        <v>7500</v>
      </c>
      <c r="H12" s="751"/>
      <c r="I12" s="408">
        <v>500</v>
      </c>
      <c r="J12" s="753"/>
      <c r="K12" s="408">
        <v>200</v>
      </c>
      <c r="L12" s="753"/>
      <c r="M12"/>
      <c r="P12" s="8"/>
      <c r="Q12" s="164" t="b">
        <v>0</v>
      </c>
      <c r="R12" s="164" t="b">
        <v>0</v>
      </c>
      <c r="S12" s="164" t="b">
        <v>0</v>
      </c>
      <c r="T12" s="164" t="b">
        <v>0</v>
      </c>
      <c r="U12" s="164" t="b">
        <v>0</v>
      </c>
      <c r="V12" s="85" t="s">
        <v>25</v>
      </c>
      <c r="X12" s="418"/>
      <c r="Y12" s="418"/>
      <c r="Z12" s="418"/>
      <c r="AA12" s="418"/>
      <c r="AB12" s="418"/>
      <c r="AC12" s="418"/>
      <c r="AD12" s="418"/>
      <c r="AE12" s="418"/>
    </row>
    <row r="13" spans="1:38" x14ac:dyDescent="0.3">
      <c r="G13"/>
      <c r="J13" s="11" t="s">
        <v>879</v>
      </c>
      <c r="K13" s="500">
        <f>G12*10+I12*100+K12*1000</f>
        <v>325000</v>
      </c>
      <c r="L13" s="502"/>
      <c r="M13"/>
      <c r="P13" s="11" t="s">
        <v>873</v>
      </c>
      <c r="Q13" s="235">
        <v>10</v>
      </c>
      <c r="R13" s="80">
        <f>Q13*2</f>
        <v>20</v>
      </c>
      <c r="S13" s="80">
        <f>Q13*4</f>
        <v>40</v>
      </c>
      <c r="T13" s="80">
        <f>Q13*10</f>
        <v>100</v>
      </c>
      <c r="U13" s="66">
        <f>Q13*20</f>
        <v>200</v>
      </c>
      <c r="V13" s="87">
        <f>IF(Q$12=TRUE,Q13,0)+IF(R$12=TRUE,R13,0)+IF(S$12=TRUE,S13,0)+IF(T$12=TRUE,T13,0)+IF(U$12=TRUE,U13,0)</f>
        <v>0</v>
      </c>
      <c r="X13" s="418"/>
      <c r="Y13" s="418"/>
      <c r="Z13" s="418"/>
      <c r="AA13" s="418"/>
      <c r="AB13" s="418"/>
      <c r="AC13" s="418"/>
      <c r="AD13" s="418"/>
      <c r="AE13" s="418"/>
    </row>
    <row r="14" spans="1:38" x14ac:dyDescent="0.3">
      <c r="P14" s="11" t="s">
        <v>871</v>
      </c>
      <c r="Q14" s="235">
        <v>100</v>
      </c>
      <c r="R14" s="83">
        <f>Q14*2</f>
        <v>200</v>
      </c>
      <c r="S14" s="83">
        <f>Q14*4</f>
        <v>400</v>
      </c>
      <c r="T14" s="83">
        <f>Q14*10</f>
        <v>1000</v>
      </c>
      <c r="U14" s="70">
        <f>Q14*20</f>
        <v>2000</v>
      </c>
      <c r="V14" s="87">
        <f>IF(Q$12=TRUE,Q14,0)+IF(R$12=TRUE,R14,0)+IF(S$12=TRUE,S14,0)+IF(T$12=TRUE,T14,0)+IF(U$12=TRUE,U14,0)</f>
        <v>0</v>
      </c>
      <c r="X14" s="418"/>
      <c r="Y14" s="418"/>
      <c r="Z14" s="418"/>
      <c r="AA14" s="418"/>
      <c r="AB14" s="418"/>
      <c r="AC14" s="418"/>
      <c r="AD14" s="418"/>
      <c r="AE14" s="418"/>
    </row>
    <row r="15" spans="1:38" x14ac:dyDescent="0.3">
      <c r="F15" s="389" t="s">
        <v>943</v>
      </c>
      <c r="G15" s="450"/>
      <c r="H15" s="450"/>
      <c r="I15" s="450"/>
      <c r="J15" s="450"/>
      <c r="K15" s="450"/>
      <c r="L15" s="450"/>
      <c r="M15" s="390"/>
      <c r="P15" s="8"/>
      <c r="Q15" s="536" t="s">
        <v>875</v>
      </c>
      <c r="R15" s="537"/>
      <c r="S15" s="537"/>
      <c r="T15" s="537"/>
      <c r="U15" s="537"/>
      <c r="V15" s="538"/>
      <c r="X15" s="418"/>
      <c r="Y15" s="418"/>
      <c r="Z15" s="418"/>
      <c r="AA15" s="418"/>
      <c r="AB15" s="418"/>
      <c r="AC15" s="418"/>
      <c r="AD15" s="418"/>
      <c r="AE15" s="418"/>
    </row>
    <row r="16" spans="1:38" x14ac:dyDescent="0.3">
      <c r="F16" s="515" t="s">
        <v>871</v>
      </c>
      <c r="G16" s="516"/>
      <c r="H16" s="515" t="s">
        <v>940</v>
      </c>
      <c r="I16" s="516"/>
      <c r="J16" s="515" t="s">
        <v>941</v>
      </c>
      <c r="K16" s="516"/>
      <c r="L16" s="515" t="s">
        <v>942</v>
      </c>
      <c r="M16" s="516"/>
      <c r="P16" s="8"/>
      <c r="Q16" s="164" t="b">
        <v>0</v>
      </c>
      <c r="R16" s="164" t="b">
        <v>0</v>
      </c>
      <c r="S16" s="164" t="b">
        <v>0</v>
      </c>
      <c r="T16" s="164" t="b">
        <v>0</v>
      </c>
      <c r="U16" s="164" t="b">
        <v>0</v>
      </c>
      <c r="V16" s="85" t="s">
        <v>25</v>
      </c>
      <c r="X16" s="418"/>
      <c r="Y16" s="418"/>
      <c r="Z16" s="418"/>
      <c r="AA16" s="418"/>
      <c r="AB16" s="418"/>
      <c r="AC16" s="418"/>
      <c r="AD16" s="418"/>
      <c r="AE16" s="418"/>
      <c r="AH16" s="288"/>
      <c r="AI16" s="289"/>
      <c r="AL16" s="1"/>
    </row>
    <row r="17" spans="6:34" x14ac:dyDescent="0.3">
      <c r="F17" s="408">
        <v>28000</v>
      </c>
      <c r="G17" s="408"/>
      <c r="H17" s="408">
        <v>800</v>
      </c>
      <c r="I17" s="753"/>
      <c r="J17" s="408">
        <v>50</v>
      </c>
      <c r="K17" s="753"/>
      <c r="L17" s="695">
        <v>5</v>
      </c>
      <c r="M17" s="697"/>
      <c r="P17" s="11" t="s">
        <v>871</v>
      </c>
      <c r="Q17" s="235">
        <v>800</v>
      </c>
      <c r="R17" s="65">
        <f>Q17*2</f>
        <v>1600</v>
      </c>
      <c r="S17" s="80">
        <f>Q17*4</f>
        <v>3200</v>
      </c>
      <c r="T17" s="80">
        <f>Q17*10</f>
        <v>8000</v>
      </c>
      <c r="U17" s="66">
        <f>Q17*20</f>
        <v>16000</v>
      </c>
      <c r="V17" s="87">
        <f>IF(Q$16=TRUE,Q17,0)+IF(R$16=TRUE,R17,0)+IF(S$16=TRUE,S17,0)+IF(T$16=TRUE,T17,0)+IF(U$16=TRUE,U17,0)</f>
        <v>0</v>
      </c>
      <c r="X17" s="418"/>
      <c r="Y17" s="418"/>
      <c r="Z17" s="418"/>
      <c r="AA17" s="418"/>
      <c r="AB17" s="418"/>
      <c r="AC17" s="418"/>
      <c r="AD17" s="418"/>
      <c r="AE17" s="418"/>
    </row>
    <row r="18" spans="6:34" x14ac:dyDescent="0.3">
      <c r="G18"/>
      <c r="J18"/>
      <c r="K18" s="11" t="s">
        <v>946</v>
      </c>
      <c r="L18" s="404" t="str">
        <f>INT(((L17*60*3)+(J17*60)+(H17))/(24*60))&amp;"d "&amp;INT(MOD(((L17*60*3)+(J17*60)+(H17)),(24*60))/60)&amp;"h"</f>
        <v>3d 6h</v>
      </c>
      <c r="M18" s="405"/>
      <c r="P18" s="11" t="s">
        <v>876</v>
      </c>
      <c r="Q18" s="235">
        <v>10</v>
      </c>
      <c r="R18" s="69">
        <f>Q18*2</f>
        <v>20</v>
      </c>
      <c r="S18" s="83">
        <f>Q18*4</f>
        <v>40</v>
      </c>
      <c r="T18" s="83">
        <f>Q18*10</f>
        <v>100</v>
      </c>
      <c r="U18" s="70">
        <f>Q18*20</f>
        <v>200</v>
      </c>
      <c r="V18" s="87">
        <f>IF(Q$16=TRUE,Q18,0)+IF(R$16=TRUE,R18,0)+IF(S$16=TRUE,S18,0)+IF(T$16=TRUE,T18,0)+IF(U$16=TRUE,U18,0)</f>
        <v>0</v>
      </c>
      <c r="X18" s="418"/>
      <c r="Y18" s="418"/>
      <c r="Z18" s="418"/>
      <c r="AA18" s="418"/>
      <c r="AB18" s="418"/>
      <c r="AC18" s="418"/>
      <c r="AD18" s="418"/>
      <c r="AE18" s="418"/>
    </row>
    <row r="19" spans="6:34" x14ac:dyDescent="0.3">
      <c r="Q19" s="298" t="str" cm="1">
        <f t="array" aca="1" ref="Q19" ca="1">IF(SUM(COUNTIF(INDIRECT({"Aa7","Aa11","Aa15"}),TRUE))&gt;1,"Too Many","")</f>
        <v/>
      </c>
      <c r="R19" s="298" t="str" cm="1">
        <f t="array" aca="1" ref="R19" ca="1">IF(SUM(COUNTIF(INDIRECT({"AB7","AB11","AB15"}),TRUE))&gt;1,"Too Many","")</f>
        <v/>
      </c>
      <c r="S19" s="298" t="str" cm="1">
        <f t="array" aca="1" ref="S19" ca="1">IF(SUM(COUNTIF(INDIRECT({"Ac7","Ac11","Ac15"}),TRUE))&gt;1,"Too Many","")</f>
        <v/>
      </c>
      <c r="T19" s="298" t="str" cm="1">
        <f t="array" aca="1" ref="T19" ca="1">IF(SUM(COUNTIF(INDIRECT({"Ad7","Ad11","Ad15"}),TRUE))&gt;1,"Too Many","")</f>
        <v/>
      </c>
      <c r="U19" s="298" t="str" cm="1">
        <f t="array" aca="1" ref="U19" ca="1">IF(SUM(COUNTIF(INDIRECT({"Ae7","Ae11","Ae15"}),TRUE))&gt;1,"Too Many","")</f>
        <v/>
      </c>
      <c r="V19" s="155" t="str">
        <f>INT(V18/24)&amp;"d "&amp;INT(MOD(V18,24))&amp;"h"</f>
        <v>0d 0h</v>
      </c>
    </row>
    <row r="20" spans="6:34" x14ac:dyDescent="0.3">
      <c r="M20"/>
      <c r="Q20"/>
      <c r="R20"/>
      <c r="T20" s="288"/>
      <c r="V20" s="289"/>
      <c r="AA20" s="38"/>
    </row>
    <row r="21" spans="6:34" ht="15" customHeight="1" x14ac:dyDescent="0.3">
      <c r="G21"/>
      <c r="J21"/>
      <c r="K21" s="406" t="s">
        <v>938</v>
      </c>
      <c r="L21" s="406"/>
      <c r="M21" s="406"/>
      <c r="N21" s="406"/>
      <c r="O21" s="406"/>
      <c r="P21" s="406"/>
      <c r="Q21" s="406"/>
      <c r="R21"/>
      <c r="S21" s="721" t="s">
        <v>905</v>
      </c>
      <c r="T21" s="721"/>
      <c r="U21" s="721"/>
      <c r="V21" s="721"/>
      <c r="W21" s="721"/>
      <c r="X21" s="721"/>
      <c r="Y21" s="721"/>
      <c r="Z21" s="721"/>
      <c r="AA21" s="721"/>
      <c r="AB21" s="721"/>
      <c r="AC21" s="721"/>
      <c r="AD21" s="721"/>
      <c r="AE21" s="721"/>
      <c r="AF21" s="721"/>
      <c r="AG21" s="721"/>
      <c r="AH21" s="721"/>
    </row>
    <row r="22" spans="6:34" ht="15" customHeight="1" x14ac:dyDescent="0.3">
      <c r="G22"/>
      <c r="J22"/>
      <c r="K22" s="389" t="s">
        <v>934</v>
      </c>
      <c r="L22" s="450"/>
      <c r="M22" s="390"/>
      <c r="N22" s="127"/>
      <c r="O22" s="634" t="s">
        <v>935</v>
      </c>
      <c r="P22" s="635"/>
      <c r="Q22" s="635"/>
      <c r="R22"/>
      <c r="S22" s="389" t="s">
        <v>840</v>
      </c>
      <c r="T22" s="390"/>
      <c r="U22" s="389" t="s">
        <v>987</v>
      </c>
      <c r="V22" s="390"/>
      <c r="W22" s="389" t="s">
        <v>841</v>
      </c>
      <c r="X22" s="390"/>
      <c r="Y22" s="389" t="s">
        <v>988</v>
      </c>
      <c r="Z22" s="390"/>
      <c r="AA22" s="713" t="s">
        <v>842</v>
      </c>
      <c r="AB22" s="714"/>
      <c r="AC22" s="713" t="s">
        <v>989</v>
      </c>
      <c r="AD22" s="714"/>
      <c r="AE22" s="389" t="s">
        <v>1047</v>
      </c>
      <c r="AF22" s="390"/>
      <c r="AG22" s="389" t="s">
        <v>990</v>
      </c>
      <c r="AH22" s="390"/>
    </row>
    <row r="23" spans="6:34" ht="15" customHeight="1" x14ac:dyDescent="0.3">
      <c r="G23"/>
      <c r="J23"/>
      <c r="K23" s="730" t="s">
        <v>838</v>
      </c>
      <c r="L23" s="732" t="s">
        <v>886</v>
      </c>
      <c r="M23" s="732" t="s">
        <v>887</v>
      </c>
      <c r="N23" s="127"/>
      <c r="O23" s="730" t="s">
        <v>856</v>
      </c>
      <c r="P23" s="730" t="s">
        <v>932</v>
      </c>
      <c r="Q23" s="732" t="s">
        <v>885</v>
      </c>
      <c r="R23"/>
      <c r="S23" s="715" t="s">
        <v>98</v>
      </c>
      <c r="T23" s="716"/>
      <c r="U23" s="716"/>
      <c r="V23" s="717"/>
      <c r="W23" s="715" t="s">
        <v>98</v>
      </c>
      <c r="X23" s="716"/>
      <c r="Y23" s="716"/>
      <c r="Z23" s="717"/>
      <c r="AA23" s="715" t="s">
        <v>98</v>
      </c>
      <c r="AB23" s="716"/>
      <c r="AC23" s="716"/>
      <c r="AD23" s="717"/>
      <c r="AE23" s="715" t="s">
        <v>98</v>
      </c>
      <c r="AF23" s="716"/>
      <c r="AG23" s="716"/>
      <c r="AH23" s="717"/>
    </row>
    <row r="24" spans="6:34" ht="15" customHeight="1" x14ac:dyDescent="0.3">
      <c r="J24"/>
      <c r="K24" s="731"/>
      <c r="L24" s="733"/>
      <c r="M24" s="734"/>
      <c r="N24" s="127"/>
      <c r="O24" s="731"/>
      <c r="P24" s="731"/>
      <c r="Q24" s="733"/>
      <c r="R24"/>
      <c r="S24" s="711">
        <v>5</v>
      </c>
      <c r="T24" s="712"/>
      <c r="U24" s="494" cm="1">
        <f t="array" ref="U24">IFERROR(_xlfn.XLOOKUP(1,(Cyrille!J7:J16&lt;=EntrapmentCurrent)*(Cyrille!M7:M16&lt;&gt;""),Cyrille!M7:M16,,0,-1),"")</f>
        <v>150000</v>
      </c>
      <c r="V24" s="496"/>
      <c r="W24" s="711">
        <v>3</v>
      </c>
      <c r="X24" s="712"/>
      <c r="Y24" s="494" cm="1">
        <f t="array" ref="Y24">IFERROR(_xlfn.XLOOKUP(1,(Cyrille!J7:J16&lt;=ScavengingCurrent)*(Cyrille!Q7:Q16&lt;&gt;""),Cyrille!Q7:Q16,,0,-1)*100,"")</f>
        <v>300</v>
      </c>
      <c r="Z24" s="496"/>
      <c r="AA24" s="711">
        <v>3</v>
      </c>
      <c r="AB24" s="712"/>
      <c r="AC24" s="494" cm="1">
        <f t="array" ref="AC24">IFERROR(_xlfn.XLOOKUP(1,(Cyrille!J7:J16&lt;=WeaponMasterCurrent)*(Cyrille!U7:U16&lt;&gt;""),Cyrille!U7:U16,0,0,-1),"")</f>
        <v>3</v>
      </c>
      <c r="AD24" s="496"/>
      <c r="AE24" s="711">
        <v>5</v>
      </c>
      <c r="AF24" s="712"/>
      <c r="AG24" s="494" cm="1">
        <f t="array" ref="AG24">IFERROR(_xlfn.XLOOKUP(1,(Cyrille!J7:J16&lt;=UrsasBaneCurrent)*(Cyrille!Y7:Y16&lt;&gt;""),Cyrille!Y7:Y16,,0,-1),"")</f>
        <v>15000</v>
      </c>
      <c r="AH24" s="496"/>
    </row>
    <row r="25" spans="6:34" x14ac:dyDescent="0.3">
      <c r="J25" s="9" t="s">
        <v>30</v>
      </c>
      <c r="K25" s="81">
        <f>L35+L42+L56+L49+L63+L70</f>
        <v>333434</v>
      </c>
      <c r="L25" s="81">
        <f>M37+M44+M58+M51+M65+M72</f>
        <v>297</v>
      </c>
      <c r="M25" s="287">
        <f>IF(M35&gt;0,IF((M36&gt;M35),M35,M36),0)+IF(M42&gt;0,IF((M43&gt;M42),M42,M43),0)+IF(M56&gt;0,IF((M57&gt;M56),M56,M57),0)+IF(M49&gt;0,IF((M50&gt;M49),M49,M50),0)</f>
        <v>98</v>
      </c>
      <c r="N25" s="127"/>
      <c r="O25" s="81">
        <f>O35+O42+O56+O49+O63+O70</f>
        <v>47200</v>
      </c>
      <c r="P25" s="81">
        <f>P35+P42+P56+P49+P63+P70</f>
        <v>9572400</v>
      </c>
      <c r="Q25" s="220" t="str">
        <f>INT(P25/60/(24*60))&amp;"d "&amp;INT(MOD(P25/60,(24*60))/60)&amp;" h"</f>
        <v>110d 19 h</v>
      </c>
      <c r="R25"/>
      <c r="S25" s="715" t="s">
        <v>909</v>
      </c>
      <c r="T25" s="716"/>
      <c r="U25" s="716"/>
      <c r="V25" s="717"/>
      <c r="W25" s="715" t="s">
        <v>910</v>
      </c>
      <c r="X25" s="716"/>
      <c r="Y25" s="716"/>
      <c r="Z25" s="717"/>
      <c r="AA25" s="715" t="s">
        <v>910</v>
      </c>
      <c r="AB25" s="716"/>
      <c r="AC25" s="716"/>
      <c r="AD25" s="717"/>
      <c r="AE25" s="715" t="s">
        <v>909</v>
      </c>
      <c r="AF25" s="716"/>
      <c r="AG25" s="716"/>
      <c r="AH25" s="717"/>
    </row>
    <row r="26" spans="6:34" x14ac:dyDescent="0.3">
      <c r="J26" s="9" t="s">
        <v>31</v>
      </c>
      <c r="K26" s="82">
        <f>K13+SMALL(L35:L36,1)+SMALL(L42:L43,1)+SMALL(L56:L57,1)+SMALL(L49:L50,1)+SMALL(L63:L64,1)+SMALL(L70:L71,1)</f>
        <v>325000</v>
      </c>
      <c r="L26" s="82">
        <f>G8</f>
        <v>218</v>
      </c>
      <c r="M26" s="290"/>
      <c r="N26" s="127"/>
      <c r="O26" s="82">
        <f>F17</f>
        <v>28000</v>
      </c>
      <c r="P26" s="82">
        <f>P36+P43+P57+P50+P64+P71</f>
        <v>1800</v>
      </c>
      <c r="Q26" s="221" t="str">
        <f>INT(P26/60/(24*60))&amp;"d "&amp;INT(MOD(P26/60,(24*60))/60)&amp;" h"</f>
        <v>0d 0 h</v>
      </c>
      <c r="R26"/>
      <c r="S26" s="711"/>
      <c r="T26" s="712"/>
      <c r="U26" s="494" t="str" cm="1">
        <f t="array" ref="U26">IFERROR(_xlfn.XLOOKUP(1,(Cyrille!J7:J16&lt;=EntrapmentDesired)*(Cyrille!M7:M16&lt;&gt;""),Cyrille!M7:M16,,0,-1),"")</f>
        <v/>
      </c>
      <c r="V26" s="496"/>
      <c r="W26" s="711"/>
      <c r="X26" s="712"/>
      <c r="Y26" s="494" t="str" cm="1">
        <f t="array" ref="Y26">IFERROR(_xlfn.XLOOKUP(1,(Cyrille!J7:J16&lt;=ScavengingDesired)*(Cyrille!Q7:Q16&lt;&gt;""),Cyrille!Q7:Q16,,0,-1)*100,"")</f>
        <v/>
      </c>
      <c r="Z26" s="496"/>
      <c r="AA26" s="711"/>
      <c r="AB26" s="712"/>
      <c r="AC26" s="494" t="str" cm="1">
        <f t="array" ref="AC26">IFERROR(_xlfn.XLOOKUP(1,(Cyrille!J7:J16&lt;=WeaponMasterDesired)*(Cyrille!U7:U16&lt;&gt;""),Cyrille!U7:U16,,0,-1),"")</f>
        <v/>
      </c>
      <c r="AD26" s="496"/>
      <c r="AE26" s="711"/>
      <c r="AF26" s="712"/>
      <c r="AG26" s="494" t="str" cm="1">
        <f t="array" ref="AG26">IFERROR(_xlfn.XLOOKUP(1,(Cyrille!J7:J16&lt;=UrsasBaneDesired)*(Cyrille!Y7:Y16&lt;&gt;""),Cyrille!Y7:Y16,,0,-1),"")</f>
        <v/>
      </c>
      <c r="AH26" s="496"/>
    </row>
    <row r="27" spans="6:34" x14ac:dyDescent="0.3">
      <c r="J27" s="9" t="s">
        <v>931</v>
      </c>
      <c r="K27" s="84">
        <f>V9+V10</f>
        <v>0</v>
      </c>
      <c r="L27" s="84">
        <f>V13</f>
        <v>0</v>
      </c>
      <c r="M27" s="290"/>
      <c r="N27" s="127"/>
      <c r="O27" s="84">
        <f>V14+V17</f>
        <v>0</v>
      </c>
      <c r="P27" s="84">
        <f>V18*60*60+H17*60+J17*60*60+L17*3*60*60</f>
        <v>282000</v>
      </c>
      <c r="Q27" s="219" t="str">
        <f>INT(P27/60/(24*60))&amp;"d "&amp;INT(MOD(P27/60,(24*60))/60)&amp;" h"</f>
        <v>3d 6 h</v>
      </c>
      <c r="R27"/>
      <c r="S27" s="515" t="s">
        <v>888</v>
      </c>
      <c r="T27" s="516"/>
      <c r="U27" s="515" t="s">
        <v>1003</v>
      </c>
      <c r="V27" s="516"/>
      <c r="W27" s="515" t="s">
        <v>888</v>
      </c>
      <c r="X27" s="516"/>
      <c r="Y27" s="515" t="s">
        <v>1003</v>
      </c>
      <c r="Z27" s="516"/>
      <c r="AA27" s="515" t="s">
        <v>888</v>
      </c>
      <c r="AB27" s="516"/>
      <c r="AC27" s="515" t="s">
        <v>1003</v>
      </c>
      <c r="AD27" s="516"/>
      <c r="AE27" s="515" t="s">
        <v>888</v>
      </c>
      <c r="AF27" s="516"/>
      <c r="AG27" s="515" t="s">
        <v>1003</v>
      </c>
      <c r="AH27" s="516"/>
    </row>
    <row r="28" spans="6:34" x14ac:dyDescent="0.3">
      <c r="G28"/>
      <c r="J28" s="9" t="s">
        <v>32</v>
      </c>
      <c r="K28" s="299">
        <f>IF(K25&lt;(K26+K27),,K25-K26-K27)</f>
        <v>8434</v>
      </c>
      <c r="L28" s="299">
        <f>IF(L25&lt;(L26+L27),,L25-L26-L27)</f>
        <v>79</v>
      </c>
      <c r="M28" s="300"/>
      <c r="N28" s="127"/>
      <c r="O28" s="299">
        <f>IF(O25&lt;(O26+O27),,O25-O26-O27)</f>
        <v>19200</v>
      </c>
      <c r="P28" s="301">
        <f>IF(P25&lt;(P26+P27),,P25-P26-P27)</f>
        <v>9288600</v>
      </c>
      <c r="Q28" s="219" t="str">
        <f>INT(P28/60/(24*60))&amp;"d "&amp;INT(MOD(P28/60,(24*60))/60)&amp;" h"</f>
        <v>107d 12 h</v>
      </c>
      <c r="R28"/>
      <c r="S28" s="695"/>
      <c r="T28" s="697"/>
      <c r="U28" s="494" t="str" cm="1">
        <f t="array" ref="U28">IF(EntrapmentCurrent&gt;=EntrapmentDesired,"-",IFERROR(_xlfn.XLOOKUP(1,(Cyrille!J7:J16&lt;=EntrapmentDesired)*(Cyrille!N7:N16&lt;&gt;""),Cyrille!N7:N16,,0,-1)-IFERROR(_xlfn.XLOOKUP(1,(Cyrille!J7:J16&lt;=EntrapmentCurrent)*(Cyrille!N7:N16&lt;&gt;""),Cyrille!N7:N16,,0,-1),""),""))</f>
        <v>-</v>
      </c>
      <c r="V28" s="496"/>
      <c r="W28" s="695"/>
      <c r="X28" s="697"/>
      <c r="Y28" s="494" t="str" cm="1">
        <f t="array" ref="Y28">IF(ScavengingCurrent&gt;=ScavengingDesired,"-",IFERROR(_xlfn.XLOOKUP(1,(Cyrille!J7:J16&lt;=ScavengingDesired)*(Cyrille!R7:R16&lt;&gt;""),Cyrille!R7:R16,,0,-1)-IFERROR(_xlfn.XLOOKUP(1,(Cyrille!J7:J16&lt;=ScavengingCurrent)*(Cyrille!R7:R16&lt;&gt;""),Cyrille!R7:R16,,0,-1),""),""))</f>
        <v>-</v>
      </c>
      <c r="Z28" s="496"/>
      <c r="AA28" s="695"/>
      <c r="AB28" s="697"/>
      <c r="AC28" s="494" t="str" cm="1">
        <f t="array" ref="AC28">IF(WeaponMasterCurrent&gt;=WeaponMasterDesired,"-",IFERROR(_xlfn.XLOOKUP(1,(Cyrille!J7:J16&lt;=WeaponMasterDesired)*(Cyrille!V7:V16&lt;&gt;""),Cyrille!V7:V16,,0,-1)-IFERROR(_xlfn.XLOOKUP(1,(Cyrille!J7:J16&lt;=WeaponMasterCurrent)*(Cyrille!V7:V16&lt;&gt;""),Cyrille!V7:V16,,0,-1),""),""))</f>
        <v>-</v>
      </c>
      <c r="AD28" s="496"/>
      <c r="AE28" s="695"/>
      <c r="AF28" s="697"/>
      <c r="AG28" s="494" t="str" cm="1">
        <f t="array" ref="AG28">IF(UrsasBaneCurrent&gt;=UrsasBaneDesired,"-",IFERROR(_xlfn.XLOOKUP(1,(Cyrille!J7:J16&lt;=UrsasBaneDesired)*(Cyrille!Z7:Z16&lt;&gt;""),Cyrille!Z7:Z16,,0,-1)-IFERROR(_xlfn.XLOOKUP(1,(Cyrille!J7:J16&lt;=UrsasBaneCurrent)*(Cyrille!Z7:Z16&lt;&gt;""),Cyrille!Z7:Z16,,0,-1),""),""))</f>
        <v>-</v>
      </c>
      <c r="AH28" s="496"/>
    </row>
    <row r="29" spans="6:34" x14ac:dyDescent="0.3">
      <c r="G29"/>
      <c r="J29"/>
      <c r="K29" s="9" t="s">
        <v>355</v>
      </c>
      <c r="L29" s="302">
        <f>L25*6000</f>
        <v>1782000</v>
      </c>
      <c r="M29" s="303">
        <f>M25*6000</f>
        <v>588000</v>
      </c>
      <c r="N29" s="127"/>
      <c r="O29" s="303">
        <f>O25*60</f>
        <v>2832000</v>
      </c>
      <c r="P29" s="302">
        <f>P28*30/60+(V18*60*30)+H17*30+J17*60*30+L17*3*60*30</f>
        <v>4785300</v>
      </c>
      <c r="Q29"/>
      <c r="R29"/>
      <c r="S29" s="515" t="s">
        <v>884</v>
      </c>
      <c r="T29" s="516"/>
      <c r="V29"/>
      <c r="W29" s="515" t="s">
        <v>884</v>
      </c>
      <c r="X29" s="516"/>
      <c r="AA29" s="515" t="s">
        <v>884</v>
      </c>
      <c r="AB29" s="516"/>
      <c r="AE29" s="515" t="s">
        <v>884</v>
      </c>
      <c r="AF29" s="516"/>
    </row>
    <row r="30" spans="6:34" x14ac:dyDescent="0.3">
      <c r="G30"/>
      <c r="J30"/>
      <c r="K30" s="259" t="s">
        <v>547</v>
      </c>
      <c r="L30" s="500">
        <f>SUM(L29:P29)</f>
        <v>9987300</v>
      </c>
      <c r="M30" s="501"/>
      <c r="N30" s="501"/>
      <c r="O30" s="501"/>
      <c r="P30" s="502"/>
      <c r="Q30" s="213"/>
      <c r="R30"/>
      <c r="S30" s="494">
        <f>SUMIFS(Cyrille!L7:L16,Cyrille!J7:J16,"&gt;"&amp;EntrapmentCurrent,Cyrille!J7:J16,"&lt;="&amp;EntrapmentDesired)</f>
        <v>0</v>
      </c>
      <c r="T30" s="496"/>
      <c r="V30"/>
      <c r="W30" s="735">
        <f>SUMIFS(Cyrille!P7:P16,Cyrille!J7:J16,"&gt;"&amp;ScavengingCurrent,Cyrille!J7:J16,"&lt;="&amp;ScavengingDesired)</f>
        <v>0</v>
      </c>
      <c r="X30" s="736"/>
      <c r="AA30" s="494">
        <f>SUMIFS(Cyrille!T7:T16,Cyrille!J7:J16,"&gt;"&amp;WeaponMasterCurrent,Cyrille!J7:J16,"&lt;="&amp;WeaponMasterDesired)</f>
        <v>0</v>
      </c>
      <c r="AB30" s="496"/>
      <c r="AE30" s="735">
        <f>SUMIFS(Cyrille!X7:X16,Cyrille!J7:J16,"&gt;"&amp;UrsasBaneCurrent,Cyrille!J7:J16,"&lt;="&amp;UrsasBaneDesired)</f>
        <v>0</v>
      </c>
      <c r="AF30" s="736"/>
    </row>
    <row r="31" spans="6:34" x14ac:dyDescent="0.3">
      <c r="G31"/>
      <c r="J31"/>
      <c r="K31" s="288"/>
      <c r="L31"/>
      <c r="M31"/>
      <c r="O31" s="289"/>
      <c r="P31" s="38"/>
      <c r="Q31" s="289"/>
      <c r="R31"/>
      <c r="V31"/>
      <c r="W31" s="288"/>
      <c r="Z31" s="289"/>
      <c r="AA31" s="289"/>
      <c r="AB31" s="38"/>
    </row>
    <row r="32" spans="6:34" x14ac:dyDescent="0.3">
      <c r="G32"/>
      <c r="J32"/>
      <c r="K32" s="288"/>
      <c r="L32"/>
      <c r="M32"/>
      <c r="O32" s="289"/>
      <c r="P32" s="38"/>
      <c r="Q32" s="289"/>
      <c r="R32"/>
      <c r="S32" s="721" t="s">
        <v>906</v>
      </c>
      <c r="T32" s="721"/>
      <c r="U32" s="721"/>
      <c r="V32" s="721"/>
      <c r="W32" s="721"/>
      <c r="X32" s="721"/>
      <c r="Y32" s="721"/>
      <c r="Z32" s="721"/>
      <c r="AA32" s="721"/>
      <c r="AB32" s="721"/>
      <c r="AC32" s="721"/>
      <c r="AD32" s="721"/>
      <c r="AE32" s="721"/>
      <c r="AF32" s="721"/>
      <c r="AG32" s="721"/>
      <c r="AH32" s="721"/>
    </row>
    <row r="33" spans="2:34" x14ac:dyDescent="0.3">
      <c r="B33" s="721" t="s">
        <v>822</v>
      </c>
      <c r="C33" s="721"/>
      <c r="D33" s="721"/>
      <c r="E33" s="721"/>
      <c r="F33" s="721"/>
      <c r="G33" s="721"/>
      <c r="H33" s="721"/>
      <c r="I33" s="721"/>
      <c r="J33"/>
      <c r="K33"/>
      <c r="L33" s="426" t="s">
        <v>866</v>
      </c>
      <c r="M33" s="426"/>
      <c r="N33" s="426"/>
      <c r="O33" s="426"/>
      <c r="P33" s="426"/>
      <c r="Q33" s="8"/>
      <c r="R33"/>
      <c r="S33" s="389" t="s">
        <v>844</v>
      </c>
      <c r="T33" s="390"/>
      <c r="U33" s="389" t="s">
        <v>994</v>
      </c>
      <c r="V33" s="390"/>
      <c r="W33" s="389" t="s">
        <v>845</v>
      </c>
      <c r="X33" s="390"/>
      <c r="Y33" s="389" t="s">
        <v>995</v>
      </c>
      <c r="Z33" s="390"/>
      <c r="AA33" s="713" t="s">
        <v>947</v>
      </c>
      <c r="AB33" s="714"/>
      <c r="AC33" s="713" t="s">
        <v>996</v>
      </c>
      <c r="AD33" s="714"/>
      <c r="AE33" s="389" t="s">
        <v>846</v>
      </c>
      <c r="AF33" s="390"/>
      <c r="AG33" s="389" t="s">
        <v>1002</v>
      </c>
      <c r="AH33" s="390"/>
    </row>
    <row r="34" spans="2:34" x14ac:dyDescent="0.3">
      <c r="B34" s="746" t="s">
        <v>174</v>
      </c>
      <c r="C34" s="752"/>
      <c r="D34" s="752"/>
      <c r="E34" s="747"/>
      <c r="F34" s="746" t="s">
        <v>980</v>
      </c>
      <c r="G34" s="747"/>
      <c r="H34" s="746" t="s">
        <v>979</v>
      </c>
      <c r="I34" s="747"/>
      <c r="J34"/>
      <c r="K34"/>
      <c r="L34" s="14" t="s">
        <v>838</v>
      </c>
      <c r="M34" s="14" t="s">
        <v>839</v>
      </c>
      <c r="N34" s="209"/>
      <c r="O34" s="14" t="s">
        <v>856</v>
      </c>
      <c r="P34" s="14" t="s">
        <v>570</v>
      </c>
      <c r="Q34" s="8"/>
      <c r="R34"/>
      <c r="S34" s="715" t="s">
        <v>98</v>
      </c>
      <c r="T34" s="716"/>
      <c r="U34" s="716"/>
      <c r="V34" s="717"/>
      <c r="W34" s="715" t="s">
        <v>98</v>
      </c>
      <c r="X34" s="716"/>
      <c r="Y34" s="716"/>
      <c r="Z34" s="717"/>
      <c r="AA34" s="715" t="s">
        <v>98</v>
      </c>
      <c r="AB34" s="716"/>
      <c r="AC34" s="716"/>
      <c r="AD34" s="717"/>
      <c r="AE34" s="715" t="s">
        <v>98</v>
      </c>
      <c r="AF34" s="716"/>
      <c r="AG34" s="716"/>
      <c r="AH34" s="717"/>
    </row>
    <row r="35" spans="2:34" x14ac:dyDescent="0.3">
      <c r="B35" s="715" t="s">
        <v>98</v>
      </c>
      <c r="C35" s="717"/>
      <c r="D35" s="715" t="s">
        <v>882</v>
      </c>
      <c r="E35" s="717"/>
      <c r="F35" s="715" t="s">
        <v>98</v>
      </c>
      <c r="G35" s="717"/>
      <c r="H35" s="715" t="s">
        <v>98</v>
      </c>
      <c r="I35" s="717"/>
      <c r="J35"/>
      <c r="K35" s="9" t="s">
        <v>30</v>
      </c>
      <c r="L35" s="87">
        <f>SUMIFS(Cyrille!D8:D117,Cyrille!C8:C117,"&gt;"&amp;CyrilleLevelCurrent,Cyrille!C8:C117,"&lt;="&amp;CyrilleLevelDesired)</f>
        <v>22250</v>
      </c>
      <c r="M35" s="87">
        <f>SUMIFS(Cyrille!E8:E117,Cyrille!C8:C117,"&gt;"&amp;CyrilleLevelCurrent,Cyrille!C8:C117,"&lt;="&amp;CyrilleLevelDesired)</f>
        <v>35</v>
      </c>
      <c r="N35" s="290"/>
      <c r="O35" s="87">
        <f>SUMIFS(Cyrille!K7:K16,Cyrille!J7:J16,"&gt;"&amp;IF(EntrapmentCurrent="",0,EntrapmentCurrent),Cyrille!J7:J16,"&lt;="&amp;EntrapmentDesired)+SUMIFS(Cyrille!O7:O16,Cyrille!J7:J16,"&gt;"&amp;IF(ScavengingCurrent="",0,ScavengingCurrent),Cyrille!J7:J16,"&lt;="&amp;ScavengingDesired)+SUMIFS(Cyrille!S7:S16,Cyrille!J7:J16,"&gt;"&amp;IF(WeaponMasterCurrent="",0,WeaponMasterCurrent),Cyrille!J7:J16,"&lt;="&amp;WeaponMasterDesired)+SUMIFS(Cyrille!W7:W16,Cyrille!J7:J16,"&gt;"&amp;IF(UrsasBaneCurrent="",0,UrsasBaneCurrent),Cyrille!J7:J16,"&lt;="&amp;UrsasBaneDesired)</f>
        <v>0</v>
      </c>
      <c r="P35" s="87">
        <f>SUMIFS(Cyrille!L7:L16,Cyrille!J7:J16,"&gt;"&amp;IF(EntrapmentCurrent="",0,EntrapmentCurrent),Cyrille!J7:J16,"&lt;="&amp;EntrapmentDesired)+SUMIFS(Cyrille!P7:P16,Cyrille!J7:J16,"&gt;"&amp;IF(ScavengingCurrent="",0,ScavengingCurrent),Cyrille!J7:J16,"&lt;="&amp;ScavengingDesired)+SUMIFS(Cyrille!T7:T16,Cyrille!J7:J16,"&gt;"&amp;IF(WeaponMasterCurrent="",0,WeaponMasterCurrent),Cyrille!J7:J16,"&lt;="&amp;WeaponMasterDesired)+SUMIFS(Cyrille!X7:X16,Cyrille!J7:J16,"&gt;"&amp;IF(UrsasBaneCurrent="",0,UrsasBaneCurrent),Cyrille!J7:J16,"&lt;="&amp;UrsasBaneDesired)</f>
        <v>0</v>
      </c>
      <c r="Q35" s="8" t="s">
        <v>30</v>
      </c>
      <c r="R35"/>
      <c r="S35" s="711">
        <v>5</v>
      </c>
      <c r="T35" s="712"/>
      <c r="U35" s="404" cm="1">
        <f t="array" ref="U35">IFERROR(_xlfn.XLOOKUP(1,(Agnes!K7:K16&lt;=EfficientReconCurrent)*(Agnes!N7:N16&lt;&gt;""),Agnes!N7:N16,,0,-1),"")</f>
        <v>8</v>
      </c>
      <c r="V35" s="405"/>
      <c r="W35" s="711">
        <v>5</v>
      </c>
      <c r="X35" s="712"/>
      <c r="Y35" s="404" cm="1">
        <f t="array" ref="Y35">IFERROR(_xlfn.XLOOKUP(1,(Agnes!K7:K16&lt;=OptimizationCurrent)*(Agnes!R7:R16&lt;&gt;""),Agnes!R7:R16,,0,-1),"")</f>
        <v>40</v>
      </c>
      <c r="Z35" s="405"/>
      <c r="AA35" s="711">
        <v>5</v>
      </c>
      <c r="AB35" s="712"/>
      <c r="AC35" s="404" t="str" cm="1">
        <f t="array" ref="AC35">IFERROR(_xlfn.XLOOKUP(1,(Agnes!K7:K16&lt;=ProjectMgmtCurrent)*(Agnes!V7:V16&lt;&gt;""),Agnes!V7:V16,,0,-1)&amp;" Hours","")</f>
        <v>8 Hours</v>
      </c>
      <c r="AD35" s="405"/>
      <c r="AE35" s="748">
        <v>5</v>
      </c>
      <c r="AF35" s="749"/>
      <c r="AG35" s="404" t="str" cm="1">
        <f t="array" ref="AG35">IFERROR(_xlfn.XLOOKUP(1,(Agnes!K7:K16&lt;=CovertKnowledgeCurrent)*(Agnes!Z7:Z16&lt;&gt;""),Agnes!Z7:Z16,,0,-1)&amp;" Badges, "&amp;IFERROR(_xlfn.XLOOKUP(1,(Agnes!K7:K16&lt;=CovertKnowledgeCurrent)*(Agnes!AA7:AA16&lt;&gt;""),Agnes!AA7:AA16,,0,-1)&amp;" Refresh",""),"")</f>
        <v>60 Badges, 2 Refresh</v>
      </c>
      <c r="AH35" s="405"/>
    </row>
    <row r="36" spans="2:34" x14ac:dyDescent="0.3">
      <c r="B36" s="711">
        <v>60.1</v>
      </c>
      <c r="C36" s="712"/>
      <c r="D36" s="695"/>
      <c r="E36" s="697"/>
      <c r="F36" s="745" cm="1">
        <f t="array" ref="F36">IFERROR(_xlfn.XLOOKUP(1,(Cyrille!C7:C117&lt;=CyrilleLevelCurrent)*(Cyrille!F7:F117&lt;&gt;""),Cyrille!F7:F117,,0,-1),"")</f>
        <v>9.6000000000000002E-2</v>
      </c>
      <c r="G36" s="745"/>
      <c r="H36" s="718" cm="1">
        <f t="array" ref="H36">IF(CyrilleLevelCurrent=0,"-",IFERROR(_xlfn.XLOOKUP(1,(Cyrille!C7:C117&lt;=CyrilleLevelCurrent)*(Cyrille!G7:G117&lt;&gt;""),Cyrille!G7:G117,,0,-1),""))</f>
        <v>0.18</v>
      </c>
      <c r="I36" s="719"/>
      <c r="J36"/>
      <c r="K36" s="292" t="s">
        <v>98</v>
      </c>
      <c r="L36" s="87">
        <f>IF(L35&gt;0,D36,)</f>
        <v>0</v>
      </c>
      <c r="M36" s="87">
        <f>H8</f>
        <v>40</v>
      </c>
      <c r="N36" s="293"/>
      <c r="O36" s="294"/>
      <c r="P36" s="87">
        <f>IF(EntrapmentDesired&gt;EntrapmentCurrent,S28,)+IF(ScavengingDesired&gt;ScavengingCurrent,W28,)+IF(WeaponMasterDesired&gt;WeaponMasterCurrent,AA28,)+IF(UrsasBaneDesired&gt;UrsasBaneCurrent,AE28,)</f>
        <v>0</v>
      </c>
      <c r="Q36" s="8" t="s">
        <v>98</v>
      </c>
      <c r="R36"/>
      <c r="S36" s="715" t="s">
        <v>910</v>
      </c>
      <c r="T36" s="716"/>
      <c r="U36" s="716"/>
      <c r="V36" s="717"/>
      <c r="W36" s="715" t="s">
        <v>910</v>
      </c>
      <c r="X36" s="716"/>
      <c r="Y36" s="716"/>
      <c r="Z36" s="717"/>
      <c r="AA36" s="715" t="s">
        <v>910</v>
      </c>
      <c r="AB36" s="716"/>
      <c r="AC36" s="716"/>
      <c r="AD36" s="717"/>
      <c r="AE36" s="715" t="s">
        <v>909</v>
      </c>
      <c r="AF36" s="716"/>
      <c r="AG36" s="716"/>
      <c r="AH36" s="717"/>
    </row>
    <row r="37" spans="2:34" x14ac:dyDescent="0.3">
      <c r="B37" s="715" t="s">
        <v>99</v>
      </c>
      <c r="C37" s="717"/>
      <c r="D37" s="715" t="s">
        <v>883</v>
      </c>
      <c r="E37" s="717"/>
      <c r="F37" s="715" t="s">
        <v>99</v>
      </c>
      <c r="G37" s="717"/>
      <c r="H37" s="715" t="s">
        <v>99</v>
      </c>
      <c r="I37" s="717"/>
      <c r="J37"/>
      <c r="K37" s="729" t="s">
        <v>877</v>
      </c>
      <c r="L37" s="729"/>
      <c r="M37" s="84">
        <f>IF(M35&gt;M36,M35-M36,)</f>
        <v>0</v>
      </c>
      <c r="N37" s="296"/>
      <c r="O37" s="297"/>
      <c r="P37" s="87">
        <f>IF(P35&gt;P36,P35-P36,)</f>
        <v>0</v>
      </c>
      <c r="Q37" s="350" t="s">
        <v>878</v>
      </c>
      <c r="R37"/>
      <c r="S37" s="711"/>
      <c r="T37" s="712"/>
      <c r="U37" s="404" t="str" cm="1">
        <f t="array" ref="U37">IFERROR(_xlfn.XLOOKUP(1,(Agnes!K7:K16&lt;=EfficientReconDesired)*(Agnes!N7:N16&lt;&gt;""),Agnes!N7:N16,,0,-1),"")</f>
        <v/>
      </c>
      <c r="V37" s="486"/>
      <c r="W37" s="711"/>
      <c r="X37" s="712"/>
      <c r="Y37" s="404" t="str" cm="1">
        <f t="array" ref="Y37">IFERROR(_xlfn.XLOOKUP(1,(Agnes!K7:K16&lt;=OptimizationDesired)*(Agnes!R7:R16&lt;&gt;""),Agnes!R7:R16,,0,-1),"")</f>
        <v/>
      </c>
      <c r="Z37" s="405"/>
      <c r="AA37" s="711"/>
      <c r="AB37" s="712"/>
      <c r="AC37" s="404" t="str" cm="1">
        <f t="array" ref="AC37">IFERROR(_xlfn.XLOOKUP(1,(Agnes!K7:K16&lt;=ProjectMgmtDesired)*(Agnes!V7:V16&lt;&gt;""),Agnes!V7:V16,,0,-1)&amp;" Hours","")</f>
        <v/>
      </c>
      <c r="AD37" s="405"/>
      <c r="AE37" s="711"/>
      <c r="AF37" s="712"/>
      <c r="AG37" s="404" t="str" cm="1">
        <f t="array" ref="AG37">IFERROR(_xlfn.XLOOKUP(1,(Agnes!K7:K16&lt;=CovertKnowledgeDesired)*(Agnes!Z7:Z16&lt;&gt;""),Agnes!Z7:Z16,,0,-1)&amp;" Badges, "&amp;IFERROR(_xlfn.XLOOKUP(1,(Agnes!K7:K16&lt;=CovertKnowledgeDesired)*(Agnes!AA7:AA16&lt;&gt;""),Agnes!AA7:AA16,,0,-1)&amp;" Refresh",""),"")</f>
        <v/>
      </c>
      <c r="AH37" s="405"/>
    </row>
    <row r="38" spans="2:34" ht="15" customHeight="1" x14ac:dyDescent="0.3">
      <c r="B38" s="711">
        <v>70.099999999999994</v>
      </c>
      <c r="C38" s="712"/>
      <c r="D38" s="494">
        <f>SUMIFS(Cyrille!D8:D117,Cyrille!C8:C117,"&gt;"&amp;CyrilleLevelCurrent,Cyrille!C8:C117,"&lt;="&amp;CyrilleLevelDesired)</f>
        <v>22250</v>
      </c>
      <c r="E38" s="496"/>
      <c r="F38" s="741" cm="1">
        <f t="array" ref="F38">IFERROR(_xlfn.XLOOKUP(1,(Cyrille!C7:C117&lt;=CyrilleLevelDesired)*(Cyrille!F7:F117&lt;&gt;""),Cyrille!F7:F117,,0,-1),"")</f>
        <v>0.1095</v>
      </c>
      <c r="G38" s="742"/>
      <c r="H38" s="718" cm="1">
        <f t="array" ref="H38">IFERROR(_xlfn.XLOOKUP(1,(Cyrille!C7:C117&lt;=CyrilleLevelDesired)*(Cyrille!G7:G117&lt;&gt;""),Cyrille!G7:G117,,0,-1),"")</f>
        <v>0.21</v>
      </c>
      <c r="I38" s="719"/>
      <c r="J38"/>
      <c r="L38"/>
      <c r="M38"/>
      <c r="N38"/>
      <c r="O38" s="288"/>
      <c r="P38" s="289"/>
      <c r="Q38" s="8"/>
      <c r="R38"/>
      <c r="S38" s="515" t="s">
        <v>888</v>
      </c>
      <c r="T38" s="720"/>
      <c r="U38" s="515" t="s">
        <v>1003</v>
      </c>
      <c r="V38" s="516"/>
      <c r="W38" s="515" t="s">
        <v>888</v>
      </c>
      <c r="X38" s="720"/>
      <c r="Y38" s="515" t="s">
        <v>1003</v>
      </c>
      <c r="Z38" s="516"/>
      <c r="AA38" s="515" t="s">
        <v>888</v>
      </c>
      <c r="AB38" s="720"/>
      <c r="AC38" s="515" t="s">
        <v>1003</v>
      </c>
      <c r="AD38" s="516"/>
      <c r="AE38" s="515" t="s">
        <v>888</v>
      </c>
      <c r="AF38" s="720"/>
      <c r="AG38" s="515" t="s">
        <v>1003</v>
      </c>
      <c r="AH38" s="516"/>
    </row>
    <row r="39" spans="2:34" x14ac:dyDescent="0.3">
      <c r="J39"/>
      <c r="K39" s="288"/>
      <c r="L39"/>
      <c r="M39"/>
      <c r="O39" s="289"/>
      <c r="P39" s="38"/>
      <c r="Q39" s="8"/>
      <c r="R39"/>
      <c r="S39" s="695"/>
      <c r="T39" s="697"/>
      <c r="U39" s="494" t="str" cm="1">
        <f t="array" ref="U39">IF(EfficientReconCurrent&gt;=EfficientReconDesired,"-",IFERROR(_xlfn.XLOOKUP(1,(Agnes!K7:K16&lt;=EfficientReconDesired)*(Agnes!O7:O16&lt;&gt;""),Agnes!O7:O16,,0,-1)-IFERROR(_xlfn.XLOOKUP(1,(Agnes!K7:K16&lt;=EfficientReconCurrent)*(Agnes!O7:O16&lt;&gt;""),Agnes!O7:O16,,0,-1),""),""))</f>
        <v>-</v>
      </c>
      <c r="V39" s="495"/>
      <c r="W39" s="695"/>
      <c r="X39" s="697"/>
      <c r="Y39" s="494" t="str" cm="1">
        <f t="array" ref="Y39">IF(OptimizationCurrent&gt;=OptimizationDesired,"-",IFERROR(_xlfn.XLOOKUP(1,(Agnes!K7:K16&lt;=OptimizationDesired)*(Agnes!S7:S16&lt;&gt;""),Agnes!S7:S16,,0,-1)-IFERROR(_xlfn.XLOOKUP(1,(Agnes!K7:K16&lt;=OptimizationCurrent)*(Agnes!S7:S16&lt;&gt;""),Agnes!S7:S16,,0,-1),""),""))</f>
        <v>-</v>
      </c>
      <c r="Z39" s="496"/>
      <c r="AA39" s="695">
        <v>600</v>
      </c>
      <c r="AB39" s="697"/>
      <c r="AC39" s="494" t="str" cm="1">
        <f t="array" ref="AC39">IF(ProjectMgmtCurrent&gt;=ProjectMgmtDesired,"-",IFERROR(_xlfn.XLOOKUP(1,(Agnes!K7:K16&lt;=ProjectMgmtDesired)*(Agnes!W7:W16&lt;&gt;""),Agnes!W7:W16,,0,-1)-IFERROR(_xlfn.XLOOKUP(1,(Agnes!K7:K16&lt;=ProjectMgmtCurrent)*(Agnes!W7:W16&lt;&gt;""),Agnes!W7:W16,,0,-1),""),""))</f>
        <v>-</v>
      </c>
      <c r="AD39" s="496"/>
      <c r="AE39" s="722"/>
      <c r="AF39" s="723"/>
      <c r="AG39" s="494" t="str" cm="1">
        <f t="array" ref="AG39">IF(CovertKnowledgeCurrent&gt;=CovertKnowledgeDesired,"-",IFERROR(_xlfn.XLOOKUP(1,(Agnes!K7:K16&lt;=CovertKnowledgeDesired)*(Agnes!AB7:AB16&lt;&gt;""),Agnes!AB7:AB16,,0,-1)-IFERROR(_xlfn.XLOOKUP(1,(Agnes!K7:K16&lt;=CovertKnowledgeCurrent)*(Agnes!AB7:AB16&lt;&gt;""),Agnes!AB7:AB16,,0,-1),""),""))</f>
        <v>-</v>
      </c>
      <c r="AH39" s="496"/>
    </row>
    <row r="40" spans="2:34" x14ac:dyDescent="0.3">
      <c r="B40" s="743" t="s">
        <v>823</v>
      </c>
      <c r="C40" s="743"/>
      <c r="D40" s="743"/>
      <c r="E40" s="743"/>
      <c r="F40" s="743"/>
      <c r="G40" s="743"/>
      <c r="H40" s="743"/>
      <c r="I40" s="743"/>
      <c r="J40"/>
      <c r="K40"/>
      <c r="L40" s="426" t="s">
        <v>865</v>
      </c>
      <c r="M40" s="426"/>
      <c r="N40" s="426"/>
      <c r="O40" s="426"/>
      <c r="P40" s="426"/>
      <c r="Q40" s="8"/>
      <c r="R40"/>
      <c r="S40" s="515" t="s">
        <v>884</v>
      </c>
      <c r="T40" s="516"/>
      <c r="V40"/>
      <c r="W40" s="515" t="s">
        <v>884</v>
      </c>
      <c r="X40" s="516"/>
      <c r="AA40" s="515" t="s">
        <v>884</v>
      </c>
      <c r="AB40" s="516"/>
      <c r="AE40" s="515" t="s">
        <v>884</v>
      </c>
      <c r="AF40" s="516"/>
    </row>
    <row r="41" spans="2:34" x14ac:dyDescent="0.3">
      <c r="B41" s="746" t="s">
        <v>174</v>
      </c>
      <c r="C41" s="752"/>
      <c r="D41" s="752"/>
      <c r="E41" s="747"/>
      <c r="F41" s="746" t="s">
        <v>981</v>
      </c>
      <c r="G41" s="747"/>
      <c r="H41" s="744" t="s">
        <v>982</v>
      </c>
      <c r="I41" s="744"/>
      <c r="J41"/>
      <c r="K41"/>
      <c r="L41" s="14" t="s">
        <v>838</v>
      </c>
      <c r="M41" s="14" t="s">
        <v>839</v>
      </c>
      <c r="N41" s="209"/>
      <c r="O41" s="14" t="s">
        <v>856</v>
      </c>
      <c r="P41" s="14" t="s">
        <v>570</v>
      </c>
      <c r="Q41" s="8"/>
      <c r="R41"/>
      <c r="S41" s="494">
        <f>SUMIFS(Agnes!M7:M16,Agnes!K7:K16,"&gt;"&amp;EfficientReconCurrent,Agnes!K7:K16,"&lt;="&amp;EfficientReconDesired)</f>
        <v>0</v>
      </c>
      <c r="T41" s="496"/>
      <c r="V41"/>
      <c r="W41" s="735">
        <f>SUMIFS(Agnes!Q7:Q16,Agnes!K7:K16,"&gt;"&amp;OptimizationCurrent,Agnes!K7:K16,"&lt;="&amp;OptimizationDesired)</f>
        <v>0</v>
      </c>
      <c r="X41" s="736"/>
      <c r="AA41" s="494">
        <f>SUMIFS(Agnes!U7:U16,Agnes!K7:K16,"&gt;"&amp;ProjectMgmtCurrent,Agnes!K7:K16,"&lt;="&amp;ProjectMgmtDesired)</f>
        <v>0</v>
      </c>
      <c r="AB41" s="496"/>
      <c r="AE41" s="735">
        <f>SUMIFS(Agnes!Y7:Y16,Agnes!K7:K16,"&gt;"&amp;CovertKnowledgeCurrent,Agnes!K7:K16,"&lt;="&amp;CovertKnowledgeDesired)</f>
        <v>0</v>
      </c>
      <c r="AF41" s="736"/>
    </row>
    <row r="42" spans="2:34" x14ac:dyDescent="0.3">
      <c r="B42" s="715" t="s">
        <v>98</v>
      </c>
      <c r="C42" s="717"/>
      <c r="D42" s="715" t="s">
        <v>882</v>
      </c>
      <c r="E42" s="717"/>
      <c r="F42" s="715" t="s">
        <v>98</v>
      </c>
      <c r="G42" s="717"/>
      <c r="H42" s="715" t="s">
        <v>98</v>
      </c>
      <c r="I42" s="717"/>
      <c r="J42"/>
      <c r="K42" s="9" t="s">
        <v>30</v>
      </c>
      <c r="L42" s="87">
        <f>SUMIFS(Agnes!D8:D117,Agnes!C8:C117,"&gt;"&amp;AgnesLevelCurrent,Agnes!C8:C117,"&lt;="&amp;AgnesLevelDesired)</f>
        <v>26700</v>
      </c>
      <c r="M42" s="87">
        <f>SUMIFS(Agnes!E8:E117,Agnes!C8:C117,"&gt;"&amp;AgnesLevelCurrent,Agnes!C8:C117,"&lt;="&amp;AgnesLevelDesired)</f>
        <v>35</v>
      </c>
      <c r="N42" s="290"/>
      <c r="O42" s="87">
        <f>SUMIFS(Agnes!L7:L16,Agnes!K7:K16,"&gt;"&amp;EfficientReconCurrent,Agnes!K7:K16,"&lt;="&amp;EfficientReconDesired)+SUMIFS(Agnes!P7:P16,Agnes!K7:K16,"&gt;"&amp;OptimizationCurrent,Agnes!K7:K16,"&lt;="&amp;OptimizationDesired)+SUMIFS(Agnes!T7:T16,Agnes!K7:K16,"&gt;"&amp;ProjectMgmtCurrent,Agnes!K7:K16,"&lt;="&amp;ProjectMgmtDesired)+SUMIFS(Agnes!X7:X16,Agnes!K7:K16,"&gt;"&amp;CovertKnowledgeCurrent,Agnes!K7:K16,"&lt;="&amp;CovertKnowledgeDesired)</f>
        <v>0</v>
      </c>
      <c r="P42" s="87">
        <f>SUMIFS(Agnes!M7:M16,Agnes!K7:K16,"&gt;"&amp;EfficientReconCurrent,Agnes!K7:K16,"&lt;="&amp;EfficientReconDesired)+SUMIFS(Agnes!Q7:Q16,Agnes!K7:K16,"&gt;"&amp;OptimizationCurrent,Agnes!K7:K16,"&lt;="&amp;OptimizationDesired)+SUMIFS(Agnes!U7:U16,Agnes!K7:K16,"&gt;"&amp;ProjectMgmtCurrent,Agnes!K7:K16,"&lt;="&amp;ProjectMgmtDesired)+SUMIFS(Agnes!Y7:Y16,Agnes!K7:K16,"&gt;"&amp;CovertKnowledgeCurrent,Agnes!K7:K16,"&lt;="&amp;CovertKnowledgeDesired)</f>
        <v>0</v>
      </c>
      <c r="Q42" s="8" t="s">
        <v>30</v>
      </c>
      <c r="R42"/>
      <c r="V42"/>
      <c r="W42" s="288"/>
      <c r="AB42" s="289"/>
      <c r="AC42" s="289"/>
      <c r="AD42" s="289"/>
      <c r="AE42" s="289"/>
      <c r="AF42" s="38"/>
      <c r="AG42" s="38"/>
      <c r="AH42" s="38"/>
    </row>
    <row r="43" spans="2:34" x14ac:dyDescent="0.3">
      <c r="B43" s="711">
        <v>60.1</v>
      </c>
      <c r="C43" s="712"/>
      <c r="D43" s="695"/>
      <c r="E43" s="697"/>
      <c r="F43" s="741" cm="1">
        <f t="array" ref="F43">IFERROR(_xlfn.XLOOKUP(1,(Agnes!C7:C117&lt;=AgnesLevelCurrent)*(Agnes!F7:F117&lt;&gt;""),Agnes!F7:F117,,0,-1),"")</f>
        <v>9.6000000000000002E-2</v>
      </c>
      <c r="G43" s="742"/>
      <c r="H43" s="404" t="str" cm="1">
        <f t="array" ref="H43">IF(AgnesLevelCurrent=0,"-",IFERROR(_xlfn.XLOOKUP(1,(Agnes!C7:C117&lt;=AgnesLevelCurrent)*(Agnes!G7:G117&lt;&gt;""),Agnes!G7:G117,,0,-1),"")&amp;" Chests, Max "&amp;IFERROR(_xlfn.XLOOKUP(1,(Agnes!C7:C117&lt;=AgnesLevelCurrent)*(Agnes!H7:H117&lt;&gt;""),Agnes!H7:H117,,0,-1),""))</f>
        <v>3 Chests, Max 22</v>
      </c>
      <c r="I43" s="405"/>
      <c r="J43"/>
      <c r="K43" s="292" t="s">
        <v>98</v>
      </c>
      <c r="L43" s="87">
        <f>IF(L42&gt;0,D43,)</f>
        <v>0</v>
      </c>
      <c r="M43" s="87">
        <f>I8</f>
        <v>20</v>
      </c>
      <c r="N43" s="293"/>
      <c r="O43" s="294"/>
      <c r="P43" s="87">
        <f>IF(EfficientReconDesired&gt;EfficientReconCurrent,S39,)+IF(OptimizationDesired&gt;OptimizationCurrent,W39,)+IF(ProjectMgmtDesired&gt;ProjectMgmtCurrent,AA39,)+IF(CovertKnowledgeDesired&gt;CovertKnowledgeCurrent,AE39,)</f>
        <v>0</v>
      </c>
      <c r="Q43" s="8" t="s">
        <v>98</v>
      </c>
      <c r="R43"/>
      <c r="S43" s="721" t="s">
        <v>908</v>
      </c>
      <c r="T43" s="721"/>
      <c r="U43" s="721"/>
      <c r="V43" s="721"/>
      <c r="W43" s="721"/>
      <c r="X43" s="721"/>
      <c r="Y43" s="721"/>
      <c r="Z43" s="721"/>
      <c r="AA43" s="721"/>
      <c r="AB43" s="721"/>
      <c r="AC43" s="721"/>
      <c r="AD43" s="721"/>
      <c r="AE43" s="721"/>
      <c r="AF43" s="721"/>
      <c r="AG43" s="721"/>
      <c r="AH43" s="721"/>
    </row>
    <row r="44" spans="2:34" x14ac:dyDescent="0.3">
      <c r="B44" s="715" t="s">
        <v>99</v>
      </c>
      <c r="C44" s="717"/>
      <c r="D44" s="715" t="s">
        <v>883</v>
      </c>
      <c r="E44" s="717"/>
      <c r="F44" s="715" t="s">
        <v>99</v>
      </c>
      <c r="G44" s="717"/>
      <c r="H44" s="715" t="s">
        <v>99</v>
      </c>
      <c r="I44" s="717"/>
      <c r="J44"/>
      <c r="K44" s="729" t="s">
        <v>877</v>
      </c>
      <c r="L44" s="729"/>
      <c r="M44" s="84">
        <f>IF(M42&gt;M43,M42-M43,)</f>
        <v>15</v>
      </c>
      <c r="N44" s="296"/>
      <c r="O44" s="297"/>
      <c r="P44" s="87">
        <f>IF(P42&gt;P43,P42-P43,)</f>
        <v>0</v>
      </c>
      <c r="Q44" s="350" t="s">
        <v>878</v>
      </c>
      <c r="R44"/>
      <c r="S44" s="389" t="s">
        <v>851</v>
      </c>
      <c r="T44" s="390"/>
      <c r="U44" s="389" t="s">
        <v>999</v>
      </c>
      <c r="V44" s="390"/>
      <c r="W44" s="389" t="s">
        <v>852</v>
      </c>
      <c r="X44" s="390"/>
      <c r="Y44" s="389" t="s">
        <v>1000</v>
      </c>
      <c r="Z44" s="390"/>
      <c r="AA44" s="713" t="s">
        <v>853</v>
      </c>
      <c r="AB44" s="714"/>
      <c r="AC44" s="713" t="s">
        <v>1001</v>
      </c>
      <c r="AD44" s="714"/>
      <c r="AE44" s="389" t="s">
        <v>854</v>
      </c>
      <c r="AF44" s="390"/>
      <c r="AG44" s="389" t="s">
        <v>999</v>
      </c>
      <c r="AH44" s="390"/>
    </row>
    <row r="45" spans="2:34" ht="15" customHeight="1" x14ac:dyDescent="0.3">
      <c r="B45" s="756">
        <v>70.099999999999994</v>
      </c>
      <c r="C45" s="756"/>
      <c r="D45" s="494">
        <f>SUMIFS(Agnes!D8:D117,Agnes!C8:C117,"&gt;"&amp;AgnesLevelCurrent,Agnes!C8:C117,"&lt;="&amp;AgnesLevelDesired)</f>
        <v>26700</v>
      </c>
      <c r="E45" s="496"/>
      <c r="F45" s="741" cm="1">
        <f t="array" ref="F45">IFERROR(_xlfn.XLOOKUP(1,(Agnes!C7:C117&lt;=AgnesLevelDesired)*(Agnes!F7:F117&lt;&gt;""),Agnes!F7:F117,,0,-1),"")</f>
        <v>0.1095</v>
      </c>
      <c r="G45" s="742"/>
      <c r="H45" s="494" t="str" cm="1">
        <f t="array" ref="H45">IFERROR(_xlfn.XLOOKUP(1,(Agnes!C7:C117&lt;=AgnesLevelDesired)*(Agnes!G7:G117&lt;&gt;""),Agnes!G7:G117,,0,-1),"")&amp;" Chests, Max "&amp;IFERROR(_xlfn.XLOOKUP(1,(Agnes!C7:C117&lt;=AgnesLevelDesired)*(Agnes!H7:H117&lt;&gt;""),Agnes!H7:H117,,0,-1),"")</f>
        <v>4 Chests, Max 24</v>
      </c>
      <c r="I45" s="496"/>
      <c r="J45"/>
      <c r="K45" s="288"/>
      <c r="L45"/>
      <c r="M45"/>
      <c r="O45" s="289"/>
      <c r="P45" s="38"/>
      <c r="Q45" s="8"/>
      <c r="R45"/>
      <c r="S45" s="715" t="s">
        <v>98</v>
      </c>
      <c r="T45" s="716"/>
      <c r="U45" s="716"/>
      <c r="V45" s="717"/>
      <c r="W45" s="715" t="s">
        <v>98</v>
      </c>
      <c r="X45" s="716"/>
      <c r="Y45" s="716"/>
      <c r="Z45" s="717"/>
      <c r="AA45" s="715" t="s">
        <v>98</v>
      </c>
      <c r="AB45" s="716"/>
      <c r="AC45" s="716"/>
      <c r="AD45" s="717"/>
      <c r="AE45" s="715" t="s">
        <v>98</v>
      </c>
      <c r="AF45" s="716"/>
      <c r="AG45" s="716"/>
      <c r="AH45" s="717"/>
    </row>
    <row r="46" spans="2:34" x14ac:dyDescent="0.3">
      <c r="J46"/>
      <c r="K46" s="288"/>
      <c r="L46"/>
      <c r="M46"/>
      <c r="O46" s="289"/>
      <c r="P46" s="38"/>
      <c r="Q46" s="8"/>
      <c r="R46"/>
      <c r="S46" s="711">
        <v>5</v>
      </c>
      <c r="T46" s="712"/>
      <c r="U46" s="718" cm="1">
        <f t="array" ref="U46">IFERROR(_xlfn.XLOOKUP(1,(Holger!K7:K16&lt;=ArenaEliteCurrent)*(Holger!N7:N16&lt;&gt;""),Holger!N7:N16,,0,-1),"")</f>
        <v>0.1</v>
      </c>
      <c r="V46" s="719"/>
      <c r="W46" s="711">
        <v>5</v>
      </c>
      <c r="X46" s="712"/>
      <c r="Y46" s="718" cm="1">
        <f t="array" ref="Y46">IFERROR(_xlfn.XLOOKUP(1,(Holger!K7:K16&lt;=CrowdPleaserCurrent)*(Holger!R7:R16&lt;&gt;""),Holger!R7:R16,,0,-1),"")</f>
        <v>0.25</v>
      </c>
      <c r="Z46" s="719"/>
      <c r="AA46" s="711">
        <v>5</v>
      </c>
      <c r="AB46" s="712"/>
      <c r="AC46" s="404" t="str" cm="1">
        <f t="array" ref="AC46">IFERROR(_xlfn.XLOOKUP(1,(Holger!K7:K16&lt;=ArenaStarCurrent)*(Holger!V7:V16&lt;&gt;""),Holger!V7:V16,,0,-1)&amp;" Items, "&amp;IFERROR(_xlfn.XLOOKUP(1,(Holger!K7:K16&lt;=ArenaStarCurrent)*(Holger!W7:W16&lt;&gt;""),Holger!W7:W16,,0,-1),"")*100&amp;"% Discount","")</f>
        <v>1 Items, 25% Discount</v>
      </c>
      <c r="AD46" s="405"/>
      <c r="AE46" s="726">
        <v>5</v>
      </c>
      <c r="AF46" s="727"/>
      <c r="AG46" s="718" cm="1">
        <f t="array" ref="AG46">IFERROR(_xlfn.XLOOKUP(1,(Holger!K7:K16&lt;=LegacyCurrent)*(Holger!AA7:AA16&lt;&gt;""),Holger!AA7:AA16,,0,-1),"")</f>
        <v>0.1</v>
      </c>
      <c r="AH46" s="719"/>
    </row>
    <row r="47" spans="2:34" x14ac:dyDescent="0.3">
      <c r="B47" s="721" t="s">
        <v>825</v>
      </c>
      <c r="C47" s="721"/>
      <c r="D47" s="721"/>
      <c r="E47" s="721"/>
      <c r="F47" s="721"/>
      <c r="G47" s="721"/>
      <c r="H47" s="721"/>
      <c r="I47" s="721"/>
      <c r="J47"/>
      <c r="K47"/>
      <c r="L47" s="426" t="s">
        <v>863</v>
      </c>
      <c r="M47" s="426"/>
      <c r="N47" s="426"/>
      <c r="O47" s="426"/>
      <c r="P47" s="426"/>
      <c r="Q47" s="8"/>
      <c r="R47"/>
      <c r="S47" s="715" t="s">
        <v>909</v>
      </c>
      <c r="T47" s="716"/>
      <c r="U47" s="716"/>
      <c r="V47" s="717"/>
      <c r="W47" s="715" t="s">
        <v>909</v>
      </c>
      <c r="X47" s="716"/>
      <c r="Y47" s="716"/>
      <c r="Z47" s="717"/>
      <c r="AA47" s="715" t="s">
        <v>909</v>
      </c>
      <c r="AB47" s="716"/>
      <c r="AC47" s="716"/>
      <c r="AD47" s="717"/>
      <c r="AE47" s="715" t="s">
        <v>909</v>
      </c>
      <c r="AF47" s="716"/>
      <c r="AG47" s="716"/>
      <c r="AH47" s="717"/>
    </row>
    <row r="48" spans="2:34" ht="15" customHeight="1" x14ac:dyDescent="0.3">
      <c r="B48" s="746" t="s">
        <v>174</v>
      </c>
      <c r="C48" s="752"/>
      <c r="D48" s="752"/>
      <c r="E48" s="747"/>
      <c r="F48" s="746" t="s">
        <v>983</v>
      </c>
      <c r="G48" s="747"/>
      <c r="H48" s="746" t="s">
        <v>984</v>
      </c>
      <c r="I48" s="747"/>
      <c r="J48"/>
      <c r="K48" s="1"/>
      <c r="L48" s="14" t="s">
        <v>838</v>
      </c>
      <c r="M48" s="14" t="s">
        <v>839</v>
      </c>
      <c r="N48" s="209"/>
      <c r="O48" s="14" t="s">
        <v>856</v>
      </c>
      <c r="P48" s="14" t="s">
        <v>570</v>
      </c>
      <c r="Q48" s="8"/>
      <c r="R48"/>
      <c r="S48" s="711"/>
      <c r="T48" s="712"/>
      <c r="U48" s="718" t="str" cm="1">
        <f t="array" ref="U48">IFERROR(_xlfn.XLOOKUP(1,(Holger!K7:K16&lt;=ArenaEliteDesired)*(Holger!N7:N16&lt;&gt;""),Holger!N7:N16,,0,-1),"")</f>
        <v/>
      </c>
      <c r="V48" s="719"/>
      <c r="W48" s="711"/>
      <c r="X48" s="712"/>
      <c r="Y48" s="718" t="str" cm="1">
        <f t="array" ref="Y48">IFERROR(_xlfn.XLOOKUP(1,(Holger!K7:K16&lt;=CrowdPleaserDesired)*(Holger!R7:R16&lt;&gt;""),Holger!R7:R16,,0,-1),"")</f>
        <v/>
      </c>
      <c r="Z48" s="719"/>
      <c r="AA48" s="711"/>
      <c r="AB48" s="712"/>
      <c r="AC48" s="404" t="str" cm="1">
        <f t="array" ref="AC48">IFERROR(_xlfn.XLOOKUP(1,(Holger!K7:K16&lt;=ArenaStarDesired)*(Holger!V7:V16&lt;&gt;""),Holger!V7:V16,,0,-1)&amp;" Items, "&amp;IFERROR(_xlfn.XLOOKUP(1,(Holger!K7:K16&lt;=ArenaStarDesired)*(Holger!W7:W16&lt;&gt;""),Holger!W7:W16,,0,-1),"")*100&amp;"% Discount","")</f>
        <v/>
      </c>
      <c r="AD48" s="405"/>
      <c r="AE48" s="726"/>
      <c r="AF48" s="727"/>
      <c r="AG48" s="718" t="str" cm="1">
        <f t="array" ref="AG48">IFERROR(_xlfn.XLOOKUP(1,(Holger!K7:K16&lt;=LegacyDesired)*(Holger!AA7:AA16&lt;&gt;""),Holger!AA7:AA16,,0,-1),"")</f>
        <v/>
      </c>
      <c r="AH48" s="719"/>
    </row>
    <row r="49" spans="2:34" ht="15" customHeight="1" x14ac:dyDescent="0.3">
      <c r="B49" s="715" t="s">
        <v>98</v>
      </c>
      <c r="C49" s="717"/>
      <c r="D49" s="715" t="s">
        <v>882</v>
      </c>
      <c r="E49" s="717"/>
      <c r="F49" s="715" t="s">
        <v>98</v>
      </c>
      <c r="G49" s="717"/>
      <c r="H49" s="715" t="s">
        <v>98</v>
      </c>
      <c r="I49" s="717"/>
      <c r="J49"/>
      <c r="K49" s="9" t="s">
        <v>30</v>
      </c>
      <c r="L49" s="87">
        <f>SUMIFS(Holger!D8:D117,Holger!C8:C117,"&gt;"&amp;HolgerLevelCurrent,Holger!C8:C117,"&lt;="&amp;HolgerLevelDesired)</f>
        <v>66750</v>
      </c>
      <c r="M49" s="87">
        <f>SUMIFS(Holger!E8:E117,Holger!C8:C117,"&gt;"&amp;HolgerLevelCurrent,Holger!C8:C117,"&lt;="&amp;HolgerLevelDesired)</f>
        <v>56</v>
      </c>
      <c r="N49" s="290"/>
      <c r="O49" s="87">
        <f>SUMIFS(Holger!L7:L16,Holger!K7:K16,"&gt;"&amp;ArenaEliteCurrent,Holger!K7:K16,"&lt;="&amp;ArenaEliteDesired)+SUMIFS(Holger!P7:P16,Holger!K7:K16,"&gt;"&amp;CrowdPleaserCurrent,Holger!K7:K16,"&lt;="&amp;CrowdPleaserDesired)+SUMIFS(Holger!T7:T16,Holger!K7:K16,"&gt;"&amp;ArenaStarCurrent,Holger!K7:K16,"&lt;="&amp;ArenaStarDesired)+SUMIFS(Holger!Y7:Y16,Holger!K7:K16,"&gt;"&amp;LegacyCurrent,Holger!K7:K16,"&lt;="&amp;LegacyDesired)</f>
        <v>0</v>
      </c>
      <c r="P49" s="87">
        <f>SUMIFS(Holger!M7:M16,Holger!K7:K16,"&gt;"&amp;ArenaEliteCurrent,Holger!K7:K16,"&lt;="&amp;ArenaEliteDesired)+SUMIFS(Holger!Q7:Q16,Holger!K7:K16,"&gt;"&amp;CrowdPleaserCurrent,Holger!K7:K16,"&lt;="&amp;CrowdPleaserDesired)+SUMIFS(Holger!U7:U16,Holger!K7:K16,"&gt;"&amp;ArenaStarCurrent,Holger!K7:K16,"&lt;="&amp;ArenaStarDesired)+SUMIFS(Holger!Z7:Z16,Holger!K7:K16,"&gt;"&amp;LegacyCurrent,Holger!K7:K16,"&lt;="&amp;LegacyDesired)</f>
        <v>0</v>
      </c>
      <c r="Q49" s="8" t="s">
        <v>30</v>
      </c>
      <c r="R49"/>
      <c r="S49" s="515" t="s">
        <v>888</v>
      </c>
      <c r="T49" s="720"/>
      <c r="U49" s="720" t="s">
        <v>1003</v>
      </c>
      <c r="V49" s="516"/>
      <c r="W49" s="515" t="s">
        <v>888</v>
      </c>
      <c r="X49" s="720"/>
      <c r="Y49" s="720" t="s">
        <v>1003</v>
      </c>
      <c r="Z49" s="516"/>
      <c r="AA49" s="515" t="s">
        <v>888</v>
      </c>
      <c r="AB49" s="720"/>
      <c r="AC49" s="720" t="s">
        <v>1003</v>
      </c>
      <c r="AD49" s="516"/>
      <c r="AE49" s="515" t="s">
        <v>888</v>
      </c>
      <c r="AF49" s="720"/>
      <c r="AG49" s="720" t="s">
        <v>1003</v>
      </c>
      <c r="AH49" s="516"/>
    </row>
    <row r="50" spans="2:34" ht="15" customHeight="1" x14ac:dyDescent="0.3">
      <c r="B50" s="711">
        <v>60.1</v>
      </c>
      <c r="C50" s="712"/>
      <c r="D50" s="695"/>
      <c r="E50" s="697"/>
      <c r="F50" s="741" cm="1">
        <f t="array" ref="F50">IFERROR(_xlfn.XLOOKUP(1,(Holger!C7:C117&lt;=HolgerLevelCurrent)*(Holger!F7:F117&lt;&gt;""),Holger!F7:F117,,0,-1),"")</f>
        <v>9.6000000000000002E-2</v>
      </c>
      <c r="G50" s="742"/>
      <c r="H50" s="404" t="str" cm="1">
        <f t="array" ref="H50">IF(HolgerLevelCurrent=0,"-",IFERROR(_xlfn.XLOOKUP(1,(Holger!C7:C117&lt;=HolgerLevelCurrent)*(Holger!G7:G117&lt;&gt;""),Holger!G7:G117,,0,-1),"")*100&amp;"%, Max "&amp;IFERROR(_xlfn.XLOOKUP(1,(Holger!C7:C117&lt;=HolgerLevelCurrent)*(Holger!H7:H117&lt;&gt;""),Holger!H7:H117,,0,-1),""))</f>
        <v>80%, Max 2</v>
      </c>
      <c r="I50" s="405"/>
      <c r="J50"/>
      <c r="K50" s="292" t="s">
        <v>98</v>
      </c>
      <c r="L50" s="87">
        <f>IF(L49&gt;0,D50,)</f>
        <v>0</v>
      </c>
      <c r="M50" s="87">
        <f>J8</f>
        <v>28</v>
      </c>
      <c r="N50" s="293"/>
      <c r="O50" s="294"/>
      <c r="P50" s="87">
        <f>IF(ArenaEliteDesired&gt;ArenaEliteCurrent,S50,)+IF(CrowdPleaserDesired&gt;CrowdPleaserCurrent,W50,)+IF(ArenaStarDesired&gt;ArenaStarCurrent,AA50,)+IF(LegacyDesired&gt;LegacyCurrent,AE50,)</f>
        <v>0</v>
      </c>
      <c r="Q50" s="8" t="s">
        <v>98</v>
      </c>
      <c r="R50"/>
      <c r="S50" s="695"/>
      <c r="T50" s="697"/>
      <c r="U50" s="494" t="str" cm="1">
        <f t="array" ref="U50">IF(ArenaEliteCurrent&gt;=ArenaEliteDesired,"-",IFERROR(_xlfn.XLOOKUP(1,(Holger!K7:K16&lt;=ArenaEliteDesired)*(Holger!O7:O16&lt;&gt;""),Holger!O7:O16,,0,-1)-IFERROR(_xlfn.XLOOKUP(1,(Holger!K7:K16&lt;=ArenaEliteCurrent)*(Holger!O7:O16&lt;&gt;""),Holger!O7:O16,,0,-1),""),""))</f>
        <v>-</v>
      </c>
      <c r="V50" s="496"/>
      <c r="W50" s="695"/>
      <c r="X50" s="697"/>
      <c r="Y50" s="494" t="str" cm="1">
        <f t="array" ref="Y50">IF(CrowdPleaserCurrent&gt;=CrowdPleaserDesired,"-",IFERROR(_xlfn.XLOOKUP(1,(Holger!K7:K16&lt;=CrowdPleaserDesired)*(Holger!S7:S16&lt;&gt;""),Holger!S7:S16,,0,-1)-IFERROR(_xlfn.XLOOKUP(1,(Holger!K7:K16&lt;=CrowdPleaserCurrent)*(Holger!S7:S16&lt;&gt;""),Holger!S7:S16,,0,-1),""),""))</f>
        <v>-</v>
      </c>
      <c r="Z50" s="496"/>
      <c r="AA50" s="695"/>
      <c r="AB50" s="697"/>
      <c r="AC50" s="494" t="str" cm="1">
        <f t="array" ref="AC50">IF(ArenaStarCurrent&gt;=ArenaStarDesired,"-",IFERROR(_xlfn.XLOOKUP(1,(Holger!K7:K16&lt;=ArenaStarDesired)*(Holger!X7:X16&lt;&gt;""),Holger!X7:X16,,0,-1)-IFERROR(_xlfn.XLOOKUP(1,(Holger!K7:K16&lt;=ArenaStarCurrent)*(Holger!X7:X16&lt;&gt;""),Holger!X7:X16,,0,-1),""),""))</f>
        <v>-</v>
      </c>
      <c r="AD50" s="496"/>
      <c r="AE50" s="722"/>
      <c r="AF50" s="723"/>
      <c r="AG50" s="494" t="str" cm="1">
        <f t="array" ref="AG50">IF(LegacyCurrent&gt;=LegacyDesired,"-",IFERROR(_xlfn.XLOOKUP(1,(Holger!K7:K16&lt;=LegacyDesired)*(Holger!AB7:AB16&lt;&gt;""),Holger!AB7:AB16,,0,-1)-IFERROR(_xlfn.XLOOKUP(1,(Holger!K7:K16&lt;=LegacyCurrent)*(Holger!AB7:AB16&lt;&gt;""),Holger!AB7:AB16,,0,-1),""),""))</f>
        <v>-</v>
      </c>
      <c r="AH50" s="496"/>
    </row>
    <row r="51" spans="2:34" ht="15" customHeight="1" x14ac:dyDescent="0.3">
      <c r="B51" s="715" t="s">
        <v>99</v>
      </c>
      <c r="C51" s="717"/>
      <c r="D51" s="715" t="s">
        <v>883</v>
      </c>
      <c r="E51" s="717"/>
      <c r="F51" s="715" t="s">
        <v>99</v>
      </c>
      <c r="G51" s="717"/>
      <c r="H51" s="715" t="s">
        <v>99</v>
      </c>
      <c r="I51" s="717"/>
      <c r="J51"/>
      <c r="K51" s="729" t="s">
        <v>877</v>
      </c>
      <c r="L51" s="729"/>
      <c r="M51" s="84">
        <f>IF(M49&gt;M50,M49-M50,)</f>
        <v>28</v>
      </c>
      <c r="N51" s="296"/>
      <c r="O51" s="297"/>
      <c r="P51" s="87">
        <f>IF(P49&gt;P50,P49-P50,)</f>
        <v>0</v>
      </c>
      <c r="Q51" s="350" t="s">
        <v>878</v>
      </c>
      <c r="R51"/>
      <c r="S51" s="515" t="s">
        <v>884</v>
      </c>
      <c r="T51" s="516"/>
      <c r="V51"/>
      <c r="W51" s="515" t="s">
        <v>884</v>
      </c>
      <c r="X51" s="516"/>
      <c r="AA51" s="515" t="s">
        <v>884</v>
      </c>
      <c r="AB51" s="516"/>
      <c r="AE51" s="515" t="s">
        <v>884</v>
      </c>
      <c r="AF51" s="516"/>
    </row>
    <row r="52" spans="2:34" x14ac:dyDescent="0.3">
      <c r="B52" s="711">
        <v>70.099999999999994</v>
      </c>
      <c r="C52" s="712"/>
      <c r="D52" s="494">
        <f>SUMIFS(Holger!D8:D117,Holger!C8:C117,"&gt;"&amp;HolgerLevelCurrent,Holger!C8:C117,"&lt;="&amp;HolgerLevelDesired)</f>
        <v>66750</v>
      </c>
      <c r="E52" s="496"/>
      <c r="F52" s="741" cm="1">
        <f t="array" ref="F52">IFERROR(_xlfn.XLOOKUP(1,(Holger!C7:C117&lt;=HolgerLevelDesired)*(Holger!F7:F117&lt;&gt;""),Holger!F7:F117,,0,-1),"")</f>
        <v>0.1095</v>
      </c>
      <c r="G52" s="742"/>
      <c r="H52" s="494" t="str" cm="1">
        <f t="array" ref="H52">IFERROR(_xlfn.XLOOKUP(1,(Holger!C7:C117&lt;=HolgerLevelDesired)*(Holger!G7:G117&lt;&gt;""),Holger!G7:G117,,0,-1),"")*100&amp;"%, Max "&amp;IFERROR(_xlfn.XLOOKUP(1,(Holger!C7:C117&lt;=HolgerLevelDesired)*(Holger!H7:H117&lt;&gt;""),Holger!H7:H117,,0,-1),"")</f>
        <v>85%, Max 2</v>
      </c>
      <c r="I52" s="496"/>
      <c r="J52"/>
      <c r="K52" s="288"/>
      <c r="L52"/>
      <c r="M52"/>
      <c r="O52" s="289"/>
      <c r="P52" s="38"/>
      <c r="Q52" s="351"/>
      <c r="R52"/>
      <c r="S52" s="494">
        <f>SUMIFS(Holger!M7:M16,Holger!K7:K16,"&gt;"&amp;ArenaEliteCurrent,Holger!K7:K16,"&lt;="&amp;ArenaEliteDesired)</f>
        <v>0</v>
      </c>
      <c r="T52" s="496"/>
      <c r="V52"/>
      <c r="W52" s="735">
        <f>SUMIFS(Holger!Q7:Q16,Holger!K7:K16,"&gt;"&amp;CrowdPleaserCurrent,Holger!K7:K16,"&lt;="&amp;CrowdPleaserDesired)</f>
        <v>0</v>
      </c>
      <c r="X52" s="736"/>
      <c r="AA52" s="494">
        <f>SUMIFS(Holger!U7:U16,Holger!K7:K16,"&gt;"&amp;ArenaStarCurrent,Holger!K7:K16,"&lt;="&amp;ArenaStarDesired)</f>
        <v>0</v>
      </c>
      <c r="AB52" s="496"/>
      <c r="AE52" s="735">
        <f>SUMIFS(Holger!Z7:Z16,Holger!K7:K16,"&gt;"&amp;LegacyCurrent,Holger!K7:K16,"&lt;="&amp;LegacyDesired)</f>
        <v>0</v>
      </c>
      <c r="AF52" s="736"/>
    </row>
    <row r="53" spans="2:34" ht="15" customHeight="1" x14ac:dyDescent="0.3">
      <c r="J53"/>
      <c r="K53" s="288"/>
      <c r="L53"/>
      <c r="M53"/>
      <c r="O53" s="289"/>
      <c r="P53" s="38"/>
      <c r="Q53" s="351"/>
      <c r="R53"/>
      <c r="V53"/>
      <c r="W53" s="288"/>
      <c r="X53" s="289"/>
      <c r="Y53" s="289"/>
      <c r="Z53" s="289"/>
      <c r="AF53" s="38"/>
      <c r="AG53" s="38"/>
      <c r="AH53" s="38"/>
    </row>
    <row r="54" spans="2:34" x14ac:dyDescent="0.3">
      <c r="B54" s="743" t="s">
        <v>824</v>
      </c>
      <c r="C54" s="743"/>
      <c r="D54" s="743"/>
      <c r="E54" s="743"/>
      <c r="F54" s="743"/>
      <c r="G54" s="743"/>
      <c r="H54" s="743"/>
      <c r="I54" s="743"/>
      <c r="J54"/>
      <c r="K54"/>
      <c r="L54" s="426" t="s">
        <v>864</v>
      </c>
      <c r="M54" s="426"/>
      <c r="N54" s="426"/>
      <c r="O54" s="426"/>
      <c r="P54" s="426"/>
      <c r="Q54" s="8"/>
      <c r="R54"/>
      <c r="S54" s="743" t="s">
        <v>907</v>
      </c>
      <c r="T54" s="743"/>
      <c r="U54" s="743"/>
      <c r="V54" s="743"/>
      <c r="W54" s="743"/>
      <c r="X54" s="743"/>
      <c r="Y54" s="743"/>
      <c r="Z54" s="743"/>
      <c r="AA54" s="743"/>
      <c r="AB54" s="743"/>
      <c r="AC54" s="743"/>
      <c r="AD54" s="743"/>
      <c r="AE54" s="743"/>
      <c r="AF54" s="743"/>
      <c r="AG54" s="743"/>
      <c r="AH54" s="743"/>
    </row>
    <row r="55" spans="2:34" ht="15" customHeight="1" x14ac:dyDescent="0.3">
      <c r="B55" s="754" t="s">
        <v>174</v>
      </c>
      <c r="C55" s="755"/>
      <c r="D55" s="755"/>
      <c r="E55" s="755"/>
      <c r="F55" s="746" t="s">
        <v>985</v>
      </c>
      <c r="G55" s="747"/>
      <c r="H55" s="746" t="s">
        <v>986</v>
      </c>
      <c r="I55" s="747"/>
      <c r="J55"/>
      <c r="K55"/>
      <c r="L55" s="14" t="s">
        <v>838</v>
      </c>
      <c r="M55" s="14" t="s">
        <v>839</v>
      </c>
      <c r="N55" s="209"/>
      <c r="O55" s="14" t="s">
        <v>856</v>
      </c>
      <c r="P55" s="14" t="s">
        <v>570</v>
      </c>
      <c r="Q55" s="8"/>
      <c r="R55"/>
      <c r="S55" s="389" t="s">
        <v>847</v>
      </c>
      <c r="T55" s="390"/>
      <c r="U55" s="389" t="s">
        <v>1004</v>
      </c>
      <c r="V55" s="390"/>
      <c r="W55" s="389" t="s">
        <v>848</v>
      </c>
      <c r="X55" s="390"/>
      <c r="Y55" s="389" t="s">
        <v>997</v>
      </c>
      <c r="Z55" s="390"/>
      <c r="AA55" s="713" t="s">
        <v>948</v>
      </c>
      <c r="AB55" s="714"/>
      <c r="AC55" s="713" t="s">
        <v>998</v>
      </c>
      <c r="AD55" s="714"/>
      <c r="AE55" s="389" t="s">
        <v>850</v>
      </c>
      <c r="AF55" s="390"/>
      <c r="AG55" s="389" t="s">
        <v>900</v>
      </c>
      <c r="AH55" s="390"/>
    </row>
    <row r="56" spans="2:34" ht="15" customHeight="1" x14ac:dyDescent="0.3">
      <c r="B56" s="715" t="s">
        <v>98</v>
      </c>
      <c r="C56" s="717"/>
      <c r="D56" s="715" t="s">
        <v>882</v>
      </c>
      <c r="E56" s="717"/>
      <c r="F56" s="715" t="s">
        <v>98</v>
      </c>
      <c r="G56" s="717"/>
      <c r="H56" s="715" t="s">
        <v>98</v>
      </c>
      <c r="I56" s="717"/>
      <c r="J56"/>
      <c r="K56" s="9" t="s">
        <v>30</v>
      </c>
      <c r="L56" s="87">
        <f>SUMIFS(Romulus!D8:D117,Romulus!C8:C117,"&gt;"&amp;RomulusLevelCurrent,Romulus!C8:C117,"&lt;="&amp;RomulusLevelDesired)</f>
        <v>122440</v>
      </c>
      <c r="M56" s="87">
        <f>SUMIFS(Romulus!E8:E117,Romulus!C8:C117,"&gt;"&amp;RomulusLevelCurrent,Romulus!C8:C117,"&lt;="&amp;RomulusLevelDesired)</f>
        <v>240</v>
      </c>
      <c r="N56" s="290"/>
      <c r="O56" s="87">
        <f>SUMIFS(Romulus!K7:K26,Romulus!J7:J26,"&gt;"&amp;CallOfWarCurrent,Romulus!J7:J26,"&lt;="&amp;CallOfWarDesired)+SUMIFS(Romulus!P7:P26,Romulus!J7:J26,"&gt;"&amp;LastLineCurrent,Romulus!J7:J26,"&lt;="&amp;LastLineDesired)+SUMIFS(Romulus!T7:T26,Romulus!J7:J26,"&gt;"&amp;SpiritOfAeetesCurrent,Romulus!J7:J26,"&lt;="&amp;SpiritOfAeetesDesired)+SUMIFS(Romulus!X7:X26,Romulus!J7:J26,"&gt;"&amp;OneHeartCurrent,Romulus!J7:J26,"&lt;="&amp;OneHeartDesired)</f>
        <v>47200</v>
      </c>
      <c r="P56" s="87">
        <f>SUMIFS(Romulus!L7:L26,Romulus!J7:J26,"&gt;"&amp;CallOfWarCurrent,Romulus!J7:J26,"&lt;="&amp;CallOfWarDesired)+SUMIFS(Romulus!Q7:Q26,Romulus!J7:J26,"&gt;"&amp;LastLineCurrent,Romulus!J7:J26,"&lt;="&amp;LastLineDesired)+SUMIFS(Romulus!U7:U26,Romulus!J7:J26,"&gt;"&amp;SpiritOfAeetesCurrent,Romulus!J7:J26,"&lt;="&amp;SpiritOfAeetesDesired)+SUMIFS(Romulus!Y7:Y26,Romulus!J7:J26,"&gt;"&amp;OneHeartCurrent,Romulus!J7:J26,"&lt;="&amp;OneHeartDesired)</f>
        <v>9572400</v>
      </c>
      <c r="Q56" s="8" t="s">
        <v>30</v>
      </c>
      <c r="R56"/>
      <c r="S56" s="715" t="s">
        <v>98</v>
      </c>
      <c r="T56" s="716"/>
      <c r="U56" s="716"/>
      <c r="V56" s="717"/>
      <c r="W56" s="715" t="s">
        <v>98</v>
      </c>
      <c r="X56" s="716"/>
      <c r="Y56" s="716"/>
      <c r="Z56" s="717"/>
      <c r="AA56" s="715" t="s">
        <v>98</v>
      </c>
      <c r="AB56" s="716"/>
      <c r="AC56" s="716"/>
      <c r="AD56" s="717"/>
      <c r="AE56" s="724" t="s">
        <v>98</v>
      </c>
      <c r="AF56" s="725"/>
      <c r="AG56" s="725"/>
      <c r="AH56" s="725"/>
    </row>
    <row r="57" spans="2:34" ht="15" customHeight="1" x14ac:dyDescent="0.3">
      <c r="B57" s="711">
        <v>60.1</v>
      </c>
      <c r="C57" s="712"/>
      <c r="D57" s="695"/>
      <c r="E57" s="697"/>
      <c r="F57" s="741" cm="1">
        <f t="array" ref="F57">IFERROR(_xlfn.XLOOKUP(1,(Romulus!C7:C117&lt;=RomulusLevelCurrent)*(Romulus!F7:F117&lt;&gt;""),Romulus!F7:F117,,0,-1),"")</f>
        <v>0.128</v>
      </c>
      <c r="G57" s="742"/>
      <c r="H57" s="494" cm="1">
        <f t="array" ref="H57">IF(RomulusLevelCurrent=0,"-",IFERROR(_xlfn.XLOOKUP(1,(Romulus!C7:C117&lt;=RomulusLevelCurrent)*(Romulus!G7:G117&lt;&gt;""),Romulus!G7:G117,,0,-1),""))</f>
        <v>4000</v>
      </c>
      <c r="I57" s="496"/>
      <c r="J57"/>
      <c r="K57" s="292" t="s">
        <v>98</v>
      </c>
      <c r="L57" s="87">
        <f>IF(L56&gt;0,D57,)</f>
        <v>0</v>
      </c>
      <c r="M57" s="87">
        <f>K8</f>
        <v>15</v>
      </c>
      <c r="N57" s="293"/>
      <c r="O57" s="294"/>
      <c r="P57" s="87">
        <f>IF(CallOfWarDesired&gt;CallOfWarCurrent,S61,)+IF(LastLineDesired&gt;LastLineCurrent,W61,)+IF(SpiritOfAeetesDesired&gt;SpiritOfAeetesCurrent,AA61,)+IF(OneHeartDesired&gt;OneHeartCurrent,AE61,)</f>
        <v>1800</v>
      </c>
      <c r="Q57" s="8" t="s">
        <v>98</v>
      </c>
      <c r="R57"/>
      <c r="S57" s="711">
        <v>5</v>
      </c>
      <c r="T57" s="712"/>
      <c r="U57" s="404" t="str" cm="1">
        <f t="array" ref="U57">IFERROR(_xlfn.XLOOKUP(1,(Romulus!J7:J26&lt;=CallOfWarCurrent)*(Romulus!M7:M26&lt;&gt;""),Romulus!M7:M26,,0,-1)&amp;" Troops, "&amp;IFERROR(_xlfn.XLOOKUP(1,(Romulus!J7:J26&lt;=CallOfWarCurrent)*(Romulus!N7:N26&lt;&gt;""),Romulus!N7:N26,,0,-1)&amp;" Tags",""),"")</f>
        <v>350 Troops, 5 Tags</v>
      </c>
      <c r="V57" s="405"/>
      <c r="W57" s="711">
        <v>6</v>
      </c>
      <c r="X57" s="712"/>
      <c r="Y57" s="739" cm="1">
        <f t="array" ref="Y57">IFERROR(_xlfn.XLOOKUP(1,(Romulus!J7:J26&lt;=LastLineCurrent)*(Romulus!R7:R26&lt;&gt;""),Romulus!R7:R26,,0,-1),"")</f>
        <v>0.03</v>
      </c>
      <c r="Z57" s="740"/>
      <c r="AA57" s="711">
        <v>6</v>
      </c>
      <c r="AB57" s="712"/>
      <c r="AC57" s="739" cm="1">
        <f t="array" ref="AC57">IFERROR(_xlfn.XLOOKUP(1,(Romulus!J7:J26&lt;=SpiritOfAeetesCurrent)*(Romulus!V7:V26&lt;&gt;""),Romulus!V7:V26,,0,-1),"")</f>
        <v>0.03</v>
      </c>
      <c r="AD57" s="740"/>
      <c r="AE57" s="737">
        <v>6</v>
      </c>
      <c r="AF57" s="738"/>
      <c r="AG57" s="494" cm="1">
        <f t="array" ref="AG57">IFERROR(_xlfn.XLOOKUP(1,(Romulus!J7:J26&lt;=OneHeartCurrent)*(Romulus!Z7:Z26&lt;&gt;""),Romulus!Z7:Z26,,0,-1),"")</f>
        <v>30000</v>
      </c>
      <c r="AH57" s="496"/>
    </row>
    <row r="58" spans="2:34" x14ac:dyDescent="0.3">
      <c r="B58" s="715" t="s">
        <v>99</v>
      </c>
      <c r="C58" s="717"/>
      <c r="D58" s="715" t="s">
        <v>883</v>
      </c>
      <c r="E58" s="717"/>
      <c r="F58" s="715" t="s">
        <v>99</v>
      </c>
      <c r="G58" s="717"/>
      <c r="H58" s="715" t="s">
        <v>99</v>
      </c>
      <c r="I58" s="717"/>
      <c r="J58"/>
      <c r="K58" s="729" t="s">
        <v>877</v>
      </c>
      <c r="L58" s="729"/>
      <c r="M58" s="84">
        <f>IF(M56&gt;M57,M56-M57,)</f>
        <v>225</v>
      </c>
      <c r="N58" s="296"/>
      <c r="O58" s="297"/>
      <c r="P58" s="87">
        <f>IF(P56&gt;P57,P56-P57,)</f>
        <v>9570600</v>
      </c>
      <c r="Q58" s="350" t="s">
        <v>878</v>
      </c>
      <c r="R58"/>
      <c r="S58" s="715" t="s">
        <v>909</v>
      </c>
      <c r="T58" s="716"/>
      <c r="U58" s="716"/>
      <c r="V58" s="717"/>
      <c r="W58" s="715" t="s">
        <v>911</v>
      </c>
      <c r="X58" s="716"/>
      <c r="Y58" s="716"/>
      <c r="Z58" s="717"/>
      <c r="AA58" s="715" t="s">
        <v>911</v>
      </c>
      <c r="AB58" s="716"/>
      <c r="AC58" s="716"/>
      <c r="AD58" s="717"/>
      <c r="AE58" s="715" t="s">
        <v>911</v>
      </c>
      <c r="AF58" s="716"/>
      <c r="AG58" s="716"/>
      <c r="AH58" s="717"/>
    </row>
    <row r="59" spans="2:34" x14ac:dyDescent="0.3">
      <c r="B59" s="711">
        <v>70.099999999999994</v>
      </c>
      <c r="C59" s="712"/>
      <c r="D59" s="494">
        <f>SUMIFS(Romulus!D8:D117,Romulus!C8:C117,"&gt;"&amp;RomulusLevelCurrent,Romulus!C8:C117,"&lt;="&amp;RomulusLevelDesired)</f>
        <v>122440</v>
      </c>
      <c r="E59" s="496"/>
      <c r="F59" s="741" cm="1">
        <f t="array" ref="F59">IFERROR(_xlfn.XLOOKUP(1,(Romulus!C7:C117&lt;=RomulusLevelDesired)*(Romulus!F7:F117&lt;&gt;""),Romulus!F7:F117,,0,-1),"")</f>
        <v>0.14599999999999999</v>
      </c>
      <c r="G59" s="742"/>
      <c r="H59" s="494" cm="1">
        <f t="array" ref="H59">IFERROR(_xlfn.XLOOKUP(1,(Romulus!C7:C117&lt;=RomulusLevelDesired)*(Romulus!G7:G117&lt;&gt;""),Romulus!G7:G117,,0,-1),"")</f>
        <v>5500</v>
      </c>
      <c r="I59" s="496"/>
      <c r="R59"/>
      <c r="S59" s="711"/>
      <c r="T59" s="712"/>
      <c r="U59" s="404" t="str" cm="1">
        <f t="array" ref="U59">IFERROR(_xlfn.XLOOKUP(1,(Romulus!J7:J26&lt;=CallOfWarDesired)*(Romulus!M7:M26&lt;&gt;""),Romulus!M7:M26,,0,-1)&amp;" Troops, "&amp;IFERROR(_xlfn.XLOOKUP(1,(Romulus!J7:J26&lt;=CallOfWarDesired)*(Romulus!N7:N26&lt;&gt;""),Romulus!N7:N26,,0,-1)&amp;" Tags",""),"")</f>
        <v/>
      </c>
      <c r="V59" s="405"/>
      <c r="W59" s="711">
        <v>10</v>
      </c>
      <c r="X59" s="712"/>
      <c r="Y59" s="739" cm="1">
        <f t="array" ref="Y59">IFERROR(_xlfn.XLOOKUP(1,(Romulus!J7:J26&lt;=LastLineDesired)*(Romulus!R7:R26&lt;&gt;""),Romulus!R7:R26,,0,-1),"")</f>
        <v>0.05</v>
      </c>
      <c r="Z59" s="740"/>
      <c r="AA59" s="711">
        <v>8</v>
      </c>
      <c r="AB59" s="712"/>
      <c r="AC59" s="739" cm="1">
        <f t="array" ref="AC59">IFERROR(_xlfn.XLOOKUP(1,(Romulus!J7:J26&lt;=SpiritOfAeetesDesired)*(Romulus!V7:V26&lt;&gt;""),Romulus!V7:V26,,0,-1),"")</f>
        <v>0.04</v>
      </c>
      <c r="AD59" s="740"/>
      <c r="AE59" s="711">
        <v>10</v>
      </c>
      <c r="AF59" s="712"/>
      <c r="AG59" s="494" cm="1">
        <f t="array" ref="AG59">IFERROR(_xlfn.XLOOKUP(1,(Romulus!J7:J26&lt;=OneHeartDesired)*(Romulus!Z7:Z26&lt;&gt;""),Romulus!Z7:Z26,,0,-1),"")</f>
        <v>50000</v>
      </c>
      <c r="AH59" s="496"/>
    </row>
    <row r="60" spans="2:34" x14ac:dyDescent="0.3">
      <c r="R60"/>
      <c r="S60" s="515" t="s">
        <v>888</v>
      </c>
      <c r="T60" s="720"/>
      <c r="U60" s="515" t="s">
        <v>1003</v>
      </c>
      <c r="V60" s="516"/>
      <c r="W60" s="515" t="s">
        <v>888</v>
      </c>
      <c r="X60" s="516"/>
      <c r="Y60" s="720" t="s">
        <v>1003</v>
      </c>
      <c r="Z60" s="516"/>
      <c r="AA60" s="515" t="s">
        <v>888</v>
      </c>
      <c r="AB60" s="516"/>
      <c r="AC60" s="515" t="s">
        <v>1003</v>
      </c>
      <c r="AD60" s="516"/>
      <c r="AE60" s="515" t="s">
        <v>888</v>
      </c>
      <c r="AF60" s="516"/>
      <c r="AG60" s="515" t="s">
        <v>1003</v>
      </c>
      <c r="AH60" s="516"/>
    </row>
    <row r="61" spans="2:34" x14ac:dyDescent="0.3">
      <c r="B61" s="743" t="s">
        <v>1024</v>
      </c>
      <c r="C61" s="743"/>
      <c r="D61" s="743"/>
      <c r="E61" s="743"/>
      <c r="F61" s="743"/>
      <c r="G61" s="743"/>
      <c r="H61" s="743"/>
      <c r="I61" s="743"/>
      <c r="K61"/>
      <c r="L61" s="426" t="s">
        <v>1025</v>
      </c>
      <c r="M61" s="426"/>
      <c r="N61" s="426"/>
      <c r="O61" s="426"/>
      <c r="P61" s="426"/>
      <c r="Q61" s="8"/>
      <c r="R61"/>
      <c r="S61" s="695">
        <v>118800</v>
      </c>
      <c r="T61" s="697"/>
      <c r="U61" s="494" t="str" cm="1">
        <f t="array" ref="U61">IF(CallOfWarCurrent&gt;=CallOfWarDesired,"-",IFERROR(_xlfn.XLOOKUP(1,(Romulus!J7:J26&lt;=CallOfWarDesired)*(Romulus!O7:O26&lt;&gt;""),Romulus!O7:O26,,0,-1)-IFERROR(_xlfn.XLOOKUP(1,(Romulus!J7:J26&lt;=CallOfWarCurrent)*(Romulus!O7:O26&lt;&gt;""),Romulus!O7:O26,,0,-1),""),""))</f>
        <v>-</v>
      </c>
      <c r="V61" s="496"/>
      <c r="W61" s="695"/>
      <c r="X61" s="697"/>
      <c r="Y61" s="494" cm="1">
        <f t="array" ref="Y61">IF(LastLineCurrent&gt;=LastLineDesired,"-",IFERROR(_xlfn.XLOOKUP(1,(Romulus!J7:J26&lt;=LastLineDesired)*(Romulus!S7:S26&lt;&gt;""),Romulus!S7:S26,,0,-1)-IFERROR(_xlfn.XLOOKUP(1,(Romulus!J7:J26&lt;=LastLineCurrent)*(Romulus!S7:S26&lt;&gt;""),Romulus!S7:S26,,0,-1),""),""))</f>
        <v>432000</v>
      </c>
      <c r="Z61" s="496"/>
      <c r="AA61" s="695">
        <v>600</v>
      </c>
      <c r="AB61" s="697"/>
      <c r="AC61" s="494" cm="1">
        <f t="array" ref="AC61">IF(SpiritOfAeetesCurrent&gt;=SpiritOfAeetesDesired,"-",IFERROR(_xlfn.XLOOKUP(1,(Romulus!J7:J26&lt;=SpiritOfAeetesDesired)*(Romulus!W7:W26&lt;&gt;""),Romulus!W7:W26,,0,-1)-IFERROR(_xlfn.XLOOKUP(1,(Romulus!J7:J26&lt;=SpiritOfAeetesCurrent)*(Romulus!W7:W26&lt;&gt;""),Romulus!W7:W26,,0,-1),""),""))</f>
        <v>270000</v>
      </c>
      <c r="AD61" s="496"/>
      <c r="AE61" s="695">
        <v>1200</v>
      </c>
      <c r="AF61" s="697"/>
      <c r="AG61" s="494" cm="1">
        <f t="array" ref="AG61">IF(OneHeartCurrent&gt;=OneHeartDesired,"-",IFERROR(_xlfn.XLOOKUP(1,(Romulus!J7:J26&lt;=OneHeartDesired)*(Romulus!AA7:AA26&lt;&gt;""),Romulus!AA7:AA26,,0,-1)-IFERROR(_xlfn.XLOOKUP(1,(Romulus!J7:J26&lt;=OneHeartCurrent)*(Romulus!AA7:AA26&lt;&gt;""),Romulus!AA7:AA26,,0,-1),""),""))</f>
        <v>600000</v>
      </c>
      <c r="AH61" s="496"/>
    </row>
    <row r="62" spans="2:34" ht="15" customHeight="1" x14ac:dyDescent="0.3">
      <c r="B62" s="754" t="s">
        <v>174</v>
      </c>
      <c r="C62" s="755"/>
      <c r="D62" s="755"/>
      <c r="E62" s="755"/>
      <c r="F62" s="746" t="s">
        <v>1154</v>
      </c>
      <c r="G62" s="747"/>
      <c r="H62" s="746" t="s">
        <v>1155</v>
      </c>
      <c r="I62" s="747"/>
      <c r="J62" s="352"/>
      <c r="K62"/>
      <c r="L62" s="14" t="s">
        <v>838</v>
      </c>
      <c r="M62" s="14" t="s">
        <v>839</v>
      </c>
      <c r="N62" s="209"/>
      <c r="O62" s="14" t="s">
        <v>856</v>
      </c>
      <c r="P62" s="14" t="s">
        <v>570</v>
      </c>
      <c r="Q62" s="8"/>
      <c r="R62"/>
      <c r="S62" s="515" t="s">
        <v>884</v>
      </c>
      <c r="T62" s="516"/>
      <c r="V62"/>
      <c r="W62" s="515" t="s">
        <v>884</v>
      </c>
      <c r="X62" s="516"/>
      <c r="AA62" s="515" t="s">
        <v>884</v>
      </c>
      <c r="AB62" s="516"/>
      <c r="AE62" s="515" t="s">
        <v>884</v>
      </c>
      <c r="AF62" s="516"/>
    </row>
    <row r="63" spans="2:34" ht="15" customHeight="1" x14ac:dyDescent="0.3">
      <c r="B63" s="715" t="s">
        <v>98</v>
      </c>
      <c r="C63" s="717"/>
      <c r="D63" s="715" t="s">
        <v>882</v>
      </c>
      <c r="E63" s="717"/>
      <c r="F63" s="715" t="s">
        <v>98</v>
      </c>
      <c r="G63" s="717"/>
      <c r="H63" s="715" t="s">
        <v>98</v>
      </c>
      <c r="I63" s="717"/>
      <c r="J63" s="352"/>
      <c r="K63" s="9" t="s">
        <v>30</v>
      </c>
      <c r="L63" s="87">
        <f>SUMIFS(Fabian!D17:D126,Fabian!C17:C126,"&gt;"&amp;FabianLevelCurrent,Fabian!C17:C126,"&lt;="&amp;FabianLevelDesired)</f>
        <v>56150</v>
      </c>
      <c r="M63" s="87">
        <f>SUMIFS(Fabian!E17:E126,Fabian!C17:C126,"&gt;"&amp;FabianLevelCurrent,Fabian!C17:C126,"&lt;="&amp;FabianLevelDesired)</f>
        <v>60</v>
      </c>
      <c r="N63" s="290"/>
      <c r="O63" s="87">
        <f>SUMIFS(Fabian!L7:L26,Fabian!K7:K26,"&gt;"&amp;SalvagerCurrent,Fabian!K7:K26,"&lt;="&amp;SalvagerDesired)+SUMIFS(Fabian!P7:P26,Fabian!K7:K26,"&gt;"&amp;CrisisRescueCurrent,Fabian!K7:K26,"&lt;="&amp;CrisisRescueDesired)+SUMIFS(Fabian!T7:T26,Fabian!K7:K26,"&gt;"&amp;HeightenedFirepowerCurrent,Fabian!K7:K26,"&lt;="&amp;HeightenedFirepowerDesired)+SUMIFS(Fabian!X7:X26,Fabian!K7:K26,"&gt;"&amp;BattleBulwarkCurrent,Fabian!K7:K26,"&lt;="&amp;BattleBulwarkDesired)</f>
        <v>0</v>
      </c>
      <c r="P63" s="87">
        <f>SUMIFS(Fabian!M7:M26,Fabian!K7:K26,"&gt;"&amp;SalvagerCurrent,Fabian!K7:K26,"&lt;="&amp;SalvagerDesired)+SUMIFS(Fabian!Q7:Q26,Fabian!K7:K26,"&gt;"&amp;CrisisRescueCurrent,Fabian!K7:K26,"&lt;="&amp;CrisisRescueDesired)+SUMIFS(Fabian!U7:U26,Fabian!K7:K26,"&gt;"&amp;HeightenedFirepowerCurrent,Fabian!K7:K26,"&lt;="&amp;HeightenedFirepowerDesired)+SUMIFS(Fabian!Y7:Y26,Fabian!K7:K26,"&gt;"&amp;BattleBulwarkCurrent,Fabian!K7:K26,"&lt;="&amp;BattleBulwarkDesired)</f>
        <v>0</v>
      </c>
      <c r="Q63" s="8" t="s">
        <v>30</v>
      </c>
      <c r="R63"/>
      <c r="S63" s="494">
        <f>SUMIFS(Romulus!L7:L26,Romulus!J7:J26,"&gt;"&amp;CallOfWarCurrent,Romulus!J7:J26,"&lt;="&amp;CallOfWarDesired)</f>
        <v>0</v>
      </c>
      <c r="T63" s="496"/>
      <c r="V63"/>
      <c r="W63" s="735">
        <f>SUMIFS(Romulus!Q7:Q26,Romulus!J7:J26,"&gt;"&amp;LastLineCurrent,Romulus!J7:J26,"&lt;="&amp;LastLineDesired)</f>
        <v>2592000</v>
      </c>
      <c r="X63" s="736"/>
      <c r="AA63" s="494">
        <f>SUMIFS(Romulus!U7:U26,Romulus!J7:J26,"&gt;"&amp;SpiritOfAeetesCurrent,Romulus!J7:J26,"&lt;="&amp;SpiritOfAeetesDesired)</f>
        <v>1927200</v>
      </c>
      <c r="AB63" s="496"/>
      <c r="AE63" s="735">
        <f>SUMIFS(Romulus!Y7:Y26,Romulus!J7:J26,"&gt;"&amp;OneHeartCurrent,Romulus!J7:J26,"&lt;="&amp;OneHeartDesired)</f>
        <v>5053200</v>
      </c>
      <c r="AF63" s="736"/>
    </row>
    <row r="64" spans="2:34" x14ac:dyDescent="0.3">
      <c r="B64" s="711">
        <v>10.1</v>
      </c>
      <c r="C64" s="712"/>
      <c r="D64" s="695"/>
      <c r="E64" s="697"/>
      <c r="F64" s="741" cm="1">
        <f t="array" ref="F64">IFERROR(_xlfn.XLOOKUP(1,(Fabian!C9:C119&lt;=FabianLevelCurrent)*(Fabian!F9:F119&lt;&gt;""),Fabian!F9:F119,,0,-1),"")</f>
        <v>2.8500000000000001E-2</v>
      </c>
      <c r="G64" s="742"/>
      <c r="H64" s="718" cm="1">
        <f t="array" ref="H64">IF(FabianLevelCurrent=0,"-",IFERROR(_xlfn.XLOOKUP(1,(Fabian!C9:C119&lt;=FabianLevelCurrent)*(Fabian!G9:G119&lt;&gt;""),Fabian!G9:G119,,0,-1),""))</f>
        <v>0.04</v>
      </c>
      <c r="I64" s="719"/>
      <c r="J64"/>
      <c r="K64" s="292" t="s">
        <v>98</v>
      </c>
      <c r="L64" s="87">
        <f>IF(L63&gt;0,D64,)</f>
        <v>0</v>
      </c>
      <c r="M64" s="87">
        <f>L8</f>
        <v>45</v>
      </c>
      <c r="N64" s="293"/>
      <c r="O64" s="294"/>
      <c r="P64" s="87">
        <f>IF(SalvagerDesired&gt;SalvagerCurrent,S72,)+IF(CrisisRescueDesired&gt;CrisisRescueCurrent,W72,)+IF(HeightenedFirepowerDesired&gt;HeightenedFirepowerCurrent,AA72,)+IF(BattleBulwarkDesired&gt;BattleBulwarkCurrent,AE72,)</f>
        <v>0</v>
      </c>
      <c r="Q64" s="8" t="s">
        <v>98</v>
      </c>
      <c r="R64"/>
      <c r="V64"/>
    </row>
    <row r="65" spans="2:34" x14ac:dyDescent="0.3">
      <c r="B65" s="715" t="s">
        <v>99</v>
      </c>
      <c r="C65" s="717"/>
      <c r="D65" s="715" t="s">
        <v>883</v>
      </c>
      <c r="E65" s="717"/>
      <c r="F65" s="715" t="s">
        <v>99</v>
      </c>
      <c r="G65" s="717"/>
      <c r="H65" s="715" t="s">
        <v>99</v>
      </c>
      <c r="I65" s="717"/>
      <c r="J65"/>
      <c r="K65" s="729" t="s">
        <v>877</v>
      </c>
      <c r="L65" s="729"/>
      <c r="M65" s="84">
        <f>IF(M63&gt;M64,M63-M64,)</f>
        <v>15</v>
      </c>
      <c r="N65" s="296"/>
      <c r="O65" s="297"/>
      <c r="P65" s="87">
        <f>IF(P63&gt;P64,P63-P64,)</f>
        <v>0</v>
      </c>
      <c r="Q65" s="350" t="s">
        <v>878</v>
      </c>
      <c r="R65"/>
      <c r="S65" s="743" t="s">
        <v>1030</v>
      </c>
      <c r="T65" s="743"/>
      <c r="U65" s="743"/>
      <c r="V65" s="743"/>
      <c r="W65" s="743"/>
      <c r="X65" s="743"/>
      <c r="Y65" s="743"/>
      <c r="Z65" s="743"/>
      <c r="AA65" s="743"/>
      <c r="AB65" s="743"/>
      <c r="AC65" s="743"/>
      <c r="AD65" s="743"/>
      <c r="AE65" s="743"/>
      <c r="AF65" s="743"/>
      <c r="AG65" s="743"/>
      <c r="AH65" s="743"/>
    </row>
    <row r="66" spans="2:34" x14ac:dyDescent="0.3">
      <c r="B66" s="711">
        <v>30.1</v>
      </c>
      <c r="C66" s="712"/>
      <c r="D66" s="494">
        <f>SUMIFS(Fabian!D10:D119,Fabian!C10:C119,"&gt;"&amp;FabianLevelCurrent,Fabian!C10:C119,"&lt;="&amp;FabianLevelDesired)</f>
        <v>56150</v>
      </c>
      <c r="E66" s="496"/>
      <c r="F66" s="741" cm="1">
        <f t="array" ref="F66">IFERROR(_xlfn.XLOOKUP(1,(Fabian!C9:C119&lt;=FabianLevelDesired)*(Fabian!F9:F119&lt;&gt;""),Fabian!F9:F119,,0,-1),"")</f>
        <v>5.5500000000000001E-2</v>
      </c>
      <c r="G66" s="742"/>
      <c r="H66" s="718" cm="1">
        <f t="array" ref="H66">IFERROR(_xlfn.XLOOKUP(1,(Fabian!C9:C119&lt;=FabianLevelDesired)*(Fabian!G19:G119&lt;&gt;""),Fabian!G9:G119,,0,-1),"")</f>
        <v>0</v>
      </c>
      <c r="I66" s="719"/>
      <c r="J66"/>
      <c r="K66"/>
      <c r="L66"/>
      <c r="M66"/>
      <c r="N66"/>
      <c r="Q66"/>
      <c r="R66"/>
      <c r="S66" s="389" t="s">
        <v>1018</v>
      </c>
      <c r="T66" s="390"/>
      <c r="U66" s="389" t="s">
        <v>1036</v>
      </c>
      <c r="V66" s="390"/>
      <c r="W66" s="389" t="s">
        <v>1019</v>
      </c>
      <c r="X66" s="390"/>
      <c r="Y66" s="389" t="s">
        <v>1037</v>
      </c>
      <c r="Z66" s="390"/>
      <c r="AA66" s="713" t="s">
        <v>1020</v>
      </c>
      <c r="AB66" s="714"/>
      <c r="AC66" s="713" t="s">
        <v>1038</v>
      </c>
      <c r="AD66" s="714"/>
      <c r="AE66" s="389" t="s">
        <v>1021</v>
      </c>
      <c r="AF66" s="390"/>
      <c r="AG66" s="389" t="s">
        <v>1039</v>
      </c>
      <c r="AH66" s="390"/>
    </row>
    <row r="67" spans="2:34" x14ac:dyDescent="0.3">
      <c r="B67"/>
      <c r="C67"/>
      <c r="G67"/>
      <c r="J67"/>
      <c r="K67"/>
      <c r="L67"/>
      <c r="M67"/>
      <c r="N67"/>
      <c r="Q67"/>
      <c r="R67"/>
      <c r="S67" s="715" t="s">
        <v>98</v>
      </c>
      <c r="T67" s="716"/>
      <c r="U67" s="716"/>
      <c r="V67" s="717"/>
      <c r="W67" s="715" t="s">
        <v>98</v>
      </c>
      <c r="X67" s="716"/>
      <c r="Y67" s="716"/>
      <c r="Z67" s="717"/>
      <c r="AA67" s="715" t="s">
        <v>98</v>
      </c>
      <c r="AB67" s="716"/>
      <c r="AC67" s="716"/>
      <c r="AD67" s="717"/>
      <c r="AE67" s="724" t="s">
        <v>98</v>
      </c>
      <c r="AF67" s="725"/>
      <c r="AG67" s="725"/>
      <c r="AH67" s="725"/>
    </row>
    <row r="68" spans="2:34" x14ac:dyDescent="0.3">
      <c r="B68" s="743" t="s">
        <v>1006</v>
      </c>
      <c r="C68" s="743"/>
      <c r="D68" s="743"/>
      <c r="E68" s="743"/>
      <c r="F68" s="743"/>
      <c r="G68" s="743"/>
      <c r="H68" s="743"/>
      <c r="I68" s="743"/>
      <c r="J68"/>
      <c r="K68"/>
      <c r="L68" s="426" t="s">
        <v>1026</v>
      </c>
      <c r="M68" s="426"/>
      <c r="N68" s="426"/>
      <c r="O68" s="426"/>
      <c r="P68" s="426"/>
      <c r="Q68" s="8"/>
      <c r="R68"/>
      <c r="S68" s="711">
        <v>1</v>
      </c>
      <c r="T68" s="712"/>
      <c r="U68" s="718" cm="1">
        <f t="array" ref="U68">IFERROR(_xlfn.XLOOKUP(1,(Fabian!K7:K26&lt;=SalvagerCurrent)*(Fabian!N7:N26&lt;&gt;""),Fabian!N7:N26,,0,-1),"")</f>
        <v>0.1</v>
      </c>
      <c r="V68" s="719"/>
      <c r="W68" s="711"/>
      <c r="X68" s="712"/>
      <c r="Y68" s="757" t="str" cm="1">
        <f t="array" ref="Y68">IFERROR(_xlfn.XLOOKUP(1,(Fabian!K7:K26&lt;=CrisisRescueCurrent)*(Fabian!R7:R26&lt;&gt;""),Fabian!R7:R26,,0,-1),"")</f>
        <v/>
      </c>
      <c r="Z68" s="758"/>
      <c r="AA68" s="711"/>
      <c r="AB68" s="712"/>
      <c r="AC68" s="739" t="str" cm="1">
        <f t="array" ref="AC68">IFERROR(_xlfn.XLOOKUP(1,(Fabian!K7:K26&lt;=HeightenedFirepowerCurrent)*(Fabian!V7:V26&lt;&gt;""),Fabian!V7:V26,,0,-1),"")</f>
        <v/>
      </c>
      <c r="AD68" s="740"/>
      <c r="AE68" s="737"/>
      <c r="AF68" s="738"/>
      <c r="AG68" s="494" t="str" cm="1">
        <f t="array" ref="AG68">IFERROR(_xlfn.XLOOKUP(1,(Fabian!K7:K26&lt;=BattleBulwarkCurrent)*(Fabian!Z7:Z26&lt;&gt;""),Fabian!Z7:Z26,,0,-1),"")</f>
        <v/>
      </c>
      <c r="AH68" s="496"/>
    </row>
    <row r="69" spans="2:34" x14ac:dyDescent="0.3">
      <c r="B69" s="754" t="s">
        <v>174</v>
      </c>
      <c r="C69" s="755"/>
      <c r="D69" s="755"/>
      <c r="E69" s="755"/>
      <c r="F69" s="746" t="s">
        <v>1029</v>
      </c>
      <c r="G69" s="747"/>
      <c r="H69" s="746" t="s">
        <v>1028</v>
      </c>
      <c r="I69" s="747"/>
      <c r="J69"/>
      <c r="K69"/>
      <c r="L69" s="14" t="s">
        <v>838</v>
      </c>
      <c r="M69" s="14" t="s">
        <v>839</v>
      </c>
      <c r="N69" s="209"/>
      <c r="O69" s="14" t="s">
        <v>856</v>
      </c>
      <c r="P69" s="14" t="s">
        <v>570</v>
      </c>
      <c r="Q69" s="8"/>
      <c r="R69"/>
      <c r="S69" s="715" t="s">
        <v>909</v>
      </c>
      <c r="T69" s="716"/>
      <c r="U69" s="716"/>
      <c r="V69" s="717"/>
      <c r="W69" s="715" t="s">
        <v>909</v>
      </c>
      <c r="X69" s="716"/>
      <c r="Y69" s="716"/>
      <c r="Z69" s="717"/>
      <c r="AA69" s="715" t="s">
        <v>911</v>
      </c>
      <c r="AB69" s="716"/>
      <c r="AC69" s="716"/>
      <c r="AD69" s="717"/>
      <c r="AE69" s="715" t="s">
        <v>911</v>
      </c>
      <c r="AF69" s="716"/>
      <c r="AG69" s="716"/>
      <c r="AH69" s="717"/>
    </row>
    <row r="70" spans="2:34" x14ac:dyDescent="0.3">
      <c r="B70" s="715" t="s">
        <v>98</v>
      </c>
      <c r="C70" s="717"/>
      <c r="D70" s="715" t="s">
        <v>882</v>
      </c>
      <c r="E70" s="717"/>
      <c r="F70" s="715" t="s">
        <v>98</v>
      </c>
      <c r="G70" s="717"/>
      <c r="H70" s="715" t="s">
        <v>98</v>
      </c>
      <c r="I70" s="717"/>
      <c r="J70"/>
      <c r="K70" s="9" t="s">
        <v>30</v>
      </c>
      <c r="L70" s="87">
        <f>SUMIFS(Baldur!D7:D126,Baldur!C7:C126,"&gt;"&amp;BaldurLevelCurrent,Baldur!C7:C126,"&lt;="&amp;BaldurLevelDesired)</f>
        <v>39144</v>
      </c>
      <c r="M70" s="87">
        <f>SUMIFS(Baldur!E22:E131,Baldur!C22:C131,"&gt;"&amp;BaldurLevelCurrent,Baldur!C22:C131,"&lt;="&amp;BaldurLevelDesired)</f>
        <v>54</v>
      </c>
      <c r="N70" s="290"/>
      <c r="O70" s="87">
        <f>SUMIFS(Baldur!L7:L16,Baldur!K7:K16,"&gt;"&amp;BlazingSunriseCurrent,Baldur!K7:K16,"&lt;="&amp;BlazingSunriseDesired)+SUMIFS(Baldur!Q7:Q16,Baldur!K7:K16,"&gt;"&amp;HonoredConquestCurrent,Baldur!K7:K16,"&lt;="&amp;HonoredConquestDesired)+SUMIFS(Baldur!V7:V16,Baldur!K7:K16,"&gt;"&amp;BountyHunterCurrent,Baldur!K7:K16,"&lt;="&amp;BountyHunterDesired)+SUMIFS(Baldur!AA7:AA16,Baldur!K7:K16,"&gt;"&amp;DawnHymnCurrent,Baldur!K7:K16,"&lt;="&amp;DawnHymnDesired)</f>
        <v>0</v>
      </c>
      <c r="P70" s="87">
        <f>SUMIFS(Baldur!M7:M16,Baldur!K7:K16,"&gt;"&amp;BlazingSunriseCurrent,Baldur!K7:K16,"&lt;="&amp;BlazingSunriseDesired)+SUMIFS(Baldur!R7:R16,Baldur!K7:K16,"&gt;"&amp;HonoredConquestCurrent,Baldur!K7:K16,"&lt;="&amp;HonoredConquestDesired)+SUMIFS(Baldur!W7:W16,Baldur!K7:K16,"&gt;"&amp;BountyHunterCurrent,Baldur!K7:K16,"&lt;="&amp;BountyHunterDesired)+SUMIFS(Baldur!AB7:AB16,Baldur!K7:K16,"&gt;"&amp;DawnHymnCurrent,Baldur!K7:K16,"&lt;="&amp;DawnHymnDesired)</f>
        <v>0</v>
      </c>
      <c r="Q70" s="8" t="s">
        <v>30</v>
      </c>
      <c r="R70"/>
      <c r="S70" s="711"/>
      <c r="T70" s="712"/>
      <c r="U70" s="718" t="str" cm="1">
        <f t="array" ref="U70">IFERROR(_xlfn.XLOOKUP(1,(Fabian!K7:K26&lt;=SalvagerDesired)*(Fabian!N7:N26&lt;&gt;""),Fabian!N7:N26,,0,-1),"")</f>
        <v/>
      </c>
      <c r="V70" s="719"/>
      <c r="W70" s="711"/>
      <c r="X70" s="712"/>
      <c r="Y70" s="757" t="str" cm="1">
        <f t="array" ref="Y70">IFERROR(_xlfn.XLOOKUP(1,(Fabian!K7:K26&lt;=CrisisRescueDesired)*(Fabian!R7:R26&lt;&gt;""),Fabian!R7:R26,,0,-1),"")</f>
        <v/>
      </c>
      <c r="Z70" s="758"/>
      <c r="AA70" s="711"/>
      <c r="AB70" s="712"/>
      <c r="AC70" s="739" t="str" cm="1">
        <f t="array" ref="AC70">IFERROR(_xlfn.XLOOKUP(1,(Fabian!K7:K26&lt;=HeightenedFirepowerDesired)*(Fabian!V7:V26&lt;&gt;""),Fabian!V7:V26,,0,-1),"")</f>
        <v/>
      </c>
      <c r="AD70" s="740"/>
      <c r="AE70" s="711"/>
      <c r="AF70" s="712"/>
      <c r="AG70" s="494" t="str" cm="1">
        <f t="array" ref="AG70">IFERROR(_xlfn.XLOOKUP(1,(Fabian!K7:K26&lt;=BattleBulwarkDesired)*(Fabian!Z7:Z26&lt;&gt;""),Fabian!Z7:Z26,,0,-1),"")</f>
        <v/>
      </c>
      <c r="AH70" s="496"/>
    </row>
    <row r="71" spans="2:34" x14ac:dyDescent="0.3">
      <c r="B71" s="711">
        <v>10.1</v>
      </c>
      <c r="C71" s="712"/>
      <c r="D71" s="695"/>
      <c r="E71" s="697"/>
      <c r="F71" s="741" cm="1">
        <f t="array" ref="F71">IFERROR(_xlfn.XLOOKUP(1,(Baldur!C7:C117&lt;=BaldurLevelCurrent)*(Baldur!F7:F117&lt;&gt;""),Baldur!F7:F117,,0,-1),"")</f>
        <v>1.9E-2</v>
      </c>
      <c r="G71" s="742"/>
      <c r="H71" s="718" cm="1">
        <f t="array" ref="H71">IF(BaldurLevelCurrent=0,"-",IFERROR(_xlfn.XLOOKUP(1,(Baldur!C7:C117&lt;=BaldurLevelCurrent)*(Baldur!G7:G117&lt;&gt;""),Baldur!G7:G117,,0,-1),""))</f>
        <v>0.05</v>
      </c>
      <c r="I71" s="719"/>
      <c r="J71"/>
      <c r="K71" s="292" t="s">
        <v>98</v>
      </c>
      <c r="L71" s="87">
        <f>IF(L70&gt;0,D71,)</f>
        <v>0</v>
      </c>
      <c r="M71" s="87">
        <f>M8</f>
        <v>40</v>
      </c>
      <c r="N71" s="293"/>
      <c r="O71" s="294"/>
      <c r="P71" s="87">
        <f>IF(BlazingSunriseDesired&gt;BlazingSunriseCurrent,S83,)+IF(HonoredConquestDesired&gt;HonoredConquestCurrent,W83,)+IF(BountyHunterDesired&gt;BountyHunterCurrent,AA83,)+IF(DawnHymnDesired&gt;DawnHymnCurrent,AE83,)</f>
        <v>0</v>
      </c>
      <c r="Q71" s="8" t="s">
        <v>98</v>
      </c>
      <c r="R71"/>
      <c r="S71" s="515" t="s">
        <v>888</v>
      </c>
      <c r="T71" s="720"/>
      <c r="U71" s="515" t="s">
        <v>1003</v>
      </c>
      <c r="V71" s="516"/>
      <c r="W71" s="515" t="s">
        <v>888</v>
      </c>
      <c r="X71" s="516"/>
      <c r="Y71" s="720" t="s">
        <v>1003</v>
      </c>
      <c r="Z71" s="516"/>
      <c r="AA71" s="515" t="s">
        <v>888</v>
      </c>
      <c r="AB71" s="516"/>
      <c r="AC71" s="515" t="s">
        <v>1003</v>
      </c>
      <c r="AD71" s="516"/>
      <c r="AE71" s="515" t="s">
        <v>888</v>
      </c>
      <c r="AF71" s="516"/>
      <c r="AG71" s="515" t="s">
        <v>1003</v>
      </c>
      <c r="AH71" s="516"/>
    </row>
    <row r="72" spans="2:34" x14ac:dyDescent="0.3">
      <c r="B72" s="715" t="s">
        <v>99</v>
      </c>
      <c r="C72" s="717"/>
      <c r="D72" s="715" t="s">
        <v>883</v>
      </c>
      <c r="E72" s="717"/>
      <c r="F72" s="715" t="s">
        <v>99</v>
      </c>
      <c r="G72" s="717"/>
      <c r="H72" s="715" t="s">
        <v>99</v>
      </c>
      <c r="I72" s="717"/>
      <c r="J72"/>
      <c r="K72" s="729" t="s">
        <v>877</v>
      </c>
      <c r="L72" s="729"/>
      <c r="M72" s="84">
        <f>IF(M70&gt;M71,M70-M71,)</f>
        <v>14</v>
      </c>
      <c r="N72" s="296"/>
      <c r="O72" s="297"/>
      <c r="P72" s="87">
        <f>IF(P70&gt;P71,P70-P71,)</f>
        <v>0</v>
      </c>
      <c r="Q72" s="350" t="s">
        <v>878</v>
      </c>
      <c r="R72"/>
      <c r="S72" s="695"/>
      <c r="T72" s="697"/>
      <c r="U72" s="494" t="str" cm="1">
        <f t="array" ref="U72">IF(SalvagerCurrent&gt;=SalvagerDesired,"-",IFERROR(_xlfn.XLOOKUP(1,(Fabian!K7:K26&lt;=SalvagerDesired)*(Fabian!O7:O26&lt;&gt;""),Fabian!O7:O26,,0,-1)-IFERROR(_xlfn.XLOOKUP(1,(Fabian!K7:K26&lt;=SalvagerCurrent)*(Fabian!O7:O26&lt;&gt;""),Fabian!O7:O26,,0,-1),""),""))</f>
        <v>-</v>
      </c>
      <c r="V72" s="496"/>
      <c r="W72" s="695"/>
      <c r="X72" s="697"/>
      <c r="Y72" s="494" t="str" cm="1">
        <f t="array" ref="Y72">IF(CrisisRescueCurrent&gt;=CrisisRescueDesired,"-",IFERROR(_xlfn.XLOOKUP(1,(Fabian!K7:K26&lt;=CrisisRescueDesired)*(Fabian!S7:S26&lt;&gt;""),Fabian!S7:S26,,0,-1)-IFERROR(_xlfn.XLOOKUP(1,(Fabian!K7:K26&lt;=CrisisRescueCurrent)*(Fabian!S7:S26&lt;&gt;""),Fabian!S7:S26,,0,-1),""),""))</f>
        <v>-</v>
      </c>
      <c r="Z72" s="496"/>
      <c r="AA72" s="695"/>
      <c r="AB72" s="697"/>
      <c r="AC72" s="494" t="str" cm="1">
        <f t="array" ref="AC72">IF(HeightenedFirepowerCurrent&gt;=HeightenedFirepowerDesired,"-",IFERROR(_xlfn.XLOOKUP(1,(Fabian!K7:K26&lt;=HeightenedFirepowerDesired)*(Fabian!W7:W26&lt;&gt;""),Fabian!W7:W26,,0,-1)-IFERROR(_xlfn.XLOOKUP(1,(Fabian!K7:K26&lt;=HeightenedFirepowerCurrent)*(Fabian!W7:W26&lt;&gt;""),Fabian!W7:W26,,0,-1),""),""))</f>
        <v>-</v>
      </c>
      <c r="AD72" s="496"/>
      <c r="AE72" s="695"/>
      <c r="AF72" s="697"/>
      <c r="AG72" s="494" t="str" cm="1">
        <f t="array" ref="AG72">IF(BattleBulwarkCurrent&gt;=BattleBulwarkDesired,"-",IFERROR(_xlfn.XLOOKUP(1,(Fabian!K7:K26&lt;=BattleBulwarkDesired)*(Fabian!AA7:AA26&lt;&gt;""),Fabian!AA7:AA26,,0,-1)-IFERROR(_xlfn.XLOOKUP(1,(Fabian!K7:K26&lt;=BattleBulwarkCurrent)*(Fabian!AA7:AA26&lt;&gt;""),Fabian!AA7:AA26,,0,-1),""),""))</f>
        <v>-</v>
      </c>
      <c r="AH72" s="496"/>
    </row>
    <row r="73" spans="2:34" x14ac:dyDescent="0.3">
      <c r="B73" s="711">
        <v>40.1</v>
      </c>
      <c r="C73" s="712"/>
      <c r="D73" s="494">
        <f>SUMIFS(Baldur!D8:D117,Baldur!C8:C117,"&gt;"&amp;BaldurLevelCurrent,Baldur!C8:C117,"&lt;="&amp;BaldurLevelDesired)</f>
        <v>39144</v>
      </c>
      <c r="E73" s="496"/>
      <c r="F73" s="741" cm="1">
        <f t="array" ref="F73">IFERROR(_xlfn.XLOOKUP(1,(Baldur!C7:C117&lt;=BaldurLevelDesired)*(Baldur!F7:F117&lt;&gt;""),Baldur!F7:F117,,0,-1),"")</f>
        <v>4.5999999999999999E-2</v>
      </c>
      <c r="G73" s="742"/>
      <c r="H73" s="718" cm="1">
        <f t="array" ref="H73">IFERROR(_xlfn.XLOOKUP(1,(Baldur!C7:C117&lt;=BaldurLevelDesired)*(Baldur!G7:G117&lt;&gt;""),Baldur!G7:G117,,0,-1),"")</f>
        <v>0.05</v>
      </c>
      <c r="I73" s="719"/>
      <c r="J73"/>
      <c r="K73"/>
      <c r="L73"/>
      <c r="M73"/>
      <c r="N73"/>
      <c r="Q73"/>
      <c r="R73"/>
      <c r="S73" s="515" t="s">
        <v>884</v>
      </c>
      <c r="T73" s="516"/>
      <c r="V73"/>
      <c r="W73" s="515" t="s">
        <v>884</v>
      </c>
      <c r="X73" s="516"/>
      <c r="AA73" s="515" t="s">
        <v>884</v>
      </c>
      <c r="AB73" s="516"/>
      <c r="AE73" s="515" t="s">
        <v>884</v>
      </c>
      <c r="AF73" s="516"/>
    </row>
    <row r="74" spans="2:34" x14ac:dyDescent="0.3">
      <c r="B74"/>
      <c r="C74"/>
      <c r="G74"/>
      <c r="J74"/>
      <c r="K74"/>
      <c r="L74"/>
      <c r="M74"/>
      <c r="N74"/>
      <c r="Q74"/>
      <c r="R74"/>
      <c r="S74" s="494">
        <f>SUMIFS(Fabian!M7:M26,Fabian!K7:K26,"&gt;"&amp;SalvagerCurrent,Fabian!K7:K26,"&lt;="&amp;SalvagerDesired)</f>
        <v>0</v>
      </c>
      <c r="T74" s="496"/>
      <c r="V74"/>
      <c r="W74" s="735">
        <f>SUMIFS(Fabian!Q7:Q26,Fabian!K7:K26,"&gt;"&amp;CrisisRescueCurrent,Fabian!K7:K26,"&lt;="&amp;CrisisRescueDesired)</f>
        <v>0</v>
      </c>
      <c r="X74" s="736"/>
      <c r="AA74" s="494">
        <f>SUMIFS(Fabian!U7:U26,Fabian!K7:K26,"&gt;"&amp;HeightenedFirepowerCurrent,Fabian!K7:K26,"&lt;="&amp;HeightenedFirepowerDesired)</f>
        <v>0</v>
      </c>
      <c r="AB74" s="496"/>
      <c r="AE74" s="735">
        <f>SUMIFS(Fabian!Y7:Y26,Fabian!K7:K26,"&gt;"&amp;BattleBulwarkCurrent,Fabian!K7:K26,"&lt;="&amp;BattleBulwarkDesired)</f>
        <v>0</v>
      </c>
      <c r="AF74" s="736"/>
    </row>
    <row r="75" spans="2:34" x14ac:dyDescent="0.3">
      <c r="B75"/>
      <c r="C75"/>
      <c r="G75"/>
      <c r="J75"/>
      <c r="K75"/>
      <c r="L75"/>
      <c r="M75"/>
      <c r="N75"/>
      <c r="Q75"/>
      <c r="R75"/>
      <c r="V75"/>
    </row>
    <row r="76" spans="2:34" x14ac:dyDescent="0.3">
      <c r="B76"/>
      <c r="C76"/>
      <c r="G76"/>
      <c r="J76"/>
      <c r="K76"/>
      <c r="L76"/>
      <c r="M76"/>
      <c r="N76"/>
      <c r="Q76"/>
      <c r="R76"/>
      <c r="S76" s="743" t="s">
        <v>1027</v>
      </c>
      <c r="T76" s="743"/>
      <c r="U76" s="743"/>
      <c r="V76" s="743"/>
      <c r="W76" s="743"/>
      <c r="X76" s="743"/>
      <c r="Y76" s="743"/>
      <c r="Z76" s="743"/>
      <c r="AA76" s="743"/>
      <c r="AB76" s="743"/>
      <c r="AC76" s="743"/>
      <c r="AD76" s="743"/>
      <c r="AE76" s="743"/>
      <c r="AF76" s="743"/>
      <c r="AG76" s="743"/>
      <c r="AH76" s="743"/>
    </row>
    <row r="77" spans="2:34" x14ac:dyDescent="0.3">
      <c r="B77"/>
      <c r="C77"/>
      <c r="G77"/>
      <c r="J77"/>
      <c r="K77"/>
      <c r="L77"/>
      <c r="M77"/>
      <c r="N77"/>
      <c r="Q77"/>
      <c r="R77"/>
      <c r="S77" s="389" t="s">
        <v>1008</v>
      </c>
      <c r="T77" s="390"/>
      <c r="U77" s="389" t="s">
        <v>1031</v>
      </c>
      <c r="V77" s="390"/>
      <c r="W77" s="389" t="s">
        <v>1009</v>
      </c>
      <c r="X77" s="390"/>
      <c r="Y77" s="389" t="s">
        <v>1032</v>
      </c>
      <c r="Z77" s="390"/>
      <c r="AA77" s="713" t="s">
        <v>1010</v>
      </c>
      <c r="AB77" s="714"/>
      <c r="AC77" s="713" t="s">
        <v>1033</v>
      </c>
      <c r="AD77" s="714"/>
      <c r="AE77" s="389" t="s">
        <v>1034</v>
      </c>
      <c r="AF77" s="390"/>
      <c r="AG77" s="389" t="s">
        <v>1035</v>
      </c>
      <c r="AH77" s="390"/>
    </row>
    <row r="78" spans="2:34" x14ac:dyDescent="0.3">
      <c r="B78"/>
      <c r="C78"/>
      <c r="G78"/>
      <c r="J78"/>
      <c r="K78"/>
      <c r="L78"/>
      <c r="M78"/>
      <c r="N78"/>
      <c r="Q78"/>
      <c r="R78"/>
      <c r="S78" s="715" t="s">
        <v>98</v>
      </c>
      <c r="T78" s="716"/>
      <c r="U78" s="716"/>
      <c r="V78" s="717"/>
      <c r="W78" s="715" t="s">
        <v>98</v>
      </c>
      <c r="X78" s="716"/>
      <c r="Y78" s="716"/>
      <c r="Z78" s="717"/>
      <c r="AA78" s="715" t="s">
        <v>98</v>
      </c>
      <c r="AB78" s="716"/>
      <c r="AC78" s="716"/>
      <c r="AD78" s="717"/>
      <c r="AE78" s="724" t="s">
        <v>98</v>
      </c>
      <c r="AF78" s="725"/>
      <c r="AG78" s="725"/>
      <c r="AH78" s="725"/>
    </row>
    <row r="79" spans="2:34" x14ac:dyDescent="0.3">
      <c r="B79"/>
      <c r="C79"/>
      <c r="G79"/>
      <c r="J79"/>
      <c r="K79"/>
      <c r="L79"/>
      <c r="M79"/>
      <c r="N79"/>
      <c r="Q79"/>
      <c r="R79"/>
      <c r="S79" s="711">
        <v>1</v>
      </c>
      <c r="T79" s="712"/>
      <c r="U79" s="404" t="str" cm="1">
        <f t="array" ref="U79">IFERROR(_xlfn.XLOOKUP(1,(Baldur!K7:K16&lt;=BlazingSunriseCurrent)*(Baldur!N7:N16&lt;&gt;""),Baldur!N7:N16,,0,-1)*100&amp;"% Mob. Pts, "&amp;IFERROR(_xlfn.XLOOKUP(1,(Baldur!K7:K16&lt;=BlazingSunriseCurrent)*(Baldur!O7:O16&lt;&gt;""),Baldur!O7:O16,,0,-1)&amp;" Tier(s)",""),"")</f>
        <v>2% Mob. Pts, 1 Tier(s)</v>
      </c>
      <c r="V79" s="405"/>
      <c r="W79" s="711"/>
      <c r="X79" s="712"/>
      <c r="Y79" s="739" t="str" cm="1">
        <f t="array" ref="Y79">IFERROR(_xlfn.XLOOKUP(1,(Baldur!K7:K16&lt;=HonoredConquestCurrent)*(Baldur!S7:S16&lt;&gt;""),Baldur!S7:S16,,0,-1)*100&amp;"% Badges, "&amp;IFERROR(_xlfn.XLOOKUP(1,(Baldur!K7:K16&lt;=HonoredConquestCurrent)*(Baldur!T7:T16&lt;&gt;""),Baldur!T7:T16,,0,-1)&amp;" Items",""),"")</f>
        <v/>
      </c>
      <c r="Z79" s="740"/>
      <c r="AA79" s="711"/>
      <c r="AB79" s="712"/>
      <c r="AC79" s="739" t="str" cm="1">
        <f t="array" ref="AC79">IFERROR(_xlfn.XLOOKUP(1,(Baldur!K7:K16&lt;=BountyHunterCurrent)*(Baldur!X7:X16&lt;&gt;""),Baldur!X7:X16,,0,-1)*100&amp;"% CJ Pts, "&amp;IFERROR(_xlfn.XLOOKUP(1,(Baldur!K7:K16&lt;=BountyHunterCurrent)*(Baldur!Y7:Y16&lt;&gt;""),Baldur!Y7:Y16,,0,-1)&amp;" Chests",""),"")</f>
        <v/>
      </c>
      <c r="AD79" s="740"/>
      <c r="AE79" s="737"/>
      <c r="AF79" s="738"/>
      <c r="AG79" s="759" t="str" cm="1">
        <f t="array" ref="AG79">IFERROR(_xlfn.XLOOKUP(1,(Baldur!K7:K16&lt;=DawnHymnCurrent)*(Baldur!AC7:AC16&lt;&gt;""),Baldur!AC7:AC16,,0,-1)*100&amp;"% Shwdn Pts, "&amp;IFERROR(_xlfn.XLOOKUP(1,(Baldur!K7:K16&lt;=DawnHymnCurrent)*(Baldur!AD7:AD16&lt;&gt;""),Baldur!AD7:AD16,,0,-1)&amp;" Tier(s)",""),"")</f>
        <v/>
      </c>
      <c r="AH79" s="760"/>
    </row>
    <row r="80" spans="2:34" x14ac:dyDescent="0.3">
      <c r="B80"/>
      <c r="C80"/>
      <c r="G80"/>
      <c r="J80"/>
      <c r="K80"/>
      <c r="L80"/>
      <c r="M80"/>
      <c r="N80"/>
      <c r="Q80"/>
      <c r="R80"/>
      <c r="S80" s="715" t="s">
        <v>909</v>
      </c>
      <c r="T80" s="716"/>
      <c r="U80" s="716"/>
      <c r="V80" s="717"/>
      <c r="W80" s="715" t="s">
        <v>909</v>
      </c>
      <c r="X80" s="716"/>
      <c r="Y80" s="716"/>
      <c r="Z80" s="717"/>
      <c r="AA80" s="715" t="s">
        <v>909</v>
      </c>
      <c r="AB80" s="716"/>
      <c r="AC80" s="716"/>
      <c r="AD80" s="717"/>
      <c r="AE80" s="715" t="s">
        <v>909</v>
      </c>
      <c r="AF80" s="716"/>
      <c r="AG80" s="716"/>
      <c r="AH80" s="717"/>
    </row>
    <row r="81" spans="1:34" x14ac:dyDescent="0.3">
      <c r="B81"/>
      <c r="C81"/>
      <c r="G81"/>
      <c r="J81"/>
      <c r="K81"/>
      <c r="L81"/>
      <c r="M81"/>
      <c r="N81"/>
      <c r="Q81"/>
      <c r="R81"/>
      <c r="S81" s="711"/>
      <c r="T81" s="712"/>
      <c r="U81" s="404" t="str" cm="1">
        <f t="array" ref="U81">IFERROR(_xlfn.XLOOKUP(1,(Baldur!K7:K16&lt;=BlazingSunriseDesired)*(Baldur!N7:N16&lt;&gt;""),Baldur!N7:N16,,0,-1)*100&amp;"% Mob. Pts, "&amp;IFERROR(_xlfn.XLOOKUP(1,(Baldur!K7:K16&lt;=BlazingSunriseDesired)*(Baldur!O7:O16&lt;&gt;""),Baldur!O7:O16,,0,-1)&amp;" Tier(s)",""),"")</f>
        <v/>
      </c>
      <c r="V81" s="405"/>
      <c r="W81" s="711"/>
      <c r="X81" s="712"/>
      <c r="Y81" s="739" t="str" cm="1">
        <f t="array" ref="Y81">IFERROR(_xlfn.XLOOKUP(1,(Baldur!K7:K16&lt;=HonoredConquestDesired)*(Baldur!S7:S16&lt;&gt;""),Baldur!S7:S16,,0,-1)*100&amp;"% Badges, "&amp;IFERROR(_xlfn.XLOOKUP(1,(Baldur!K7:K16&lt;=HonoredConquestDesired)*(Baldur!T7:T16&lt;&gt;""),Baldur!T7:T16,,0,-1)&amp;" Items",""),"")</f>
        <v/>
      </c>
      <c r="Z81" s="740"/>
      <c r="AA81" s="711"/>
      <c r="AB81" s="712"/>
      <c r="AC81" s="739" t="str" cm="1">
        <f t="array" ref="AC81">IFERROR(_xlfn.XLOOKUP(1,(Baldur!K7:K16&lt;=BountyHunterDesired)*(Baldur!X7:X16&lt;&gt;""),Baldur!X7:X16,,0,-1)*100&amp;"% CJ Pts, "&amp;IFERROR(_xlfn.XLOOKUP(1,(Baldur!K7:K16&lt;=BountyHunterDesired)*(Baldur!Y7:Y16&lt;&gt;""),Baldur!Y7:Y16,,0,-1)&amp;" Chests",""),"")</f>
        <v/>
      </c>
      <c r="AD81" s="740"/>
      <c r="AE81" s="711"/>
      <c r="AF81" s="712"/>
      <c r="AG81" s="759" t="str" cm="1">
        <f t="array" ref="AG81">IFERROR(_xlfn.XLOOKUP(1,(Baldur!K7:K16&lt;=DawnHymnDesired)*(Baldur!AC7:AC16&lt;&gt;""),Baldur!AC7:AC16,,0,-1)*100&amp;"% Shwdn Pts, "&amp;IFERROR(_xlfn.XLOOKUP(1,(Baldur!K7:K16&lt;=DawnHymnDesired)*(Baldur!AD7:AD16&lt;&gt;""),Baldur!AD7:AD16,,0,-1)&amp;" Tier(s)",""),"")</f>
        <v/>
      </c>
      <c r="AH81" s="760"/>
    </row>
    <row r="82" spans="1:34" x14ac:dyDescent="0.3">
      <c r="B82"/>
      <c r="C82"/>
      <c r="G82"/>
      <c r="J82"/>
      <c r="K82"/>
      <c r="L82"/>
      <c r="M82"/>
      <c r="N82"/>
      <c r="Q82"/>
      <c r="R82"/>
      <c r="S82" s="515" t="s">
        <v>888</v>
      </c>
      <c r="T82" s="720"/>
      <c r="U82" s="515" t="s">
        <v>1003</v>
      </c>
      <c r="V82" s="516"/>
      <c r="W82" s="515" t="s">
        <v>888</v>
      </c>
      <c r="X82" s="516"/>
      <c r="Y82" s="720" t="s">
        <v>1003</v>
      </c>
      <c r="Z82" s="516"/>
      <c r="AA82" s="515" t="s">
        <v>888</v>
      </c>
      <c r="AB82" s="516"/>
      <c r="AC82" s="515" t="s">
        <v>1003</v>
      </c>
      <c r="AD82" s="516"/>
      <c r="AE82" s="515">
        <v>1</v>
      </c>
      <c r="AF82" s="516"/>
      <c r="AG82" s="515" t="s">
        <v>1003</v>
      </c>
      <c r="AH82" s="516"/>
    </row>
    <row r="83" spans="1:34" x14ac:dyDescent="0.3">
      <c r="B83"/>
      <c r="C83"/>
      <c r="G83"/>
      <c r="J83"/>
      <c r="K83"/>
      <c r="L83"/>
      <c r="M83"/>
      <c r="N83"/>
      <c r="Q83"/>
      <c r="R83"/>
      <c r="S83" s="695"/>
      <c r="T83" s="697"/>
      <c r="U83" s="494" t="str" cm="1">
        <f t="array" ref="U83">IF(BlazingSunriseCurrent&gt;=BlazingSunriseDesired,"-",IFERROR(_xlfn.XLOOKUP(1,(Baldur!K7:K16&lt;=BlazingSunriseDesired)*(Baldur!P7:P16&lt;&gt;""),Baldur!P7:P16,,0,-1)-IFERROR(_xlfn.XLOOKUP(1,(Baldur!K7:K16&lt;=BlazingSunriseCurrent)*(Baldur!P7:P16&lt;&gt;""),Baldur!P7:P16,,0,-1),""),""))</f>
        <v>-</v>
      </c>
      <c r="V83" s="496"/>
      <c r="W83" s="695"/>
      <c r="X83" s="697"/>
      <c r="Y83" s="494" t="str" cm="1">
        <f t="array" ref="Y83">IF(HonoredConquestCurrent&gt;=HonoredConquestDesired,"-",IFERROR(_xlfn.XLOOKUP(1,(Baldur!K7:K16&lt;=HonoredConquestDesired)*(Baldur!U7:U16&lt;&gt;""),Baldur!U7:U16,,0,-1)-IFERROR(_xlfn.XLOOKUP(1,(Baldur!K7:K16&lt;=HonoredConquestCurrent)*(Baldur!U7:U16&lt;&gt;""),Baldur!U7:U16,,0,-1),""),""))</f>
        <v>-</v>
      </c>
      <c r="Z83" s="496"/>
      <c r="AA83" s="695"/>
      <c r="AB83" s="697"/>
      <c r="AC83" s="494" t="str" cm="1">
        <f t="array" ref="AC83">IF(BountyHunterCurrent&gt;=BountyHunterDesired,"-",IFERROR(_xlfn.XLOOKUP(1,(Baldur!K7:K16&lt;=BountyHunterDesired)*(Baldur!Z7:Z16&lt;&gt;""),Baldur!Z7:Z16,,0,-1)-IFERROR(_xlfn.XLOOKUP(1,(Baldur!K7:K16&lt;=BountyHunterCurrent)*(Baldur!Z7:Z16&lt;&gt;""),Baldur!Z7:Z16,,0,-1),""),""))</f>
        <v>-</v>
      </c>
      <c r="AD83" s="496"/>
      <c r="AE83" s="695"/>
      <c r="AF83" s="697"/>
      <c r="AG83" s="494" t="str" cm="1">
        <f t="array" ref="AG83">IF(DawnHymnCurrent&gt;=DawnHymnDesired,"-",IFERROR(_xlfn.XLOOKUP(1,(Baldur!K7:K16&lt;=DawnHymnDesired)*(Baldur!AE7:AE16&lt;&gt;""),Baldur!AE7:AE16,,0,-1)-IFERROR(_xlfn.XLOOKUP(1,(Baldur!K7:K16&lt;=DawnHymnCurrent)*(Baldur!AE7:AE16&lt;&gt;""),Baldur!AE7:AE16,,0,-1),""),""))</f>
        <v>-</v>
      </c>
      <c r="AH83" s="496"/>
    </row>
    <row r="84" spans="1:34" x14ac:dyDescent="0.3">
      <c r="B84"/>
      <c r="C84"/>
      <c r="G84"/>
      <c r="J84"/>
      <c r="K84"/>
      <c r="L84"/>
      <c r="M84"/>
      <c r="N84"/>
      <c r="Q84"/>
      <c r="R84"/>
      <c r="S84" s="515" t="s">
        <v>884</v>
      </c>
      <c r="T84" s="516"/>
      <c r="V84"/>
      <c r="W84" s="515" t="s">
        <v>884</v>
      </c>
      <c r="X84" s="516"/>
      <c r="AA84" s="515" t="s">
        <v>884</v>
      </c>
      <c r="AB84" s="516"/>
      <c r="AE84" s="515" t="s">
        <v>884</v>
      </c>
      <c r="AF84" s="516"/>
    </row>
    <row r="85" spans="1:34" x14ac:dyDescent="0.3">
      <c r="B85"/>
      <c r="C85"/>
      <c r="G85"/>
      <c r="J85"/>
      <c r="K85"/>
      <c r="L85"/>
      <c r="M85"/>
      <c r="N85"/>
      <c r="Q85"/>
      <c r="R85"/>
      <c r="S85" s="494">
        <f>SUMIFS(Baldur!M7:M16,Baldur!K7:K16,"&gt;"&amp;BlazingSunriseCurrent,Baldur!K7:K16,"&lt;="&amp;BlazingSunriseDesired)</f>
        <v>0</v>
      </c>
      <c r="T85" s="496"/>
      <c r="V85"/>
      <c r="W85" s="735">
        <f>SUMIFS(Baldur!R7:R16,Baldur!K7:K16,"&gt;"&amp;HonoredConquestCurrent,Baldur!K7:K16,"&lt;="&amp;HonoredConquestDesired)</f>
        <v>0</v>
      </c>
      <c r="X85" s="736"/>
      <c r="AA85" s="494">
        <f>SUMIFS(Baldur!W7:W16,Baldur!K7:K16,"&gt;"&amp;BountyHunterCurrent,Baldur!K7:K16,"&lt;="&amp;BountyHunterDesired)</f>
        <v>0</v>
      </c>
      <c r="AB85" s="496"/>
      <c r="AE85" s="735">
        <f>SUMIFS(Baldur!AB7:AB16,Baldur!K7:K16,"&gt;"&amp;DawnHymnCurrent,Baldur!K7:K16,"&lt;="&amp;DawnHymnDesired)</f>
        <v>0</v>
      </c>
      <c r="AF85" s="736"/>
    </row>
    <row r="86" spans="1:34" x14ac:dyDescent="0.3">
      <c r="B86"/>
      <c r="C86"/>
      <c r="G86"/>
      <c r="J86"/>
      <c r="K86"/>
      <c r="L86"/>
      <c r="M86"/>
      <c r="N86"/>
      <c r="Q86"/>
      <c r="R86"/>
      <c r="V86"/>
    </row>
    <row r="87" spans="1:34" x14ac:dyDescent="0.3">
      <c r="B87"/>
      <c r="C87"/>
      <c r="G87"/>
      <c r="J87"/>
      <c r="K87"/>
      <c r="L87"/>
      <c r="M87"/>
      <c r="N87"/>
      <c r="Q87"/>
      <c r="R87"/>
      <c r="V87"/>
    </row>
    <row r="88" spans="1:34" x14ac:dyDescent="0.3">
      <c r="B88"/>
      <c r="C88"/>
      <c r="G88"/>
      <c r="J88"/>
      <c r="K88"/>
      <c r="L88"/>
      <c r="M88"/>
      <c r="N88"/>
      <c r="Q88"/>
      <c r="R88"/>
      <c r="V88"/>
    </row>
    <row r="89" spans="1:34" x14ac:dyDescent="0.3">
      <c r="B89"/>
      <c r="C89"/>
      <c r="G89"/>
      <c r="J89"/>
      <c r="K89"/>
      <c r="L89"/>
      <c r="M89"/>
      <c r="N89"/>
      <c r="Q89"/>
      <c r="R89"/>
      <c r="V89"/>
    </row>
    <row r="90" spans="1:34" x14ac:dyDescent="0.3">
      <c r="A90" s="9"/>
      <c r="B90"/>
      <c r="C90"/>
      <c r="G90"/>
      <c r="J90"/>
      <c r="K90"/>
      <c r="L90"/>
      <c r="M90"/>
      <c r="N90"/>
      <c r="Q90"/>
      <c r="R90"/>
      <c r="V90"/>
    </row>
    <row r="91" spans="1:34" x14ac:dyDescent="0.3">
      <c r="A91" s="9"/>
      <c r="B91"/>
      <c r="C91"/>
      <c r="G91"/>
      <c r="J91"/>
      <c r="K91"/>
      <c r="L91"/>
      <c r="M91"/>
      <c r="N91"/>
      <c r="Q91"/>
      <c r="R91"/>
      <c r="V91"/>
    </row>
    <row r="92" spans="1:34" ht="15" customHeight="1" x14ac:dyDescent="0.3">
      <c r="A92" s="9"/>
      <c r="B92"/>
      <c r="C92"/>
      <c r="G92"/>
      <c r="J92"/>
      <c r="K92"/>
      <c r="L92"/>
      <c r="M92"/>
      <c r="N92"/>
      <c r="Q92"/>
      <c r="R92"/>
      <c r="V92"/>
    </row>
    <row r="93" spans="1:34" x14ac:dyDescent="0.3">
      <c r="A93" s="9"/>
      <c r="B93"/>
      <c r="C93"/>
      <c r="G93"/>
      <c r="J93"/>
      <c r="K93"/>
      <c r="L93"/>
      <c r="M93"/>
      <c r="N93"/>
      <c r="Q93"/>
      <c r="R93"/>
      <c r="V93"/>
    </row>
    <row r="94" spans="1:34" ht="15" customHeight="1" x14ac:dyDescent="0.3">
      <c r="A94" s="9"/>
      <c r="B94"/>
      <c r="C94"/>
      <c r="G94"/>
      <c r="J94"/>
      <c r="K94"/>
      <c r="L94"/>
      <c r="M94"/>
      <c r="N94"/>
      <c r="Q94"/>
      <c r="R94"/>
      <c r="V94"/>
    </row>
    <row r="95" spans="1:34" x14ac:dyDescent="0.3">
      <c r="A95" s="9"/>
      <c r="B95"/>
      <c r="C95"/>
      <c r="G95"/>
      <c r="J95"/>
      <c r="K95"/>
      <c r="L95"/>
      <c r="M95"/>
      <c r="N95"/>
      <c r="Q95"/>
      <c r="R95"/>
      <c r="V95"/>
    </row>
    <row r="96" spans="1:34" x14ac:dyDescent="0.3">
      <c r="A96" s="9"/>
      <c r="B96"/>
      <c r="C96"/>
      <c r="G96"/>
      <c r="J96"/>
      <c r="K96"/>
      <c r="L96"/>
      <c r="M96"/>
      <c r="N96"/>
      <c r="Q96"/>
      <c r="R96"/>
      <c r="V96"/>
    </row>
    <row r="97" spans="1:22" x14ac:dyDescent="0.3">
      <c r="A97" s="9"/>
      <c r="B97"/>
      <c r="C97"/>
      <c r="G97"/>
      <c r="J97"/>
      <c r="K97"/>
      <c r="L97"/>
      <c r="M97"/>
      <c r="N97"/>
      <c r="Q97"/>
      <c r="R97"/>
      <c r="V97"/>
    </row>
    <row r="98" spans="1:22" x14ac:dyDescent="0.3">
      <c r="A98" s="9"/>
      <c r="B98"/>
      <c r="C98"/>
      <c r="G98"/>
      <c r="J98"/>
      <c r="K98"/>
      <c r="L98"/>
      <c r="M98"/>
      <c r="N98"/>
      <c r="Q98"/>
      <c r="R98"/>
      <c r="V98"/>
    </row>
    <row r="99" spans="1:22" x14ac:dyDescent="0.3">
      <c r="A99" s="9"/>
      <c r="B99"/>
      <c r="C99"/>
      <c r="G99"/>
      <c r="J99"/>
      <c r="K99"/>
      <c r="L99"/>
      <c r="M99"/>
      <c r="N99"/>
      <c r="Q99"/>
      <c r="R99"/>
      <c r="V99"/>
    </row>
    <row r="100" spans="1:22" x14ac:dyDescent="0.3">
      <c r="A100" s="9"/>
      <c r="B100"/>
      <c r="C100"/>
      <c r="G100"/>
      <c r="J100"/>
      <c r="K100"/>
      <c r="L100"/>
      <c r="M100"/>
      <c r="N100"/>
      <c r="Q100"/>
      <c r="R100"/>
      <c r="V100"/>
    </row>
    <row r="101" spans="1:22" x14ac:dyDescent="0.3">
      <c r="A101" s="9"/>
      <c r="B101"/>
      <c r="C101"/>
      <c r="G101"/>
      <c r="J101"/>
      <c r="K101"/>
      <c r="L101"/>
      <c r="M101"/>
      <c r="N101"/>
      <c r="Q101"/>
      <c r="R101"/>
      <c r="V101"/>
    </row>
    <row r="102" spans="1:22" x14ac:dyDescent="0.3">
      <c r="A102" s="9"/>
      <c r="B102"/>
      <c r="C102"/>
      <c r="G102"/>
      <c r="J102"/>
      <c r="K102"/>
      <c r="L102"/>
      <c r="M102"/>
      <c r="N102"/>
      <c r="Q102"/>
      <c r="R102"/>
      <c r="V102"/>
    </row>
    <row r="103" spans="1:22" x14ac:dyDescent="0.3">
      <c r="A103" s="9"/>
      <c r="B103"/>
      <c r="C103"/>
      <c r="G103"/>
      <c r="J103"/>
      <c r="K103"/>
      <c r="L103"/>
      <c r="M103"/>
      <c r="N103"/>
      <c r="Q103"/>
      <c r="R103"/>
      <c r="V103"/>
    </row>
    <row r="104" spans="1:22" x14ac:dyDescent="0.3">
      <c r="A104" s="9"/>
      <c r="B104"/>
      <c r="C104"/>
      <c r="G104"/>
      <c r="J104"/>
      <c r="K104"/>
      <c r="L104"/>
      <c r="M104"/>
      <c r="N104"/>
      <c r="Q104"/>
      <c r="R104"/>
      <c r="V104"/>
    </row>
    <row r="105" spans="1:22" x14ac:dyDescent="0.3">
      <c r="A105" s="9"/>
      <c r="B105"/>
      <c r="C105"/>
      <c r="G105"/>
      <c r="J105"/>
      <c r="K105"/>
      <c r="L105"/>
      <c r="M105"/>
      <c r="N105"/>
      <c r="Q105"/>
      <c r="R105"/>
      <c r="V105"/>
    </row>
    <row r="106" spans="1:22" x14ac:dyDescent="0.3">
      <c r="A106" s="9"/>
      <c r="B106"/>
      <c r="C106"/>
      <c r="G106"/>
      <c r="J106"/>
      <c r="K106"/>
      <c r="L106"/>
      <c r="M106"/>
      <c r="N106"/>
      <c r="Q106"/>
      <c r="R106"/>
      <c r="V106"/>
    </row>
    <row r="107" spans="1:22" x14ac:dyDescent="0.3">
      <c r="A107" s="9"/>
      <c r="B107"/>
      <c r="C107"/>
      <c r="G107"/>
      <c r="J107"/>
      <c r="K107"/>
      <c r="L107"/>
      <c r="M107"/>
      <c r="N107"/>
      <c r="Q107"/>
      <c r="R107"/>
      <c r="V107"/>
    </row>
    <row r="108" spans="1:22" x14ac:dyDescent="0.3">
      <c r="A108" s="9"/>
      <c r="B108"/>
      <c r="C108"/>
      <c r="G108"/>
      <c r="J108"/>
      <c r="K108"/>
      <c r="L108"/>
      <c r="M108"/>
      <c r="N108"/>
      <c r="Q108"/>
      <c r="R108"/>
      <c r="V108"/>
    </row>
    <row r="109" spans="1:22" x14ac:dyDescent="0.3">
      <c r="A109" s="9"/>
      <c r="B109"/>
      <c r="C109"/>
      <c r="G109"/>
      <c r="J109"/>
      <c r="K109"/>
      <c r="L109"/>
      <c r="M109"/>
      <c r="N109"/>
      <c r="Q109"/>
      <c r="R109"/>
      <c r="V109"/>
    </row>
    <row r="110" spans="1:22" x14ac:dyDescent="0.3">
      <c r="A110" s="9"/>
      <c r="B110"/>
      <c r="C110"/>
      <c r="G110"/>
      <c r="J110"/>
      <c r="K110"/>
      <c r="L110"/>
      <c r="M110"/>
      <c r="N110"/>
      <c r="Q110"/>
      <c r="R110"/>
      <c r="V110"/>
    </row>
    <row r="111" spans="1:22" x14ac:dyDescent="0.3">
      <c r="A111" s="9"/>
      <c r="B111"/>
      <c r="C111"/>
      <c r="G111"/>
      <c r="J111"/>
      <c r="K111"/>
      <c r="L111"/>
      <c r="M111"/>
      <c r="N111"/>
      <c r="Q111"/>
      <c r="R111"/>
      <c r="V111"/>
    </row>
    <row r="112" spans="1:22" x14ac:dyDescent="0.3">
      <c r="A112" s="9"/>
      <c r="B112"/>
      <c r="C112"/>
      <c r="G112"/>
      <c r="J112"/>
      <c r="K112"/>
      <c r="L112"/>
      <c r="M112"/>
      <c r="N112"/>
      <c r="Q112"/>
      <c r="R112"/>
      <c r="V112"/>
    </row>
    <row r="113" spans="1:22" x14ac:dyDescent="0.3">
      <c r="A113" s="9"/>
      <c r="B113"/>
      <c r="C113"/>
      <c r="G113"/>
      <c r="J113"/>
      <c r="K113"/>
      <c r="L113"/>
      <c r="M113"/>
      <c r="N113"/>
      <c r="Q113"/>
      <c r="R113"/>
      <c r="V113"/>
    </row>
    <row r="114" spans="1:22" x14ac:dyDescent="0.3">
      <c r="A114" s="9"/>
      <c r="B114"/>
      <c r="C114"/>
      <c r="G114"/>
      <c r="J114"/>
      <c r="K114"/>
      <c r="L114"/>
      <c r="M114"/>
      <c r="N114"/>
      <c r="Q114"/>
      <c r="R114"/>
      <c r="V114"/>
    </row>
    <row r="115" spans="1:22" x14ac:dyDescent="0.3">
      <c r="A115" s="9"/>
      <c r="B115"/>
      <c r="C115"/>
      <c r="G115"/>
      <c r="J115"/>
      <c r="K115"/>
      <c r="L115"/>
      <c r="M115"/>
      <c r="N115"/>
      <c r="Q115"/>
      <c r="R115"/>
      <c r="V115"/>
    </row>
    <row r="116" spans="1:22" x14ac:dyDescent="0.3">
      <c r="A116" s="9"/>
      <c r="B116"/>
      <c r="C116"/>
      <c r="G116"/>
      <c r="J116"/>
      <c r="K116"/>
      <c r="L116"/>
      <c r="M116"/>
      <c r="N116"/>
      <c r="Q116"/>
      <c r="R116"/>
      <c r="V116"/>
    </row>
    <row r="117" spans="1:22" x14ac:dyDescent="0.3">
      <c r="A117" s="9"/>
      <c r="B117"/>
      <c r="C117"/>
      <c r="G117"/>
      <c r="J117"/>
      <c r="K117"/>
      <c r="L117"/>
      <c r="M117"/>
      <c r="N117"/>
      <c r="Q117"/>
      <c r="R117"/>
      <c r="V117"/>
    </row>
    <row r="118" spans="1:22" x14ac:dyDescent="0.3">
      <c r="A118" s="9"/>
      <c r="B118"/>
      <c r="C118"/>
      <c r="G118"/>
      <c r="J118"/>
      <c r="K118"/>
      <c r="L118"/>
      <c r="M118"/>
      <c r="N118"/>
      <c r="Q118"/>
      <c r="R118"/>
      <c r="V118"/>
    </row>
    <row r="119" spans="1:22" x14ac:dyDescent="0.3">
      <c r="A119" s="9"/>
      <c r="B119"/>
      <c r="C119"/>
      <c r="G119"/>
      <c r="J119"/>
      <c r="K119"/>
      <c r="L119"/>
      <c r="M119"/>
      <c r="N119"/>
      <c r="Q119"/>
      <c r="R119"/>
      <c r="V119"/>
    </row>
    <row r="120" spans="1:22" x14ac:dyDescent="0.3">
      <c r="A120" s="9"/>
      <c r="B120"/>
      <c r="C120"/>
      <c r="G120"/>
      <c r="J120"/>
      <c r="K120"/>
      <c r="L120"/>
      <c r="M120"/>
      <c r="N120"/>
      <c r="Q120"/>
      <c r="R120"/>
      <c r="V120"/>
    </row>
    <row r="121" spans="1:22" x14ac:dyDescent="0.3">
      <c r="A121" s="9"/>
      <c r="B121"/>
      <c r="C121"/>
      <c r="G121"/>
      <c r="J121"/>
      <c r="K121"/>
      <c r="L121"/>
      <c r="M121"/>
      <c r="N121"/>
      <c r="Q121"/>
      <c r="R121"/>
      <c r="V121"/>
    </row>
    <row r="122" spans="1:22" x14ac:dyDescent="0.3">
      <c r="A122" s="9"/>
      <c r="B122"/>
      <c r="C122"/>
      <c r="G122"/>
      <c r="J122"/>
      <c r="K122"/>
      <c r="L122"/>
      <c r="M122"/>
      <c r="N122"/>
      <c r="Q122"/>
      <c r="R122"/>
      <c r="V122"/>
    </row>
    <row r="123" spans="1:22" x14ac:dyDescent="0.3">
      <c r="A123" s="9"/>
      <c r="B123"/>
      <c r="C123"/>
      <c r="G123"/>
      <c r="J123"/>
      <c r="K123"/>
      <c r="L123"/>
      <c r="M123"/>
      <c r="N123"/>
      <c r="Q123"/>
      <c r="R123"/>
      <c r="V123"/>
    </row>
    <row r="124" spans="1:22" x14ac:dyDescent="0.3">
      <c r="A124" s="9"/>
      <c r="B124"/>
      <c r="C124"/>
      <c r="G124"/>
      <c r="J124"/>
      <c r="K124"/>
      <c r="L124"/>
      <c r="M124"/>
      <c r="N124"/>
      <c r="Q124"/>
      <c r="R124"/>
      <c r="V124"/>
    </row>
    <row r="125" spans="1:22" ht="15" customHeight="1" x14ac:dyDescent="0.3">
      <c r="A125" s="9"/>
      <c r="B125"/>
      <c r="C125"/>
      <c r="G125"/>
      <c r="J125"/>
      <c r="K125"/>
      <c r="L125"/>
      <c r="M125"/>
      <c r="N125"/>
      <c r="Q125"/>
      <c r="R125"/>
      <c r="V125"/>
    </row>
    <row r="126" spans="1:22" ht="15" customHeight="1" x14ac:dyDescent="0.3">
      <c r="A126" s="9"/>
      <c r="B126"/>
      <c r="C126"/>
      <c r="G126"/>
      <c r="J126"/>
      <c r="K126"/>
      <c r="L126"/>
      <c r="M126"/>
      <c r="N126"/>
      <c r="Q126"/>
      <c r="R126"/>
      <c r="V126"/>
    </row>
    <row r="127" spans="1:22" ht="15" customHeight="1" x14ac:dyDescent="0.3">
      <c r="A127" s="9"/>
      <c r="B127"/>
      <c r="C127"/>
      <c r="G127"/>
      <c r="J127"/>
      <c r="K127"/>
      <c r="L127"/>
      <c r="M127"/>
      <c r="N127"/>
      <c r="Q127"/>
      <c r="R127"/>
      <c r="V127"/>
    </row>
    <row r="128" spans="1:22" ht="15" customHeight="1" x14ac:dyDescent="0.3">
      <c r="A128" s="9"/>
      <c r="B128"/>
      <c r="C128"/>
      <c r="G128"/>
      <c r="J128"/>
      <c r="K128"/>
      <c r="L128"/>
      <c r="M128"/>
      <c r="N128"/>
      <c r="Q128"/>
      <c r="R128"/>
      <c r="V128"/>
    </row>
    <row r="129" spans="1:22" x14ac:dyDescent="0.3">
      <c r="A129" s="9"/>
      <c r="B129"/>
      <c r="C129"/>
      <c r="G129"/>
      <c r="J129"/>
      <c r="K129"/>
      <c r="L129"/>
      <c r="M129"/>
      <c r="N129"/>
      <c r="Q129"/>
      <c r="R129"/>
      <c r="V129"/>
    </row>
    <row r="130" spans="1:22" x14ac:dyDescent="0.3">
      <c r="A130" s="9"/>
      <c r="B130"/>
      <c r="C130"/>
      <c r="G130"/>
      <c r="J130"/>
      <c r="K130"/>
      <c r="L130"/>
      <c r="M130"/>
      <c r="N130"/>
      <c r="Q130"/>
      <c r="R130"/>
      <c r="V130"/>
    </row>
    <row r="131" spans="1:22" x14ac:dyDescent="0.3">
      <c r="A131" s="9"/>
      <c r="B131"/>
      <c r="C131"/>
      <c r="G131"/>
      <c r="J131"/>
      <c r="K131"/>
      <c r="L131"/>
      <c r="M131"/>
      <c r="N131"/>
      <c r="Q131"/>
      <c r="R131"/>
      <c r="V131"/>
    </row>
    <row r="132" spans="1:22" x14ac:dyDescent="0.3">
      <c r="A132" s="9"/>
      <c r="B132"/>
      <c r="C132"/>
      <c r="G132"/>
      <c r="J132"/>
      <c r="K132"/>
      <c r="L132"/>
      <c r="M132"/>
      <c r="N132"/>
      <c r="Q132"/>
      <c r="R132"/>
      <c r="V132"/>
    </row>
    <row r="133" spans="1:22" x14ac:dyDescent="0.3">
      <c r="A133" s="9"/>
      <c r="B133"/>
      <c r="C133"/>
      <c r="G133"/>
      <c r="J133"/>
      <c r="K133"/>
      <c r="L133"/>
      <c r="M133"/>
      <c r="N133"/>
      <c r="Q133"/>
      <c r="R133"/>
      <c r="V133"/>
    </row>
    <row r="134" spans="1:22" x14ac:dyDescent="0.3">
      <c r="A134" s="9"/>
      <c r="B134"/>
      <c r="C134"/>
      <c r="G134"/>
      <c r="J134"/>
      <c r="K134"/>
      <c r="L134"/>
      <c r="M134"/>
      <c r="N134"/>
      <c r="Q134"/>
      <c r="R134"/>
      <c r="V134"/>
    </row>
    <row r="135" spans="1:22" x14ac:dyDescent="0.3">
      <c r="A135" s="9"/>
      <c r="B135"/>
      <c r="C135"/>
      <c r="G135"/>
      <c r="J135"/>
      <c r="K135"/>
      <c r="L135"/>
      <c r="M135"/>
      <c r="N135"/>
      <c r="Q135"/>
      <c r="R135"/>
      <c r="V135"/>
    </row>
    <row r="136" spans="1:22" x14ac:dyDescent="0.3">
      <c r="A136" s="9"/>
      <c r="B136"/>
      <c r="C136"/>
      <c r="G136"/>
      <c r="J136"/>
      <c r="K136"/>
      <c r="L136"/>
      <c r="M136"/>
      <c r="N136"/>
      <c r="Q136"/>
      <c r="R136"/>
      <c r="V136"/>
    </row>
    <row r="137" spans="1:22" x14ac:dyDescent="0.3">
      <c r="A137" s="9"/>
      <c r="B137"/>
      <c r="C137"/>
      <c r="G137"/>
      <c r="J137"/>
      <c r="K137"/>
      <c r="L137"/>
      <c r="M137"/>
      <c r="N137"/>
      <c r="Q137"/>
      <c r="R137"/>
      <c r="V137"/>
    </row>
    <row r="138" spans="1:22" x14ac:dyDescent="0.3">
      <c r="A138" s="9"/>
      <c r="B138"/>
      <c r="C138"/>
      <c r="G138"/>
      <c r="J138"/>
      <c r="K138"/>
      <c r="L138"/>
      <c r="M138"/>
      <c r="N138"/>
      <c r="Q138"/>
      <c r="R138"/>
      <c r="V138"/>
    </row>
    <row r="139" spans="1:22" x14ac:dyDescent="0.3">
      <c r="A139" s="9"/>
      <c r="B139"/>
      <c r="C139"/>
      <c r="G139"/>
      <c r="J139"/>
      <c r="K139"/>
      <c r="L139"/>
      <c r="M139"/>
      <c r="N139"/>
      <c r="Q139"/>
      <c r="R139"/>
      <c r="V139"/>
    </row>
    <row r="140" spans="1:22" x14ac:dyDescent="0.3">
      <c r="A140" s="9"/>
      <c r="B140"/>
      <c r="C140"/>
      <c r="G140"/>
      <c r="J140"/>
      <c r="K140"/>
      <c r="L140"/>
      <c r="M140"/>
      <c r="N140"/>
      <c r="Q140"/>
      <c r="R140"/>
      <c r="V140"/>
    </row>
    <row r="141" spans="1:22" x14ac:dyDescent="0.3">
      <c r="A141" s="9"/>
      <c r="B141"/>
      <c r="C141"/>
      <c r="G141"/>
      <c r="J141"/>
      <c r="K141"/>
      <c r="L141"/>
      <c r="M141"/>
      <c r="N141"/>
      <c r="Q141"/>
      <c r="R141"/>
      <c r="V141"/>
    </row>
    <row r="142" spans="1:22" x14ac:dyDescent="0.3">
      <c r="A142" s="9"/>
      <c r="B142"/>
      <c r="C142"/>
      <c r="G142"/>
      <c r="J142"/>
      <c r="K142"/>
      <c r="L142"/>
      <c r="M142"/>
      <c r="N142"/>
      <c r="Q142"/>
      <c r="R142"/>
      <c r="V142"/>
    </row>
    <row r="143" spans="1:22" ht="15" customHeight="1" x14ac:dyDescent="0.3">
      <c r="A143" s="9"/>
      <c r="B143"/>
      <c r="C143"/>
      <c r="G143"/>
      <c r="J143"/>
      <c r="K143"/>
      <c r="L143"/>
      <c r="M143"/>
      <c r="N143"/>
      <c r="Q143"/>
      <c r="R143"/>
      <c r="V143"/>
    </row>
    <row r="144" spans="1:22" x14ac:dyDescent="0.3">
      <c r="A144" s="9"/>
      <c r="B144"/>
      <c r="C144"/>
      <c r="G144"/>
      <c r="J144"/>
      <c r="K144"/>
      <c r="L144"/>
      <c r="M144"/>
      <c r="N144"/>
      <c r="Q144"/>
      <c r="R144"/>
      <c r="V144"/>
    </row>
    <row r="145" spans="1:22" ht="15" customHeight="1" x14ac:dyDescent="0.3">
      <c r="A145" s="9"/>
      <c r="B145"/>
      <c r="C145"/>
      <c r="G145"/>
      <c r="J145"/>
      <c r="K145"/>
      <c r="L145"/>
      <c r="M145"/>
      <c r="N145"/>
      <c r="Q145"/>
      <c r="R145"/>
      <c r="V145"/>
    </row>
    <row r="146" spans="1:22" x14ac:dyDescent="0.3">
      <c r="A146" s="9"/>
      <c r="B146"/>
      <c r="C146"/>
      <c r="G146"/>
      <c r="J146"/>
      <c r="K146"/>
      <c r="L146"/>
      <c r="M146"/>
      <c r="N146"/>
      <c r="Q146"/>
      <c r="R146"/>
      <c r="V146"/>
    </row>
    <row r="147" spans="1:22" x14ac:dyDescent="0.3">
      <c r="A147" s="9"/>
      <c r="B147"/>
      <c r="C147"/>
      <c r="G147"/>
      <c r="J147"/>
      <c r="K147"/>
      <c r="L147"/>
      <c r="M147"/>
      <c r="N147"/>
      <c r="Q147"/>
      <c r="R147"/>
      <c r="V147"/>
    </row>
    <row r="148" spans="1:22" x14ac:dyDescent="0.3">
      <c r="A148" s="9"/>
      <c r="B148"/>
      <c r="C148"/>
      <c r="G148"/>
      <c r="J148"/>
      <c r="K148"/>
      <c r="L148"/>
      <c r="M148"/>
      <c r="N148"/>
      <c r="Q148"/>
      <c r="R148"/>
      <c r="V148"/>
    </row>
    <row r="149" spans="1:22" x14ac:dyDescent="0.3">
      <c r="A149" s="9"/>
      <c r="B149"/>
      <c r="C149"/>
      <c r="G149"/>
      <c r="J149"/>
      <c r="K149"/>
      <c r="L149"/>
      <c r="M149"/>
      <c r="N149"/>
      <c r="Q149"/>
      <c r="R149"/>
      <c r="V149"/>
    </row>
    <row r="150" spans="1:22" x14ac:dyDescent="0.3">
      <c r="A150" s="9"/>
      <c r="B150"/>
      <c r="C150"/>
      <c r="G150"/>
      <c r="J150"/>
      <c r="K150"/>
      <c r="L150"/>
      <c r="M150"/>
      <c r="N150"/>
      <c r="Q150"/>
      <c r="R150"/>
      <c r="V150"/>
    </row>
    <row r="151" spans="1:22" x14ac:dyDescent="0.3">
      <c r="A151" s="9"/>
      <c r="B151"/>
      <c r="C151"/>
      <c r="G151"/>
      <c r="J151"/>
      <c r="K151"/>
      <c r="L151"/>
      <c r="M151"/>
      <c r="N151"/>
      <c r="Q151"/>
      <c r="R151"/>
      <c r="V151"/>
    </row>
    <row r="152" spans="1:22" x14ac:dyDescent="0.3">
      <c r="A152" s="9"/>
      <c r="B152"/>
      <c r="C152"/>
      <c r="G152"/>
      <c r="J152"/>
      <c r="K152"/>
      <c r="L152"/>
      <c r="M152"/>
      <c r="N152"/>
      <c r="Q152"/>
      <c r="R152"/>
      <c r="V152"/>
    </row>
    <row r="153" spans="1:22" x14ac:dyDescent="0.3">
      <c r="A153" s="9"/>
      <c r="B153"/>
      <c r="C153"/>
      <c r="G153"/>
      <c r="J153"/>
      <c r="K153"/>
      <c r="L153"/>
      <c r="M153"/>
      <c r="N153"/>
      <c r="Q153"/>
      <c r="R153"/>
      <c r="V153"/>
    </row>
    <row r="154" spans="1:22" x14ac:dyDescent="0.3">
      <c r="A154" s="9"/>
      <c r="B154"/>
      <c r="C154"/>
      <c r="G154"/>
      <c r="J154"/>
      <c r="K154"/>
      <c r="L154"/>
      <c r="M154"/>
      <c r="N154"/>
      <c r="Q154"/>
      <c r="R154"/>
      <c r="V154"/>
    </row>
    <row r="155" spans="1:22" x14ac:dyDescent="0.3">
      <c r="A155" s="9"/>
      <c r="B155"/>
      <c r="C155"/>
      <c r="G155"/>
      <c r="J155"/>
      <c r="K155"/>
      <c r="L155"/>
      <c r="M155"/>
      <c r="N155"/>
      <c r="Q155"/>
      <c r="R155"/>
      <c r="V155"/>
    </row>
    <row r="156" spans="1:22" x14ac:dyDescent="0.3">
      <c r="A156" s="9"/>
      <c r="B156"/>
      <c r="C156"/>
      <c r="G156"/>
      <c r="J156"/>
      <c r="K156"/>
      <c r="L156"/>
      <c r="M156"/>
      <c r="N156"/>
      <c r="Q156"/>
      <c r="R156"/>
      <c r="V156"/>
    </row>
    <row r="157" spans="1:22" x14ac:dyDescent="0.3">
      <c r="A157" s="9"/>
      <c r="B157"/>
      <c r="C157"/>
      <c r="G157"/>
      <c r="J157"/>
      <c r="K157"/>
      <c r="L157"/>
      <c r="M157"/>
      <c r="N157"/>
      <c r="Q157"/>
      <c r="R157"/>
      <c r="V157"/>
    </row>
    <row r="158" spans="1:22" x14ac:dyDescent="0.3">
      <c r="A158" s="9"/>
      <c r="B158"/>
      <c r="C158"/>
      <c r="G158"/>
      <c r="J158"/>
      <c r="K158"/>
      <c r="L158"/>
      <c r="M158"/>
      <c r="N158"/>
      <c r="Q158"/>
      <c r="R158"/>
      <c r="V158"/>
    </row>
    <row r="159" spans="1:22" x14ac:dyDescent="0.3">
      <c r="A159" s="9"/>
      <c r="B159"/>
      <c r="C159"/>
      <c r="G159"/>
      <c r="J159"/>
      <c r="K159"/>
      <c r="L159"/>
      <c r="M159"/>
      <c r="N159"/>
      <c r="Q159"/>
      <c r="R159"/>
      <c r="V159"/>
    </row>
    <row r="160" spans="1:22" x14ac:dyDescent="0.3">
      <c r="A160" s="9"/>
      <c r="B160"/>
      <c r="C160"/>
      <c r="G160"/>
      <c r="J160"/>
      <c r="K160"/>
      <c r="L160"/>
      <c r="M160"/>
      <c r="N160"/>
      <c r="Q160"/>
      <c r="R160"/>
      <c r="V160"/>
    </row>
    <row r="161" spans="1:22" x14ac:dyDescent="0.3">
      <c r="A161" s="9"/>
      <c r="B161"/>
      <c r="C161"/>
      <c r="G161"/>
      <c r="J161"/>
      <c r="K161"/>
      <c r="L161"/>
      <c r="M161"/>
      <c r="N161"/>
      <c r="Q161"/>
      <c r="R161"/>
      <c r="V161"/>
    </row>
    <row r="162" spans="1:22" x14ac:dyDescent="0.3">
      <c r="A162" s="9"/>
      <c r="B162"/>
      <c r="C162"/>
      <c r="G162"/>
      <c r="J162"/>
      <c r="K162"/>
      <c r="L162"/>
      <c r="M162"/>
      <c r="N162"/>
      <c r="Q162"/>
      <c r="R162"/>
      <c r="V162"/>
    </row>
    <row r="163" spans="1:22" x14ac:dyDescent="0.3">
      <c r="A163" s="9"/>
      <c r="B163"/>
      <c r="C163"/>
      <c r="G163"/>
      <c r="J163"/>
      <c r="K163"/>
      <c r="L163"/>
      <c r="M163"/>
      <c r="N163"/>
      <c r="Q163"/>
      <c r="R163"/>
      <c r="V163"/>
    </row>
    <row r="164" spans="1:22" x14ac:dyDescent="0.3">
      <c r="A164" s="9"/>
      <c r="B164"/>
      <c r="C164"/>
      <c r="G164"/>
      <c r="J164"/>
      <c r="K164"/>
      <c r="L164"/>
      <c r="M164"/>
      <c r="N164"/>
      <c r="Q164"/>
      <c r="R164"/>
      <c r="V164"/>
    </row>
    <row r="165" spans="1:22" x14ac:dyDescent="0.3">
      <c r="A165" s="9"/>
      <c r="B165"/>
      <c r="C165"/>
      <c r="G165"/>
      <c r="J165"/>
      <c r="K165"/>
      <c r="L165"/>
      <c r="M165"/>
      <c r="N165"/>
      <c r="Q165"/>
      <c r="R165"/>
      <c r="V165"/>
    </row>
    <row r="166" spans="1:22" x14ac:dyDescent="0.3">
      <c r="A166" s="9"/>
      <c r="B166"/>
      <c r="C166"/>
      <c r="G166"/>
      <c r="J166"/>
      <c r="K166"/>
      <c r="L166"/>
      <c r="M166"/>
      <c r="N166"/>
      <c r="Q166"/>
      <c r="R166"/>
      <c r="V166"/>
    </row>
    <row r="167" spans="1:22" x14ac:dyDescent="0.3">
      <c r="A167" s="9"/>
      <c r="B167"/>
      <c r="C167"/>
      <c r="G167"/>
      <c r="J167"/>
      <c r="K167"/>
      <c r="L167"/>
      <c r="M167"/>
      <c r="N167"/>
      <c r="Q167"/>
      <c r="R167"/>
      <c r="V167"/>
    </row>
    <row r="168" spans="1:22" x14ac:dyDescent="0.3">
      <c r="A168" s="9"/>
      <c r="B168"/>
      <c r="C168"/>
      <c r="G168"/>
      <c r="J168"/>
      <c r="K168"/>
      <c r="L168"/>
      <c r="M168"/>
      <c r="N168"/>
      <c r="Q168"/>
      <c r="R168"/>
      <c r="V168"/>
    </row>
    <row r="169" spans="1:22" x14ac:dyDescent="0.3">
      <c r="A169" s="9"/>
      <c r="B169"/>
      <c r="C169"/>
      <c r="G169"/>
      <c r="J169"/>
      <c r="K169"/>
      <c r="L169"/>
      <c r="M169"/>
      <c r="N169"/>
      <c r="Q169"/>
      <c r="R169"/>
      <c r="V169"/>
    </row>
    <row r="170" spans="1:22" x14ac:dyDescent="0.3">
      <c r="A170" s="9"/>
      <c r="B170"/>
      <c r="C170"/>
      <c r="G170"/>
      <c r="J170"/>
      <c r="K170"/>
      <c r="L170"/>
      <c r="M170"/>
      <c r="N170"/>
      <c r="Q170"/>
      <c r="R170"/>
      <c r="V170"/>
    </row>
    <row r="171" spans="1:22" x14ac:dyDescent="0.3">
      <c r="A171" s="9"/>
      <c r="B171"/>
      <c r="C171"/>
      <c r="G171"/>
      <c r="J171"/>
      <c r="K171"/>
      <c r="L171"/>
      <c r="M171"/>
      <c r="N171"/>
      <c r="Q171"/>
      <c r="R171"/>
      <c r="V171"/>
    </row>
    <row r="172" spans="1:22" x14ac:dyDescent="0.3">
      <c r="A172" s="9"/>
      <c r="B172"/>
      <c r="C172"/>
      <c r="G172"/>
      <c r="J172"/>
      <c r="K172"/>
      <c r="L172"/>
      <c r="M172"/>
      <c r="N172"/>
      <c r="Q172"/>
      <c r="R172"/>
      <c r="V172"/>
    </row>
    <row r="173" spans="1:22" x14ac:dyDescent="0.3">
      <c r="A173" s="9"/>
      <c r="B173"/>
      <c r="C173"/>
      <c r="G173"/>
      <c r="J173"/>
      <c r="K173"/>
      <c r="L173"/>
      <c r="M173"/>
      <c r="N173"/>
      <c r="Q173"/>
      <c r="R173"/>
      <c r="V173"/>
    </row>
    <row r="174" spans="1:22" x14ac:dyDescent="0.3">
      <c r="A174" s="9"/>
      <c r="B174"/>
      <c r="C174"/>
      <c r="G174"/>
      <c r="J174"/>
      <c r="K174"/>
      <c r="L174"/>
      <c r="M174"/>
      <c r="N174"/>
      <c r="Q174"/>
      <c r="R174"/>
      <c r="V174"/>
    </row>
    <row r="175" spans="1:22" x14ac:dyDescent="0.3">
      <c r="A175" s="9"/>
      <c r="B175"/>
      <c r="C175" s="288"/>
      <c r="G175"/>
      <c r="J175"/>
      <c r="K175"/>
      <c r="L175"/>
      <c r="M175"/>
      <c r="N175"/>
      <c r="Q175"/>
      <c r="R175"/>
      <c r="V175"/>
    </row>
    <row r="176" spans="1:22" x14ac:dyDescent="0.3">
      <c r="A176" s="9"/>
      <c r="B176"/>
      <c r="C176" s="288"/>
      <c r="G176"/>
      <c r="J176"/>
      <c r="K176"/>
      <c r="L176"/>
      <c r="M176"/>
      <c r="N176"/>
      <c r="Q176"/>
      <c r="R176"/>
      <c r="V176"/>
    </row>
    <row r="177" spans="1:22" x14ac:dyDescent="0.3">
      <c r="A177" s="9"/>
      <c r="B177"/>
      <c r="C177" s="288"/>
      <c r="G177"/>
      <c r="J177"/>
      <c r="K177"/>
      <c r="L177"/>
      <c r="M177"/>
      <c r="N177"/>
      <c r="Q177"/>
      <c r="R177"/>
      <c r="V177"/>
    </row>
    <row r="178" spans="1:22" x14ac:dyDescent="0.3">
      <c r="A178" s="9"/>
      <c r="B178"/>
      <c r="C178" s="288"/>
      <c r="G178"/>
      <c r="J178"/>
      <c r="K178"/>
      <c r="L178"/>
      <c r="M178"/>
      <c r="N178"/>
      <c r="Q178"/>
      <c r="R178"/>
      <c r="V178"/>
    </row>
    <row r="179" spans="1:22" x14ac:dyDescent="0.3">
      <c r="A179" s="9"/>
      <c r="B179"/>
      <c r="C179" s="288"/>
      <c r="G179"/>
      <c r="J179"/>
      <c r="K179"/>
      <c r="L179"/>
      <c r="M179"/>
      <c r="N179"/>
      <c r="Q179"/>
      <c r="R179"/>
      <c r="V179"/>
    </row>
    <row r="180" spans="1:22" x14ac:dyDescent="0.3">
      <c r="A180" s="9"/>
      <c r="B180"/>
      <c r="C180" s="288"/>
      <c r="G180"/>
      <c r="J180"/>
      <c r="K180"/>
      <c r="L180"/>
      <c r="M180"/>
      <c r="N180"/>
      <c r="Q180"/>
      <c r="R180"/>
      <c r="V180"/>
    </row>
    <row r="181" spans="1:22" x14ac:dyDescent="0.3">
      <c r="A181" s="9"/>
      <c r="B181"/>
      <c r="C181" s="288"/>
      <c r="G181"/>
      <c r="J181"/>
      <c r="K181"/>
      <c r="L181"/>
      <c r="M181"/>
      <c r="N181"/>
      <c r="Q181"/>
      <c r="R181"/>
      <c r="V181"/>
    </row>
    <row r="182" spans="1:22" x14ac:dyDescent="0.3">
      <c r="A182" s="9"/>
      <c r="B182"/>
      <c r="C182" s="288"/>
      <c r="G182"/>
      <c r="J182"/>
      <c r="K182"/>
      <c r="L182"/>
      <c r="M182"/>
      <c r="N182"/>
      <c r="Q182"/>
      <c r="R182"/>
      <c r="V182"/>
    </row>
    <row r="183" spans="1:22" x14ac:dyDescent="0.3">
      <c r="A183" s="9"/>
      <c r="B183"/>
      <c r="C183" s="288"/>
      <c r="G183"/>
      <c r="J183"/>
      <c r="K183"/>
      <c r="L183"/>
      <c r="M183"/>
      <c r="N183"/>
      <c r="Q183"/>
      <c r="R183"/>
      <c r="V183"/>
    </row>
    <row r="184" spans="1:22" x14ac:dyDescent="0.3">
      <c r="A184" s="9"/>
      <c r="B184"/>
      <c r="C184" s="288"/>
      <c r="G184"/>
      <c r="J184"/>
      <c r="K184"/>
      <c r="L184"/>
      <c r="M184"/>
      <c r="N184"/>
      <c r="Q184"/>
      <c r="R184"/>
      <c r="V184"/>
    </row>
    <row r="185" spans="1:22" x14ac:dyDescent="0.3">
      <c r="A185" s="9"/>
      <c r="B185"/>
      <c r="C185"/>
      <c r="G185"/>
      <c r="J185"/>
      <c r="K185"/>
      <c r="L185"/>
      <c r="M185"/>
      <c r="N185"/>
      <c r="Q185"/>
      <c r="R185"/>
      <c r="V185"/>
    </row>
    <row r="186" spans="1:22" x14ac:dyDescent="0.3">
      <c r="A186" s="9"/>
      <c r="B186"/>
      <c r="C186"/>
      <c r="G186"/>
      <c r="J186"/>
      <c r="K186"/>
      <c r="L186"/>
      <c r="M186"/>
      <c r="N186"/>
      <c r="Q186"/>
      <c r="R186"/>
      <c r="V186"/>
    </row>
    <row r="187" spans="1:22" x14ac:dyDescent="0.3">
      <c r="A187" s="9"/>
      <c r="B187"/>
      <c r="C187"/>
      <c r="G187"/>
      <c r="J187"/>
      <c r="K187"/>
      <c r="L187"/>
      <c r="M187"/>
      <c r="N187"/>
      <c r="Q187"/>
      <c r="R187"/>
      <c r="V187"/>
    </row>
    <row r="188" spans="1:22" x14ac:dyDescent="0.3">
      <c r="A188" s="9"/>
      <c r="B188"/>
      <c r="C188"/>
      <c r="G188"/>
      <c r="J188"/>
      <c r="K188"/>
      <c r="L188"/>
      <c r="M188"/>
      <c r="N188"/>
      <c r="Q188"/>
      <c r="R188"/>
      <c r="V188"/>
    </row>
    <row r="189" spans="1:22" x14ac:dyDescent="0.3">
      <c r="A189" s="9"/>
      <c r="B189"/>
      <c r="C189"/>
      <c r="G189"/>
      <c r="J189"/>
      <c r="K189"/>
      <c r="L189"/>
      <c r="M189"/>
      <c r="N189"/>
      <c r="Q189"/>
      <c r="R189"/>
      <c r="V189"/>
    </row>
    <row r="190" spans="1:22" x14ac:dyDescent="0.3">
      <c r="A190" s="9"/>
      <c r="B190"/>
      <c r="C190"/>
      <c r="G190"/>
      <c r="J190"/>
      <c r="K190"/>
      <c r="L190"/>
      <c r="M190"/>
      <c r="N190"/>
      <c r="Q190"/>
      <c r="R190"/>
      <c r="V190"/>
    </row>
    <row r="191" spans="1:22" x14ac:dyDescent="0.3">
      <c r="A191" s="9"/>
      <c r="B191"/>
      <c r="C191"/>
      <c r="G191"/>
      <c r="J191"/>
      <c r="K191"/>
      <c r="L191"/>
      <c r="M191"/>
      <c r="N191"/>
      <c r="Q191"/>
      <c r="R191"/>
      <c r="V191"/>
    </row>
    <row r="192" spans="1:22" x14ac:dyDescent="0.3">
      <c r="A192" s="9"/>
      <c r="B192"/>
      <c r="C192"/>
      <c r="G192"/>
      <c r="J192"/>
      <c r="K192"/>
      <c r="L192"/>
      <c r="M192"/>
      <c r="N192"/>
      <c r="Q192"/>
      <c r="R192"/>
      <c r="V192"/>
    </row>
    <row r="193" spans="1:22" x14ac:dyDescent="0.3">
      <c r="A193" s="9"/>
      <c r="B193"/>
      <c r="C193"/>
      <c r="G193"/>
      <c r="J193"/>
      <c r="K193"/>
      <c r="L193"/>
      <c r="M193"/>
      <c r="N193"/>
      <c r="Q193"/>
      <c r="R193"/>
      <c r="V193"/>
    </row>
    <row r="194" spans="1:22" x14ac:dyDescent="0.3">
      <c r="A194" s="9"/>
      <c r="B194"/>
      <c r="C194"/>
      <c r="G194"/>
      <c r="J194"/>
      <c r="K194"/>
      <c r="L194"/>
      <c r="M194"/>
      <c r="N194"/>
      <c r="Q194"/>
      <c r="R194"/>
      <c r="V194"/>
    </row>
    <row r="195" spans="1:22" x14ac:dyDescent="0.3">
      <c r="A195" s="9"/>
      <c r="B195"/>
      <c r="C195"/>
      <c r="G195"/>
      <c r="J195"/>
      <c r="K195"/>
      <c r="L195"/>
      <c r="M195"/>
      <c r="N195"/>
      <c r="Q195"/>
      <c r="R195"/>
      <c r="V195"/>
    </row>
    <row r="196" spans="1:22" x14ac:dyDescent="0.3">
      <c r="A196" s="9"/>
      <c r="B196"/>
      <c r="C196"/>
      <c r="G196"/>
      <c r="J196"/>
      <c r="K196"/>
      <c r="L196"/>
      <c r="M196"/>
      <c r="N196"/>
      <c r="Q196"/>
      <c r="R196"/>
      <c r="V196"/>
    </row>
    <row r="197" spans="1:22" x14ac:dyDescent="0.3">
      <c r="A197" s="9"/>
      <c r="B197"/>
      <c r="C197"/>
      <c r="G197"/>
      <c r="J197"/>
      <c r="K197"/>
      <c r="L197"/>
      <c r="M197"/>
      <c r="N197"/>
      <c r="Q197"/>
      <c r="R197"/>
      <c r="V197"/>
    </row>
    <row r="198" spans="1:22" x14ac:dyDescent="0.3">
      <c r="A198" s="9"/>
      <c r="B198"/>
      <c r="C198"/>
      <c r="G198"/>
      <c r="J198"/>
      <c r="K198"/>
      <c r="L198"/>
      <c r="M198"/>
      <c r="N198"/>
      <c r="Q198"/>
      <c r="R198"/>
      <c r="V198"/>
    </row>
    <row r="199" spans="1:22" x14ac:dyDescent="0.3">
      <c r="A199" s="9"/>
      <c r="B199"/>
      <c r="C199"/>
      <c r="G199"/>
      <c r="J199"/>
      <c r="K199"/>
      <c r="L199"/>
      <c r="M199"/>
      <c r="N199"/>
      <c r="Q199"/>
      <c r="R199"/>
      <c r="V199"/>
    </row>
    <row r="200" spans="1:22" x14ac:dyDescent="0.3">
      <c r="B200"/>
      <c r="C200"/>
      <c r="G200"/>
      <c r="J200"/>
      <c r="K200"/>
      <c r="L200"/>
      <c r="M200"/>
      <c r="N200"/>
      <c r="Q200"/>
      <c r="R200"/>
      <c r="V200"/>
    </row>
    <row r="201" spans="1:22" x14ac:dyDescent="0.3">
      <c r="B201"/>
      <c r="C201"/>
      <c r="G201"/>
      <c r="J201"/>
      <c r="K201"/>
      <c r="L201"/>
      <c r="M201"/>
      <c r="N201"/>
      <c r="Q201"/>
      <c r="R201"/>
      <c r="V201"/>
    </row>
    <row r="202" spans="1:22" x14ac:dyDescent="0.3">
      <c r="B202"/>
      <c r="C202"/>
      <c r="G202"/>
      <c r="J202"/>
      <c r="K202"/>
      <c r="L202"/>
      <c r="M202"/>
      <c r="N202"/>
      <c r="Q202"/>
      <c r="R202"/>
      <c r="V202"/>
    </row>
    <row r="203" spans="1:22" x14ac:dyDescent="0.3">
      <c r="B203"/>
      <c r="C203"/>
      <c r="G203"/>
      <c r="J203"/>
      <c r="K203"/>
      <c r="L203"/>
      <c r="M203"/>
      <c r="N203"/>
      <c r="Q203"/>
      <c r="R203"/>
      <c r="V203"/>
    </row>
    <row r="204" spans="1:22" x14ac:dyDescent="0.3">
      <c r="B204"/>
      <c r="C204"/>
      <c r="G204"/>
      <c r="J204"/>
      <c r="K204"/>
      <c r="L204"/>
      <c r="M204"/>
      <c r="N204"/>
      <c r="Q204"/>
      <c r="R204"/>
      <c r="V204"/>
    </row>
    <row r="205" spans="1:22" x14ac:dyDescent="0.3">
      <c r="C205"/>
      <c r="F205" s="289"/>
      <c r="G205" s="38"/>
      <c r="I205" s="289"/>
      <c r="K205" s="38"/>
      <c r="L205" s="289"/>
      <c r="N205"/>
      <c r="Q205"/>
      <c r="R205"/>
      <c r="V205"/>
    </row>
    <row r="206" spans="1:22" x14ac:dyDescent="0.3">
      <c r="C206"/>
      <c r="F206" s="289"/>
      <c r="G206" s="38"/>
      <c r="I206" s="289"/>
      <c r="K206" s="38"/>
      <c r="L206" s="289"/>
      <c r="N206"/>
      <c r="Q206"/>
      <c r="R206"/>
      <c r="V206"/>
    </row>
    <row r="207" spans="1:22" x14ac:dyDescent="0.3">
      <c r="C207"/>
      <c r="F207" s="289"/>
      <c r="G207" s="38"/>
      <c r="I207" s="289"/>
      <c r="K207" s="38"/>
      <c r="L207" s="289"/>
      <c r="N207"/>
      <c r="Q207"/>
      <c r="R207"/>
      <c r="V207"/>
    </row>
    <row r="208" spans="1:22" x14ac:dyDescent="0.3">
      <c r="C208"/>
      <c r="F208" s="289"/>
      <c r="G208" s="38"/>
      <c r="I208" s="289"/>
      <c r="K208" s="38"/>
      <c r="L208" s="289"/>
      <c r="N208"/>
      <c r="Q208"/>
      <c r="R208"/>
      <c r="V208"/>
    </row>
    <row r="209" spans="3:22" x14ac:dyDescent="0.3">
      <c r="C209"/>
      <c r="F209" s="289"/>
      <c r="G209" s="38"/>
      <c r="I209" s="289"/>
      <c r="K209" s="38"/>
      <c r="L209" s="289"/>
      <c r="N209"/>
      <c r="Q209"/>
      <c r="R209"/>
      <c r="V209"/>
    </row>
    <row r="210" spans="3:22" x14ac:dyDescent="0.3">
      <c r="C210"/>
      <c r="F210" s="289"/>
      <c r="G210" s="38"/>
      <c r="I210" s="289"/>
      <c r="K210" s="38"/>
      <c r="L210" s="289"/>
      <c r="N210"/>
      <c r="Q210"/>
      <c r="R210"/>
      <c r="V210"/>
    </row>
    <row r="211" spans="3:22" x14ac:dyDescent="0.3">
      <c r="F211" s="289"/>
      <c r="G211" s="38"/>
      <c r="I211" s="289"/>
      <c r="K211" s="38"/>
      <c r="L211" s="289"/>
      <c r="N211"/>
      <c r="Q211"/>
      <c r="R211"/>
      <c r="V211"/>
    </row>
    <row r="212" spans="3:22" x14ac:dyDescent="0.3">
      <c r="Q212"/>
      <c r="R212"/>
      <c r="V212"/>
    </row>
    <row r="213" spans="3:22" x14ac:dyDescent="0.3">
      <c r="Q213"/>
      <c r="R213"/>
      <c r="V213"/>
    </row>
    <row r="214" spans="3:22" x14ac:dyDescent="0.3">
      <c r="Q214"/>
      <c r="R214"/>
      <c r="V214"/>
    </row>
    <row r="215" spans="3:22" x14ac:dyDescent="0.3">
      <c r="Q215"/>
      <c r="R215"/>
      <c r="V215"/>
    </row>
    <row r="216" spans="3:22" x14ac:dyDescent="0.3">
      <c r="Q216"/>
      <c r="R216"/>
      <c r="V216"/>
    </row>
    <row r="217" spans="3:22" x14ac:dyDescent="0.3">
      <c r="Q217"/>
      <c r="R217"/>
      <c r="S217" s="38"/>
      <c r="V217"/>
    </row>
    <row r="218" spans="3:22" x14ac:dyDescent="0.3">
      <c r="Q218"/>
      <c r="R218"/>
      <c r="S218" s="38"/>
      <c r="V218"/>
    </row>
    <row r="219" spans="3:22" x14ac:dyDescent="0.3">
      <c r="Q219"/>
      <c r="R219"/>
      <c r="S219" s="38"/>
      <c r="V219"/>
    </row>
    <row r="220" spans="3:22" x14ac:dyDescent="0.3">
      <c r="Q220"/>
      <c r="R220"/>
      <c r="S220" s="38"/>
      <c r="V220"/>
    </row>
    <row r="221" spans="3:22" x14ac:dyDescent="0.3">
      <c r="Q221"/>
      <c r="R221"/>
      <c r="S221" s="38"/>
      <c r="V221"/>
    </row>
    <row r="222" spans="3:22" x14ac:dyDescent="0.3">
      <c r="Q222"/>
      <c r="R222"/>
      <c r="S222" s="38"/>
      <c r="T222" s="38"/>
      <c r="V222"/>
    </row>
    <row r="223" spans="3:22" x14ac:dyDescent="0.3">
      <c r="Q223"/>
      <c r="R223"/>
      <c r="S223" s="38"/>
      <c r="T223" s="38"/>
      <c r="V223"/>
    </row>
    <row r="224" spans="3:22" x14ac:dyDescent="0.3">
      <c r="Q224"/>
      <c r="R224"/>
      <c r="T224" s="38"/>
      <c r="V224"/>
    </row>
    <row r="225" spans="17:17" x14ac:dyDescent="0.3">
      <c r="Q225"/>
    </row>
    <row r="226" spans="17:17" x14ac:dyDescent="0.3">
      <c r="Q226" s="289"/>
    </row>
    <row r="227" spans="17:17" x14ac:dyDescent="0.3">
      <c r="Q227" s="289"/>
    </row>
    <row r="228" spans="17:17" x14ac:dyDescent="0.3">
      <c r="Q228" s="289"/>
    </row>
    <row r="229" spans="17:17" x14ac:dyDescent="0.3">
      <c r="Q229" s="289"/>
    </row>
    <row r="230" spans="17:17" x14ac:dyDescent="0.3">
      <c r="Q230" s="289"/>
    </row>
    <row r="231" spans="17:17" x14ac:dyDescent="0.3">
      <c r="Q231" s="289"/>
    </row>
    <row r="232" spans="17:17" x14ac:dyDescent="0.3">
      <c r="Q232" s="289"/>
    </row>
  </sheetData>
  <sheetProtection sheet="1" formatColumns="0"/>
  <mergeCells count="511">
    <mergeCell ref="AG82:AH82"/>
    <mergeCell ref="S85:T85"/>
    <mergeCell ref="W85:X85"/>
    <mergeCell ref="AA85:AB85"/>
    <mergeCell ref="AE85:AF85"/>
    <mergeCell ref="S83:T83"/>
    <mergeCell ref="U83:V83"/>
    <mergeCell ref="W83:X83"/>
    <mergeCell ref="Y83:Z83"/>
    <mergeCell ref="AA83:AB83"/>
    <mergeCell ref="AC83:AD83"/>
    <mergeCell ref="AE83:AF83"/>
    <mergeCell ref="S80:V80"/>
    <mergeCell ref="W80:Z80"/>
    <mergeCell ref="AA80:AD80"/>
    <mergeCell ref="AE80:AH80"/>
    <mergeCell ref="AG83:AH83"/>
    <mergeCell ref="S84:T84"/>
    <mergeCell ref="W84:X84"/>
    <mergeCell ref="AA84:AB84"/>
    <mergeCell ref="AE84:AF84"/>
    <mergeCell ref="S81:T81"/>
    <mergeCell ref="U81:V81"/>
    <mergeCell ref="W81:X81"/>
    <mergeCell ref="Y81:Z81"/>
    <mergeCell ref="AA81:AB81"/>
    <mergeCell ref="AC81:AD81"/>
    <mergeCell ref="AE81:AF81"/>
    <mergeCell ref="AG81:AH81"/>
    <mergeCell ref="S82:T82"/>
    <mergeCell ref="U82:V82"/>
    <mergeCell ref="W82:X82"/>
    <mergeCell ref="Y82:Z82"/>
    <mergeCell ref="AA82:AB82"/>
    <mergeCell ref="AC82:AD82"/>
    <mergeCell ref="AE82:AF82"/>
    <mergeCell ref="S78:V78"/>
    <mergeCell ref="W78:Z78"/>
    <mergeCell ref="AA78:AD78"/>
    <mergeCell ref="AE78:AH78"/>
    <mergeCell ref="S79:T79"/>
    <mergeCell ref="U79:V79"/>
    <mergeCell ref="W79:X79"/>
    <mergeCell ref="Y79:Z79"/>
    <mergeCell ref="AA79:AB79"/>
    <mergeCell ref="AC79:AD79"/>
    <mergeCell ref="AE79:AF79"/>
    <mergeCell ref="AG79:AH79"/>
    <mergeCell ref="S76:AH76"/>
    <mergeCell ref="S77:T77"/>
    <mergeCell ref="U77:V77"/>
    <mergeCell ref="S73:T73"/>
    <mergeCell ref="W73:X73"/>
    <mergeCell ref="AA73:AB73"/>
    <mergeCell ref="AE73:AF73"/>
    <mergeCell ref="S74:T74"/>
    <mergeCell ref="W74:X74"/>
    <mergeCell ref="AA74:AB74"/>
    <mergeCell ref="AE74:AF74"/>
    <mergeCell ref="W77:X77"/>
    <mergeCell ref="Y77:Z77"/>
    <mergeCell ref="AA77:AB77"/>
    <mergeCell ref="AC77:AD77"/>
    <mergeCell ref="AE77:AF77"/>
    <mergeCell ref="AG77:AH77"/>
    <mergeCell ref="S71:T71"/>
    <mergeCell ref="U71:V71"/>
    <mergeCell ref="W71:X71"/>
    <mergeCell ref="Y71:Z71"/>
    <mergeCell ref="AA71:AB71"/>
    <mergeCell ref="AC71:AD71"/>
    <mergeCell ref="AE71:AF71"/>
    <mergeCell ref="AG71:AH71"/>
    <mergeCell ref="S72:T72"/>
    <mergeCell ref="U72:V72"/>
    <mergeCell ref="W72:X72"/>
    <mergeCell ref="Y72:Z72"/>
    <mergeCell ref="AA72:AB72"/>
    <mergeCell ref="AC72:AD72"/>
    <mergeCell ref="AE72:AF72"/>
    <mergeCell ref="AG72:AH72"/>
    <mergeCell ref="S69:V69"/>
    <mergeCell ref="W69:Z69"/>
    <mergeCell ref="AA69:AD69"/>
    <mergeCell ref="AE69:AH69"/>
    <mergeCell ref="S70:T70"/>
    <mergeCell ref="U70:V70"/>
    <mergeCell ref="W70:X70"/>
    <mergeCell ref="Y70:Z70"/>
    <mergeCell ref="AA70:AB70"/>
    <mergeCell ref="AC70:AD70"/>
    <mergeCell ref="AE70:AF70"/>
    <mergeCell ref="AG70:AH70"/>
    <mergeCell ref="S67:V67"/>
    <mergeCell ref="W67:Z67"/>
    <mergeCell ref="AA67:AD67"/>
    <mergeCell ref="AE67:AH67"/>
    <mergeCell ref="S68:T68"/>
    <mergeCell ref="U68:V68"/>
    <mergeCell ref="W68:X68"/>
    <mergeCell ref="Y68:Z68"/>
    <mergeCell ref="AA68:AB68"/>
    <mergeCell ref="AC68:AD68"/>
    <mergeCell ref="AE68:AF68"/>
    <mergeCell ref="AG68:AH68"/>
    <mergeCell ref="S65:AH65"/>
    <mergeCell ref="S66:T66"/>
    <mergeCell ref="U66:V66"/>
    <mergeCell ref="W66:X66"/>
    <mergeCell ref="Y66:Z66"/>
    <mergeCell ref="AA66:AB66"/>
    <mergeCell ref="AC66:AD66"/>
    <mergeCell ref="AE66:AF66"/>
    <mergeCell ref="AG66:AH66"/>
    <mergeCell ref="B72:C72"/>
    <mergeCell ref="D72:E72"/>
    <mergeCell ref="F72:G72"/>
    <mergeCell ref="H72:I72"/>
    <mergeCell ref="B73:C73"/>
    <mergeCell ref="D73:E73"/>
    <mergeCell ref="F73:G73"/>
    <mergeCell ref="H73:I73"/>
    <mergeCell ref="L61:P61"/>
    <mergeCell ref="K65:L65"/>
    <mergeCell ref="L68:P68"/>
    <mergeCell ref="K72:L72"/>
    <mergeCell ref="B69:E69"/>
    <mergeCell ref="F69:G69"/>
    <mergeCell ref="H69:I69"/>
    <mergeCell ref="B70:C70"/>
    <mergeCell ref="D70:E70"/>
    <mergeCell ref="F70:G70"/>
    <mergeCell ref="H70:I70"/>
    <mergeCell ref="B71:C71"/>
    <mergeCell ref="D71:E71"/>
    <mergeCell ref="F71:G71"/>
    <mergeCell ref="H71:I71"/>
    <mergeCell ref="B65:C65"/>
    <mergeCell ref="D65:E65"/>
    <mergeCell ref="F65:G65"/>
    <mergeCell ref="H65:I65"/>
    <mergeCell ref="B66:C66"/>
    <mergeCell ref="D66:E66"/>
    <mergeCell ref="F66:G66"/>
    <mergeCell ref="H66:I66"/>
    <mergeCell ref="B68:I68"/>
    <mergeCell ref="B61:I61"/>
    <mergeCell ref="B62:E62"/>
    <mergeCell ref="F62:G62"/>
    <mergeCell ref="H62:I62"/>
    <mergeCell ref="B63:C63"/>
    <mergeCell ref="D63:E63"/>
    <mergeCell ref="F63:G63"/>
    <mergeCell ref="H63:I63"/>
    <mergeCell ref="B64:C64"/>
    <mergeCell ref="D64:E64"/>
    <mergeCell ref="F64:G64"/>
    <mergeCell ref="H64:I64"/>
    <mergeCell ref="B43:C43"/>
    <mergeCell ref="D43:E43"/>
    <mergeCell ref="B42:C42"/>
    <mergeCell ref="L47:P47"/>
    <mergeCell ref="F45:G45"/>
    <mergeCell ref="H45:I45"/>
    <mergeCell ref="F44:G44"/>
    <mergeCell ref="H44:I44"/>
    <mergeCell ref="F43:G43"/>
    <mergeCell ref="H43:I43"/>
    <mergeCell ref="K44:L44"/>
    <mergeCell ref="B44:C44"/>
    <mergeCell ref="D44:E44"/>
    <mergeCell ref="D42:E42"/>
    <mergeCell ref="D45:E45"/>
    <mergeCell ref="B47:I47"/>
    <mergeCell ref="B45:C45"/>
    <mergeCell ref="H56:I56"/>
    <mergeCell ref="F56:G56"/>
    <mergeCell ref="F50:G50"/>
    <mergeCell ref="H50:I50"/>
    <mergeCell ref="F51:G51"/>
    <mergeCell ref="H51:I51"/>
    <mergeCell ref="F52:G52"/>
    <mergeCell ref="F55:G55"/>
    <mergeCell ref="S52:T52"/>
    <mergeCell ref="L54:P54"/>
    <mergeCell ref="B55:E55"/>
    <mergeCell ref="D50:E50"/>
    <mergeCell ref="D49:E49"/>
    <mergeCell ref="B54:I54"/>
    <mergeCell ref="S55:T55"/>
    <mergeCell ref="S49:T49"/>
    <mergeCell ref="S50:T50"/>
    <mergeCell ref="F48:G48"/>
    <mergeCell ref="S51:T51"/>
    <mergeCell ref="B50:C50"/>
    <mergeCell ref="S48:T48"/>
    <mergeCell ref="K51:L51"/>
    <mergeCell ref="H55:I55"/>
    <mergeCell ref="B48:E48"/>
    <mergeCell ref="D52:E52"/>
    <mergeCell ref="D51:E51"/>
    <mergeCell ref="B51:C51"/>
    <mergeCell ref="B49:C49"/>
    <mergeCell ref="F49:G49"/>
    <mergeCell ref="H48:I48"/>
    <mergeCell ref="H49:I49"/>
    <mergeCell ref="B52:C52"/>
    <mergeCell ref="W25:Z25"/>
    <mergeCell ref="S41:T41"/>
    <mergeCell ref="D35:E35"/>
    <mergeCell ref="D36:E36"/>
    <mergeCell ref="L40:P40"/>
    <mergeCell ref="Y38:Z38"/>
    <mergeCell ref="D37:E37"/>
    <mergeCell ref="D38:E38"/>
    <mergeCell ref="B40:I40"/>
    <mergeCell ref="Y39:Z39"/>
    <mergeCell ref="U26:V26"/>
    <mergeCell ref="U27:V27"/>
    <mergeCell ref="U28:V28"/>
    <mergeCell ref="U38:V38"/>
    <mergeCell ref="B35:C35"/>
    <mergeCell ref="B41:E41"/>
    <mergeCell ref="F41:G41"/>
    <mergeCell ref="S29:T29"/>
    <mergeCell ref="W29:X29"/>
    <mergeCell ref="S39:T39"/>
    <mergeCell ref="G11:H11"/>
    <mergeCell ref="G12:H12"/>
    <mergeCell ref="F16:G16"/>
    <mergeCell ref="F17:G17"/>
    <mergeCell ref="G10:L10"/>
    <mergeCell ref="G6:M6"/>
    <mergeCell ref="B34:E34"/>
    <mergeCell ref="L30:P30"/>
    <mergeCell ref="K11:L11"/>
    <mergeCell ref="I11:J11"/>
    <mergeCell ref="I12:J12"/>
    <mergeCell ref="K12:L12"/>
    <mergeCell ref="L16:M16"/>
    <mergeCell ref="L17:M17"/>
    <mergeCell ref="H16:I16"/>
    <mergeCell ref="H17:I17"/>
    <mergeCell ref="J16:K16"/>
    <mergeCell ref="J17:K17"/>
    <mergeCell ref="F15:M15"/>
    <mergeCell ref="L18:M18"/>
    <mergeCell ref="K13:L13"/>
    <mergeCell ref="B33:I33"/>
    <mergeCell ref="F35:G35"/>
    <mergeCell ref="F34:G34"/>
    <mergeCell ref="H35:I35"/>
    <mergeCell ref="H34:I34"/>
    <mergeCell ref="AE35:AF35"/>
    <mergeCell ref="AA33:AB33"/>
    <mergeCell ref="Y33:Z33"/>
    <mergeCell ref="Y35:Z35"/>
    <mergeCell ref="AC35:AD35"/>
    <mergeCell ref="B36:C36"/>
    <mergeCell ref="F42:G42"/>
    <mergeCell ref="H42:I42"/>
    <mergeCell ref="H41:I41"/>
    <mergeCell ref="S40:T40"/>
    <mergeCell ref="W40:X40"/>
    <mergeCell ref="S38:T38"/>
    <mergeCell ref="W38:X38"/>
    <mergeCell ref="AA38:AB38"/>
    <mergeCell ref="F38:G38"/>
    <mergeCell ref="H38:I38"/>
    <mergeCell ref="U37:V37"/>
    <mergeCell ref="U39:V39"/>
    <mergeCell ref="F36:G36"/>
    <mergeCell ref="H36:I36"/>
    <mergeCell ref="F37:G37"/>
    <mergeCell ref="H37:I37"/>
    <mergeCell ref="S63:T63"/>
    <mergeCell ref="W63:X63"/>
    <mergeCell ref="AE63:AF63"/>
    <mergeCell ref="S62:T62"/>
    <mergeCell ref="W62:X62"/>
    <mergeCell ref="AA62:AB62"/>
    <mergeCell ref="S61:T61"/>
    <mergeCell ref="W61:X61"/>
    <mergeCell ref="AA61:AB61"/>
    <mergeCell ref="AE61:AF61"/>
    <mergeCell ref="U61:V61"/>
    <mergeCell ref="Y61:Z61"/>
    <mergeCell ref="AE62:AF62"/>
    <mergeCell ref="AA63:AB63"/>
    <mergeCell ref="AC61:AD61"/>
    <mergeCell ref="AG61:AH61"/>
    <mergeCell ref="S59:T59"/>
    <mergeCell ref="W59:X59"/>
    <mergeCell ref="AA59:AB59"/>
    <mergeCell ref="S60:T60"/>
    <mergeCell ref="W60:X60"/>
    <mergeCell ref="F59:G59"/>
    <mergeCell ref="H59:I59"/>
    <mergeCell ref="U60:V60"/>
    <mergeCell ref="Y60:Z60"/>
    <mergeCell ref="AC60:AD60"/>
    <mergeCell ref="AG60:AH60"/>
    <mergeCell ref="AE59:AF59"/>
    <mergeCell ref="AA60:AB60"/>
    <mergeCell ref="AE60:AF60"/>
    <mergeCell ref="U59:V59"/>
    <mergeCell ref="Y59:Z59"/>
    <mergeCell ref="AC59:AD59"/>
    <mergeCell ref="AG59:AH59"/>
    <mergeCell ref="F58:G58"/>
    <mergeCell ref="H58:I58"/>
    <mergeCell ref="W52:X52"/>
    <mergeCell ref="AA52:AB52"/>
    <mergeCell ref="AE52:AF52"/>
    <mergeCell ref="H52:I52"/>
    <mergeCell ref="B58:C58"/>
    <mergeCell ref="B59:C59"/>
    <mergeCell ref="B56:C56"/>
    <mergeCell ref="B57:C57"/>
    <mergeCell ref="S57:T57"/>
    <mergeCell ref="W57:X57"/>
    <mergeCell ref="AA57:AB57"/>
    <mergeCell ref="AE57:AF57"/>
    <mergeCell ref="D56:E56"/>
    <mergeCell ref="D59:E59"/>
    <mergeCell ref="D58:E58"/>
    <mergeCell ref="U57:V57"/>
    <mergeCell ref="Y57:Z57"/>
    <mergeCell ref="AC57:AD57"/>
    <mergeCell ref="D57:E57"/>
    <mergeCell ref="F57:G57"/>
    <mergeCell ref="H57:I57"/>
    <mergeCell ref="S54:AH54"/>
    <mergeCell ref="K58:L58"/>
    <mergeCell ref="W41:X41"/>
    <mergeCell ref="AA40:AB40"/>
    <mergeCell ref="AC39:AD39"/>
    <mergeCell ref="AE37:AF37"/>
    <mergeCell ref="AA30:AB30"/>
    <mergeCell ref="AE36:AH36"/>
    <mergeCell ref="Q6:V6"/>
    <mergeCell ref="Q7:V7"/>
    <mergeCell ref="Q11:V11"/>
    <mergeCell ref="Q23:Q24"/>
    <mergeCell ref="O22:Q22"/>
    <mergeCell ref="Y22:Z22"/>
    <mergeCell ref="L33:P33"/>
    <mergeCell ref="S30:T30"/>
    <mergeCell ref="W30:X30"/>
    <mergeCell ref="S21:AH21"/>
    <mergeCell ref="S23:V23"/>
    <mergeCell ref="S25:V25"/>
    <mergeCell ref="AC22:AD22"/>
    <mergeCell ref="AG22:AH22"/>
    <mergeCell ref="Y24:Z24"/>
    <mergeCell ref="Y26:Z26"/>
    <mergeCell ref="AE41:AF41"/>
    <mergeCell ref="AE22:AF22"/>
    <mergeCell ref="K23:K24"/>
    <mergeCell ref="L23:L24"/>
    <mergeCell ref="M23:M24"/>
    <mergeCell ref="O23:O24"/>
    <mergeCell ref="AE23:AH23"/>
    <mergeCell ref="AA22:AB22"/>
    <mergeCell ref="AA24:AB24"/>
    <mergeCell ref="U22:V22"/>
    <mergeCell ref="U24:V24"/>
    <mergeCell ref="AA23:AD23"/>
    <mergeCell ref="K22:M22"/>
    <mergeCell ref="P23:P24"/>
    <mergeCell ref="AE24:AF24"/>
    <mergeCell ref="S24:T24"/>
    <mergeCell ref="W23:Z23"/>
    <mergeCell ref="W24:X24"/>
    <mergeCell ref="AG33:AH33"/>
    <mergeCell ref="AA34:AD34"/>
    <mergeCell ref="AE34:AH34"/>
    <mergeCell ref="AE33:AF33"/>
    <mergeCell ref="AC26:AD26"/>
    <mergeCell ref="S28:T28"/>
    <mergeCell ref="W28:X28"/>
    <mergeCell ref="AA28:AB28"/>
    <mergeCell ref="AA27:AB27"/>
    <mergeCell ref="AA26:AB26"/>
    <mergeCell ref="AE26:AF26"/>
    <mergeCell ref="S26:T26"/>
    <mergeCell ref="AA29:AB29"/>
    <mergeCell ref="AE29:AF29"/>
    <mergeCell ref="S34:V34"/>
    <mergeCell ref="AC33:AD33"/>
    <mergeCell ref="AE30:AF30"/>
    <mergeCell ref="A4:W4"/>
    <mergeCell ref="B6:E11"/>
    <mergeCell ref="K21:Q21"/>
    <mergeCell ref="W34:Z34"/>
    <mergeCell ref="S32:AH32"/>
    <mergeCell ref="AG38:AH38"/>
    <mergeCell ref="AE25:AH25"/>
    <mergeCell ref="W27:X27"/>
    <mergeCell ref="AG24:AH24"/>
    <mergeCell ref="AG26:AH26"/>
    <mergeCell ref="AG28:AH28"/>
    <mergeCell ref="Y27:Z27"/>
    <mergeCell ref="AC27:AD27"/>
    <mergeCell ref="AG27:AH27"/>
    <mergeCell ref="AE27:AF27"/>
    <mergeCell ref="AE28:AF28"/>
    <mergeCell ref="Y28:Z28"/>
    <mergeCell ref="AC28:AD28"/>
    <mergeCell ref="AA25:AD25"/>
    <mergeCell ref="AC24:AD24"/>
    <mergeCell ref="AE38:AF38"/>
    <mergeCell ref="AA36:AD36"/>
    <mergeCell ref="AA35:AB35"/>
    <mergeCell ref="U35:V35"/>
    <mergeCell ref="AE40:AF40"/>
    <mergeCell ref="W39:X39"/>
    <mergeCell ref="AA39:AB39"/>
    <mergeCell ref="AG39:AH39"/>
    <mergeCell ref="S36:V36"/>
    <mergeCell ref="W36:Z36"/>
    <mergeCell ref="AC38:AD38"/>
    <mergeCell ref="S44:T44"/>
    <mergeCell ref="A1:W2"/>
    <mergeCell ref="K37:L37"/>
    <mergeCell ref="S22:T22"/>
    <mergeCell ref="W22:X22"/>
    <mergeCell ref="Q15:V15"/>
    <mergeCell ref="B38:C38"/>
    <mergeCell ref="W37:X37"/>
    <mergeCell ref="B37:C37"/>
    <mergeCell ref="W35:X35"/>
    <mergeCell ref="S37:T37"/>
    <mergeCell ref="S27:T27"/>
    <mergeCell ref="W26:X26"/>
    <mergeCell ref="S33:T33"/>
    <mergeCell ref="W33:X33"/>
    <mergeCell ref="U33:V33"/>
    <mergeCell ref="S35:T35"/>
    <mergeCell ref="AG35:AH35"/>
    <mergeCell ref="Y37:Z37"/>
    <mergeCell ref="AC37:AD37"/>
    <mergeCell ref="AG37:AH37"/>
    <mergeCell ref="AA37:AB37"/>
    <mergeCell ref="AE39:AF39"/>
    <mergeCell ref="W44:X44"/>
    <mergeCell ref="AA44:AB44"/>
    <mergeCell ref="W51:X51"/>
    <mergeCell ref="AA51:AB51"/>
    <mergeCell ref="AE51:AF51"/>
    <mergeCell ref="W49:X49"/>
    <mergeCell ref="AE45:AH45"/>
    <mergeCell ref="AE48:AF48"/>
    <mergeCell ref="AA46:AB46"/>
    <mergeCell ref="AE46:AF46"/>
    <mergeCell ref="AE44:AF44"/>
    <mergeCell ref="W48:X48"/>
    <mergeCell ref="AA48:AB48"/>
    <mergeCell ref="W46:X46"/>
    <mergeCell ref="AA50:AB50"/>
    <mergeCell ref="AA41:AB41"/>
    <mergeCell ref="W45:Z45"/>
    <mergeCell ref="AA45:AD45"/>
    <mergeCell ref="S43:AH43"/>
    <mergeCell ref="U44:V44"/>
    <mergeCell ref="Y44:Z44"/>
    <mergeCell ref="AC44:AD44"/>
    <mergeCell ref="AG44:AH44"/>
    <mergeCell ref="AG49:AH49"/>
    <mergeCell ref="AE50:AF50"/>
    <mergeCell ref="AG57:AH57"/>
    <mergeCell ref="W58:Z58"/>
    <mergeCell ref="AA58:AD58"/>
    <mergeCell ref="AE58:AH58"/>
    <mergeCell ref="S58:V58"/>
    <mergeCell ref="W55:X55"/>
    <mergeCell ref="AA55:AB55"/>
    <mergeCell ref="AE55:AF55"/>
    <mergeCell ref="Y49:Z49"/>
    <mergeCell ref="AC49:AD49"/>
    <mergeCell ref="AA49:AB49"/>
    <mergeCell ref="AE49:AF49"/>
    <mergeCell ref="W50:X50"/>
    <mergeCell ref="W56:Z56"/>
    <mergeCell ref="AA56:AD56"/>
    <mergeCell ref="AE56:AH56"/>
    <mergeCell ref="S56:V56"/>
    <mergeCell ref="S46:T46"/>
    <mergeCell ref="AG55:AH55"/>
    <mergeCell ref="AC55:AD55"/>
    <mergeCell ref="U55:V55"/>
    <mergeCell ref="Y55:Z55"/>
    <mergeCell ref="S45:V45"/>
    <mergeCell ref="X11:AE18"/>
    <mergeCell ref="U46:V46"/>
    <mergeCell ref="U48:V48"/>
    <mergeCell ref="U50:V50"/>
    <mergeCell ref="S47:V47"/>
    <mergeCell ref="W47:Z47"/>
    <mergeCell ref="AA47:AD47"/>
    <mergeCell ref="AE47:AH47"/>
    <mergeCell ref="AG46:AH46"/>
    <mergeCell ref="AC46:AD46"/>
    <mergeCell ref="Y46:Z46"/>
    <mergeCell ref="Y48:Z48"/>
    <mergeCell ref="AC48:AD48"/>
    <mergeCell ref="AG48:AH48"/>
    <mergeCell ref="AG50:AH50"/>
    <mergeCell ref="AC50:AD50"/>
    <mergeCell ref="Y50:Z50"/>
    <mergeCell ref="U49:V49"/>
  </mergeCells>
  <conditionalFormatting sqref="Q8:U8 Q12:U12 Q16:U16">
    <cfRule type="cellIs" dxfId="77" priority="10" operator="equal">
      <formula>TRUE</formula>
    </cfRule>
  </conditionalFormatting>
  <dataValidations count="1">
    <dataValidation allowBlank="1" showInputMessage="1" showErrorMessage="1" prompt="These will be dependent on your state age, but as far as I know still follow the same multiplier for later packs.  Update as needed, and let me know if it's incorrect." sqref="Q9:Q10 Q13:Q14 Q17:Q18" xr:uid="{C86A3DCC-EC99-4288-BC38-F58D9B9F02C3}"/>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49" r:id="rId3" name="Check Box 29">
              <controlPr locked="0" defaultSize="0" autoFill="0" autoLine="0" autoPict="0">
                <anchor moveWithCells="1">
                  <from>
                    <xdr:col>16</xdr:col>
                    <xdr:colOff>7620</xdr:colOff>
                    <xdr:row>6</xdr:row>
                    <xdr:rowOff>175260</xdr:rowOff>
                  </from>
                  <to>
                    <xdr:col>16</xdr:col>
                    <xdr:colOff>373380</xdr:colOff>
                    <xdr:row>8</xdr:row>
                    <xdr:rowOff>7620</xdr:rowOff>
                  </to>
                </anchor>
              </controlPr>
            </control>
          </mc:Choice>
        </mc:AlternateContent>
        <mc:AlternateContent xmlns:mc="http://schemas.openxmlformats.org/markup-compatibility/2006">
          <mc:Choice Requires="x14">
            <control shapeId="5150" r:id="rId4" name="Check Box 30">
              <controlPr locked="0" defaultSize="0" autoFill="0" autoLine="0" autoPict="0">
                <anchor moveWithCells="1">
                  <from>
                    <xdr:col>17</xdr:col>
                    <xdr:colOff>7620</xdr:colOff>
                    <xdr:row>6</xdr:row>
                    <xdr:rowOff>175260</xdr:rowOff>
                  </from>
                  <to>
                    <xdr:col>17</xdr:col>
                    <xdr:colOff>373380</xdr:colOff>
                    <xdr:row>8</xdr:row>
                    <xdr:rowOff>7620</xdr:rowOff>
                  </to>
                </anchor>
              </controlPr>
            </control>
          </mc:Choice>
        </mc:AlternateContent>
        <mc:AlternateContent xmlns:mc="http://schemas.openxmlformats.org/markup-compatibility/2006">
          <mc:Choice Requires="x14">
            <control shapeId="5151" r:id="rId5" name="Check Box 31">
              <controlPr locked="0" defaultSize="0" autoFill="0" autoLine="0" autoPict="0">
                <anchor moveWithCells="1">
                  <from>
                    <xdr:col>18</xdr:col>
                    <xdr:colOff>7620</xdr:colOff>
                    <xdr:row>6</xdr:row>
                    <xdr:rowOff>175260</xdr:rowOff>
                  </from>
                  <to>
                    <xdr:col>18</xdr:col>
                    <xdr:colOff>373380</xdr:colOff>
                    <xdr:row>8</xdr:row>
                    <xdr:rowOff>7620</xdr:rowOff>
                  </to>
                </anchor>
              </controlPr>
            </control>
          </mc:Choice>
        </mc:AlternateContent>
        <mc:AlternateContent xmlns:mc="http://schemas.openxmlformats.org/markup-compatibility/2006">
          <mc:Choice Requires="x14">
            <control shapeId="5152" r:id="rId6" name="Check Box 32">
              <controlPr locked="0" defaultSize="0" autoFill="0" autoLine="0" autoPict="0">
                <anchor moveWithCells="1">
                  <from>
                    <xdr:col>19</xdr:col>
                    <xdr:colOff>7620</xdr:colOff>
                    <xdr:row>6</xdr:row>
                    <xdr:rowOff>175260</xdr:rowOff>
                  </from>
                  <to>
                    <xdr:col>19</xdr:col>
                    <xdr:colOff>373380</xdr:colOff>
                    <xdr:row>8</xdr:row>
                    <xdr:rowOff>7620</xdr:rowOff>
                  </to>
                </anchor>
              </controlPr>
            </control>
          </mc:Choice>
        </mc:AlternateContent>
        <mc:AlternateContent xmlns:mc="http://schemas.openxmlformats.org/markup-compatibility/2006">
          <mc:Choice Requires="x14">
            <control shapeId="5153" r:id="rId7" name="Check Box 33">
              <controlPr locked="0" defaultSize="0" autoFill="0" autoLine="0" autoPict="0">
                <anchor moveWithCells="1">
                  <from>
                    <xdr:col>20</xdr:col>
                    <xdr:colOff>7620</xdr:colOff>
                    <xdr:row>6</xdr:row>
                    <xdr:rowOff>175260</xdr:rowOff>
                  </from>
                  <to>
                    <xdr:col>20</xdr:col>
                    <xdr:colOff>373380</xdr:colOff>
                    <xdr:row>8</xdr:row>
                    <xdr:rowOff>7620</xdr:rowOff>
                  </to>
                </anchor>
              </controlPr>
            </control>
          </mc:Choice>
        </mc:AlternateContent>
        <mc:AlternateContent xmlns:mc="http://schemas.openxmlformats.org/markup-compatibility/2006">
          <mc:Choice Requires="x14">
            <control shapeId="5156" r:id="rId8" name="Check Box 36">
              <controlPr locked="0" defaultSize="0" autoFill="0" autoLine="0" autoPict="0">
                <anchor moveWithCells="1">
                  <from>
                    <xdr:col>16</xdr:col>
                    <xdr:colOff>7620</xdr:colOff>
                    <xdr:row>10</xdr:row>
                    <xdr:rowOff>175260</xdr:rowOff>
                  </from>
                  <to>
                    <xdr:col>16</xdr:col>
                    <xdr:colOff>373380</xdr:colOff>
                    <xdr:row>12</xdr:row>
                    <xdr:rowOff>7620</xdr:rowOff>
                  </to>
                </anchor>
              </controlPr>
            </control>
          </mc:Choice>
        </mc:AlternateContent>
        <mc:AlternateContent xmlns:mc="http://schemas.openxmlformats.org/markup-compatibility/2006">
          <mc:Choice Requires="x14">
            <control shapeId="5157" r:id="rId9" name="Check Box 37">
              <controlPr locked="0" defaultSize="0" autoFill="0" autoLine="0" autoPict="0">
                <anchor moveWithCells="1">
                  <from>
                    <xdr:col>17</xdr:col>
                    <xdr:colOff>7620</xdr:colOff>
                    <xdr:row>10</xdr:row>
                    <xdr:rowOff>175260</xdr:rowOff>
                  </from>
                  <to>
                    <xdr:col>17</xdr:col>
                    <xdr:colOff>373380</xdr:colOff>
                    <xdr:row>12</xdr:row>
                    <xdr:rowOff>7620</xdr:rowOff>
                  </to>
                </anchor>
              </controlPr>
            </control>
          </mc:Choice>
        </mc:AlternateContent>
        <mc:AlternateContent xmlns:mc="http://schemas.openxmlformats.org/markup-compatibility/2006">
          <mc:Choice Requires="x14">
            <control shapeId="5158" r:id="rId10" name="Check Box 38">
              <controlPr locked="0" defaultSize="0" autoFill="0" autoLine="0" autoPict="0">
                <anchor moveWithCells="1">
                  <from>
                    <xdr:col>18</xdr:col>
                    <xdr:colOff>7620</xdr:colOff>
                    <xdr:row>10</xdr:row>
                    <xdr:rowOff>175260</xdr:rowOff>
                  </from>
                  <to>
                    <xdr:col>18</xdr:col>
                    <xdr:colOff>373380</xdr:colOff>
                    <xdr:row>12</xdr:row>
                    <xdr:rowOff>7620</xdr:rowOff>
                  </to>
                </anchor>
              </controlPr>
            </control>
          </mc:Choice>
        </mc:AlternateContent>
        <mc:AlternateContent xmlns:mc="http://schemas.openxmlformats.org/markup-compatibility/2006">
          <mc:Choice Requires="x14">
            <control shapeId="5159" r:id="rId11" name="Check Box 39">
              <controlPr locked="0" defaultSize="0" autoFill="0" autoLine="0" autoPict="0">
                <anchor moveWithCells="1">
                  <from>
                    <xdr:col>19</xdr:col>
                    <xdr:colOff>7620</xdr:colOff>
                    <xdr:row>10</xdr:row>
                    <xdr:rowOff>175260</xdr:rowOff>
                  </from>
                  <to>
                    <xdr:col>19</xdr:col>
                    <xdr:colOff>373380</xdr:colOff>
                    <xdr:row>12</xdr:row>
                    <xdr:rowOff>7620</xdr:rowOff>
                  </to>
                </anchor>
              </controlPr>
            </control>
          </mc:Choice>
        </mc:AlternateContent>
        <mc:AlternateContent xmlns:mc="http://schemas.openxmlformats.org/markup-compatibility/2006">
          <mc:Choice Requires="x14">
            <control shapeId="5160" r:id="rId12" name="Check Box 40">
              <controlPr locked="0" defaultSize="0" autoFill="0" autoLine="0" autoPict="0">
                <anchor moveWithCells="1">
                  <from>
                    <xdr:col>20</xdr:col>
                    <xdr:colOff>7620</xdr:colOff>
                    <xdr:row>10</xdr:row>
                    <xdr:rowOff>175260</xdr:rowOff>
                  </from>
                  <to>
                    <xdr:col>20</xdr:col>
                    <xdr:colOff>373380</xdr:colOff>
                    <xdr:row>12</xdr:row>
                    <xdr:rowOff>7620</xdr:rowOff>
                  </to>
                </anchor>
              </controlPr>
            </control>
          </mc:Choice>
        </mc:AlternateContent>
        <mc:AlternateContent xmlns:mc="http://schemas.openxmlformats.org/markup-compatibility/2006">
          <mc:Choice Requires="x14">
            <control shapeId="5161" r:id="rId13" name="Check Box 41">
              <controlPr locked="0" defaultSize="0" autoFill="0" autoLine="0" autoPict="0">
                <anchor moveWithCells="1">
                  <from>
                    <xdr:col>16</xdr:col>
                    <xdr:colOff>7620</xdr:colOff>
                    <xdr:row>14</xdr:row>
                    <xdr:rowOff>175260</xdr:rowOff>
                  </from>
                  <to>
                    <xdr:col>16</xdr:col>
                    <xdr:colOff>373380</xdr:colOff>
                    <xdr:row>16</xdr:row>
                    <xdr:rowOff>7620</xdr:rowOff>
                  </to>
                </anchor>
              </controlPr>
            </control>
          </mc:Choice>
        </mc:AlternateContent>
        <mc:AlternateContent xmlns:mc="http://schemas.openxmlformats.org/markup-compatibility/2006">
          <mc:Choice Requires="x14">
            <control shapeId="5162" r:id="rId14" name="Check Box 42">
              <controlPr locked="0" defaultSize="0" autoFill="0" autoLine="0" autoPict="0">
                <anchor moveWithCells="1">
                  <from>
                    <xdr:col>17</xdr:col>
                    <xdr:colOff>7620</xdr:colOff>
                    <xdr:row>14</xdr:row>
                    <xdr:rowOff>175260</xdr:rowOff>
                  </from>
                  <to>
                    <xdr:col>17</xdr:col>
                    <xdr:colOff>373380</xdr:colOff>
                    <xdr:row>16</xdr:row>
                    <xdr:rowOff>7620</xdr:rowOff>
                  </to>
                </anchor>
              </controlPr>
            </control>
          </mc:Choice>
        </mc:AlternateContent>
        <mc:AlternateContent xmlns:mc="http://schemas.openxmlformats.org/markup-compatibility/2006">
          <mc:Choice Requires="x14">
            <control shapeId="5163" r:id="rId15" name="Check Box 43">
              <controlPr locked="0" defaultSize="0" autoFill="0" autoLine="0" autoPict="0">
                <anchor moveWithCells="1">
                  <from>
                    <xdr:col>18</xdr:col>
                    <xdr:colOff>7620</xdr:colOff>
                    <xdr:row>14</xdr:row>
                    <xdr:rowOff>175260</xdr:rowOff>
                  </from>
                  <to>
                    <xdr:col>18</xdr:col>
                    <xdr:colOff>373380</xdr:colOff>
                    <xdr:row>16</xdr:row>
                    <xdr:rowOff>7620</xdr:rowOff>
                  </to>
                </anchor>
              </controlPr>
            </control>
          </mc:Choice>
        </mc:AlternateContent>
        <mc:AlternateContent xmlns:mc="http://schemas.openxmlformats.org/markup-compatibility/2006">
          <mc:Choice Requires="x14">
            <control shapeId="5164" r:id="rId16" name="Check Box 44">
              <controlPr locked="0" defaultSize="0" autoFill="0" autoLine="0" autoPict="0">
                <anchor moveWithCells="1">
                  <from>
                    <xdr:col>19</xdr:col>
                    <xdr:colOff>7620</xdr:colOff>
                    <xdr:row>14</xdr:row>
                    <xdr:rowOff>175260</xdr:rowOff>
                  </from>
                  <to>
                    <xdr:col>19</xdr:col>
                    <xdr:colOff>373380</xdr:colOff>
                    <xdr:row>16</xdr:row>
                    <xdr:rowOff>7620</xdr:rowOff>
                  </to>
                </anchor>
              </controlPr>
            </control>
          </mc:Choice>
        </mc:AlternateContent>
        <mc:AlternateContent xmlns:mc="http://schemas.openxmlformats.org/markup-compatibility/2006">
          <mc:Choice Requires="x14">
            <control shapeId="5165" r:id="rId17" name="Check Box 45">
              <controlPr locked="0" defaultSize="0" autoFill="0" autoLine="0" autoPict="0">
                <anchor moveWithCells="1">
                  <from>
                    <xdr:col>20</xdr:col>
                    <xdr:colOff>7620</xdr:colOff>
                    <xdr:row>14</xdr:row>
                    <xdr:rowOff>175260</xdr:rowOff>
                  </from>
                  <to>
                    <xdr:col>20</xdr:col>
                    <xdr:colOff>373380</xdr:colOff>
                    <xdr:row>16</xdr:row>
                    <xdr:rowOff>7620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7">
        <x14:dataValidation type="list" allowBlank="1" showInputMessage="1" showErrorMessage="1" xr:uid="{02D7A24C-BF71-4DE2-A18F-3F4C22CEA9C5}">
          <x14:formula1>
            <xm:f>Baldur!$C$7:$C$117</xm:f>
          </x14:formula1>
          <xm:sqref>B71:C71 B73:C73</xm:sqref>
        </x14:dataValidation>
        <x14:dataValidation type="list" allowBlank="1" showInputMessage="1" showErrorMessage="1" xr:uid="{587952A8-8F67-4836-A1FD-5A1E0184724E}">
          <x14:formula1>
            <xm:f>Cyrille!$C$7:$C$117</xm:f>
          </x14:formula1>
          <xm:sqref>B36:C36 B38:C38</xm:sqref>
        </x14:dataValidation>
        <x14:dataValidation type="list" allowBlank="1" showInputMessage="1" showErrorMessage="1" xr:uid="{F8CA3E56-DC88-4F21-BAC1-EC2E679AC833}">
          <x14:formula1>
            <xm:f>Agnes!$C$7:$C$117</xm:f>
          </x14:formula1>
          <xm:sqref>B43:C43 B45:C45</xm:sqref>
        </x14:dataValidation>
        <x14:dataValidation type="list" allowBlank="1" showInputMessage="1" showErrorMessage="1" xr:uid="{EE037F99-2649-4879-9745-6BAB80416DE2}">
          <x14:formula1>
            <xm:f>Holger!$C$7:$C$117</xm:f>
          </x14:formula1>
          <xm:sqref>B50:C50 B52:C52</xm:sqref>
        </x14:dataValidation>
        <x14:dataValidation type="list" allowBlank="1" showInputMessage="1" showErrorMessage="1" xr:uid="{8AC3C160-0985-4EF8-9FDD-3BBFB138905F}">
          <x14:formula1>
            <xm:f>Romulus!$C$7:$C$117</xm:f>
          </x14:formula1>
          <xm:sqref>B57:C57 B59:C59</xm:sqref>
        </x14:dataValidation>
        <x14:dataValidation type="list" allowBlank="1" showInputMessage="1" showErrorMessage="1" xr:uid="{3EA04B97-7401-464C-983E-2F32DCF7881F}">
          <x14:formula1>
            <xm:f>Fabian!$C$7:$C$117</xm:f>
          </x14:formula1>
          <xm:sqref>B64:C64 B66:C66</xm:sqref>
        </x14:dataValidation>
        <x14:dataValidation type="list" allowBlank="1" showInputMessage="1" showErrorMessage="1" xr:uid="{B53C38C8-7C5E-4ADB-950C-46223E567B61}">
          <x14:formula1>
            <xm:f>Fabian!$K$6:$K$16</xm:f>
          </x14:formula1>
          <xm:sqref>S70:T70 S68:T68 W68:X68 W70:X70</xm:sqref>
        </x14:dataValidation>
        <x14:dataValidation type="list" allowBlank="1" showInputMessage="1" showErrorMessage="1" xr:uid="{F666DAC0-B91B-46A6-B742-BD993A9D7A9B}">
          <x14:formula1>
            <xm:f>Fabian!$K$6:$K$26</xm:f>
          </x14:formula1>
          <xm:sqref>AA68:AB68 AA70:AB70 AE68:AF68 AE70:AF70</xm:sqref>
        </x14:dataValidation>
        <x14:dataValidation type="list" allowBlank="1" showInputMessage="1" showErrorMessage="1" xr:uid="{895E2B30-70A6-47FB-BF21-D34017FF0518}">
          <x14:formula1>
            <xm:f>Baldur!$K$6:$K$16</xm:f>
          </x14:formula1>
          <xm:sqref>S79:T79 S81:T81 W81:X81 W79:X79 AA79:AB79 AA81:AB81 AE81:AF81 AE79:AF79</xm:sqref>
        </x14:dataValidation>
        <x14:dataValidation type="list" allowBlank="1" showInputMessage="1" showErrorMessage="1" xr:uid="{B21AD6A0-32DC-4903-8003-55285B5A3FEB}">
          <x14:formula1>
            <xm:f>Cyrille!$J$6:$J$16</xm:f>
          </x14:formula1>
          <xm:sqref>S24:T24 S26:T26</xm:sqref>
        </x14:dataValidation>
        <x14:dataValidation type="list" allowBlank="1" showInputMessage="1" showErrorMessage="1" xr:uid="{792309E2-A676-4BA6-8131-AB11B0CDDB3D}">
          <x14:formula1>
            <xm:f>Cyrille!$J$6:$J$11</xm:f>
          </x14:formula1>
          <xm:sqref>W24:X24 W26:X26 AA24:AB24 AA26:AB26</xm:sqref>
        </x14:dataValidation>
        <x14:dataValidation type="list" allowBlank="1" showInputMessage="1" showErrorMessage="1" xr:uid="{A15475FF-9277-4E99-949A-0F8C524F7A81}">
          <x14:formula1>
            <xm:f>Cyrille!$J$7:$J$16</xm:f>
          </x14:formula1>
          <xm:sqref>AE24:AF24 AE26:AF26</xm:sqref>
        </x14:dataValidation>
        <x14:dataValidation type="list" allowBlank="1" showInputMessage="1" showErrorMessage="1" xr:uid="{150C8A87-ADB6-4862-BBBB-EF527880E1A5}">
          <x14:formula1>
            <xm:f>Agnes!$K$6:$K$11</xm:f>
          </x14:formula1>
          <xm:sqref>S35:T35 S37:T37 W35:X35 W37:X37 AA35:AB35 AA37:AB37</xm:sqref>
        </x14:dataValidation>
        <x14:dataValidation type="list" allowBlank="1" showInputMessage="1" showErrorMessage="1" xr:uid="{38ED53B3-CF43-4A2A-9529-33E1BF1D7450}">
          <x14:formula1>
            <xm:f>Agnes!$K$6:$K$16</xm:f>
          </x14:formula1>
          <xm:sqref>AE35:AF35 AE37:AF37</xm:sqref>
        </x14:dataValidation>
        <x14:dataValidation type="list" allowBlank="1" showInputMessage="1" showErrorMessage="1" xr:uid="{E41DA008-E8A3-447B-BD1D-B15C5E30A607}">
          <x14:formula1>
            <xm:f>Holger!$K$6:$K$16</xm:f>
          </x14:formula1>
          <xm:sqref>S46:T46 S48:T48 W46:X46 W48:X48 AA46:AB46 AA48:AB48 AE46:AF46 AE48:AF48</xm:sqref>
        </x14:dataValidation>
        <x14:dataValidation type="list" allowBlank="1" showInputMessage="1" showErrorMessage="1" xr:uid="{55803297-86BD-4D05-85E4-1CCC590B48D5}">
          <x14:formula1>
            <xm:f>Romulus!$J$6:$J$16</xm:f>
          </x14:formula1>
          <xm:sqref>S57:T57 S59:T59</xm:sqref>
        </x14:dataValidation>
        <x14:dataValidation type="list" allowBlank="1" showInputMessage="1" showErrorMessage="1" xr:uid="{BD2795ED-B836-4F1C-AEAC-618BF65FDC36}">
          <x14:formula1>
            <xm:f>Romulus!$J$6:$J$26</xm:f>
          </x14:formula1>
          <xm:sqref>W57:X57 W59:X59 AA57:AB57 AA59:AB59 AE57:AF57 AE59:AF59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BE1B-073B-453C-A065-FC62D0086546}">
  <dimension ref="B1:Z118"/>
  <sheetViews>
    <sheetView zoomScaleNormal="100" workbookViewId="0">
      <pane xSplit="3" ySplit="6" topLeftCell="D7" activePane="bottomRight" state="frozen"/>
      <selection pane="topRight" activeCell="D1" sqref="D1"/>
      <selection pane="bottomLeft" activeCell="A7" sqref="A7"/>
      <selection pane="bottomRight" activeCell="D118" sqref="D118"/>
    </sheetView>
  </sheetViews>
  <sheetFormatPr baseColWidth="10" defaultColWidth="8.88671875" defaultRowHeight="14.4" x14ac:dyDescent="0.3"/>
  <sheetData>
    <row r="1" spans="2:26" x14ac:dyDescent="0.3">
      <c r="K1" s="406" t="s">
        <v>937</v>
      </c>
      <c r="L1" s="406"/>
      <c r="M1" s="406"/>
      <c r="N1" s="406"/>
      <c r="O1" s="406"/>
      <c r="P1" s="406"/>
      <c r="Q1" s="406"/>
      <c r="R1" s="406"/>
      <c r="S1" s="406"/>
      <c r="T1" s="406"/>
      <c r="U1" s="406"/>
      <c r="V1" s="406"/>
      <c r="W1" s="406"/>
      <c r="X1" s="406"/>
      <c r="Y1" s="406"/>
      <c r="Z1" s="406"/>
    </row>
    <row r="2" spans="2:26" x14ac:dyDescent="0.3">
      <c r="K2" s="761" t="s">
        <v>822</v>
      </c>
      <c r="L2" s="670"/>
      <c r="M2" s="670"/>
      <c r="N2" s="670"/>
      <c r="O2" s="670"/>
      <c r="P2" s="670"/>
      <c r="Q2" s="670"/>
      <c r="R2" s="670"/>
      <c r="S2" s="670"/>
      <c r="T2" s="670"/>
      <c r="U2" s="670"/>
      <c r="V2" s="670"/>
      <c r="W2" s="670"/>
      <c r="X2" s="670"/>
      <c r="Y2" s="670"/>
      <c r="Z2" s="670"/>
    </row>
    <row r="3" spans="2:26" x14ac:dyDescent="0.3">
      <c r="K3" s="762" t="s">
        <v>840</v>
      </c>
      <c r="L3" s="763"/>
      <c r="M3" s="763"/>
      <c r="N3" s="764"/>
      <c r="O3" s="762" t="s">
        <v>841</v>
      </c>
      <c r="P3" s="763"/>
      <c r="Q3" s="763"/>
      <c r="R3" s="764"/>
      <c r="S3" s="474" t="s">
        <v>842</v>
      </c>
      <c r="T3" s="475"/>
      <c r="U3" s="475"/>
      <c r="V3" s="476"/>
      <c r="W3" s="474" t="s">
        <v>843</v>
      </c>
      <c r="X3" s="475"/>
      <c r="Y3" s="475"/>
      <c r="Z3" s="476"/>
    </row>
    <row r="4" spans="2:26" x14ac:dyDescent="0.3">
      <c r="B4" s="9"/>
      <c r="D4" s="426" t="s">
        <v>936</v>
      </c>
      <c r="E4" s="426"/>
      <c r="F4" s="426"/>
      <c r="G4" s="426"/>
      <c r="H4" s="426"/>
      <c r="K4" s="765"/>
      <c r="L4" s="766"/>
      <c r="M4" s="766"/>
      <c r="N4" s="767"/>
      <c r="O4" s="765"/>
      <c r="P4" s="766"/>
      <c r="Q4" s="766"/>
      <c r="R4" s="767"/>
      <c r="S4" s="477"/>
      <c r="T4" s="478"/>
      <c r="U4" s="478"/>
      <c r="V4" s="479"/>
      <c r="W4" s="477"/>
      <c r="X4" s="478"/>
      <c r="Y4" s="478"/>
      <c r="Z4" s="479"/>
    </row>
    <row r="5" spans="2:26" x14ac:dyDescent="0.3">
      <c r="B5" s="9"/>
      <c r="D5" s="389" t="s">
        <v>822</v>
      </c>
      <c r="E5" s="450"/>
      <c r="F5" s="450"/>
      <c r="G5" s="450"/>
      <c r="H5" s="390"/>
      <c r="K5" s="768" t="s">
        <v>891</v>
      </c>
      <c r="L5" s="769"/>
      <c r="M5" s="769"/>
      <c r="N5" s="770"/>
      <c r="O5" s="768" t="s">
        <v>953</v>
      </c>
      <c r="P5" s="769"/>
      <c r="Q5" s="769"/>
      <c r="R5" s="770"/>
      <c r="S5" s="771" t="s">
        <v>954</v>
      </c>
      <c r="T5" s="772"/>
      <c r="U5" s="772"/>
      <c r="V5" s="773"/>
      <c r="W5" s="771" t="s">
        <v>892</v>
      </c>
      <c r="X5" s="772"/>
      <c r="Y5" s="772"/>
      <c r="Z5" s="773"/>
    </row>
    <row r="6" spans="2:26" x14ac:dyDescent="0.3">
      <c r="B6" s="1"/>
      <c r="C6" s="1"/>
      <c r="D6" s="291" t="s">
        <v>838</v>
      </c>
      <c r="E6" s="291" t="s">
        <v>839</v>
      </c>
      <c r="F6" s="304" t="s">
        <v>693</v>
      </c>
      <c r="G6" s="304" t="s">
        <v>975</v>
      </c>
      <c r="H6" s="304" t="s">
        <v>79</v>
      </c>
      <c r="J6">
        <v>0</v>
      </c>
      <c r="K6" s="312" t="s">
        <v>856</v>
      </c>
      <c r="L6" s="312" t="s">
        <v>570</v>
      </c>
      <c r="M6" s="312" t="s">
        <v>952</v>
      </c>
      <c r="N6" s="312" t="s">
        <v>79</v>
      </c>
      <c r="O6" s="312" t="s">
        <v>856</v>
      </c>
      <c r="P6" s="312" t="s">
        <v>570</v>
      </c>
      <c r="Q6" s="312" t="s">
        <v>952</v>
      </c>
      <c r="R6" s="312" t="s">
        <v>79</v>
      </c>
      <c r="S6" s="313" t="s">
        <v>856</v>
      </c>
      <c r="T6" s="313" t="s">
        <v>570</v>
      </c>
      <c r="U6" s="313" t="s">
        <v>952</v>
      </c>
      <c r="V6" s="313" t="s">
        <v>79</v>
      </c>
      <c r="W6" s="313" t="s">
        <v>856</v>
      </c>
      <c r="X6" s="313" t="s">
        <v>570</v>
      </c>
      <c r="Y6" s="313" t="s">
        <v>952</v>
      </c>
      <c r="Z6" s="313" t="s">
        <v>79</v>
      </c>
    </row>
    <row r="7" spans="2:26" x14ac:dyDescent="0.3">
      <c r="B7" s="9" t="s">
        <v>826</v>
      </c>
      <c r="C7" s="1">
        <v>0</v>
      </c>
      <c r="D7" s="305"/>
      <c r="E7" s="306"/>
      <c r="F7" s="306"/>
      <c r="G7" s="306"/>
      <c r="H7" s="306"/>
      <c r="J7">
        <v>1</v>
      </c>
      <c r="K7" s="65">
        <v>0</v>
      </c>
      <c r="L7" s="66">
        <v>0</v>
      </c>
      <c r="M7" s="65">
        <v>30000</v>
      </c>
      <c r="N7" s="66">
        <v>3000</v>
      </c>
      <c r="O7" s="65">
        <v>0</v>
      </c>
      <c r="P7" s="66">
        <v>0</v>
      </c>
      <c r="Q7" s="80">
        <v>1</v>
      </c>
      <c r="R7" s="80">
        <v>13000</v>
      </c>
      <c r="S7" s="65">
        <v>0</v>
      </c>
      <c r="T7" s="66">
        <v>0</v>
      </c>
      <c r="U7" s="80">
        <v>1</v>
      </c>
      <c r="V7" s="80">
        <v>20000</v>
      </c>
      <c r="W7" s="65">
        <v>0</v>
      </c>
      <c r="X7" s="66">
        <v>0</v>
      </c>
      <c r="Y7" s="65">
        <v>3000</v>
      </c>
      <c r="Z7" s="66">
        <v>7000</v>
      </c>
    </row>
    <row r="8" spans="2:26" x14ac:dyDescent="0.3">
      <c r="B8" s="9" t="s">
        <v>827</v>
      </c>
      <c r="C8" s="1">
        <v>1</v>
      </c>
      <c r="D8" s="65">
        <v>1000</v>
      </c>
      <c r="E8" s="80"/>
      <c r="F8" s="308">
        <v>1.5800000000000002E-2</v>
      </c>
      <c r="G8" s="341">
        <v>0.02</v>
      </c>
      <c r="H8" s="344">
        <v>36000</v>
      </c>
      <c r="J8">
        <v>2</v>
      </c>
      <c r="K8" s="67">
        <v>70</v>
      </c>
      <c r="L8" s="68">
        <v>3600</v>
      </c>
      <c r="M8" s="67">
        <v>60000</v>
      </c>
      <c r="N8" s="68">
        <f>N7+3000</f>
        <v>6000</v>
      </c>
      <c r="O8" s="67">
        <v>400</v>
      </c>
      <c r="P8" s="68">
        <v>27600</v>
      </c>
      <c r="Q8" s="88">
        <v>2</v>
      </c>
      <c r="R8" s="88">
        <f>R7+13000</f>
        <v>26000</v>
      </c>
      <c r="S8" s="67">
        <v>500</v>
      </c>
      <c r="T8" s="68">
        <v>43200</v>
      </c>
      <c r="U8" s="88">
        <v>2</v>
      </c>
      <c r="V8" s="88">
        <f>V7+20000</f>
        <v>40000</v>
      </c>
      <c r="W8" s="67">
        <v>100</v>
      </c>
      <c r="X8" s="68">
        <v>10200</v>
      </c>
      <c r="Y8" s="67">
        <v>6000</v>
      </c>
      <c r="Z8" s="68">
        <f>Z7+7000</f>
        <v>14000</v>
      </c>
    </row>
    <row r="9" spans="2:26" x14ac:dyDescent="0.3">
      <c r="B9" s="9"/>
      <c r="C9" s="1">
        <v>2</v>
      </c>
      <c r="D9" s="67">
        <v>200</v>
      </c>
      <c r="E9" s="88"/>
      <c r="F9" s="310">
        <v>1.6500000000000001E-2</v>
      </c>
      <c r="G9" s="342"/>
      <c r="H9" s="345"/>
      <c r="J9">
        <v>3</v>
      </c>
      <c r="K9" s="67">
        <v>140</v>
      </c>
      <c r="L9" s="68">
        <v>7200</v>
      </c>
      <c r="M9" s="67">
        <v>90000</v>
      </c>
      <c r="N9" s="68">
        <f t="shared" ref="N9:N16" si="0">N8+3000</f>
        <v>9000</v>
      </c>
      <c r="O9" s="67">
        <v>800</v>
      </c>
      <c r="P9" s="68">
        <v>55200</v>
      </c>
      <c r="Q9" s="88">
        <v>3</v>
      </c>
      <c r="R9" s="88">
        <f t="shared" ref="R9:R11" si="1">R8+13000</f>
        <v>39000</v>
      </c>
      <c r="S9" s="67">
        <v>1000</v>
      </c>
      <c r="T9" s="68">
        <v>86400</v>
      </c>
      <c r="U9" s="88">
        <v>3</v>
      </c>
      <c r="V9" s="88">
        <f t="shared" ref="V9:V11" si="2">V8+20000</f>
        <v>60000</v>
      </c>
      <c r="W9" s="67">
        <v>200</v>
      </c>
      <c r="X9" s="68">
        <v>20400</v>
      </c>
      <c r="Y9" s="67">
        <v>9000</v>
      </c>
      <c r="Z9" s="68">
        <f t="shared" ref="Z9:Z16" si="3">Z8+7000</f>
        <v>21000</v>
      </c>
    </row>
    <row r="10" spans="2:26" x14ac:dyDescent="0.3">
      <c r="B10" s="9"/>
      <c r="C10" s="1">
        <v>3</v>
      </c>
      <c r="D10" s="67">
        <v>210</v>
      </c>
      <c r="E10" s="88"/>
      <c r="F10" s="310">
        <v>1.7299999999999999E-2</v>
      </c>
      <c r="G10" s="342"/>
      <c r="H10" s="345"/>
      <c r="J10">
        <v>4</v>
      </c>
      <c r="K10" s="67">
        <v>210</v>
      </c>
      <c r="L10" s="68">
        <v>10800</v>
      </c>
      <c r="M10" s="67">
        <v>120000</v>
      </c>
      <c r="N10" s="68">
        <f t="shared" si="0"/>
        <v>12000</v>
      </c>
      <c r="O10" s="67">
        <v>1600</v>
      </c>
      <c r="P10" s="68">
        <v>110400</v>
      </c>
      <c r="Q10" s="88">
        <v>4</v>
      </c>
      <c r="R10" s="88">
        <f t="shared" si="1"/>
        <v>52000</v>
      </c>
      <c r="S10" s="67">
        <v>2000</v>
      </c>
      <c r="T10" s="68">
        <v>172800</v>
      </c>
      <c r="U10" s="88">
        <v>4</v>
      </c>
      <c r="V10" s="88">
        <f t="shared" si="2"/>
        <v>80000</v>
      </c>
      <c r="W10" s="67">
        <v>300</v>
      </c>
      <c r="X10" s="68">
        <v>30600</v>
      </c>
      <c r="Y10" s="67">
        <v>12000</v>
      </c>
      <c r="Z10" s="68">
        <f t="shared" si="3"/>
        <v>28000</v>
      </c>
    </row>
    <row r="11" spans="2:26" x14ac:dyDescent="0.3">
      <c r="B11" s="9"/>
      <c r="C11" s="1">
        <v>4</v>
      </c>
      <c r="D11" s="67">
        <v>220</v>
      </c>
      <c r="E11" s="88"/>
      <c r="F11" s="310">
        <v>1.7999999999999999E-2</v>
      </c>
      <c r="G11" s="342"/>
      <c r="H11" s="345"/>
      <c r="J11">
        <v>5</v>
      </c>
      <c r="K11" s="69">
        <v>280</v>
      </c>
      <c r="L11" s="70">
        <v>14400</v>
      </c>
      <c r="M11" s="69">
        <v>150000</v>
      </c>
      <c r="N11" s="70">
        <f t="shared" si="0"/>
        <v>15000</v>
      </c>
      <c r="O11" s="67">
        <v>3200</v>
      </c>
      <c r="P11" s="68">
        <v>220800</v>
      </c>
      <c r="Q11" s="88">
        <v>5</v>
      </c>
      <c r="R11" s="88">
        <f t="shared" si="1"/>
        <v>65000</v>
      </c>
      <c r="S11" s="69">
        <v>4000</v>
      </c>
      <c r="T11" s="70">
        <v>345600</v>
      </c>
      <c r="U11" s="83">
        <v>5</v>
      </c>
      <c r="V11" s="83">
        <f t="shared" si="2"/>
        <v>100000</v>
      </c>
      <c r="W11" s="69">
        <v>400</v>
      </c>
      <c r="X11" s="70">
        <v>41400</v>
      </c>
      <c r="Y11" s="69">
        <v>15000</v>
      </c>
      <c r="Z11" s="70">
        <f t="shared" si="3"/>
        <v>35000</v>
      </c>
    </row>
    <row r="12" spans="2:26" x14ac:dyDescent="0.3">
      <c r="B12" s="9"/>
      <c r="C12" s="1">
        <v>5</v>
      </c>
      <c r="D12" s="67">
        <v>230</v>
      </c>
      <c r="E12" s="88"/>
      <c r="F12" s="310">
        <v>1.8800000000000001E-2</v>
      </c>
      <c r="G12" s="342"/>
      <c r="H12" s="345"/>
      <c r="J12">
        <v>6</v>
      </c>
      <c r="K12" s="67">
        <v>350</v>
      </c>
      <c r="L12" s="68">
        <v>18000</v>
      </c>
      <c r="M12" s="88">
        <v>180000</v>
      </c>
      <c r="N12" s="88">
        <f t="shared" si="0"/>
        <v>18000</v>
      </c>
      <c r="O12" s="314"/>
      <c r="P12" s="315"/>
      <c r="Q12" s="296"/>
      <c r="R12" s="296"/>
      <c r="S12" s="314"/>
      <c r="T12" s="315"/>
      <c r="U12" s="296"/>
      <c r="V12" s="296"/>
      <c r="W12" s="67">
        <v>500</v>
      </c>
      <c r="X12" s="68">
        <v>51600</v>
      </c>
      <c r="Y12" s="65">
        <v>18000</v>
      </c>
      <c r="Z12" s="66">
        <f t="shared" si="3"/>
        <v>42000</v>
      </c>
    </row>
    <row r="13" spans="2:26" x14ac:dyDescent="0.3">
      <c r="B13" s="9"/>
      <c r="C13" s="1">
        <v>6</v>
      </c>
      <c r="D13" s="67">
        <v>240</v>
      </c>
      <c r="E13" s="88"/>
      <c r="F13" s="310">
        <v>1.95E-2</v>
      </c>
      <c r="G13" s="342"/>
      <c r="H13" s="345"/>
      <c r="J13">
        <v>7</v>
      </c>
      <c r="K13" s="67">
        <v>420</v>
      </c>
      <c r="L13" s="68">
        <v>21600</v>
      </c>
      <c r="M13" s="88">
        <v>210000</v>
      </c>
      <c r="N13" s="88">
        <f t="shared" si="0"/>
        <v>21000</v>
      </c>
      <c r="O13" s="314"/>
      <c r="P13" s="315"/>
      <c r="Q13" s="296"/>
      <c r="R13" s="296"/>
      <c r="S13" s="314"/>
      <c r="T13" s="315"/>
      <c r="U13" s="296"/>
      <c r="V13" s="296"/>
      <c r="W13" s="67">
        <v>600</v>
      </c>
      <c r="X13" s="68">
        <v>61800</v>
      </c>
      <c r="Y13" s="67">
        <v>21000</v>
      </c>
      <c r="Z13" s="68">
        <f t="shared" si="3"/>
        <v>49000</v>
      </c>
    </row>
    <row r="14" spans="2:26" x14ac:dyDescent="0.3">
      <c r="B14" s="9"/>
      <c r="C14" s="1">
        <v>7</v>
      </c>
      <c r="D14" s="67">
        <v>260</v>
      </c>
      <c r="E14" s="88"/>
      <c r="F14" s="310">
        <v>2.0299999999999999E-2</v>
      </c>
      <c r="G14" s="342"/>
      <c r="H14" s="345"/>
      <c r="J14">
        <v>8</v>
      </c>
      <c r="K14" s="67">
        <v>490</v>
      </c>
      <c r="L14" s="68">
        <v>25200</v>
      </c>
      <c r="M14" s="88">
        <v>240000</v>
      </c>
      <c r="N14" s="88">
        <f t="shared" si="0"/>
        <v>24000</v>
      </c>
      <c r="O14" s="314"/>
      <c r="P14" s="315"/>
      <c r="Q14" s="296"/>
      <c r="R14" s="296"/>
      <c r="S14" s="314"/>
      <c r="T14" s="315"/>
      <c r="U14" s="296"/>
      <c r="V14" s="296"/>
      <c r="W14" s="67">
        <v>700</v>
      </c>
      <c r="X14" s="68">
        <v>72600</v>
      </c>
      <c r="Y14" s="67">
        <v>24000</v>
      </c>
      <c r="Z14" s="68">
        <f t="shared" si="3"/>
        <v>56000</v>
      </c>
    </row>
    <row r="15" spans="2:26" x14ac:dyDescent="0.3">
      <c r="B15" s="9"/>
      <c r="C15" s="1">
        <v>8</v>
      </c>
      <c r="D15" s="67">
        <v>280</v>
      </c>
      <c r="E15" s="88"/>
      <c r="F15" s="310">
        <v>2.1000000000000001E-2</v>
      </c>
      <c r="G15" s="342"/>
      <c r="H15" s="345"/>
      <c r="J15">
        <v>9</v>
      </c>
      <c r="K15" s="67">
        <v>560</v>
      </c>
      <c r="L15" s="68">
        <v>28800</v>
      </c>
      <c r="M15" s="88">
        <v>270000</v>
      </c>
      <c r="N15" s="88">
        <f t="shared" si="0"/>
        <v>27000</v>
      </c>
      <c r="O15" s="314"/>
      <c r="P15" s="315"/>
      <c r="Q15" s="296"/>
      <c r="R15" s="296"/>
      <c r="S15" s="314"/>
      <c r="T15" s="315"/>
      <c r="U15" s="296"/>
      <c r="V15" s="296"/>
      <c r="W15" s="67">
        <v>800</v>
      </c>
      <c r="X15" s="68">
        <v>82800</v>
      </c>
      <c r="Y15" s="67">
        <v>27000</v>
      </c>
      <c r="Z15" s="68">
        <f t="shared" si="3"/>
        <v>63000</v>
      </c>
    </row>
    <row r="16" spans="2:26" x14ac:dyDescent="0.3">
      <c r="B16" s="9"/>
      <c r="C16" s="1">
        <v>9</v>
      </c>
      <c r="D16" s="67">
        <v>300</v>
      </c>
      <c r="E16" s="88"/>
      <c r="F16" s="310">
        <v>2.18E-2</v>
      </c>
      <c r="G16" s="342"/>
      <c r="H16" s="345"/>
      <c r="J16">
        <v>10</v>
      </c>
      <c r="K16" s="69">
        <v>630</v>
      </c>
      <c r="L16" s="70">
        <v>32400</v>
      </c>
      <c r="M16" s="83">
        <v>300000</v>
      </c>
      <c r="N16" s="83">
        <f t="shared" si="0"/>
        <v>30000</v>
      </c>
      <c r="O16" s="318"/>
      <c r="P16" s="319"/>
      <c r="Q16" s="328"/>
      <c r="R16" s="328"/>
      <c r="S16" s="318"/>
      <c r="T16" s="319"/>
      <c r="U16" s="328"/>
      <c r="V16" s="328"/>
      <c r="W16" s="69">
        <v>900</v>
      </c>
      <c r="X16" s="70">
        <v>93000</v>
      </c>
      <c r="Y16" s="69">
        <v>30000</v>
      </c>
      <c r="Z16" s="70">
        <f t="shared" si="3"/>
        <v>70000</v>
      </c>
    </row>
    <row r="17" spans="2:26" x14ac:dyDescent="0.3">
      <c r="B17" s="9"/>
      <c r="C17" s="1">
        <v>10</v>
      </c>
      <c r="D17" s="67">
        <v>320</v>
      </c>
      <c r="E17" s="88"/>
      <c r="F17" s="310">
        <v>2.2499999999999999E-2</v>
      </c>
      <c r="G17" s="342"/>
      <c r="H17" s="345"/>
      <c r="K17" s="88">
        <f>SUM(K7:K16)</f>
        <v>3150</v>
      </c>
      <c r="L17" s="88">
        <f t="shared" ref="L17:X17" si="4">SUM(L7:L16)</f>
        <v>162000</v>
      </c>
      <c r="M17" s="88"/>
      <c r="N17" s="88"/>
      <c r="O17" s="88">
        <f t="shared" si="4"/>
        <v>6000</v>
      </c>
      <c r="P17" s="88">
        <f t="shared" si="4"/>
        <v>414000</v>
      </c>
      <c r="Q17" s="88"/>
      <c r="R17" s="88"/>
      <c r="S17" s="88">
        <f t="shared" si="4"/>
        <v>7500</v>
      </c>
      <c r="T17" s="88">
        <f t="shared" si="4"/>
        <v>648000</v>
      </c>
      <c r="U17" s="88"/>
      <c r="V17" s="88"/>
      <c r="W17" s="88">
        <f t="shared" si="4"/>
        <v>4500</v>
      </c>
      <c r="X17" s="88">
        <f t="shared" si="4"/>
        <v>464400</v>
      </c>
      <c r="Y17" s="88"/>
      <c r="Z17" s="88"/>
    </row>
    <row r="18" spans="2:26" x14ac:dyDescent="0.3">
      <c r="B18" s="9" t="s">
        <v>828</v>
      </c>
      <c r="C18" s="1">
        <v>10.1</v>
      </c>
      <c r="D18" s="69" t="s">
        <v>27</v>
      </c>
      <c r="E18" s="83">
        <v>5</v>
      </c>
      <c r="F18" s="316">
        <v>2.8500000000000001E-2</v>
      </c>
      <c r="G18" s="343">
        <v>0.04</v>
      </c>
      <c r="H18" s="346">
        <v>72000</v>
      </c>
    </row>
    <row r="19" spans="2:26" x14ac:dyDescent="0.3">
      <c r="B19" s="9"/>
      <c r="C19" s="1">
        <v>11</v>
      </c>
      <c r="D19" s="65">
        <v>340</v>
      </c>
      <c r="E19" s="80"/>
      <c r="F19" s="308">
        <v>2.93E-2</v>
      </c>
      <c r="G19" s="341"/>
      <c r="H19" s="344"/>
    </row>
    <row r="20" spans="2:26" x14ac:dyDescent="0.3">
      <c r="B20" s="9"/>
      <c r="C20" s="1">
        <v>12</v>
      </c>
      <c r="D20" s="67">
        <v>360</v>
      </c>
      <c r="E20" s="88"/>
      <c r="F20" s="310">
        <v>0.03</v>
      </c>
      <c r="G20" s="342"/>
      <c r="H20" s="345"/>
    </row>
    <row r="21" spans="2:26" x14ac:dyDescent="0.3">
      <c r="B21" s="9"/>
      <c r="C21" s="1">
        <v>13</v>
      </c>
      <c r="D21" s="67">
        <v>380</v>
      </c>
      <c r="E21" s="88"/>
      <c r="F21" s="310">
        <v>3.0800000000000001E-2</v>
      </c>
      <c r="G21" s="342"/>
      <c r="H21" s="345"/>
    </row>
    <row r="22" spans="2:26" x14ac:dyDescent="0.3">
      <c r="B22" s="9"/>
      <c r="C22" s="1">
        <v>14</v>
      </c>
      <c r="D22" s="67">
        <v>400</v>
      </c>
      <c r="E22" s="88"/>
      <c r="F22" s="310">
        <v>3.15E-2</v>
      </c>
      <c r="G22" s="342"/>
      <c r="H22" s="345"/>
    </row>
    <row r="23" spans="2:26" x14ac:dyDescent="0.3">
      <c r="B23" s="9"/>
      <c r="C23" s="1">
        <v>15</v>
      </c>
      <c r="D23" s="67">
        <v>420</v>
      </c>
      <c r="E23" s="88"/>
      <c r="F23" s="310">
        <v>3.2300000000000002E-2</v>
      </c>
      <c r="G23" s="342"/>
      <c r="H23" s="345"/>
    </row>
    <row r="24" spans="2:26" x14ac:dyDescent="0.3">
      <c r="B24" s="9"/>
      <c r="C24" s="1">
        <v>16</v>
      </c>
      <c r="D24" s="67">
        <v>440</v>
      </c>
      <c r="E24" s="88"/>
      <c r="F24" s="310">
        <v>3.3000000000000002E-2</v>
      </c>
      <c r="G24" s="342"/>
      <c r="H24" s="345"/>
    </row>
    <row r="25" spans="2:26" x14ac:dyDescent="0.3">
      <c r="B25" s="9"/>
      <c r="C25" s="1">
        <v>17</v>
      </c>
      <c r="D25" s="67">
        <v>460</v>
      </c>
      <c r="E25" s="88"/>
      <c r="F25" s="310">
        <v>3.3799999999999997E-2</v>
      </c>
      <c r="G25" s="342"/>
      <c r="H25" s="345"/>
    </row>
    <row r="26" spans="2:26" x14ac:dyDescent="0.3">
      <c r="B26" s="9"/>
      <c r="C26" s="1">
        <v>18</v>
      </c>
      <c r="D26" s="67">
        <v>480</v>
      </c>
      <c r="E26" s="88"/>
      <c r="F26" s="310">
        <v>3.4500000000000003E-2</v>
      </c>
      <c r="G26" s="342"/>
      <c r="H26" s="345"/>
    </row>
    <row r="27" spans="2:26" x14ac:dyDescent="0.3">
      <c r="B27" s="9"/>
      <c r="C27" s="1">
        <v>19</v>
      </c>
      <c r="D27" s="67">
        <v>500</v>
      </c>
      <c r="E27" s="88"/>
      <c r="F27" s="310">
        <v>3.5299999999999998E-2</v>
      </c>
      <c r="G27" s="342"/>
      <c r="H27" s="345"/>
    </row>
    <row r="28" spans="2:26" x14ac:dyDescent="0.3">
      <c r="B28" s="9"/>
      <c r="C28" s="1">
        <v>20</v>
      </c>
      <c r="D28" s="67">
        <v>520</v>
      </c>
      <c r="E28" s="88"/>
      <c r="F28" s="310">
        <v>3.5999999999999997E-2</v>
      </c>
      <c r="G28" s="342"/>
      <c r="H28" s="345"/>
    </row>
    <row r="29" spans="2:26" x14ac:dyDescent="0.3">
      <c r="B29" s="9" t="s">
        <v>829</v>
      </c>
      <c r="C29" s="1">
        <v>20.100000000000001</v>
      </c>
      <c r="D29" s="69" t="s">
        <v>27</v>
      </c>
      <c r="E29" s="83">
        <v>10</v>
      </c>
      <c r="F29" s="316">
        <v>4.2000000000000003E-2</v>
      </c>
      <c r="G29" s="343">
        <v>0.06</v>
      </c>
      <c r="H29" s="346">
        <v>108000</v>
      </c>
    </row>
    <row r="30" spans="2:26" x14ac:dyDescent="0.3">
      <c r="B30" s="9"/>
      <c r="C30" s="1">
        <v>21</v>
      </c>
      <c r="D30" s="65">
        <v>540</v>
      </c>
      <c r="E30" s="80"/>
      <c r="F30" s="308">
        <v>4.2799999999999998E-2</v>
      </c>
      <c r="G30" s="341"/>
      <c r="H30" s="344"/>
    </row>
    <row r="31" spans="2:26" x14ac:dyDescent="0.3">
      <c r="B31" s="9"/>
      <c r="C31" s="1">
        <v>22</v>
      </c>
      <c r="D31" s="67">
        <v>560</v>
      </c>
      <c r="E31" s="88"/>
      <c r="F31" s="310">
        <v>4.3499999999999997E-2</v>
      </c>
      <c r="G31" s="342"/>
      <c r="H31" s="345"/>
    </row>
    <row r="32" spans="2:26" x14ac:dyDescent="0.3">
      <c r="B32" s="9"/>
      <c r="C32" s="1">
        <v>23</v>
      </c>
      <c r="D32" s="67">
        <v>580</v>
      </c>
      <c r="E32" s="88"/>
      <c r="F32" s="310">
        <v>4.4299999999999999E-2</v>
      </c>
      <c r="G32" s="342"/>
      <c r="H32" s="345"/>
    </row>
    <row r="33" spans="2:8" x14ac:dyDescent="0.3">
      <c r="B33" s="9"/>
      <c r="C33" s="1">
        <v>24</v>
      </c>
      <c r="D33" s="67">
        <v>600</v>
      </c>
      <c r="E33" s="88"/>
      <c r="F33" s="310">
        <v>4.4999999999999998E-2</v>
      </c>
      <c r="G33" s="342"/>
      <c r="H33" s="345"/>
    </row>
    <row r="34" spans="2:8" x14ac:dyDescent="0.3">
      <c r="B34" s="9"/>
      <c r="C34" s="1">
        <v>25</v>
      </c>
      <c r="D34" s="67">
        <v>620</v>
      </c>
      <c r="E34" s="88"/>
      <c r="F34" s="310">
        <v>4.58E-2</v>
      </c>
      <c r="G34" s="342"/>
      <c r="H34" s="345"/>
    </row>
    <row r="35" spans="2:8" x14ac:dyDescent="0.3">
      <c r="B35" s="9"/>
      <c r="C35" s="1">
        <v>26</v>
      </c>
      <c r="D35" s="67">
        <v>640</v>
      </c>
      <c r="E35" s="88"/>
      <c r="F35" s="310">
        <v>4.65E-2</v>
      </c>
      <c r="G35" s="342"/>
      <c r="H35" s="345"/>
    </row>
    <row r="36" spans="2:8" x14ac:dyDescent="0.3">
      <c r="B36" s="9"/>
      <c r="C36" s="1">
        <v>27</v>
      </c>
      <c r="D36" s="67">
        <v>660</v>
      </c>
      <c r="E36" s="88"/>
      <c r="F36" s="310">
        <v>4.7300000000000002E-2</v>
      </c>
      <c r="G36" s="342"/>
      <c r="H36" s="345"/>
    </row>
    <row r="37" spans="2:8" x14ac:dyDescent="0.3">
      <c r="B37" s="259"/>
      <c r="C37" s="1">
        <v>28</v>
      </c>
      <c r="D37" s="67">
        <v>680</v>
      </c>
      <c r="E37" s="88"/>
      <c r="F37" s="310">
        <v>4.8000000000000001E-2</v>
      </c>
      <c r="G37" s="342"/>
      <c r="H37" s="345"/>
    </row>
    <row r="38" spans="2:8" x14ac:dyDescent="0.3">
      <c r="B38" s="9"/>
      <c r="C38" s="1">
        <v>29</v>
      </c>
      <c r="D38" s="67">
        <v>700</v>
      </c>
      <c r="E38" s="88"/>
      <c r="F38" s="310">
        <v>4.8800000000000003E-2</v>
      </c>
      <c r="G38" s="342"/>
      <c r="H38" s="345"/>
    </row>
    <row r="39" spans="2:8" x14ac:dyDescent="0.3">
      <c r="B39" s="9"/>
      <c r="C39" s="1">
        <v>30</v>
      </c>
      <c r="D39" s="67">
        <v>730</v>
      </c>
      <c r="E39" s="88"/>
      <c r="F39" s="310">
        <v>4.9500000000000002E-2</v>
      </c>
      <c r="G39" s="342"/>
      <c r="H39" s="345"/>
    </row>
    <row r="40" spans="2:8" x14ac:dyDescent="0.3">
      <c r="B40" s="9" t="s">
        <v>830</v>
      </c>
      <c r="C40" s="1">
        <v>30.1</v>
      </c>
      <c r="D40" s="69" t="s">
        <v>27</v>
      </c>
      <c r="E40" s="83">
        <v>15</v>
      </c>
      <c r="F40" s="316">
        <v>5.5500000000000001E-2</v>
      </c>
      <c r="G40" s="343">
        <v>0.09</v>
      </c>
      <c r="H40" s="346">
        <v>144000</v>
      </c>
    </row>
    <row r="41" spans="2:8" x14ac:dyDescent="0.3">
      <c r="B41" s="9"/>
      <c r="C41" s="1">
        <v>31</v>
      </c>
      <c r="D41" s="65">
        <v>760</v>
      </c>
      <c r="E41" s="80"/>
      <c r="F41" s="308">
        <v>5.6300000000000003E-2</v>
      </c>
      <c r="G41" s="341"/>
      <c r="H41" s="344"/>
    </row>
    <row r="42" spans="2:8" x14ac:dyDescent="0.3">
      <c r="B42" s="9"/>
      <c r="C42" s="1">
        <v>32</v>
      </c>
      <c r="D42" s="67">
        <v>790</v>
      </c>
      <c r="E42" s="88"/>
      <c r="F42" s="310">
        <v>5.7000000000000002E-2</v>
      </c>
      <c r="G42" s="342"/>
      <c r="H42" s="345"/>
    </row>
    <row r="43" spans="2:8" x14ac:dyDescent="0.3">
      <c r="B43" s="259"/>
      <c r="C43" s="1">
        <v>33</v>
      </c>
      <c r="D43" s="67">
        <v>820</v>
      </c>
      <c r="E43" s="88"/>
      <c r="F43" s="310">
        <v>5.7799999999999997E-2</v>
      </c>
      <c r="G43" s="342"/>
      <c r="H43" s="345"/>
    </row>
    <row r="44" spans="2:8" x14ac:dyDescent="0.3">
      <c r="B44" s="9"/>
      <c r="C44" s="1">
        <v>34</v>
      </c>
      <c r="D44" s="67">
        <v>850</v>
      </c>
      <c r="E44" s="88"/>
      <c r="F44" s="310">
        <v>5.8500000000000003E-2</v>
      </c>
      <c r="G44" s="342"/>
      <c r="H44" s="345"/>
    </row>
    <row r="45" spans="2:8" x14ac:dyDescent="0.3">
      <c r="B45" s="9"/>
      <c r="C45" s="1">
        <v>35</v>
      </c>
      <c r="D45" s="67">
        <v>880</v>
      </c>
      <c r="E45" s="88"/>
      <c r="F45" s="310">
        <v>5.9299999999999999E-2</v>
      </c>
      <c r="G45" s="342"/>
      <c r="H45" s="345"/>
    </row>
    <row r="46" spans="2:8" x14ac:dyDescent="0.3">
      <c r="B46" s="9"/>
      <c r="C46" s="1">
        <v>36</v>
      </c>
      <c r="D46" s="67">
        <v>910</v>
      </c>
      <c r="E46" s="88"/>
      <c r="F46" s="310">
        <v>0.06</v>
      </c>
      <c r="G46" s="342"/>
      <c r="H46" s="345"/>
    </row>
    <row r="47" spans="2:8" x14ac:dyDescent="0.3">
      <c r="B47" s="9"/>
      <c r="C47" s="1">
        <v>37</v>
      </c>
      <c r="D47" s="67">
        <v>940</v>
      </c>
      <c r="E47" s="88"/>
      <c r="F47" s="310">
        <v>6.08E-2</v>
      </c>
      <c r="G47" s="342"/>
      <c r="H47" s="345"/>
    </row>
    <row r="48" spans="2:8" x14ac:dyDescent="0.3">
      <c r="B48" s="9"/>
      <c r="C48" s="1">
        <v>38</v>
      </c>
      <c r="D48" s="67">
        <v>970</v>
      </c>
      <c r="E48" s="88"/>
      <c r="F48" s="310">
        <v>6.1499999999999999E-2</v>
      </c>
      <c r="G48" s="342"/>
      <c r="H48" s="345"/>
    </row>
    <row r="49" spans="2:8" x14ac:dyDescent="0.3">
      <c r="B49" s="9"/>
      <c r="C49" s="1">
        <v>39</v>
      </c>
      <c r="D49" s="67">
        <v>1000</v>
      </c>
      <c r="E49" s="88"/>
      <c r="F49" s="310">
        <v>6.2300000000000001E-2</v>
      </c>
      <c r="G49" s="342"/>
      <c r="H49" s="345"/>
    </row>
    <row r="50" spans="2:8" x14ac:dyDescent="0.3">
      <c r="B50" s="9"/>
      <c r="C50" s="1">
        <v>40</v>
      </c>
      <c r="D50" s="67">
        <v>1040</v>
      </c>
      <c r="E50" s="88"/>
      <c r="F50" s="310">
        <v>6.3E-2</v>
      </c>
      <c r="G50" s="342"/>
      <c r="H50" s="345"/>
    </row>
    <row r="51" spans="2:8" x14ac:dyDescent="0.3">
      <c r="B51" s="9" t="s">
        <v>831</v>
      </c>
      <c r="C51" s="1">
        <v>40.1</v>
      </c>
      <c r="D51" s="69" t="s">
        <v>27</v>
      </c>
      <c r="E51" s="83">
        <v>20</v>
      </c>
      <c r="F51" s="316">
        <v>6.9000000000000006E-2</v>
      </c>
      <c r="G51" s="343">
        <v>0.12</v>
      </c>
      <c r="H51" s="346">
        <v>180000</v>
      </c>
    </row>
    <row r="52" spans="2:8" x14ac:dyDescent="0.3">
      <c r="B52" s="9"/>
      <c r="C52" s="1">
        <v>41</v>
      </c>
      <c r="D52" s="65">
        <v>1080</v>
      </c>
      <c r="E52" s="80"/>
      <c r="F52" s="308">
        <v>6.9800000000000001E-2</v>
      </c>
      <c r="G52" s="341"/>
      <c r="H52" s="344"/>
    </row>
    <row r="53" spans="2:8" x14ac:dyDescent="0.3">
      <c r="B53" s="9"/>
      <c r="C53" s="1">
        <v>42</v>
      </c>
      <c r="D53" s="67">
        <v>1120</v>
      </c>
      <c r="E53" s="88"/>
      <c r="F53" s="310">
        <v>7.0499999999999993E-2</v>
      </c>
      <c r="G53" s="342"/>
      <c r="H53" s="345"/>
    </row>
    <row r="54" spans="2:8" x14ac:dyDescent="0.3">
      <c r="B54" s="9"/>
      <c r="C54" s="1">
        <v>43</v>
      </c>
      <c r="D54" s="67">
        <v>1160</v>
      </c>
      <c r="E54" s="88"/>
      <c r="F54" s="310">
        <v>7.1300000000000002E-2</v>
      </c>
      <c r="G54" s="342"/>
      <c r="H54" s="345"/>
    </row>
    <row r="55" spans="2:8" x14ac:dyDescent="0.3">
      <c r="B55" s="9"/>
      <c r="C55" s="1">
        <v>44</v>
      </c>
      <c r="D55" s="67">
        <v>1200</v>
      </c>
      <c r="E55" s="88"/>
      <c r="F55" s="310">
        <v>7.1999999999999995E-2</v>
      </c>
      <c r="G55" s="342"/>
      <c r="H55" s="345"/>
    </row>
    <row r="56" spans="2:8" x14ac:dyDescent="0.3">
      <c r="B56" s="9"/>
      <c r="C56" s="1">
        <v>45</v>
      </c>
      <c r="D56" s="67">
        <v>1240</v>
      </c>
      <c r="E56" s="88"/>
      <c r="F56" s="310">
        <v>7.2800000000000004E-2</v>
      </c>
      <c r="G56" s="342"/>
      <c r="H56" s="345"/>
    </row>
    <row r="57" spans="2:8" x14ac:dyDescent="0.3">
      <c r="B57" s="9"/>
      <c r="C57" s="1">
        <v>46</v>
      </c>
      <c r="D57" s="67">
        <v>1280</v>
      </c>
      <c r="E57" s="88"/>
      <c r="F57" s="310">
        <v>7.3499999999999996E-2</v>
      </c>
      <c r="G57" s="342"/>
      <c r="H57" s="345"/>
    </row>
    <row r="58" spans="2:8" x14ac:dyDescent="0.3">
      <c r="B58" s="9"/>
      <c r="C58" s="1">
        <v>47</v>
      </c>
      <c r="D58" s="67">
        <v>1320</v>
      </c>
      <c r="E58" s="88"/>
      <c r="F58" s="310">
        <v>7.4300000000000005E-2</v>
      </c>
      <c r="G58" s="342"/>
      <c r="H58" s="345"/>
    </row>
    <row r="59" spans="2:8" x14ac:dyDescent="0.3">
      <c r="B59" s="9"/>
      <c r="C59" s="1">
        <v>48</v>
      </c>
      <c r="D59" s="67">
        <v>1360</v>
      </c>
      <c r="E59" s="88"/>
      <c r="F59" s="310">
        <v>7.4999999999999997E-2</v>
      </c>
      <c r="G59" s="342"/>
      <c r="H59" s="345"/>
    </row>
    <row r="60" spans="2:8" x14ac:dyDescent="0.3">
      <c r="B60" s="9"/>
      <c r="C60" s="1">
        <v>49</v>
      </c>
      <c r="D60" s="67">
        <v>1400</v>
      </c>
      <c r="E60" s="88"/>
      <c r="F60" s="310">
        <v>7.5800000000000006E-2</v>
      </c>
      <c r="G60" s="342"/>
      <c r="H60" s="345"/>
    </row>
    <row r="61" spans="2:8" x14ac:dyDescent="0.3">
      <c r="B61" s="9"/>
      <c r="C61" s="1">
        <v>50</v>
      </c>
      <c r="D61" s="67">
        <v>1450</v>
      </c>
      <c r="E61" s="88"/>
      <c r="F61" s="310">
        <v>7.6499999999999999E-2</v>
      </c>
      <c r="G61" s="342"/>
      <c r="H61" s="345"/>
    </row>
    <row r="62" spans="2:8" x14ac:dyDescent="0.3">
      <c r="B62" s="9" t="s">
        <v>832</v>
      </c>
      <c r="C62" s="1">
        <v>50.1</v>
      </c>
      <c r="D62" s="69" t="s">
        <v>27</v>
      </c>
      <c r="E62" s="83">
        <v>25</v>
      </c>
      <c r="F62" s="316">
        <v>8.2500000000000004E-2</v>
      </c>
      <c r="G62" s="343">
        <v>0.15</v>
      </c>
      <c r="H62" s="346">
        <v>216000</v>
      </c>
    </row>
    <row r="63" spans="2:8" x14ac:dyDescent="0.3">
      <c r="B63" s="9"/>
      <c r="C63" s="1">
        <v>51</v>
      </c>
      <c r="D63" s="65">
        <v>1500</v>
      </c>
      <c r="E63" s="80"/>
      <c r="F63" s="308">
        <v>8.3299999999999999E-2</v>
      </c>
      <c r="G63" s="341"/>
      <c r="H63" s="344"/>
    </row>
    <row r="64" spans="2:8" x14ac:dyDescent="0.3">
      <c r="B64" s="9"/>
      <c r="C64" s="1">
        <v>52</v>
      </c>
      <c r="D64" s="67">
        <v>1550</v>
      </c>
      <c r="E64" s="88"/>
      <c r="F64" s="310">
        <v>8.4000000000000005E-2</v>
      </c>
      <c r="G64" s="342"/>
      <c r="H64" s="345"/>
    </row>
    <row r="65" spans="2:8" x14ac:dyDescent="0.3">
      <c r="B65" s="9"/>
      <c r="C65" s="1">
        <v>53</v>
      </c>
      <c r="D65" s="67">
        <v>1600</v>
      </c>
      <c r="E65" s="88"/>
      <c r="F65" s="310">
        <v>8.48E-2</v>
      </c>
      <c r="G65" s="342"/>
      <c r="H65" s="345"/>
    </row>
    <row r="66" spans="2:8" x14ac:dyDescent="0.3">
      <c r="B66" s="9"/>
      <c r="C66" s="1">
        <v>54</v>
      </c>
      <c r="D66" s="67">
        <v>1650</v>
      </c>
      <c r="E66" s="88"/>
      <c r="F66" s="310">
        <v>8.5500000000000007E-2</v>
      </c>
      <c r="G66" s="342"/>
      <c r="H66" s="345"/>
    </row>
    <row r="67" spans="2:8" x14ac:dyDescent="0.3">
      <c r="B67" s="9"/>
      <c r="C67" s="1">
        <v>55</v>
      </c>
      <c r="D67" s="67">
        <v>1700</v>
      </c>
      <c r="E67" s="88"/>
      <c r="F67" s="310">
        <v>8.6300000000000002E-2</v>
      </c>
      <c r="G67" s="342"/>
      <c r="H67" s="345"/>
    </row>
    <row r="68" spans="2:8" x14ac:dyDescent="0.3">
      <c r="B68" s="9"/>
      <c r="C68" s="1">
        <v>56</v>
      </c>
      <c r="D68" s="67">
        <v>1750</v>
      </c>
      <c r="E68" s="88"/>
      <c r="F68" s="310">
        <v>8.6999999999999994E-2</v>
      </c>
      <c r="G68" s="342"/>
      <c r="H68" s="345"/>
    </row>
    <row r="69" spans="2:8" x14ac:dyDescent="0.3">
      <c r="B69" s="9"/>
      <c r="C69" s="1">
        <v>57</v>
      </c>
      <c r="D69" s="67">
        <v>1800</v>
      </c>
      <c r="E69" s="88"/>
      <c r="F69" s="310">
        <v>8.7800000000000003E-2</v>
      </c>
      <c r="G69" s="342"/>
      <c r="H69" s="345"/>
    </row>
    <row r="70" spans="2:8" x14ac:dyDescent="0.3">
      <c r="B70" s="9"/>
      <c r="C70" s="1">
        <v>58</v>
      </c>
      <c r="D70" s="67">
        <v>1850</v>
      </c>
      <c r="E70" s="88"/>
      <c r="F70" s="310">
        <v>8.8499999999999995E-2</v>
      </c>
      <c r="G70" s="342"/>
      <c r="H70" s="345"/>
    </row>
    <row r="71" spans="2:8" x14ac:dyDescent="0.3">
      <c r="B71" s="9"/>
      <c r="C71" s="1">
        <v>59</v>
      </c>
      <c r="D71" s="67">
        <v>1900</v>
      </c>
      <c r="E71" s="88"/>
      <c r="F71" s="310">
        <v>8.9300000000000004E-2</v>
      </c>
      <c r="G71" s="342"/>
      <c r="H71" s="345"/>
    </row>
    <row r="72" spans="2:8" x14ac:dyDescent="0.3">
      <c r="B72" s="9"/>
      <c r="C72" s="1">
        <v>60</v>
      </c>
      <c r="D72" s="67">
        <v>1950</v>
      </c>
      <c r="E72" s="88"/>
      <c r="F72" s="310">
        <v>0.09</v>
      </c>
      <c r="G72" s="342"/>
      <c r="H72" s="345"/>
    </row>
    <row r="73" spans="2:8" x14ac:dyDescent="0.3">
      <c r="B73" s="9" t="s">
        <v>833</v>
      </c>
      <c r="C73" s="1">
        <v>60.1</v>
      </c>
      <c r="D73" s="69" t="s">
        <v>27</v>
      </c>
      <c r="E73" s="83">
        <v>30</v>
      </c>
      <c r="F73" s="316">
        <v>9.6000000000000002E-2</v>
      </c>
      <c r="G73" s="343">
        <v>0.18</v>
      </c>
      <c r="H73" s="346">
        <v>252000</v>
      </c>
    </row>
    <row r="74" spans="2:8" x14ac:dyDescent="0.3">
      <c r="B74" s="9"/>
      <c r="C74" s="1">
        <v>61</v>
      </c>
      <c r="D74" s="65">
        <v>2000</v>
      </c>
      <c r="E74" s="80"/>
      <c r="F74" s="308">
        <v>9.6799999999999997E-2</v>
      </c>
      <c r="G74" s="341"/>
      <c r="H74" s="344"/>
    </row>
    <row r="75" spans="2:8" x14ac:dyDescent="0.3">
      <c r="B75" s="9"/>
      <c r="C75" s="1">
        <v>62</v>
      </c>
      <c r="D75" s="67">
        <v>2050</v>
      </c>
      <c r="E75" s="88"/>
      <c r="F75" s="310">
        <v>9.7500000000000003E-2</v>
      </c>
      <c r="G75" s="342"/>
      <c r="H75" s="345"/>
    </row>
    <row r="76" spans="2:8" x14ac:dyDescent="0.3">
      <c r="B76" s="9"/>
      <c r="C76" s="1">
        <v>63</v>
      </c>
      <c r="D76" s="67">
        <v>2100</v>
      </c>
      <c r="E76" s="88"/>
      <c r="F76" s="310">
        <v>9.8299999999999998E-2</v>
      </c>
      <c r="G76" s="342"/>
      <c r="H76" s="345"/>
    </row>
    <row r="77" spans="2:8" x14ac:dyDescent="0.3">
      <c r="B77" s="9"/>
      <c r="C77" s="1">
        <v>64</v>
      </c>
      <c r="D77" s="67">
        <v>2150</v>
      </c>
      <c r="E77" s="88"/>
      <c r="F77" s="310">
        <v>9.9000000000000005E-2</v>
      </c>
      <c r="G77" s="342"/>
      <c r="H77" s="345"/>
    </row>
    <row r="78" spans="2:8" x14ac:dyDescent="0.3">
      <c r="B78" s="9"/>
      <c r="C78" s="1">
        <v>65</v>
      </c>
      <c r="D78" s="67">
        <v>2200</v>
      </c>
      <c r="E78" s="88"/>
      <c r="F78" s="310">
        <v>9.98E-2</v>
      </c>
      <c r="G78" s="342"/>
      <c r="H78" s="345"/>
    </row>
    <row r="79" spans="2:8" x14ac:dyDescent="0.3">
      <c r="B79" s="9"/>
      <c r="C79" s="1">
        <v>66</v>
      </c>
      <c r="D79" s="67">
        <v>2250</v>
      </c>
      <c r="E79" s="88"/>
      <c r="F79" s="310">
        <v>0.10050000000000001</v>
      </c>
      <c r="G79" s="342"/>
      <c r="H79" s="345"/>
    </row>
    <row r="80" spans="2:8" x14ac:dyDescent="0.3">
      <c r="B80" s="9"/>
      <c r="C80" s="1">
        <v>67</v>
      </c>
      <c r="D80" s="67">
        <v>2300</v>
      </c>
      <c r="E80" s="88"/>
      <c r="F80" s="310">
        <v>0.1013</v>
      </c>
      <c r="G80" s="342"/>
      <c r="H80" s="345"/>
    </row>
    <row r="81" spans="2:8" x14ac:dyDescent="0.3">
      <c r="B81" s="9"/>
      <c r="C81" s="1">
        <v>68</v>
      </c>
      <c r="D81" s="67">
        <v>2350</v>
      </c>
      <c r="E81" s="88"/>
      <c r="F81" s="310">
        <v>0.10199999999999999</v>
      </c>
      <c r="G81" s="342"/>
      <c r="H81" s="345"/>
    </row>
    <row r="82" spans="2:8" x14ac:dyDescent="0.3">
      <c r="B82" s="9"/>
      <c r="C82" s="1">
        <v>69</v>
      </c>
      <c r="D82" s="67">
        <v>2400</v>
      </c>
      <c r="E82" s="88"/>
      <c r="F82" s="310">
        <v>0.1028</v>
      </c>
      <c r="G82" s="342"/>
      <c r="H82" s="345"/>
    </row>
    <row r="83" spans="2:8" x14ac:dyDescent="0.3">
      <c r="B83" s="9"/>
      <c r="C83" s="1">
        <v>70</v>
      </c>
      <c r="D83" s="67">
        <v>2450</v>
      </c>
      <c r="E83" s="88"/>
      <c r="F83" s="310">
        <v>0.10349999999999999</v>
      </c>
      <c r="G83" s="342"/>
      <c r="H83" s="345"/>
    </row>
    <row r="84" spans="2:8" x14ac:dyDescent="0.3">
      <c r="B84" s="9" t="s">
        <v>834</v>
      </c>
      <c r="C84" s="1">
        <v>70.099999999999994</v>
      </c>
      <c r="D84" s="69" t="s">
        <v>27</v>
      </c>
      <c r="E84" s="83">
        <v>35</v>
      </c>
      <c r="F84" s="316">
        <v>0.1095</v>
      </c>
      <c r="G84" s="343">
        <v>0.21</v>
      </c>
      <c r="H84" s="346">
        <v>288000</v>
      </c>
    </row>
    <row r="85" spans="2:8" x14ac:dyDescent="0.3">
      <c r="B85" s="9"/>
      <c r="C85" s="1">
        <v>71</v>
      </c>
      <c r="D85" s="65">
        <v>2500</v>
      </c>
      <c r="E85" s="80"/>
      <c r="F85" s="308">
        <v>0.1103</v>
      </c>
      <c r="G85" s="341"/>
      <c r="H85" s="344"/>
    </row>
    <row r="86" spans="2:8" x14ac:dyDescent="0.3">
      <c r="B86" s="9"/>
      <c r="C86" s="1">
        <v>72</v>
      </c>
      <c r="D86" s="67">
        <v>2550</v>
      </c>
      <c r="E86" s="88"/>
      <c r="F86" s="310">
        <v>0.111</v>
      </c>
      <c r="G86" s="342"/>
      <c r="H86" s="345"/>
    </row>
    <row r="87" spans="2:8" x14ac:dyDescent="0.3">
      <c r="B87" s="9"/>
      <c r="C87" s="1">
        <v>73</v>
      </c>
      <c r="D87" s="67">
        <v>2600</v>
      </c>
      <c r="E87" s="88"/>
      <c r="F87" s="310">
        <v>0.1118</v>
      </c>
      <c r="G87" s="342"/>
      <c r="H87" s="345"/>
    </row>
    <row r="88" spans="2:8" x14ac:dyDescent="0.3">
      <c r="B88" s="9"/>
      <c r="C88" s="1">
        <v>74</v>
      </c>
      <c r="D88" s="67">
        <v>2650</v>
      </c>
      <c r="E88" s="88"/>
      <c r="F88" s="310">
        <v>0.1125</v>
      </c>
      <c r="G88" s="342"/>
      <c r="H88" s="345"/>
    </row>
    <row r="89" spans="2:8" x14ac:dyDescent="0.3">
      <c r="B89" s="9"/>
      <c r="C89" s="1">
        <v>75</v>
      </c>
      <c r="D89" s="67">
        <v>2700</v>
      </c>
      <c r="E89" s="88"/>
      <c r="F89" s="310">
        <v>0.1133</v>
      </c>
      <c r="G89" s="342"/>
      <c r="H89" s="345"/>
    </row>
    <row r="90" spans="2:8" x14ac:dyDescent="0.3">
      <c r="B90" s="9"/>
      <c r="C90" s="1">
        <v>76</v>
      </c>
      <c r="D90" s="67">
        <v>2750</v>
      </c>
      <c r="E90" s="88"/>
      <c r="F90" s="310">
        <v>0.114</v>
      </c>
      <c r="G90" s="342"/>
      <c r="H90" s="345"/>
    </row>
    <row r="91" spans="2:8" x14ac:dyDescent="0.3">
      <c r="B91" s="9"/>
      <c r="C91" s="1">
        <v>77</v>
      </c>
      <c r="D91" s="67">
        <v>2800</v>
      </c>
      <c r="E91" s="88"/>
      <c r="F91" s="310">
        <v>0.1148</v>
      </c>
      <c r="G91" s="342"/>
      <c r="H91" s="345"/>
    </row>
    <row r="92" spans="2:8" x14ac:dyDescent="0.3">
      <c r="B92" s="9"/>
      <c r="C92" s="1">
        <v>78</v>
      </c>
      <c r="D92" s="67">
        <v>2850</v>
      </c>
      <c r="E92" s="88"/>
      <c r="F92" s="310">
        <v>0.11550000000000001</v>
      </c>
      <c r="G92" s="342"/>
      <c r="H92" s="345"/>
    </row>
    <row r="93" spans="2:8" x14ac:dyDescent="0.3">
      <c r="B93" s="9"/>
      <c r="C93" s="1">
        <v>79</v>
      </c>
      <c r="D93" s="67">
        <v>2900</v>
      </c>
      <c r="E93" s="88"/>
      <c r="F93" s="310">
        <v>0.1163</v>
      </c>
      <c r="G93" s="342"/>
      <c r="H93" s="345"/>
    </row>
    <row r="94" spans="2:8" x14ac:dyDescent="0.3">
      <c r="B94" s="9"/>
      <c r="C94" s="1">
        <v>80</v>
      </c>
      <c r="D94" s="67">
        <v>2950</v>
      </c>
      <c r="E94" s="88"/>
      <c r="F94" s="310">
        <v>0.11700000000000001</v>
      </c>
      <c r="G94" s="342"/>
      <c r="H94" s="345"/>
    </row>
    <row r="95" spans="2:8" x14ac:dyDescent="0.3">
      <c r="B95" s="9" t="s">
        <v>835</v>
      </c>
      <c r="C95" s="1">
        <v>80.099999999999994</v>
      </c>
      <c r="D95" s="69" t="s">
        <v>27</v>
      </c>
      <c r="E95" s="83">
        <v>40</v>
      </c>
      <c r="F95" s="316">
        <v>0.123</v>
      </c>
      <c r="G95" s="343">
        <v>0.24</v>
      </c>
      <c r="H95" s="346">
        <v>324000</v>
      </c>
    </row>
    <row r="96" spans="2:8" x14ac:dyDescent="0.3">
      <c r="B96" s="9"/>
      <c r="C96" s="1">
        <v>81</v>
      </c>
      <c r="D96" s="65">
        <v>3000</v>
      </c>
      <c r="E96" s="80"/>
      <c r="F96" s="308">
        <v>0.12379999999999999</v>
      </c>
      <c r="G96" s="341"/>
      <c r="H96" s="344"/>
    </row>
    <row r="97" spans="2:8" x14ac:dyDescent="0.3">
      <c r="B97" s="9"/>
      <c r="C97" s="1">
        <v>82</v>
      </c>
      <c r="D97" s="67">
        <v>3050</v>
      </c>
      <c r="E97" s="88"/>
      <c r="F97" s="310">
        <v>0.1245</v>
      </c>
      <c r="G97" s="342"/>
      <c r="H97" s="345"/>
    </row>
    <row r="98" spans="2:8" x14ac:dyDescent="0.3">
      <c r="B98" s="9"/>
      <c r="C98" s="1">
        <v>83</v>
      </c>
      <c r="D98" s="67">
        <v>3100</v>
      </c>
      <c r="E98" s="88"/>
      <c r="F98" s="310">
        <v>0.12529999999999999</v>
      </c>
      <c r="G98" s="342"/>
      <c r="H98" s="345"/>
    </row>
    <row r="99" spans="2:8" x14ac:dyDescent="0.3">
      <c r="B99" s="9"/>
      <c r="C99" s="1">
        <v>84</v>
      </c>
      <c r="D99" s="67">
        <v>3150</v>
      </c>
      <c r="E99" s="88"/>
      <c r="F99" s="310">
        <v>0.126</v>
      </c>
      <c r="G99" s="342"/>
      <c r="H99" s="345"/>
    </row>
    <row r="100" spans="2:8" x14ac:dyDescent="0.3">
      <c r="B100" s="9"/>
      <c r="C100" s="1">
        <v>85</v>
      </c>
      <c r="D100" s="67">
        <v>3200</v>
      </c>
      <c r="E100" s="88"/>
      <c r="F100" s="310">
        <v>0.1268</v>
      </c>
      <c r="G100" s="342"/>
      <c r="H100" s="345"/>
    </row>
    <row r="101" spans="2:8" x14ac:dyDescent="0.3">
      <c r="B101" s="9"/>
      <c r="C101" s="1">
        <v>86</v>
      </c>
      <c r="D101" s="67">
        <v>3250</v>
      </c>
      <c r="E101" s="88"/>
      <c r="F101" s="310">
        <v>0.1275</v>
      </c>
      <c r="G101" s="342"/>
      <c r="H101" s="345"/>
    </row>
    <row r="102" spans="2:8" x14ac:dyDescent="0.3">
      <c r="B102" s="9"/>
      <c r="C102" s="1">
        <v>87</v>
      </c>
      <c r="D102" s="67">
        <v>3300</v>
      </c>
      <c r="E102" s="88"/>
      <c r="F102" s="310">
        <v>0.1283</v>
      </c>
      <c r="G102" s="342"/>
      <c r="H102" s="345"/>
    </row>
    <row r="103" spans="2:8" x14ac:dyDescent="0.3">
      <c r="B103" s="9"/>
      <c r="C103" s="1">
        <v>88</v>
      </c>
      <c r="D103" s="67">
        <v>3350</v>
      </c>
      <c r="E103" s="88"/>
      <c r="F103" s="310">
        <v>0.129</v>
      </c>
      <c r="G103" s="342"/>
      <c r="H103" s="345"/>
    </row>
    <row r="104" spans="2:8" x14ac:dyDescent="0.3">
      <c r="B104" s="9"/>
      <c r="C104" s="1">
        <v>89</v>
      </c>
      <c r="D104" s="67">
        <v>3400</v>
      </c>
      <c r="E104" s="88"/>
      <c r="F104" s="310">
        <v>0.1298</v>
      </c>
      <c r="G104" s="342"/>
      <c r="H104" s="345"/>
    </row>
    <row r="105" spans="2:8" x14ac:dyDescent="0.3">
      <c r="B105" s="9"/>
      <c r="C105" s="1">
        <v>90</v>
      </c>
      <c r="D105" s="67">
        <v>3450</v>
      </c>
      <c r="E105" s="88"/>
      <c r="F105" s="310">
        <v>0.1305</v>
      </c>
      <c r="G105" s="342"/>
      <c r="H105" s="345"/>
    </row>
    <row r="106" spans="2:8" x14ac:dyDescent="0.3">
      <c r="B106" s="9" t="s">
        <v>836</v>
      </c>
      <c r="C106" s="1">
        <v>90.1</v>
      </c>
      <c r="D106" s="69" t="s">
        <v>27</v>
      </c>
      <c r="E106" s="83">
        <v>45</v>
      </c>
      <c r="F106" s="316">
        <v>0.13650000000000001</v>
      </c>
      <c r="G106" s="343">
        <v>0.27</v>
      </c>
      <c r="H106" s="346">
        <v>360000</v>
      </c>
    </row>
    <row r="107" spans="2:8" x14ac:dyDescent="0.3">
      <c r="B107" s="9"/>
      <c r="C107" s="1">
        <v>91</v>
      </c>
      <c r="D107" s="65">
        <v>3500</v>
      </c>
      <c r="E107" s="80"/>
      <c r="F107" s="308">
        <v>0.13730000000000001</v>
      </c>
      <c r="G107" s="341"/>
      <c r="H107" s="344"/>
    </row>
    <row r="108" spans="2:8" x14ac:dyDescent="0.3">
      <c r="B108" s="9"/>
      <c r="C108" s="1">
        <v>92</v>
      </c>
      <c r="D108" s="67">
        <v>3550</v>
      </c>
      <c r="E108" s="88"/>
      <c r="F108" s="310">
        <v>0.13800000000000001</v>
      </c>
      <c r="G108" s="342"/>
      <c r="H108" s="345"/>
    </row>
    <row r="109" spans="2:8" x14ac:dyDescent="0.3">
      <c r="B109" s="9"/>
      <c r="C109" s="1">
        <v>93</v>
      </c>
      <c r="D109" s="67">
        <v>3600</v>
      </c>
      <c r="E109" s="88"/>
      <c r="F109" s="310">
        <v>0.13880000000000001</v>
      </c>
      <c r="G109" s="342"/>
      <c r="H109" s="345"/>
    </row>
    <row r="110" spans="2:8" x14ac:dyDescent="0.3">
      <c r="B110" s="9"/>
      <c r="C110" s="1">
        <v>94</v>
      </c>
      <c r="D110" s="67">
        <v>3650</v>
      </c>
      <c r="E110" s="88"/>
      <c r="F110" s="310">
        <v>0.13950000000000001</v>
      </c>
      <c r="G110" s="342"/>
      <c r="H110" s="345"/>
    </row>
    <row r="111" spans="2:8" x14ac:dyDescent="0.3">
      <c r="B111" s="9"/>
      <c r="C111" s="1">
        <v>95</v>
      </c>
      <c r="D111" s="67">
        <v>3700</v>
      </c>
      <c r="E111" s="88"/>
      <c r="F111" s="310">
        <v>0.14030000000000001</v>
      </c>
      <c r="G111" s="342"/>
      <c r="H111" s="345"/>
    </row>
    <row r="112" spans="2:8" x14ac:dyDescent="0.3">
      <c r="B112" s="9"/>
      <c r="C112" s="1">
        <v>96</v>
      </c>
      <c r="D112" s="67">
        <v>3750</v>
      </c>
      <c r="E112" s="88"/>
      <c r="F112" s="310">
        <v>0.14099999999999999</v>
      </c>
      <c r="G112" s="342"/>
      <c r="H112" s="345"/>
    </row>
    <row r="113" spans="2:8" x14ac:dyDescent="0.3">
      <c r="B113" s="9"/>
      <c r="C113" s="1">
        <v>97</v>
      </c>
      <c r="D113" s="67">
        <v>3800</v>
      </c>
      <c r="E113" s="88"/>
      <c r="F113" s="310">
        <v>0.14180000000000001</v>
      </c>
      <c r="G113" s="342"/>
      <c r="H113" s="345"/>
    </row>
    <row r="114" spans="2:8" x14ac:dyDescent="0.3">
      <c r="B114" s="9"/>
      <c r="C114" s="1">
        <v>98</v>
      </c>
      <c r="D114" s="67">
        <v>3850</v>
      </c>
      <c r="E114" s="88"/>
      <c r="F114" s="310">
        <v>0.14249999999999999</v>
      </c>
      <c r="G114" s="342"/>
      <c r="H114" s="345"/>
    </row>
    <row r="115" spans="2:8" x14ac:dyDescent="0.3">
      <c r="B115" s="9"/>
      <c r="C115" s="1">
        <v>99</v>
      </c>
      <c r="D115" s="67">
        <v>3900</v>
      </c>
      <c r="E115" s="88"/>
      <c r="F115" s="310">
        <v>0.14330000000000001</v>
      </c>
      <c r="G115" s="342"/>
      <c r="H115" s="345"/>
    </row>
    <row r="116" spans="2:8" x14ac:dyDescent="0.3">
      <c r="B116" s="9"/>
      <c r="C116" s="1">
        <v>100</v>
      </c>
      <c r="D116" s="67">
        <v>3950</v>
      </c>
      <c r="E116" s="88"/>
      <c r="F116" s="310">
        <v>0.14399999999999999</v>
      </c>
      <c r="G116" s="342"/>
      <c r="H116" s="345"/>
    </row>
    <row r="117" spans="2:8" x14ac:dyDescent="0.3">
      <c r="B117" s="9" t="s">
        <v>837</v>
      </c>
      <c r="C117" s="1">
        <v>100.1</v>
      </c>
      <c r="D117" s="69" t="s">
        <v>27</v>
      </c>
      <c r="E117" s="83">
        <v>50</v>
      </c>
      <c r="F117" s="316">
        <v>0.15</v>
      </c>
      <c r="G117" s="343">
        <v>0.3</v>
      </c>
      <c r="H117" s="346">
        <v>396000</v>
      </c>
    </row>
    <row r="118" spans="2:8" x14ac:dyDescent="0.3">
      <c r="D118" s="38">
        <f>SUM(D8:D117)</f>
        <v>171690</v>
      </c>
    </row>
  </sheetData>
  <sheetProtection sheet="1" objects="1" scenarios="1"/>
  <mergeCells count="12">
    <mergeCell ref="D5:H5"/>
    <mergeCell ref="D4:H4"/>
    <mergeCell ref="K1:Z1"/>
    <mergeCell ref="K2:Z2"/>
    <mergeCell ref="K3:N4"/>
    <mergeCell ref="O3:R4"/>
    <mergeCell ref="S3:V4"/>
    <mergeCell ref="W3:Z4"/>
    <mergeCell ref="K5:N5"/>
    <mergeCell ref="O5:R5"/>
    <mergeCell ref="S5:V5"/>
    <mergeCell ref="W5:Z5"/>
  </mergeCells>
  <conditionalFormatting sqref="D8:H117">
    <cfRule type="expression" dxfId="76" priority="1" stopIfTrue="1">
      <formula>IF(CyrilleLevelCurrent&gt;=$C8,TRUE,FALSE)</formula>
    </cfRule>
    <cfRule type="expression" dxfId="75" priority="8">
      <formula>IF(CyrilleLevelDesired&gt;=$C8,TRUE,FALSE)</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61511-152F-478C-B721-6C1E6F8AA2E8}">
  <dimension ref="B1:AB117"/>
  <sheetViews>
    <sheetView workbookViewId="0">
      <pane xSplit="3" ySplit="6" topLeftCell="D7" activePane="bottomRight" state="frozen"/>
      <selection pane="topRight" activeCell="D1" sqref="D1"/>
      <selection pane="bottomLeft" activeCell="A7" sqref="A7"/>
      <selection pane="bottomRight" activeCell="M31" sqref="M31"/>
    </sheetView>
  </sheetViews>
  <sheetFormatPr baseColWidth="10" defaultColWidth="8.88671875" defaultRowHeight="14.4" x14ac:dyDescent="0.3"/>
  <sheetData>
    <row r="1" spans="2:28" x14ac:dyDescent="0.3">
      <c r="L1" s="406" t="s">
        <v>937</v>
      </c>
      <c r="M1" s="406"/>
      <c r="N1" s="406"/>
      <c r="O1" s="406"/>
      <c r="P1" s="406"/>
      <c r="Q1" s="406"/>
      <c r="R1" s="406"/>
      <c r="S1" s="406"/>
      <c r="T1" s="406"/>
      <c r="U1" s="406"/>
      <c r="V1" s="406"/>
      <c r="W1" s="406"/>
      <c r="X1" s="406"/>
      <c r="Y1" s="406"/>
      <c r="Z1" s="406"/>
      <c r="AA1" s="406"/>
      <c r="AB1" s="406"/>
    </row>
    <row r="2" spans="2:28" x14ac:dyDescent="0.3">
      <c r="L2" s="761" t="s">
        <v>823</v>
      </c>
      <c r="M2" s="670"/>
      <c r="N2" s="670"/>
      <c r="O2" s="670"/>
      <c r="P2" s="670"/>
      <c r="Q2" s="670"/>
      <c r="R2" s="670"/>
      <c r="S2" s="670"/>
      <c r="T2" s="670"/>
      <c r="U2" s="670"/>
      <c r="V2" s="670"/>
      <c r="W2" s="670"/>
      <c r="X2" s="670"/>
      <c r="Y2" s="670"/>
      <c r="Z2" s="670"/>
      <c r="AA2" s="670"/>
      <c r="AB2" s="670"/>
    </row>
    <row r="3" spans="2:28" x14ac:dyDescent="0.3">
      <c r="L3" s="474" t="s">
        <v>844</v>
      </c>
      <c r="M3" s="475"/>
      <c r="N3" s="475"/>
      <c r="O3" s="476"/>
      <c r="P3" s="474" t="s">
        <v>845</v>
      </c>
      <c r="Q3" s="475"/>
      <c r="R3" s="475"/>
      <c r="S3" s="476"/>
      <c r="T3" s="474" t="s">
        <v>855</v>
      </c>
      <c r="U3" s="475"/>
      <c r="V3" s="475"/>
      <c r="W3" s="476"/>
      <c r="X3" s="474" t="s">
        <v>846</v>
      </c>
      <c r="Y3" s="475"/>
      <c r="Z3" s="475"/>
      <c r="AA3" s="475"/>
      <c r="AB3" s="476"/>
    </row>
    <row r="4" spans="2:28" x14ac:dyDescent="0.3">
      <c r="B4" s="9"/>
      <c r="D4" s="426" t="s">
        <v>936</v>
      </c>
      <c r="E4" s="426"/>
      <c r="F4" s="426"/>
      <c r="G4" s="426"/>
      <c r="H4" s="426"/>
      <c r="I4" s="426"/>
      <c r="L4" s="477"/>
      <c r="M4" s="478"/>
      <c r="N4" s="478"/>
      <c r="O4" s="479"/>
      <c r="P4" s="477"/>
      <c r="Q4" s="478"/>
      <c r="R4" s="478"/>
      <c r="S4" s="479"/>
      <c r="T4" s="477"/>
      <c r="U4" s="478"/>
      <c r="V4" s="478"/>
      <c r="W4" s="479"/>
      <c r="X4" s="477"/>
      <c r="Y4" s="478"/>
      <c r="Z4" s="478"/>
      <c r="AA4" s="478"/>
      <c r="AB4" s="479"/>
    </row>
    <row r="5" spans="2:28" x14ac:dyDescent="0.3">
      <c r="B5" s="9"/>
      <c r="D5" s="389" t="s">
        <v>823</v>
      </c>
      <c r="E5" s="450"/>
      <c r="F5" s="450"/>
      <c r="G5" s="450"/>
      <c r="H5" s="450"/>
      <c r="I5" s="390"/>
      <c r="L5" s="771" t="s">
        <v>955</v>
      </c>
      <c r="M5" s="772"/>
      <c r="N5" s="772"/>
      <c r="O5" s="773"/>
      <c r="P5" s="771" t="s">
        <v>956</v>
      </c>
      <c r="Q5" s="772"/>
      <c r="R5" s="772"/>
      <c r="S5" s="773"/>
      <c r="T5" s="771" t="s">
        <v>957</v>
      </c>
      <c r="U5" s="772"/>
      <c r="V5" s="772"/>
      <c r="W5" s="773"/>
      <c r="X5" s="771" t="s">
        <v>960</v>
      </c>
      <c r="Y5" s="772"/>
      <c r="Z5" s="772"/>
      <c r="AA5" s="772"/>
      <c r="AB5" s="773"/>
    </row>
    <row r="6" spans="2:28" x14ac:dyDescent="0.3">
      <c r="B6" s="1"/>
      <c r="C6" s="1"/>
      <c r="D6" s="291" t="s">
        <v>838</v>
      </c>
      <c r="E6" s="291" t="s">
        <v>839</v>
      </c>
      <c r="F6" s="304" t="s">
        <v>696</v>
      </c>
      <c r="G6" s="304" t="s">
        <v>224</v>
      </c>
      <c r="H6" s="304" t="s">
        <v>976</v>
      </c>
      <c r="I6" s="304" t="s">
        <v>79</v>
      </c>
      <c r="K6">
        <v>0</v>
      </c>
      <c r="L6" s="313" t="s">
        <v>856</v>
      </c>
      <c r="M6" s="313" t="s">
        <v>570</v>
      </c>
      <c r="N6" s="313" t="s">
        <v>952</v>
      </c>
      <c r="O6" s="313" t="s">
        <v>79</v>
      </c>
      <c r="P6" s="313" t="s">
        <v>856</v>
      </c>
      <c r="Q6" s="313" t="s">
        <v>570</v>
      </c>
      <c r="R6" s="313" t="s">
        <v>952</v>
      </c>
      <c r="S6" s="313" t="s">
        <v>79</v>
      </c>
      <c r="T6" s="313" t="s">
        <v>856</v>
      </c>
      <c r="U6" s="313" t="s">
        <v>570</v>
      </c>
      <c r="V6" s="313" t="s">
        <v>952</v>
      </c>
      <c r="W6" s="313" t="s">
        <v>79</v>
      </c>
      <c r="X6" s="329" t="s">
        <v>856</v>
      </c>
      <c r="Y6" s="329" t="s">
        <v>570</v>
      </c>
      <c r="Z6" s="329" t="s">
        <v>959</v>
      </c>
      <c r="AA6" s="313" t="s">
        <v>961</v>
      </c>
      <c r="AB6" s="313" t="s">
        <v>79</v>
      </c>
    </row>
    <row r="7" spans="2:28" x14ac:dyDescent="0.3">
      <c r="B7" s="9" t="s">
        <v>826</v>
      </c>
      <c r="C7" s="1">
        <v>0</v>
      </c>
      <c r="D7" s="280"/>
      <c r="E7" s="280"/>
      <c r="F7" s="280"/>
      <c r="G7" s="280"/>
      <c r="H7" s="280"/>
      <c r="I7" s="280"/>
      <c r="K7">
        <v>1</v>
      </c>
      <c r="L7" s="65">
        <v>0</v>
      </c>
      <c r="M7" s="66">
        <v>0</v>
      </c>
      <c r="N7" s="80">
        <v>2</v>
      </c>
      <c r="O7" s="80">
        <v>20000</v>
      </c>
      <c r="P7" s="65">
        <v>0</v>
      </c>
      <c r="Q7" s="66">
        <v>0</v>
      </c>
      <c r="R7" s="80">
        <v>10</v>
      </c>
      <c r="S7" s="80">
        <v>16000</v>
      </c>
      <c r="T7" s="65">
        <v>0</v>
      </c>
      <c r="U7" s="66">
        <v>0</v>
      </c>
      <c r="V7" s="80">
        <v>2</v>
      </c>
      <c r="W7" s="80">
        <v>7000</v>
      </c>
      <c r="X7" s="65">
        <v>0</v>
      </c>
      <c r="Y7" s="66">
        <v>0</v>
      </c>
      <c r="Z7" s="65">
        <v>20</v>
      </c>
      <c r="AA7" s="80">
        <v>1</v>
      </c>
      <c r="AB7" s="66">
        <v>7000</v>
      </c>
    </row>
    <row r="8" spans="2:28" x14ac:dyDescent="0.3">
      <c r="B8" s="9" t="s">
        <v>827</v>
      </c>
      <c r="C8" s="1">
        <v>1</v>
      </c>
      <c r="D8" s="65">
        <v>1000</v>
      </c>
      <c r="E8" s="80"/>
      <c r="F8" s="308">
        <v>1.5800000000000002E-2</v>
      </c>
      <c r="G8" s="344">
        <v>1</v>
      </c>
      <c r="H8" s="344">
        <v>10</v>
      </c>
      <c r="I8" s="347">
        <v>36000</v>
      </c>
      <c r="K8">
        <v>2</v>
      </c>
      <c r="L8" s="67">
        <v>500</v>
      </c>
      <c r="M8" s="68">
        <v>43200</v>
      </c>
      <c r="N8" s="88">
        <v>3</v>
      </c>
      <c r="O8" s="88">
        <f>O7+20000</f>
        <v>40000</v>
      </c>
      <c r="P8" s="67">
        <v>400</v>
      </c>
      <c r="Q8" s="68">
        <v>34200</v>
      </c>
      <c r="R8" s="88">
        <v>15</v>
      </c>
      <c r="S8" s="88">
        <f>S7+16000</f>
        <v>32000</v>
      </c>
      <c r="T8" s="67">
        <v>200</v>
      </c>
      <c r="U8" s="68">
        <v>13800</v>
      </c>
      <c r="V8" s="88">
        <v>3</v>
      </c>
      <c r="W8" s="88">
        <f>W7+7000</f>
        <v>14000</v>
      </c>
      <c r="X8" s="67">
        <v>100</v>
      </c>
      <c r="Y8" s="68">
        <v>10200</v>
      </c>
      <c r="Z8" s="67">
        <v>30</v>
      </c>
      <c r="AA8" s="88">
        <v>1</v>
      </c>
      <c r="AB8" s="68">
        <f>AB7+7000</f>
        <v>14000</v>
      </c>
    </row>
    <row r="9" spans="2:28" x14ac:dyDescent="0.3">
      <c r="B9" s="9"/>
      <c r="C9" s="1">
        <v>2</v>
      </c>
      <c r="D9" s="67">
        <v>240</v>
      </c>
      <c r="E9" s="88"/>
      <c r="F9" s="310">
        <v>1.6500000000000001E-2</v>
      </c>
      <c r="G9" s="345"/>
      <c r="H9" s="345"/>
      <c r="I9" s="348"/>
      <c r="K9">
        <v>3</v>
      </c>
      <c r="L9" s="67">
        <v>1000</v>
      </c>
      <c r="M9" s="68">
        <v>86400</v>
      </c>
      <c r="N9" s="88">
        <v>4</v>
      </c>
      <c r="O9" s="88">
        <f t="shared" ref="O9:O11" si="0">O8+20000</f>
        <v>60000</v>
      </c>
      <c r="P9" s="67">
        <v>800</v>
      </c>
      <c r="Q9" s="68">
        <v>69000</v>
      </c>
      <c r="R9" s="88">
        <v>20</v>
      </c>
      <c r="S9" s="88">
        <f t="shared" ref="S9:S11" si="1">S8+16000</f>
        <v>48000</v>
      </c>
      <c r="T9" s="67">
        <v>400</v>
      </c>
      <c r="U9" s="68">
        <v>27600</v>
      </c>
      <c r="V9" s="88">
        <v>4</v>
      </c>
      <c r="W9" s="88">
        <f t="shared" ref="W9:W11" si="2">W8+7000</f>
        <v>21000</v>
      </c>
      <c r="X9" s="67">
        <v>200</v>
      </c>
      <c r="Y9" s="68">
        <v>20400</v>
      </c>
      <c r="Z9" s="67">
        <v>40</v>
      </c>
      <c r="AA9" s="88">
        <v>1</v>
      </c>
      <c r="AB9" s="68">
        <f t="shared" ref="AB9:AB16" si="3">AB8+7000</f>
        <v>21000</v>
      </c>
    </row>
    <row r="10" spans="2:28" x14ac:dyDescent="0.3">
      <c r="B10" s="9"/>
      <c r="C10" s="1">
        <v>3</v>
      </c>
      <c r="D10" s="67">
        <v>260</v>
      </c>
      <c r="E10" s="88"/>
      <c r="F10" s="310">
        <v>1.7299999999999999E-2</v>
      </c>
      <c r="G10" s="345"/>
      <c r="H10" s="345"/>
      <c r="I10" s="348"/>
      <c r="K10">
        <v>4</v>
      </c>
      <c r="L10" s="67">
        <v>2000</v>
      </c>
      <c r="M10" s="68">
        <v>172800</v>
      </c>
      <c r="N10" s="88">
        <v>6</v>
      </c>
      <c r="O10" s="88">
        <f t="shared" si="0"/>
        <v>80000</v>
      </c>
      <c r="P10" s="67">
        <v>1600</v>
      </c>
      <c r="Q10" s="68">
        <v>138000</v>
      </c>
      <c r="R10" s="88">
        <v>30</v>
      </c>
      <c r="S10" s="88">
        <f t="shared" si="1"/>
        <v>64000</v>
      </c>
      <c r="T10" s="67">
        <v>800</v>
      </c>
      <c r="U10" s="68">
        <v>55200</v>
      </c>
      <c r="V10" s="88">
        <v>6</v>
      </c>
      <c r="W10" s="88">
        <f t="shared" si="2"/>
        <v>28000</v>
      </c>
      <c r="X10" s="67">
        <v>300</v>
      </c>
      <c r="Y10" s="68">
        <v>30600</v>
      </c>
      <c r="Z10" s="67">
        <v>50</v>
      </c>
      <c r="AA10" s="88">
        <v>2</v>
      </c>
      <c r="AB10" s="68">
        <f t="shared" si="3"/>
        <v>28000</v>
      </c>
    </row>
    <row r="11" spans="2:28" x14ac:dyDescent="0.3">
      <c r="B11" s="9"/>
      <c r="C11" s="1">
        <v>4</v>
      </c>
      <c r="D11" s="67">
        <v>270</v>
      </c>
      <c r="E11" s="88"/>
      <c r="F11" s="310">
        <v>1.7999999999999999E-2</v>
      </c>
      <c r="G11" s="345"/>
      <c r="H11" s="345"/>
      <c r="I11" s="348"/>
      <c r="K11">
        <v>5</v>
      </c>
      <c r="L11" s="69">
        <v>4000</v>
      </c>
      <c r="M11" s="70">
        <v>345600</v>
      </c>
      <c r="N11" s="83">
        <v>8</v>
      </c>
      <c r="O11" s="83">
        <f t="shared" si="0"/>
        <v>100000</v>
      </c>
      <c r="P11" s="69">
        <v>3200</v>
      </c>
      <c r="Q11" s="70">
        <v>276000</v>
      </c>
      <c r="R11" s="83">
        <v>40</v>
      </c>
      <c r="S11" s="83">
        <f t="shared" si="1"/>
        <v>80000</v>
      </c>
      <c r="T11" s="69">
        <v>1600</v>
      </c>
      <c r="U11" s="70">
        <v>11400</v>
      </c>
      <c r="V11" s="83">
        <v>8</v>
      </c>
      <c r="W11" s="83">
        <f t="shared" si="2"/>
        <v>35000</v>
      </c>
      <c r="X11" s="69">
        <v>400</v>
      </c>
      <c r="Y11" s="70">
        <v>41400</v>
      </c>
      <c r="Z11" s="69">
        <v>60</v>
      </c>
      <c r="AA11" s="83">
        <v>2</v>
      </c>
      <c r="AB11" s="70">
        <f t="shared" si="3"/>
        <v>35000</v>
      </c>
    </row>
    <row r="12" spans="2:28" x14ac:dyDescent="0.3">
      <c r="B12" s="9"/>
      <c r="C12" s="1">
        <v>5</v>
      </c>
      <c r="D12" s="67">
        <v>280</v>
      </c>
      <c r="E12" s="88"/>
      <c r="F12" s="310">
        <v>1.8800000000000001E-2</v>
      </c>
      <c r="G12" s="345"/>
      <c r="H12" s="345"/>
      <c r="I12" s="348"/>
      <c r="K12">
        <v>6</v>
      </c>
      <c r="L12" s="314"/>
      <c r="M12" s="315"/>
      <c r="N12" s="296"/>
      <c r="O12" s="296"/>
      <c r="P12" s="314"/>
      <c r="Q12" s="315"/>
      <c r="R12" s="296"/>
      <c r="S12" s="296"/>
      <c r="T12" s="314"/>
      <c r="U12" s="315"/>
      <c r="V12" s="296"/>
      <c r="W12" s="296"/>
      <c r="X12" s="67">
        <v>500</v>
      </c>
      <c r="Y12" s="68">
        <v>51600</v>
      </c>
      <c r="Z12" s="65">
        <v>70</v>
      </c>
      <c r="AA12" s="80">
        <v>2</v>
      </c>
      <c r="AB12" s="66">
        <f t="shared" si="3"/>
        <v>42000</v>
      </c>
    </row>
    <row r="13" spans="2:28" x14ac:dyDescent="0.3">
      <c r="B13" s="9"/>
      <c r="C13" s="1">
        <v>6</v>
      </c>
      <c r="D13" s="67">
        <v>290</v>
      </c>
      <c r="E13" s="88"/>
      <c r="F13" s="310">
        <v>1.95E-2</v>
      </c>
      <c r="G13" s="345"/>
      <c r="H13" s="345"/>
      <c r="I13" s="348"/>
      <c r="K13">
        <v>7</v>
      </c>
      <c r="L13" s="314"/>
      <c r="M13" s="315"/>
      <c r="N13" s="296"/>
      <c r="O13" s="296"/>
      <c r="P13" s="314"/>
      <c r="Q13" s="315"/>
      <c r="R13" s="296"/>
      <c r="S13" s="296"/>
      <c r="T13" s="314"/>
      <c r="U13" s="315"/>
      <c r="V13" s="296"/>
      <c r="W13" s="296"/>
      <c r="X13" s="67">
        <v>600</v>
      </c>
      <c r="Y13" s="68">
        <v>61800</v>
      </c>
      <c r="Z13" s="67">
        <v>80</v>
      </c>
      <c r="AA13" s="88">
        <v>3</v>
      </c>
      <c r="AB13" s="68">
        <f t="shared" si="3"/>
        <v>49000</v>
      </c>
    </row>
    <row r="14" spans="2:28" x14ac:dyDescent="0.3">
      <c r="B14" s="9"/>
      <c r="C14" s="1">
        <v>7</v>
      </c>
      <c r="D14" s="67">
        <v>320</v>
      </c>
      <c r="E14" s="88"/>
      <c r="F14" s="310">
        <v>2.0299999999999999E-2</v>
      </c>
      <c r="G14" s="345"/>
      <c r="H14" s="345"/>
      <c r="I14" s="348"/>
      <c r="K14">
        <v>8</v>
      </c>
      <c r="L14" s="314"/>
      <c r="M14" s="315"/>
      <c r="N14" s="296"/>
      <c r="O14" s="296"/>
      <c r="P14" s="314"/>
      <c r="Q14" s="315"/>
      <c r="R14" s="296"/>
      <c r="S14" s="296"/>
      <c r="T14" s="314"/>
      <c r="U14" s="315"/>
      <c r="V14" s="296"/>
      <c r="W14" s="296"/>
      <c r="X14" s="67">
        <v>700</v>
      </c>
      <c r="Y14" s="68">
        <v>72600</v>
      </c>
      <c r="Z14" s="67">
        <v>90</v>
      </c>
      <c r="AA14" s="88">
        <v>3</v>
      </c>
      <c r="AB14" s="68">
        <f t="shared" si="3"/>
        <v>56000</v>
      </c>
    </row>
    <row r="15" spans="2:28" x14ac:dyDescent="0.3">
      <c r="B15" s="9"/>
      <c r="C15" s="1">
        <v>8</v>
      </c>
      <c r="D15" s="67">
        <v>340</v>
      </c>
      <c r="E15" s="88"/>
      <c r="F15" s="310">
        <v>2.1000000000000001E-2</v>
      </c>
      <c r="G15" s="345"/>
      <c r="H15" s="345"/>
      <c r="I15" s="348"/>
      <c r="K15">
        <v>9</v>
      </c>
      <c r="L15" s="314"/>
      <c r="M15" s="315"/>
      <c r="N15" s="296"/>
      <c r="O15" s="296"/>
      <c r="P15" s="314"/>
      <c r="Q15" s="315"/>
      <c r="R15" s="296"/>
      <c r="S15" s="296"/>
      <c r="T15" s="314"/>
      <c r="U15" s="315"/>
      <c r="V15" s="296"/>
      <c r="W15" s="296"/>
      <c r="X15" s="67">
        <v>800</v>
      </c>
      <c r="Y15" s="68">
        <v>82800</v>
      </c>
      <c r="Z15" s="67">
        <v>100</v>
      </c>
      <c r="AA15" s="88">
        <v>3</v>
      </c>
      <c r="AB15" s="68">
        <f t="shared" si="3"/>
        <v>63000</v>
      </c>
    </row>
    <row r="16" spans="2:28" x14ac:dyDescent="0.3">
      <c r="B16" s="9"/>
      <c r="C16" s="1">
        <v>9</v>
      </c>
      <c r="D16" s="67">
        <v>360</v>
      </c>
      <c r="E16" s="88"/>
      <c r="F16" s="310">
        <v>2.18E-2</v>
      </c>
      <c r="G16" s="345"/>
      <c r="H16" s="345"/>
      <c r="I16" s="348"/>
      <c r="K16">
        <v>10</v>
      </c>
      <c r="L16" s="318"/>
      <c r="M16" s="319"/>
      <c r="N16" s="328"/>
      <c r="O16" s="328"/>
      <c r="P16" s="318"/>
      <c r="Q16" s="319"/>
      <c r="R16" s="328"/>
      <c r="S16" s="328"/>
      <c r="T16" s="318"/>
      <c r="U16" s="319"/>
      <c r="V16" s="328"/>
      <c r="W16" s="328"/>
      <c r="X16" s="69">
        <v>900</v>
      </c>
      <c r="Y16" s="70">
        <v>93000</v>
      </c>
      <c r="Z16" s="69">
        <v>120</v>
      </c>
      <c r="AA16" s="83">
        <v>4</v>
      </c>
      <c r="AB16" s="70">
        <f t="shared" si="3"/>
        <v>70000</v>
      </c>
    </row>
    <row r="17" spans="2:27" x14ac:dyDescent="0.3">
      <c r="B17" s="9"/>
      <c r="C17" s="1">
        <v>10</v>
      </c>
      <c r="D17" s="67">
        <v>390</v>
      </c>
      <c r="E17" s="88"/>
      <c r="F17" s="310">
        <v>2.2800000000000001E-2</v>
      </c>
      <c r="G17" s="345"/>
      <c r="H17" s="345"/>
      <c r="I17" s="348"/>
      <c r="L17" s="88">
        <f>SUM(L7:L16)</f>
        <v>7500</v>
      </c>
      <c r="M17" s="88">
        <f t="shared" ref="M17:Y17" si="4">SUM(M7:M16)</f>
        <v>648000</v>
      </c>
      <c r="N17" s="88"/>
      <c r="O17" s="88"/>
      <c r="P17" s="88">
        <f t="shared" si="4"/>
        <v>6000</v>
      </c>
      <c r="Q17" s="88">
        <f t="shared" si="4"/>
        <v>517200</v>
      </c>
      <c r="R17" s="88"/>
      <c r="S17" s="88"/>
      <c r="T17" s="88">
        <f t="shared" si="4"/>
        <v>3000</v>
      </c>
      <c r="U17" s="88">
        <f t="shared" si="4"/>
        <v>108000</v>
      </c>
      <c r="V17" s="88"/>
      <c r="W17" s="88"/>
      <c r="X17" s="88">
        <f t="shared" si="4"/>
        <v>4500</v>
      </c>
      <c r="Y17" s="88">
        <f t="shared" si="4"/>
        <v>464400</v>
      </c>
      <c r="Z17" s="88"/>
      <c r="AA17" s="88"/>
    </row>
    <row r="18" spans="2:27" x14ac:dyDescent="0.3">
      <c r="B18" s="9" t="s">
        <v>828</v>
      </c>
      <c r="C18" s="1">
        <v>10.1</v>
      </c>
      <c r="D18" s="69" t="s">
        <v>27</v>
      </c>
      <c r="E18" s="83">
        <v>5</v>
      </c>
      <c r="F18" s="316">
        <v>2.8500000000000001E-2</v>
      </c>
      <c r="G18" s="346">
        <v>1</v>
      </c>
      <c r="H18" s="346">
        <v>12</v>
      </c>
      <c r="I18" s="349">
        <v>72000</v>
      </c>
      <c r="L18" s="88"/>
      <c r="M18" s="88"/>
      <c r="N18" s="88"/>
      <c r="O18" s="88"/>
      <c r="P18" s="88"/>
      <c r="Q18" s="88"/>
      <c r="R18" s="88"/>
      <c r="S18" s="88"/>
      <c r="T18" s="88"/>
      <c r="U18" s="88"/>
      <c r="V18" s="88"/>
      <c r="W18" s="88"/>
      <c r="X18" s="88"/>
      <c r="Y18" s="88"/>
      <c r="Z18" s="88"/>
      <c r="AA18" s="88"/>
    </row>
    <row r="19" spans="2:27" x14ac:dyDescent="0.3">
      <c r="B19" s="9"/>
      <c r="C19" s="1">
        <v>11</v>
      </c>
      <c r="D19" s="65">
        <v>410</v>
      </c>
      <c r="E19" s="80"/>
      <c r="F19" s="308">
        <v>2.93E-2</v>
      </c>
      <c r="G19" s="344"/>
      <c r="H19" s="344"/>
      <c r="I19" s="347"/>
    </row>
    <row r="20" spans="2:27" x14ac:dyDescent="0.3">
      <c r="B20" s="9"/>
      <c r="C20" s="1">
        <v>12</v>
      </c>
      <c r="D20" s="67">
        <v>440</v>
      </c>
      <c r="E20" s="88"/>
      <c r="F20" s="310">
        <v>0.03</v>
      </c>
      <c r="G20" s="345"/>
      <c r="H20" s="345"/>
      <c r="I20" s="348"/>
    </row>
    <row r="21" spans="2:27" x14ac:dyDescent="0.3">
      <c r="B21" s="9"/>
      <c r="C21" s="1">
        <v>13</v>
      </c>
      <c r="D21" s="67">
        <v>460</v>
      </c>
      <c r="E21" s="88"/>
      <c r="F21" s="310">
        <v>3.0800000000000001E-2</v>
      </c>
      <c r="G21" s="345"/>
      <c r="H21" s="345"/>
      <c r="I21" s="348"/>
    </row>
    <row r="22" spans="2:27" x14ac:dyDescent="0.3">
      <c r="B22" s="9"/>
      <c r="C22" s="1">
        <v>14</v>
      </c>
      <c r="D22" s="67">
        <v>480</v>
      </c>
      <c r="E22" s="88"/>
      <c r="F22" s="310">
        <v>3.15E-2</v>
      </c>
      <c r="G22" s="345"/>
      <c r="H22" s="345"/>
      <c r="I22" s="348"/>
    </row>
    <row r="23" spans="2:27" x14ac:dyDescent="0.3">
      <c r="B23" s="9"/>
      <c r="C23" s="1">
        <v>15</v>
      </c>
      <c r="D23" s="67">
        <v>510</v>
      </c>
      <c r="E23" s="88"/>
      <c r="F23" s="310">
        <v>3.2300000000000002E-2</v>
      </c>
      <c r="G23" s="345"/>
      <c r="H23" s="345"/>
      <c r="I23" s="348"/>
    </row>
    <row r="24" spans="2:27" x14ac:dyDescent="0.3">
      <c r="B24" s="9"/>
      <c r="C24" s="1">
        <v>16</v>
      </c>
      <c r="D24" s="67">
        <v>530</v>
      </c>
      <c r="E24" s="88"/>
      <c r="F24" s="310">
        <v>3.3000000000000002E-2</v>
      </c>
      <c r="G24" s="345"/>
      <c r="H24" s="345"/>
      <c r="I24" s="348"/>
    </row>
    <row r="25" spans="2:27" x14ac:dyDescent="0.3">
      <c r="B25" s="9"/>
      <c r="C25" s="1">
        <v>17</v>
      </c>
      <c r="D25" s="67">
        <v>560</v>
      </c>
      <c r="E25" s="88"/>
      <c r="F25" s="310">
        <v>3.3799999999999997E-2</v>
      </c>
      <c r="G25" s="345"/>
      <c r="H25" s="345"/>
      <c r="I25" s="348"/>
    </row>
    <row r="26" spans="2:27" x14ac:dyDescent="0.3">
      <c r="B26" s="9"/>
      <c r="C26" s="1">
        <v>18</v>
      </c>
      <c r="D26" s="67">
        <v>580</v>
      </c>
      <c r="E26" s="88"/>
      <c r="F26" s="310">
        <v>3.4500000000000003E-2</v>
      </c>
      <c r="G26" s="345"/>
      <c r="H26" s="345"/>
      <c r="I26" s="348"/>
    </row>
    <row r="27" spans="2:27" x14ac:dyDescent="0.3">
      <c r="B27" s="9"/>
      <c r="C27" s="1">
        <v>19</v>
      </c>
      <c r="D27" s="67">
        <v>600</v>
      </c>
      <c r="E27" s="88"/>
      <c r="F27" s="310">
        <v>3.5299999999999998E-2</v>
      </c>
      <c r="G27" s="345"/>
      <c r="H27" s="345"/>
      <c r="I27" s="348"/>
    </row>
    <row r="28" spans="2:27" x14ac:dyDescent="0.3">
      <c r="B28" s="9"/>
      <c r="C28" s="1">
        <v>20</v>
      </c>
      <c r="D28" s="67">
        <v>630</v>
      </c>
      <c r="E28" s="88"/>
      <c r="F28" s="310">
        <v>3.5999999999999997E-2</v>
      </c>
      <c r="G28" s="345"/>
      <c r="H28" s="345"/>
      <c r="I28" s="348"/>
    </row>
    <row r="29" spans="2:27" x14ac:dyDescent="0.3">
      <c r="B29" s="9" t="s">
        <v>829</v>
      </c>
      <c r="C29" s="1">
        <v>20.100000000000001</v>
      </c>
      <c r="D29" s="69" t="s">
        <v>27</v>
      </c>
      <c r="E29" s="83">
        <v>10</v>
      </c>
      <c r="F29" s="316">
        <v>4.2000000000000003E-2</v>
      </c>
      <c r="G29" s="346">
        <v>1</v>
      </c>
      <c r="H29" s="346">
        <v>14</v>
      </c>
      <c r="I29" s="349">
        <v>108000</v>
      </c>
    </row>
    <row r="30" spans="2:27" x14ac:dyDescent="0.3">
      <c r="B30" s="9"/>
      <c r="C30" s="1">
        <v>21</v>
      </c>
      <c r="D30" s="65">
        <v>650</v>
      </c>
      <c r="E30" s="80"/>
      <c r="F30" s="308">
        <v>4.2799999999999998E-2</v>
      </c>
      <c r="G30" s="344"/>
      <c r="H30" s="344"/>
      <c r="I30" s="347"/>
    </row>
    <row r="31" spans="2:27" x14ac:dyDescent="0.3">
      <c r="B31" s="9"/>
      <c r="C31" s="1">
        <v>22</v>
      </c>
      <c r="D31" s="67">
        <v>680</v>
      </c>
      <c r="E31" s="88"/>
      <c r="F31" s="310">
        <v>4.3499999999999997E-2</v>
      </c>
      <c r="G31" s="345"/>
      <c r="H31" s="345"/>
      <c r="I31" s="348"/>
    </row>
    <row r="32" spans="2:27" x14ac:dyDescent="0.3">
      <c r="B32" s="9"/>
      <c r="C32" s="1">
        <v>23</v>
      </c>
      <c r="D32" s="67">
        <v>700</v>
      </c>
      <c r="E32" s="88"/>
      <c r="F32" s="310">
        <v>4.4299999999999999E-2</v>
      </c>
      <c r="G32" s="345"/>
      <c r="H32" s="345"/>
      <c r="I32" s="348"/>
    </row>
    <row r="33" spans="2:9" x14ac:dyDescent="0.3">
      <c r="B33" s="9"/>
      <c r="C33" s="1">
        <v>24</v>
      </c>
      <c r="D33" s="67">
        <v>720</v>
      </c>
      <c r="E33" s="88"/>
      <c r="F33" s="310">
        <v>4.4999999999999998E-2</v>
      </c>
      <c r="G33" s="345"/>
      <c r="H33" s="345"/>
      <c r="I33" s="348"/>
    </row>
    <row r="34" spans="2:9" x14ac:dyDescent="0.3">
      <c r="B34" s="9"/>
      <c r="C34" s="1">
        <v>25</v>
      </c>
      <c r="D34" s="67">
        <v>750</v>
      </c>
      <c r="E34" s="88"/>
      <c r="F34" s="310">
        <v>4.58E-2</v>
      </c>
      <c r="G34" s="345"/>
      <c r="H34" s="345"/>
      <c r="I34" s="348"/>
    </row>
    <row r="35" spans="2:9" x14ac:dyDescent="0.3">
      <c r="B35" s="9"/>
      <c r="C35" s="1">
        <v>26</v>
      </c>
      <c r="D35" s="67">
        <v>770</v>
      </c>
      <c r="E35" s="88"/>
      <c r="F35" s="310">
        <v>4.65E-2</v>
      </c>
      <c r="G35" s="345"/>
      <c r="H35" s="345"/>
      <c r="I35" s="348"/>
    </row>
    <row r="36" spans="2:9" x14ac:dyDescent="0.3">
      <c r="B36" s="9"/>
      <c r="C36" s="1">
        <v>27</v>
      </c>
      <c r="D36" s="67">
        <v>800</v>
      </c>
      <c r="E36" s="88"/>
      <c r="F36" s="310">
        <v>4.7300000000000002E-2</v>
      </c>
      <c r="G36" s="345"/>
      <c r="H36" s="345"/>
      <c r="I36" s="348"/>
    </row>
    <row r="37" spans="2:9" x14ac:dyDescent="0.3">
      <c r="B37" s="259"/>
      <c r="C37" s="1">
        <v>28</v>
      </c>
      <c r="D37" s="67">
        <v>820</v>
      </c>
      <c r="E37" s="88"/>
      <c r="F37" s="310">
        <v>4.8000000000000001E-2</v>
      </c>
      <c r="G37" s="345"/>
      <c r="H37" s="345"/>
      <c r="I37" s="348"/>
    </row>
    <row r="38" spans="2:9" x14ac:dyDescent="0.3">
      <c r="B38" s="9"/>
      <c r="C38" s="1">
        <v>29</v>
      </c>
      <c r="D38" s="67">
        <v>840</v>
      </c>
      <c r="E38" s="88"/>
      <c r="F38" s="310">
        <v>4.8800000000000003E-2</v>
      </c>
      <c r="G38" s="345"/>
      <c r="H38" s="345"/>
      <c r="I38" s="348"/>
    </row>
    <row r="39" spans="2:9" x14ac:dyDescent="0.3">
      <c r="B39" s="9"/>
      <c r="C39" s="1">
        <v>30</v>
      </c>
      <c r="D39" s="67">
        <v>880</v>
      </c>
      <c r="E39" s="88"/>
      <c r="F39" s="310">
        <v>4.9500000000000002E-2</v>
      </c>
      <c r="G39" s="345"/>
      <c r="H39" s="345"/>
      <c r="I39" s="348"/>
    </row>
    <row r="40" spans="2:9" x14ac:dyDescent="0.3">
      <c r="B40" s="9" t="s">
        <v>830</v>
      </c>
      <c r="C40" s="1">
        <v>30.1</v>
      </c>
      <c r="D40" s="69" t="s">
        <v>27</v>
      </c>
      <c r="E40" s="83">
        <v>15</v>
      </c>
      <c r="F40" s="316">
        <v>5.5E-2</v>
      </c>
      <c r="G40" s="346">
        <v>2</v>
      </c>
      <c r="H40" s="346">
        <v>16</v>
      </c>
      <c r="I40" s="349">
        <v>144000</v>
      </c>
    </row>
    <row r="41" spans="2:9" x14ac:dyDescent="0.3">
      <c r="B41" s="9"/>
      <c r="C41" s="1">
        <v>31</v>
      </c>
      <c r="D41" s="65">
        <v>920</v>
      </c>
      <c r="E41" s="80"/>
      <c r="F41" s="308">
        <v>5.6300000000000003E-2</v>
      </c>
      <c r="G41" s="344"/>
      <c r="H41" s="344"/>
      <c r="I41" s="347"/>
    </row>
    <row r="42" spans="2:9" x14ac:dyDescent="0.3">
      <c r="B42" s="9"/>
      <c r="C42" s="1">
        <v>32</v>
      </c>
      <c r="D42" s="67">
        <v>950</v>
      </c>
      <c r="E42" s="88"/>
      <c r="F42" s="310">
        <v>5.7000000000000002E-2</v>
      </c>
      <c r="G42" s="345"/>
      <c r="H42" s="345"/>
      <c r="I42" s="348"/>
    </row>
    <row r="43" spans="2:9" x14ac:dyDescent="0.3">
      <c r="B43" s="259"/>
      <c r="C43" s="1">
        <v>33</v>
      </c>
      <c r="D43" s="67">
        <v>990</v>
      </c>
      <c r="E43" s="88"/>
      <c r="F43" s="310">
        <v>5.7799999999999997E-2</v>
      </c>
      <c r="G43" s="345"/>
      <c r="H43" s="345"/>
      <c r="I43" s="348"/>
    </row>
    <row r="44" spans="2:9" x14ac:dyDescent="0.3">
      <c r="B44" s="9"/>
      <c r="C44" s="1">
        <v>34</v>
      </c>
      <c r="D44" s="67">
        <v>1020</v>
      </c>
      <c r="E44" s="88"/>
      <c r="F44" s="310">
        <v>5.8500000000000003E-2</v>
      </c>
      <c r="G44" s="345"/>
      <c r="H44" s="345"/>
      <c r="I44" s="348"/>
    </row>
    <row r="45" spans="2:9" x14ac:dyDescent="0.3">
      <c r="B45" s="9"/>
      <c r="C45" s="1">
        <v>35</v>
      </c>
      <c r="D45" s="67">
        <v>1060</v>
      </c>
      <c r="E45" s="88"/>
      <c r="F45" s="310">
        <v>5.9299999999999999E-2</v>
      </c>
      <c r="G45" s="345"/>
      <c r="H45" s="345"/>
      <c r="I45" s="348"/>
    </row>
    <row r="46" spans="2:9" x14ac:dyDescent="0.3">
      <c r="B46" s="9"/>
      <c r="C46" s="1">
        <v>36</v>
      </c>
      <c r="D46" s="67">
        <v>1100</v>
      </c>
      <c r="E46" s="88"/>
      <c r="F46" s="310">
        <v>0.06</v>
      </c>
      <c r="G46" s="345"/>
      <c r="H46" s="345"/>
      <c r="I46" s="348"/>
    </row>
    <row r="47" spans="2:9" x14ac:dyDescent="0.3">
      <c r="B47" s="9"/>
      <c r="C47" s="1">
        <v>37</v>
      </c>
      <c r="D47" s="67">
        <v>1130</v>
      </c>
      <c r="E47" s="88"/>
      <c r="F47" s="310">
        <v>6.08E-2</v>
      </c>
      <c r="G47" s="345"/>
      <c r="H47" s="345"/>
      <c r="I47" s="348"/>
    </row>
    <row r="48" spans="2:9" x14ac:dyDescent="0.3">
      <c r="B48" s="9"/>
      <c r="C48" s="1">
        <v>38</v>
      </c>
      <c r="D48" s="67">
        <v>1170</v>
      </c>
      <c r="E48" s="88"/>
      <c r="F48" s="310">
        <v>6.1499999999999999E-2</v>
      </c>
      <c r="G48" s="345"/>
      <c r="H48" s="345"/>
      <c r="I48" s="348"/>
    </row>
    <row r="49" spans="2:9" x14ac:dyDescent="0.3">
      <c r="B49" s="9"/>
      <c r="C49" s="1">
        <v>39</v>
      </c>
      <c r="D49" s="67">
        <v>1210</v>
      </c>
      <c r="E49" s="88"/>
      <c r="F49" s="310">
        <v>6.2300000000000001E-2</v>
      </c>
      <c r="G49" s="345"/>
      <c r="H49" s="345"/>
      <c r="I49" s="348"/>
    </row>
    <row r="50" spans="2:9" x14ac:dyDescent="0.3">
      <c r="B50" s="9"/>
      <c r="C50" s="1">
        <v>40</v>
      </c>
      <c r="D50" s="67">
        <v>1250</v>
      </c>
      <c r="E50" s="88"/>
      <c r="F50" s="310">
        <v>6.3E-2</v>
      </c>
      <c r="G50" s="345"/>
      <c r="H50" s="345"/>
      <c r="I50" s="348"/>
    </row>
    <row r="51" spans="2:9" x14ac:dyDescent="0.3">
      <c r="B51" s="9" t="s">
        <v>831</v>
      </c>
      <c r="C51" s="1">
        <v>40.1</v>
      </c>
      <c r="D51" s="69" t="s">
        <v>27</v>
      </c>
      <c r="E51" s="83">
        <v>20</v>
      </c>
      <c r="F51" s="316">
        <v>6.9000000000000006E-2</v>
      </c>
      <c r="G51" s="346">
        <v>2</v>
      </c>
      <c r="H51" s="346">
        <v>18</v>
      </c>
      <c r="I51" s="349">
        <v>180000</v>
      </c>
    </row>
    <row r="52" spans="2:9" x14ac:dyDescent="0.3">
      <c r="B52" s="9"/>
      <c r="C52" s="1">
        <v>41</v>
      </c>
      <c r="D52" s="65">
        <v>1300</v>
      </c>
      <c r="E52" s="80"/>
      <c r="F52" s="308">
        <v>6.9800000000000001E-2</v>
      </c>
      <c r="G52" s="344"/>
      <c r="H52" s="344"/>
      <c r="I52" s="347"/>
    </row>
    <row r="53" spans="2:9" x14ac:dyDescent="0.3">
      <c r="B53" s="9"/>
      <c r="C53" s="1">
        <v>42</v>
      </c>
      <c r="D53" s="67">
        <v>1350</v>
      </c>
      <c r="E53" s="88"/>
      <c r="F53" s="310">
        <v>7.0499999999999993E-2</v>
      </c>
      <c r="G53" s="345"/>
      <c r="H53" s="345"/>
      <c r="I53" s="348"/>
    </row>
    <row r="54" spans="2:9" x14ac:dyDescent="0.3">
      <c r="B54" s="9"/>
      <c r="C54" s="1">
        <v>43</v>
      </c>
      <c r="D54" s="67">
        <v>1400</v>
      </c>
      <c r="E54" s="88"/>
      <c r="F54" s="310">
        <v>7.1300000000000002E-2</v>
      </c>
      <c r="G54" s="345"/>
      <c r="H54" s="345"/>
      <c r="I54" s="348"/>
    </row>
    <row r="55" spans="2:9" x14ac:dyDescent="0.3">
      <c r="B55" s="9"/>
      <c r="C55" s="1">
        <v>44</v>
      </c>
      <c r="D55" s="67">
        <v>1440</v>
      </c>
      <c r="E55" s="88"/>
      <c r="F55" s="310">
        <v>7.1999999999999995E-2</v>
      </c>
      <c r="G55" s="345"/>
      <c r="H55" s="345"/>
      <c r="I55" s="348"/>
    </row>
    <row r="56" spans="2:9" x14ac:dyDescent="0.3">
      <c r="B56" s="9"/>
      <c r="C56" s="1">
        <v>45</v>
      </c>
      <c r="D56" s="67">
        <v>1490</v>
      </c>
      <c r="E56" s="88"/>
      <c r="F56" s="310">
        <v>7.2800000000000004E-2</v>
      </c>
      <c r="G56" s="345"/>
      <c r="H56" s="345"/>
      <c r="I56" s="348"/>
    </row>
    <row r="57" spans="2:9" x14ac:dyDescent="0.3">
      <c r="B57" s="9"/>
      <c r="C57" s="1">
        <v>46</v>
      </c>
      <c r="D57" s="67">
        <v>1540</v>
      </c>
      <c r="E57" s="88"/>
      <c r="F57" s="310">
        <v>7.3499999999999996E-2</v>
      </c>
      <c r="G57" s="345"/>
      <c r="H57" s="345"/>
      <c r="I57" s="348"/>
    </row>
    <row r="58" spans="2:9" x14ac:dyDescent="0.3">
      <c r="B58" s="9"/>
      <c r="C58" s="1">
        <v>47</v>
      </c>
      <c r="D58" s="67">
        <v>1590</v>
      </c>
      <c r="E58" s="88"/>
      <c r="F58" s="310">
        <v>7.4300000000000005E-2</v>
      </c>
      <c r="G58" s="345"/>
      <c r="H58" s="345"/>
      <c r="I58" s="348"/>
    </row>
    <row r="59" spans="2:9" x14ac:dyDescent="0.3">
      <c r="B59" s="9"/>
      <c r="C59" s="1">
        <v>48</v>
      </c>
      <c r="D59" s="67">
        <v>1640</v>
      </c>
      <c r="E59" s="88"/>
      <c r="F59" s="310">
        <v>7.4999999999999997E-2</v>
      </c>
      <c r="G59" s="345"/>
      <c r="H59" s="345"/>
      <c r="I59" s="348"/>
    </row>
    <row r="60" spans="2:9" x14ac:dyDescent="0.3">
      <c r="B60" s="9"/>
      <c r="C60" s="1">
        <v>49</v>
      </c>
      <c r="D60" s="67">
        <v>1680</v>
      </c>
      <c r="E60" s="88"/>
      <c r="F60" s="310">
        <v>7.5800000000000006E-2</v>
      </c>
      <c r="G60" s="345"/>
      <c r="H60" s="345"/>
      <c r="I60" s="348"/>
    </row>
    <row r="61" spans="2:9" x14ac:dyDescent="0.3">
      <c r="B61" s="9"/>
      <c r="C61" s="1">
        <v>50</v>
      </c>
      <c r="D61" s="67">
        <v>1740</v>
      </c>
      <c r="E61" s="88"/>
      <c r="F61" s="310">
        <v>7.6499999999999999E-2</v>
      </c>
      <c r="G61" s="345"/>
      <c r="H61" s="345"/>
      <c r="I61" s="348"/>
    </row>
    <row r="62" spans="2:9" x14ac:dyDescent="0.3">
      <c r="B62" s="9" t="s">
        <v>832</v>
      </c>
      <c r="C62" s="1">
        <v>50.1</v>
      </c>
      <c r="D62" s="69" t="s">
        <v>27</v>
      </c>
      <c r="E62" s="83">
        <v>25</v>
      </c>
      <c r="F62" s="316">
        <v>8.2500000000000004E-2</v>
      </c>
      <c r="G62" s="346">
        <v>3</v>
      </c>
      <c r="H62" s="346">
        <v>20</v>
      </c>
      <c r="I62" s="349">
        <v>216000</v>
      </c>
    </row>
    <row r="63" spans="2:9" x14ac:dyDescent="0.3">
      <c r="B63" s="9"/>
      <c r="C63" s="1">
        <v>51</v>
      </c>
      <c r="D63" s="65">
        <v>1800</v>
      </c>
      <c r="E63" s="80"/>
      <c r="F63" s="308">
        <v>8.3299999999999999E-2</v>
      </c>
      <c r="G63" s="344"/>
      <c r="H63" s="344"/>
      <c r="I63" s="347"/>
    </row>
    <row r="64" spans="2:9" x14ac:dyDescent="0.3">
      <c r="B64" s="9"/>
      <c r="C64" s="1">
        <v>52</v>
      </c>
      <c r="D64" s="67">
        <v>1860</v>
      </c>
      <c r="E64" s="88"/>
      <c r="F64" s="310">
        <v>8.4000000000000005E-2</v>
      </c>
      <c r="G64" s="345"/>
      <c r="H64" s="345"/>
      <c r="I64" s="348"/>
    </row>
    <row r="65" spans="2:9" x14ac:dyDescent="0.3">
      <c r="B65" s="9"/>
      <c r="C65" s="1">
        <v>53</v>
      </c>
      <c r="D65" s="67">
        <v>1920</v>
      </c>
      <c r="E65" s="88"/>
      <c r="F65" s="310">
        <v>8.48E-2</v>
      </c>
      <c r="G65" s="345"/>
      <c r="H65" s="345"/>
      <c r="I65" s="348"/>
    </row>
    <row r="66" spans="2:9" x14ac:dyDescent="0.3">
      <c r="B66" s="9"/>
      <c r="C66" s="1">
        <v>54</v>
      </c>
      <c r="D66" s="67">
        <v>1980</v>
      </c>
      <c r="E66" s="88"/>
      <c r="F66" s="310">
        <v>8.5500000000000007E-2</v>
      </c>
      <c r="G66" s="345"/>
      <c r="H66" s="345"/>
      <c r="I66" s="348"/>
    </row>
    <row r="67" spans="2:9" x14ac:dyDescent="0.3">
      <c r="B67" s="9"/>
      <c r="C67" s="1">
        <v>55</v>
      </c>
      <c r="D67" s="67">
        <v>2040</v>
      </c>
      <c r="E67" s="88"/>
      <c r="F67" s="310">
        <v>8.6300000000000002E-2</v>
      </c>
      <c r="G67" s="345"/>
      <c r="H67" s="345"/>
      <c r="I67" s="348"/>
    </row>
    <row r="68" spans="2:9" x14ac:dyDescent="0.3">
      <c r="B68" s="9"/>
      <c r="C68" s="1">
        <v>56</v>
      </c>
      <c r="D68" s="67">
        <v>2100</v>
      </c>
      <c r="E68" s="88"/>
      <c r="F68" s="310">
        <v>8.6999999999999994E-2</v>
      </c>
      <c r="G68" s="345"/>
      <c r="H68" s="345"/>
      <c r="I68" s="348"/>
    </row>
    <row r="69" spans="2:9" x14ac:dyDescent="0.3">
      <c r="B69" s="9"/>
      <c r="C69" s="1">
        <v>57</v>
      </c>
      <c r="D69" s="67">
        <v>2160</v>
      </c>
      <c r="E69" s="88"/>
      <c r="F69" s="310">
        <v>8.7800000000000003E-2</v>
      </c>
      <c r="G69" s="345"/>
      <c r="H69" s="345"/>
      <c r="I69" s="348"/>
    </row>
    <row r="70" spans="2:9" x14ac:dyDescent="0.3">
      <c r="B70" s="9"/>
      <c r="C70" s="1">
        <v>58</v>
      </c>
      <c r="D70" s="67">
        <v>2220</v>
      </c>
      <c r="E70" s="88"/>
      <c r="F70" s="310">
        <v>8.8499999999999995E-2</v>
      </c>
      <c r="G70" s="345"/>
      <c r="H70" s="345"/>
      <c r="I70" s="348"/>
    </row>
    <row r="71" spans="2:9" x14ac:dyDescent="0.3">
      <c r="B71" s="9"/>
      <c r="C71" s="1">
        <v>59</v>
      </c>
      <c r="D71" s="67">
        <v>2280</v>
      </c>
      <c r="E71" s="88"/>
      <c r="F71" s="310">
        <v>8.9300000000000004E-2</v>
      </c>
      <c r="G71" s="345"/>
      <c r="H71" s="345"/>
      <c r="I71" s="348"/>
    </row>
    <row r="72" spans="2:9" x14ac:dyDescent="0.3">
      <c r="B72" s="9"/>
      <c r="C72" s="1">
        <v>60</v>
      </c>
      <c r="D72" s="67">
        <v>2340</v>
      </c>
      <c r="E72" s="88"/>
      <c r="F72" s="310">
        <v>0.09</v>
      </c>
      <c r="G72" s="345"/>
      <c r="H72" s="345"/>
      <c r="I72" s="348"/>
    </row>
    <row r="73" spans="2:9" x14ac:dyDescent="0.3">
      <c r="B73" s="9" t="s">
        <v>833</v>
      </c>
      <c r="C73" s="1">
        <v>60.1</v>
      </c>
      <c r="D73" s="69" t="s">
        <v>27</v>
      </c>
      <c r="E73" s="83">
        <v>30</v>
      </c>
      <c r="F73" s="316">
        <v>9.6000000000000002E-2</v>
      </c>
      <c r="G73" s="346">
        <v>3</v>
      </c>
      <c r="H73" s="346">
        <v>22</v>
      </c>
      <c r="I73" s="349">
        <v>252000</v>
      </c>
    </row>
    <row r="74" spans="2:9" x14ac:dyDescent="0.3">
      <c r="B74" s="9"/>
      <c r="C74" s="1">
        <v>61</v>
      </c>
      <c r="D74" s="65">
        <v>2400</v>
      </c>
      <c r="E74" s="80"/>
      <c r="F74" s="308">
        <v>9.6799999999999997E-2</v>
      </c>
      <c r="G74" s="344"/>
      <c r="H74" s="344"/>
      <c r="I74" s="347"/>
    </row>
    <row r="75" spans="2:9" x14ac:dyDescent="0.3">
      <c r="B75" s="9"/>
      <c r="C75" s="1">
        <v>62</v>
      </c>
      <c r="D75" s="67">
        <v>2460</v>
      </c>
      <c r="E75" s="88"/>
      <c r="F75" s="310">
        <v>9.7500000000000003E-2</v>
      </c>
      <c r="G75" s="345"/>
      <c r="H75" s="345"/>
      <c r="I75" s="348"/>
    </row>
    <row r="76" spans="2:9" x14ac:dyDescent="0.3">
      <c r="B76" s="9"/>
      <c r="C76" s="1">
        <v>63</v>
      </c>
      <c r="D76" s="67">
        <v>2520</v>
      </c>
      <c r="E76" s="88"/>
      <c r="F76" s="310">
        <v>9.8299999999999998E-2</v>
      </c>
      <c r="G76" s="345"/>
      <c r="H76" s="345"/>
      <c r="I76" s="348"/>
    </row>
    <row r="77" spans="2:9" x14ac:dyDescent="0.3">
      <c r="B77" s="9"/>
      <c r="C77" s="1">
        <v>64</v>
      </c>
      <c r="D77" s="67">
        <v>2580</v>
      </c>
      <c r="E77" s="88"/>
      <c r="F77" s="310">
        <v>9.9000000000000005E-2</v>
      </c>
      <c r="G77" s="345"/>
      <c r="H77" s="345"/>
      <c r="I77" s="348"/>
    </row>
    <row r="78" spans="2:9" x14ac:dyDescent="0.3">
      <c r="B78" s="9"/>
      <c r="C78" s="1">
        <v>65</v>
      </c>
      <c r="D78" s="67">
        <v>2640</v>
      </c>
      <c r="E78" s="88"/>
      <c r="F78" s="310">
        <v>9.98E-2</v>
      </c>
      <c r="G78" s="345"/>
      <c r="H78" s="345"/>
      <c r="I78" s="348"/>
    </row>
    <row r="79" spans="2:9" x14ac:dyDescent="0.3">
      <c r="B79" s="9"/>
      <c r="C79" s="1">
        <v>66</v>
      </c>
      <c r="D79" s="67">
        <v>2700</v>
      </c>
      <c r="E79" s="88"/>
      <c r="F79" s="310">
        <v>0.10050000000000001</v>
      </c>
      <c r="G79" s="345"/>
      <c r="H79" s="345"/>
      <c r="I79" s="348"/>
    </row>
    <row r="80" spans="2:9" x14ac:dyDescent="0.3">
      <c r="B80" s="9"/>
      <c r="C80" s="1">
        <v>67</v>
      </c>
      <c r="D80" s="67">
        <v>2760</v>
      </c>
      <c r="E80" s="88"/>
      <c r="F80" s="310">
        <v>0.1013</v>
      </c>
      <c r="G80" s="345"/>
      <c r="H80" s="345"/>
      <c r="I80" s="348"/>
    </row>
    <row r="81" spans="2:9" x14ac:dyDescent="0.3">
      <c r="B81" s="9"/>
      <c r="C81" s="1">
        <v>68</v>
      </c>
      <c r="D81" s="67">
        <v>2820</v>
      </c>
      <c r="E81" s="88"/>
      <c r="F81" s="310">
        <v>0.10199999999999999</v>
      </c>
      <c r="G81" s="345"/>
      <c r="H81" s="345"/>
      <c r="I81" s="348"/>
    </row>
    <row r="82" spans="2:9" x14ac:dyDescent="0.3">
      <c r="B82" s="9"/>
      <c r="C82" s="1">
        <v>69</v>
      </c>
      <c r="D82" s="67">
        <v>2880</v>
      </c>
      <c r="E82" s="88"/>
      <c r="F82" s="310">
        <v>0.1028</v>
      </c>
      <c r="G82" s="345"/>
      <c r="H82" s="345"/>
      <c r="I82" s="348"/>
    </row>
    <row r="83" spans="2:9" x14ac:dyDescent="0.3">
      <c r="B83" s="9"/>
      <c r="C83" s="1">
        <v>70</v>
      </c>
      <c r="D83" s="67">
        <v>2940</v>
      </c>
      <c r="E83" s="88"/>
      <c r="F83" s="310">
        <v>0.10349999999999999</v>
      </c>
      <c r="G83" s="345"/>
      <c r="H83" s="345"/>
      <c r="I83" s="348"/>
    </row>
    <row r="84" spans="2:9" x14ac:dyDescent="0.3">
      <c r="B84" s="9" t="s">
        <v>834</v>
      </c>
      <c r="C84" s="1">
        <v>70.099999999999994</v>
      </c>
      <c r="D84" s="69" t="s">
        <v>27</v>
      </c>
      <c r="E84" s="83">
        <v>35</v>
      </c>
      <c r="F84" s="316">
        <v>0.1095</v>
      </c>
      <c r="G84" s="346">
        <v>4</v>
      </c>
      <c r="H84" s="346">
        <v>24</v>
      </c>
      <c r="I84" s="349">
        <v>288000</v>
      </c>
    </row>
    <row r="85" spans="2:9" x14ac:dyDescent="0.3">
      <c r="B85" s="9"/>
      <c r="C85" s="1">
        <v>71</v>
      </c>
      <c r="D85" s="65">
        <v>3000</v>
      </c>
      <c r="E85" s="80"/>
      <c r="F85" s="308">
        <v>0.1103</v>
      </c>
      <c r="G85" s="344"/>
      <c r="H85" s="344"/>
      <c r="I85" s="347"/>
    </row>
    <row r="86" spans="2:9" x14ac:dyDescent="0.3">
      <c r="B86" s="9"/>
      <c r="C86" s="1">
        <v>72</v>
      </c>
      <c r="D86" s="67">
        <v>3060</v>
      </c>
      <c r="E86" s="88"/>
      <c r="F86" s="310">
        <v>0.111</v>
      </c>
      <c r="G86" s="345"/>
      <c r="H86" s="345"/>
      <c r="I86" s="348"/>
    </row>
    <row r="87" spans="2:9" x14ac:dyDescent="0.3">
      <c r="B87" s="9"/>
      <c r="C87" s="1">
        <v>73</v>
      </c>
      <c r="D87" s="67">
        <v>3120</v>
      </c>
      <c r="E87" s="88"/>
      <c r="F87" s="310">
        <v>0.1118</v>
      </c>
      <c r="G87" s="345"/>
      <c r="H87" s="345"/>
      <c r="I87" s="348"/>
    </row>
    <row r="88" spans="2:9" x14ac:dyDescent="0.3">
      <c r="B88" s="9"/>
      <c r="C88" s="1">
        <v>74</v>
      </c>
      <c r="D88" s="67">
        <v>3180</v>
      </c>
      <c r="E88" s="88"/>
      <c r="F88" s="310">
        <v>0.1125</v>
      </c>
      <c r="G88" s="345"/>
      <c r="H88" s="345"/>
      <c r="I88" s="348"/>
    </row>
    <row r="89" spans="2:9" x14ac:dyDescent="0.3">
      <c r="B89" s="9"/>
      <c r="C89" s="1">
        <v>75</v>
      </c>
      <c r="D89" s="67">
        <v>3240</v>
      </c>
      <c r="E89" s="88"/>
      <c r="F89" s="310">
        <v>0.1133</v>
      </c>
      <c r="G89" s="345"/>
      <c r="H89" s="345"/>
      <c r="I89" s="348"/>
    </row>
    <row r="90" spans="2:9" x14ac:dyDescent="0.3">
      <c r="B90" s="9"/>
      <c r="C90" s="1">
        <v>76</v>
      </c>
      <c r="D90" s="67">
        <v>3300</v>
      </c>
      <c r="E90" s="88"/>
      <c r="F90" s="310">
        <v>0.114</v>
      </c>
      <c r="G90" s="345"/>
      <c r="H90" s="345"/>
      <c r="I90" s="348"/>
    </row>
    <row r="91" spans="2:9" x14ac:dyDescent="0.3">
      <c r="B91" s="9"/>
      <c r="C91" s="1">
        <v>77</v>
      </c>
      <c r="D91" s="67">
        <v>3360</v>
      </c>
      <c r="E91" s="88"/>
      <c r="F91" s="310">
        <v>0.1148</v>
      </c>
      <c r="G91" s="345"/>
      <c r="H91" s="345"/>
      <c r="I91" s="348"/>
    </row>
    <row r="92" spans="2:9" x14ac:dyDescent="0.3">
      <c r="B92" s="9"/>
      <c r="C92" s="1">
        <v>78</v>
      </c>
      <c r="D92" s="67">
        <v>3420</v>
      </c>
      <c r="E92" s="88"/>
      <c r="F92" s="310">
        <v>0.11550000000000001</v>
      </c>
      <c r="G92" s="345"/>
      <c r="H92" s="345"/>
      <c r="I92" s="348"/>
    </row>
    <row r="93" spans="2:9" x14ac:dyDescent="0.3">
      <c r="B93" s="9"/>
      <c r="C93" s="1">
        <v>79</v>
      </c>
      <c r="D93" s="67">
        <v>3480</v>
      </c>
      <c r="E93" s="88"/>
      <c r="F93" s="310">
        <v>0.1163</v>
      </c>
      <c r="G93" s="345"/>
      <c r="H93" s="345"/>
      <c r="I93" s="348"/>
    </row>
    <row r="94" spans="2:9" x14ac:dyDescent="0.3">
      <c r="B94" s="9"/>
      <c r="C94" s="1">
        <v>80</v>
      </c>
      <c r="D94" s="67">
        <v>3540</v>
      </c>
      <c r="E94" s="88"/>
      <c r="F94" s="310">
        <v>0.11700000000000001</v>
      </c>
      <c r="G94" s="345"/>
      <c r="H94" s="345"/>
      <c r="I94" s="348"/>
    </row>
    <row r="95" spans="2:9" x14ac:dyDescent="0.3">
      <c r="B95" s="9" t="s">
        <v>835</v>
      </c>
      <c r="C95" s="1">
        <v>80.099999999999994</v>
      </c>
      <c r="D95" s="69" t="s">
        <v>27</v>
      </c>
      <c r="E95" s="83">
        <v>40</v>
      </c>
      <c r="F95" s="316">
        <v>0.123</v>
      </c>
      <c r="G95" s="346">
        <v>4</v>
      </c>
      <c r="H95" s="346">
        <v>26</v>
      </c>
      <c r="I95" s="349">
        <v>324000</v>
      </c>
    </row>
    <row r="96" spans="2:9" x14ac:dyDescent="0.3">
      <c r="B96" s="9"/>
      <c r="C96" s="1">
        <v>81</v>
      </c>
      <c r="D96" s="65">
        <v>3600</v>
      </c>
      <c r="E96" s="80"/>
      <c r="F96" s="308">
        <v>0.12379999999999999</v>
      </c>
      <c r="G96" s="344"/>
      <c r="H96" s="344"/>
      <c r="I96" s="347"/>
    </row>
    <row r="97" spans="2:9" x14ac:dyDescent="0.3">
      <c r="B97" s="9"/>
      <c r="C97" s="1">
        <v>82</v>
      </c>
      <c r="D97" s="67">
        <v>3660</v>
      </c>
      <c r="E97" s="88"/>
      <c r="F97" s="310">
        <v>0.1245</v>
      </c>
      <c r="G97" s="345"/>
      <c r="H97" s="345"/>
      <c r="I97" s="348"/>
    </row>
    <row r="98" spans="2:9" x14ac:dyDescent="0.3">
      <c r="B98" s="9"/>
      <c r="C98" s="1">
        <v>83</v>
      </c>
      <c r="D98" s="67">
        <v>3720</v>
      </c>
      <c r="E98" s="88"/>
      <c r="F98" s="310">
        <v>0.12529999999999999</v>
      </c>
      <c r="G98" s="345"/>
      <c r="H98" s="345"/>
      <c r="I98" s="348"/>
    </row>
    <row r="99" spans="2:9" x14ac:dyDescent="0.3">
      <c r="B99" s="9"/>
      <c r="C99" s="1">
        <v>84</v>
      </c>
      <c r="D99" s="67">
        <v>3780</v>
      </c>
      <c r="E99" s="88"/>
      <c r="F99" s="310">
        <v>0.126</v>
      </c>
      <c r="G99" s="345"/>
      <c r="H99" s="345"/>
      <c r="I99" s="348"/>
    </row>
    <row r="100" spans="2:9" x14ac:dyDescent="0.3">
      <c r="B100" s="9"/>
      <c r="C100" s="1">
        <v>85</v>
      </c>
      <c r="D100" s="67">
        <v>3840</v>
      </c>
      <c r="E100" s="88"/>
      <c r="F100" s="310">
        <v>0.1268</v>
      </c>
      <c r="G100" s="345"/>
      <c r="H100" s="345"/>
      <c r="I100" s="348"/>
    </row>
    <row r="101" spans="2:9" x14ac:dyDescent="0.3">
      <c r="B101" s="9"/>
      <c r="C101" s="1">
        <v>86</v>
      </c>
      <c r="D101" s="67">
        <v>3900</v>
      </c>
      <c r="E101" s="88"/>
      <c r="F101" s="310">
        <v>0.1275</v>
      </c>
      <c r="G101" s="345"/>
      <c r="H101" s="345"/>
      <c r="I101" s="348"/>
    </row>
    <row r="102" spans="2:9" x14ac:dyDescent="0.3">
      <c r="B102" s="9"/>
      <c r="C102" s="1">
        <v>87</v>
      </c>
      <c r="D102" s="67">
        <v>3960</v>
      </c>
      <c r="E102" s="88"/>
      <c r="F102" s="310">
        <v>0.1283</v>
      </c>
      <c r="G102" s="345"/>
      <c r="H102" s="345"/>
      <c r="I102" s="348"/>
    </row>
    <row r="103" spans="2:9" x14ac:dyDescent="0.3">
      <c r="B103" s="9"/>
      <c r="C103" s="1">
        <v>88</v>
      </c>
      <c r="D103" s="67">
        <v>4020</v>
      </c>
      <c r="E103" s="88"/>
      <c r="F103" s="310">
        <v>0.129</v>
      </c>
      <c r="G103" s="345"/>
      <c r="H103" s="345"/>
      <c r="I103" s="348"/>
    </row>
    <row r="104" spans="2:9" x14ac:dyDescent="0.3">
      <c r="B104" s="9"/>
      <c r="C104" s="1">
        <v>89</v>
      </c>
      <c r="D104" s="67">
        <v>4080</v>
      </c>
      <c r="E104" s="88"/>
      <c r="F104" s="310">
        <v>0.1298</v>
      </c>
      <c r="G104" s="345"/>
      <c r="H104" s="345"/>
      <c r="I104" s="348"/>
    </row>
    <row r="105" spans="2:9" x14ac:dyDescent="0.3">
      <c r="B105" s="9"/>
      <c r="C105" s="1">
        <v>90</v>
      </c>
      <c r="D105" s="67">
        <v>4140</v>
      </c>
      <c r="E105" s="88"/>
      <c r="F105" s="310">
        <v>0.1305</v>
      </c>
      <c r="G105" s="345"/>
      <c r="H105" s="345"/>
      <c r="I105" s="348"/>
    </row>
    <row r="106" spans="2:9" x14ac:dyDescent="0.3">
      <c r="B106" s="9" t="s">
        <v>836</v>
      </c>
      <c r="C106" s="1">
        <v>90.1</v>
      </c>
      <c r="D106" s="69" t="s">
        <v>27</v>
      </c>
      <c r="E106" s="83">
        <v>45</v>
      </c>
      <c r="F106" s="316">
        <v>0.13650000000000001</v>
      </c>
      <c r="G106" s="346">
        <v>5</v>
      </c>
      <c r="H106" s="346">
        <v>28</v>
      </c>
      <c r="I106" s="349">
        <v>360000</v>
      </c>
    </row>
    <row r="107" spans="2:9" x14ac:dyDescent="0.3">
      <c r="B107" s="9"/>
      <c r="C107" s="1">
        <v>91</v>
      </c>
      <c r="D107" s="65">
        <v>4200</v>
      </c>
      <c r="E107" s="80"/>
      <c r="F107" s="308">
        <v>0.13730000000000001</v>
      </c>
      <c r="G107" s="344"/>
      <c r="H107" s="344"/>
      <c r="I107" s="347"/>
    </row>
    <row r="108" spans="2:9" x14ac:dyDescent="0.3">
      <c r="B108" s="9"/>
      <c r="C108" s="1">
        <v>92</v>
      </c>
      <c r="D108" s="67">
        <v>4260</v>
      </c>
      <c r="E108" s="88"/>
      <c r="F108" s="310">
        <v>0.13800000000000001</v>
      </c>
      <c r="G108" s="345"/>
      <c r="H108" s="345"/>
      <c r="I108" s="348"/>
    </row>
    <row r="109" spans="2:9" x14ac:dyDescent="0.3">
      <c r="B109" s="9"/>
      <c r="C109" s="1">
        <v>93</v>
      </c>
      <c r="D109" s="67">
        <v>4320</v>
      </c>
      <c r="E109" s="88"/>
      <c r="F109" s="310">
        <v>0.13880000000000001</v>
      </c>
      <c r="G109" s="345"/>
      <c r="H109" s="345"/>
      <c r="I109" s="348"/>
    </row>
    <row r="110" spans="2:9" x14ac:dyDescent="0.3">
      <c r="B110" s="9"/>
      <c r="C110" s="1">
        <v>94</v>
      </c>
      <c r="D110" s="67">
        <v>4380</v>
      </c>
      <c r="E110" s="88"/>
      <c r="F110" s="310">
        <v>0.13950000000000001</v>
      </c>
      <c r="G110" s="345"/>
      <c r="H110" s="345"/>
      <c r="I110" s="348"/>
    </row>
    <row r="111" spans="2:9" x14ac:dyDescent="0.3">
      <c r="B111" s="9"/>
      <c r="C111" s="1">
        <v>95</v>
      </c>
      <c r="D111" s="67">
        <v>4440</v>
      </c>
      <c r="E111" s="88"/>
      <c r="F111" s="310">
        <v>0.14030000000000001</v>
      </c>
      <c r="G111" s="345"/>
      <c r="H111" s="345"/>
      <c r="I111" s="348"/>
    </row>
    <row r="112" spans="2:9" x14ac:dyDescent="0.3">
      <c r="B112" s="9"/>
      <c r="C112" s="1">
        <v>96</v>
      </c>
      <c r="D112" s="67">
        <v>4500</v>
      </c>
      <c r="E112" s="88"/>
      <c r="F112" s="310">
        <v>0.14099999999999999</v>
      </c>
      <c r="G112" s="345"/>
      <c r="H112" s="345"/>
      <c r="I112" s="348"/>
    </row>
    <row r="113" spans="2:9" x14ac:dyDescent="0.3">
      <c r="B113" s="9"/>
      <c r="C113" s="1">
        <v>97</v>
      </c>
      <c r="D113" s="67">
        <v>4560</v>
      </c>
      <c r="E113" s="88"/>
      <c r="F113" s="310">
        <v>0.14180000000000001</v>
      </c>
      <c r="G113" s="345"/>
      <c r="H113" s="345"/>
      <c r="I113" s="348"/>
    </row>
    <row r="114" spans="2:9" x14ac:dyDescent="0.3">
      <c r="B114" s="9"/>
      <c r="C114" s="1">
        <v>98</v>
      </c>
      <c r="D114" s="67">
        <v>4620</v>
      </c>
      <c r="E114" s="88"/>
      <c r="F114" s="310">
        <v>0.14249999999999999</v>
      </c>
      <c r="G114" s="345"/>
      <c r="H114" s="345"/>
      <c r="I114" s="348"/>
    </row>
    <row r="115" spans="2:9" x14ac:dyDescent="0.3">
      <c r="B115" s="9"/>
      <c r="C115" s="1">
        <v>99</v>
      </c>
      <c r="D115" s="67">
        <v>4680</v>
      </c>
      <c r="E115" s="88"/>
      <c r="F115" s="310">
        <v>0.14330000000000001</v>
      </c>
      <c r="G115" s="345"/>
      <c r="H115" s="345"/>
      <c r="I115" s="348"/>
    </row>
    <row r="116" spans="2:9" x14ac:dyDescent="0.3">
      <c r="B116" s="9"/>
      <c r="C116" s="1">
        <v>100</v>
      </c>
      <c r="D116" s="67">
        <v>4740</v>
      </c>
      <c r="E116" s="88"/>
      <c r="F116" s="310">
        <v>0.14399999999999999</v>
      </c>
      <c r="G116" s="345"/>
      <c r="H116" s="345"/>
      <c r="I116" s="348"/>
    </row>
    <row r="117" spans="2:9" x14ac:dyDescent="0.3">
      <c r="B117" s="9" t="s">
        <v>837</v>
      </c>
      <c r="C117" s="1">
        <v>100.1</v>
      </c>
      <c r="D117" s="69" t="s">
        <v>27</v>
      </c>
      <c r="E117" s="83">
        <v>50</v>
      </c>
      <c r="F117" s="316">
        <v>0.15</v>
      </c>
      <c r="G117" s="346">
        <v>5</v>
      </c>
      <c r="H117" s="346">
        <v>30</v>
      </c>
      <c r="I117" s="349">
        <v>396000</v>
      </c>
    </row>
  </sheetData>
  <sheetProtection sheet="1" objects="1" scenarios="1"/>
  <mergeCells count="12">
    <mergeCell ref="D4:I4"/>
    <mergeCell ref="L1:AB1"/>
    <mergeCell ref="L5:O5"/>
    <mergeCell ref="P5:S5"/>
    <mergeCell ref="T5:W5"/>
    <mergeCell ref="X5:AB5"/>
    <mergeCell ref="D5:I5"/>
    <mergeCell ref="L2:AB2"/>
    <mergeCell ref="L3:O4"/>
    <mergeCell ref="P3:S4"/>
    <mergeCell ref="T3:W4"/>
    <mergeCell ref="X3:AB4"/>
  </mergeCells>
  <conditionalFormatting sqref="D8:I117">
    <cfRule type="expression" dxfId="74" priority="4" stopIfTrue="1">
      <formula>IF(AgnesLevelCurrent&gt;=$C8,TRUE,FALSE)</formula>
    </cfRule>
    <cfRule type="expression" dxfId="73" priority="9">
      <formula>IF(AgnesLevelDesired&gt;=$C8,TRUE,FALSE)</formula>
    </cfRule>
  </conditionalFormatting>
  <conditionalFormatting sqref="F63:I117">
    <cfRule type="expression" dxfId="72" priority="5">
      <formula>IF(HolgerLevelCurrent&gt;=$C63,TRUE,FALSE)</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0F387-B78C-4390-A4A5-3C9DFBDBE640}">
  <dimension ref="B1:AB117"/>
  <sheetViews>
    <sheetView workbookViewId="0">
      <pane xSplit="3" ySplit="6" topLeftCell="D7" activePane="bottomRight" state="frozen"/>
      <selection pane="topRight" activeCell="D1" sqref="D1"/>
      <selection pane="bottomLeft" activeCell="A7" sqref="A7"/>
      <selection pane="bottomRight" activeCell="L1" sqref="L1:AB1"/>
    </sheetView>
  </sheetViews>
  <sheetFormatPr baseColWidth="10" defaultColWidth="8.88671875" defaultRowHeight="14.4" x14ac:dyDescent="0.3"/>
  <sheetData>
    <row r="1" spans="2:28" x14ac:dyDescent="0.3">
      <c r="L1" s="406" t="s">
        <v>937</v>
      </c>
      <c r="M1" s="406"/>
      <c r="N1" s="406"/>
      <c r="O1" s="406"/>
      <c r="P1" s="406"/>
      <c r="Q1" s="406"/>
      <c r="R1" s="406"/>
      <c r="S1" s="406"/>
      <c r="T1" s="406"/>
      <c r="U1" s="406"/>
      <c r="V1" s="406"/>
      <c r="W1" s="406"/>
      <c r="X1" s="406"/>
      <c r="Y1" s="406"/>
      <c r="Z1" s="406"/>
      <c r="AA1" s="406"/>
      <c r="AB1" s="406"/>
    </row>
    <row r="2" spans="2:28" x14ac:dyDescent="0.3">
      <c r="L2" s="530" t="s">
        <v>825</v>
      </c>
      <c r="M2" s="531"/>
      <c r="N2" s="531"/>
      <c r="O2" s="531"/>
      <c r="P2" s="531"/>
      <c r="Q2" s="531"/>
      <c r="R2" s="531"/>
      <c r="S2" s="531"/>
      <c r="T2" s="531"/>
      <c r="U2" s="531"/>
      <c r="V2" s="531"/>
      <c r="W2" s="531"/>
      <c r="X2" s="531"/>
      <c r="Y2" s="531"/>
      <c r="Z2" s="531"/>
      <c r="AA2" s="531"/>
      <c r="AB2" s="531"/>
    </row>
    <row r="3" spans="2:28" x14ac:dyDescent="0.3">
      <c r="L3" s="474" t="s">
        <v>851</v>
      </c>
      <c r="M3" s="475"/>
      <c r="N3" s="475"/>
      <c r="O3" s="476"/>
      <c r="P3" s="474" t="s">
        <v>852</v>
      </c>
      <c r="Q3" s="475"/>
      <c r="R3" s="475"/>
      <c r="S3" s="476"/>
      <c r="T3" s="474" t="s">
        <v>853</v>
      </c>
      <c r="U3" s="475"/>
      <c r="V3" s="475"/>
      <c r="W3" s="475"/>
      <c r="X3" s="476"/>
      <c r="Y3" s="474" t="s">
        <v>854</v>
      </c>
      <c r="Z3" s="475"/>
      <c r="AA3" s="475"/>
      <c r="AB3" s="476"/>
    </row>
    <row r="4" spans="2:28" x14ac:dyDescent="0.3">
      <c r="B4" s="9"/>
      <c r="D4" s="426" t="s">
        <v>936</v>
      </c>
      <c r="E4" s="426"/>
      <c r="F4" s="426"/>
      <c r="G4" s="426"/>
      <c r="H4" s="426"/>
      <c r="I4" s="426"/>
      <c r="L4" s="477"/>
      <c r="M4" s="478"/>
      <c r="N4" s="478"/>
      <c r="O4" s="479"/>
      <c r="P4" s="477"/>
      <c r="Q4" s="478"/>
      <c r="R4" s="478"/>
      <c r="S4" s="479"/>
      <c r="T4" s="477"/>
      <c r="U4" s="478"/>
      <c r="V4" s="478"/>
      <c r="W4" s="478"/>
      <c r="X4" s="479"/>
      <c r="Y4" s="477"/>
      <c r="Z4" s="478"/>
      <c r="AA4" s="478"/>
      <c r="AB4" s="479"/>
    </row>
    <row r="5" spans="2:28" x14ac:dyDescent="0.3">
      <c r="B5" s="9"/>
      <c r="D5" s="389" t="s">
        <v>825</v>
      </c>
      <c r="E5" s="450"/>
      <c r="F5" s="450"/>
      <c r="G5" s="450"/>
      <c r="H5" s="450"/>
      <c r="I5" s="390"/>
      <c r="L5" s="771" t="s">
        <v>964</v>
      </c>
      <c r="M5" s="772"/>
      <c r="N5" s="772"/>
      <c r="O5" s="773"/>
      <c r="P5" s="771" t="s">
        <v>963</v>
      </c>
      <c r="Q5" s="772"/>
      <c r="R5" s="772"/>
      <c r="S5" s="773"/>
      <c r="T5" s="771" t="s">
        <v>965</v>
      </c>
      <c r="U5" s="772"/>
      <c r="V5" s="772"/>
      <c r="W5" s="772"/>
      <c r="X5" s="773"/>
      <c r="Y5" s="771" t="s">
        <v>964</v>
      </c>
      <c r="Z5" s="772"/>
      <c r="AA5" s="772"/>
      <c r="AB5" s="773"/>
    </row>
    <row r="6" spans="2:28" x14ac:dyDescent="0.3">
      <c r="B6" s="1"/>
      <c r="C6" s="1"/>
      <c r="D6" s="291" t="s">
        <v>838</v>
      </c>
      <c r="E6" s="291" t="s">
        <v>839</v>
      </c>
      <c r="F6" s="304" t="s">
        <v>719</v>
      </c>
      <c r="G6" s="304" t="s">
        <v>977</v>
      </c>
      <c r="H6" s="304" t="s">
        <v>224</v>
      </c>
      <c r="I6" s="304" t="s">
        <v>79</v>
      </c>
      <c r="K6">
        <v>0</v>
      </c>
      <c r="L6" s="313" t="s">
        <v>856</v>
      </c>
      <c r="M6" s="313" t="s">
        <v>570</v>
      </c>
      <c r="N6" s="313" t="s">
        <v>962</v>
      </c>
      <c r="O6" s="313" t="s">
        <v>79</v>
      </c>
      <c r="P6" s="313" t="s">
        <v>856</v>
      </c>
      <c r="Q6" s="313" t="s">
        <v>570</v>
      </c>
      <c r="R6" s="313" t="s">
        <v>962</v>
      </c>
      <c r="S6" s="313" t="s">
        <v>79</v>
      </c>
      <c r="T6" s="313" t="s">
        <v>856</v>
      </c>
      <c r="U6" s="313" t="s">
        <v>570</v>
      </c>
      <c r="V6" s="313" t="s">
        <v>958</v>
      </c>
      <c r="W6" s="313" t="s">
        <v>966</v>
      </c>
      <c r="X6" s="313" t="s">
        <v>79</v>
      </c>
      <c r="Y6" s="313" t="s">
        <v>856</v>
      </c>
      <c r="Z6" s="313" t="s">
        <v>570</v>
      </c>
      <c r="AA6" s="313" t="s">
        <v>962</v>
      </c>
      <c r="AB6" s="313" t="s">
        <v>79</v>
      </c>
    </row>
    <row r="7" spans="2:28" x14ac:dyDescent="0.3">
      <c r="B7" s="9" t="s">
        <v>826</v>
      </c>
      <c r="C7" s="1">
        <v>0</v>
      </c>
      <c r="D7" s="280"/>
      <c r="E7" s="280"/>
      <c r="F7" s="340"/>
      <c r="G7" s="280"/>
      <c r="H7" s="280"/>
      <c r="I7" s="280"/>
      <c r="K7">
        <v>1</v>
      </c>
      <c r="L7" s="65">
        <v>0</v>
      </c>
      <c r="M7" s="66">
        <v>0</v>
      </c>
      <c r="N7" s="330">
        <v>0.02</v>
      </c>
      <c r="O7" s="80">
        <v>42000</v>
      </c>
      <c r="P7" s="65">
        <v>0</v>
      </c>
      <c r="Q7" s="66">
        <v>0</v>
      </c>
      <c r="R7" s="330">
        <v>0.05</v>
      </c>
      <c r="S7" s="80">
        <v>18000</v>
      </c>
      <c r="T7" s="65">
        <v>0</v>
      </c>
      <c r="U7" s="66">
        <v>0</v>
      </c>
      <c r="V7" s="80">
        <v>1</v>
      </c>
      <c r="W7" s="330">
        <v>0.05</v>
      </c>
      <c r="X7" s="80">
        <v>18000</v>
      </c>
      <c r="Y7" s="65">
        <v>0</v>
      </c>
      <c r="Z7" s="66">
        <v>0</v>
      </c>
      <c r="AA7" s="333">
        <v>0.02</v>
      </c>
      <c r="AB7" s="66">
        <v>42000</v>
      </c>
    </row>
    <row r="8" spans="2:28" x14ac:dyDescent="0.3">
      <c r="B8" s="9" t="s">
        <v>827</v>
      </c>
      <c r="C8" s="1">
        <v>1</v>
      </c>
      <c r="D8" s="65">
        <v>1000</v>
      </c>
      <c r="E8" s="80"/>
      <c r="F8" s="308">
        <v>1.5800000000000002E-2</v>
      </c>
      <c r="G8" s="341">
        <v>0.5</v>
      </c>
      <c r="H8" s="344">
        <v>1</v>
      </c>
      <c r="I8" s="347">
        <v>58000</v>
      </c>
      <c r="K8">
        <v>2</v>
      </c>
      <c r="L8" s="67">
        <v>600</v>
      </c>
      <c r="M8" s="68">
        <v>82800</v>
      </c>
      <c r="N8" s="331">
        <v>0.04</v>
      </c>
      <c r="O8" s="88">
        <f>O7+42000</f>
        <v>84000</v>
      </c>
      <c r="P8" s="67">
        <v>300</v>
      </c>
      <c r="Q8" s="68">
        <v>30600</v>
      </c>
      <c r="R8" s="331">
        <v>0.1</v>
      </c>
      <c r="S8" s="88">
        <f>S7+18000</f>
        <v>36000</v>
      </c>
      <c r="T8" s="67">
        <v>300</v>
      </c>
      <c r="U8" s="68">
        <v>30600</v>
      </c>
      <c r="V8" s="88">
        <v>1</v>
      </c>
      <c r="W8" s="331">
        <v>0.1</v>
      </c>
      <c r="X8" s="88">
        <f>X7+18000</f>
        <v>36000</v>
      </c>
      <c r="Y8" s="67">
        <v>600</v>
      </c>
      <c r="Z8" s="68">
        <v>82800</v>
      </c>
      <c r="AA8" s="334">
        <v>0.04</v>
      </c>
      <c r="AB8" s="68">
        <f>AB7+42000</f>
        <v>84000</v>
      </c>
    </row>
    <row r="9" spans="2:28" x14ac:dyDescent="0.3">
      <c r="B9" s="9"/>
      <c r="C9" s="1">
        <v>2</v>
      </c>
      <c r="D9" s="67">
        <v>600</v>
      </c>
      <c r="E9" s="88"/>
      <c r="F9" s="310">
        <v>1.6500000000000001E-2</v>
      </c>
      <c r="G9" s="342"/>
      <c r="H9" s="345"/>
      <c r="I9" s="348"/>
      <c r="K9">
        <v>3</v>
      </c>
      <c r="L9" s="67">
        <v>1200</v>
      </c>
      <c r="M9" s="68">
        <v>165600</v>
      </c>
      <c r="N9" s="331">
        <v>0.06</v>
      </c>
      <c r="O9" s="88">
        <f t="shared" ref="O9:O16" si="0">O8+42000</f>
        <v>126000</v>
      </c>
      <c r="P9" s="67">
        <v>600</v>
      </c>
      <c r="Q9" s="68">
        <v>61800</v>
      </c>
      <c r="R9" s="331">
        <v>0.15</v>
      </c>
      <c r="S9" s="88">
        <f t="shared" ref="S9:S16" si="1">S8+18000</f>
        <v>54000</v>
      </c>
      <c r="T9" s="67">
        <v>600</v>
      </c>
      <c r="U9" s="68">
        <v>61800</v>
      </c>
      <c r="V9" s="88">
        <v>1</v>
      </c>
      <c r="W9" s="331">
        <v>0.15</v>
      </c>
      <c r="X9" s="88">
        <f t="shared" ref="X9:X16" si="2">X8+18000</f>
        <v>54000</v>
      </c>
      <c r="Y9" s="67">
        <v>1200</v>
      </c>
      <c r="Z9" s="68">
        <v>165600</v>
      </c>
      <c r="AA9" s="334">
        <v>0.06</v>
      </c>
      <c r="AB9" s="68">
        <f t="shared" ref="AB9:AB16" si="3">AB8+42000</f>
        <v>126000</v>
      </c>
    </row>
    <row r="10" spans="2:28" x14ac:dyDescent="0.3">
      <c r="B10" s="9"/>
      <c r="C10" s="1">
        <v>3</v>
      </c>
      <c r="D10" s="67">
        <v>630</v>
      </c>
      <c r="E10" s="88"/>
      <c r="F10" s="310">
        <v>1.7299999999999999E-2</v>
      </c>
      <c r="G10" s="342"/>
      <c r="H10" s="345"/>
      <c r="I10" s="348"/>
      <c r="K10">
        <v>4</v>
      </c>
      <c r="L10" s="67">
        <v>1800</v>
      </c>
      <c r="M10" s="68">
        <v>248400</v>
      </c>
      <c r="N10" s="331">
        <v>0.08</v>
      </c>
      <c r="O10" s="88">
        <f t="shared" si="0"/>
        <v>168000</v>
      </c>
      <c r="P10" s="67">
        <v>900</v>
      </c>
      <c r="Q10" s="68">
        <v>93000</v>
      </c>
      <c r="R10" s="331">
        <v>0.2</v>
      </c>
      <c r="S10" s="88">
        <f t="shared" si="1"/>
        <v>72000</v>
      </c>
      <c r="T10" s="67">
        <v>900</v>
      </c>
      <c r="U10" s="68">
        <v>93000</v>
      </c>
      <c r="V10" s="88">
        <v>1</v>
      </c>
      <c r="W10" s="331">
        <v>0.2</v>
      </c>
      <c r="X10" s="88">
        <f t="shared" si="2"/>
        <v>72000</v>
      </c>
      <c r="Y10" s="67">
        <v>1800</v>
      </c>
      <c r="Z10" s="68">
        <v>248400</v>
      </c>
      <c r="AA10" s="334">
        <v>0.08</v>
      </c>
      <c r="AB10" s="68">
        <f t="shared" si="3"/>
        <v>168000</v>
      </c>
    </row>
    <row r="11" spans="2:28" x14ac:dyDescent="0.3">
      <c r="B11" s="9"/>
      <c r="C11" s="1">
        <v>4</v>
      </c>
      <c r="D11" s="67">
        <v>660</v>
      </c>
      <c r="E11" s="88"/>
      <c r="F11" s="310">
        <v>1.7999999999999999E-2</v>
      </c>
      <c r="G11" s="342"/>
      <c r="H11" s="345"/>
      <c r="I11" s="348"/>
      <c r="K11">
        <v>5</v>
      </c>
      <c r="L11" s="69">
        <v>2400</v>
      </c>
      <c r="M11" s="70">
        <v>331800</v>
      </c>
      <c r="N11" s="332">
        <v>0.1</v>
      </c>
      <c r="O11" s="83">
        <f t="shared" si="0"/>
        <v>210000</v>
      </c>
      <c r="P11" s="69">
        <v>1200</v>
      </c>
      <c r="Q11" s="70">
        <v>124200</v>
      </c>
      <c r="R11" s="332">
        <v>0.25</v>
      </c>
      <c r="S11" s="83">
        <f t="shared" si="1"/>
        <v>90000</v>
      </c>
      <c r="T11" s="69">
        <v>1200</v>
      </c>
      <c r="U11" s="70">
        <v>124200</v>
      </c>
      <c r="V11" s="83">
        <v>1</v>
      </c>
      <c r="W11" s="332">
        <v>0.25</v>
      </c>
      <c r="X11" s="83">
        <f t="shared" si="2"/>
        <v>90000</v>
      </c>
      <c r="Y11" s="69">
        <v>2400</v>
      </c>
      <c r="Z11" s="70">
        <v>331800</v>
      </c>
      <c r="AA11" s="335">
        <v>0.1</v>
      </c>
      <c r="AB11" s="70">
        <f t="shared" si="3"/>
        <v>210000</v>
      </c>
    </row>
    <row r="12" spans="2:28" x14ac:dyDescent="0.3">
      <c r="B12" s="9"/>
      <c r="C12" s="1">
        <v>5</v>
      </c>
      <c r="D12" s="67">
        <v>690</v>
      </c>
      <c r="E12" s="88"/>
      <c r="F12" s="310">
        <v>1.8800000000000001E-2</v>
      </c>
      <c r="G12" s="342"/>
      <c r="H12" s="345"/>
      <c r="I12" s="348"/>
      <c r="K12">
        <v>6</v>
      </c>
      <c r="L12" s="65">
        <v>3000</v>
      </c>
      <c r="M12" s="66">
        <v>414600</v>
      </c>
      <c r="N12" s="330">
        <v>0.12</v>
      </c>
      <c r="O12" s="80">
        <f t="shared" si="0"/>
        <v>252000</v>
      </c>
      <c r="P12" s="65">
        <v>1500</v>
      </c>
      <c r="Q12" s="66">
        <v>155400</v>
      </c>
      <c r="R12" s="330">
        <v>0.3</v>
      </c>
      <c r="S12" s="80">
        <f t="shared" si="1"/>
        <v>108000</v>
      </c>
      <c r="T12" s="65">
        <v>1500</v>
      </c>
      <c r="U12" s="66">
        <v>155400</v>
      </c>
      <c r="V12" s="80">
        <v>2</v>
      </c>
      <c r="W12" s="330">
        <v>0.3</v>
      </c>
      <c r="X12" s="80">
        <f t="shared" si="2"/>
        <v>108000</v>
      </c>
      <c r="Y12" s="65">
        <v>3000</v>
      </c>
      <c r="Z12" s="66">
        <v>414600</v>
      </c>
      <c r="AA12" s="333">
        <v>0.12</v>
      </c>
      <c r="AB12" s="66">
        <f t="shared" si="3"/>
        <v>252000</v>
      </c>
    </row>
    <row r="13" spans="2:28" x14ac:dyDescent="0.3">
      <c r="B13" s="9"/>
      <c r="C13" s="1">
        <v>6</v>
      </c>
      <c r="D13" s="67">
        <v>720</v>
      </c>
      <c r="E13" s="88"/>
      <c r="F13" s="310">
        <v>1.95E-2</v>
      </c>
      <c r="G13" s="342"/>
      <c r="H13" s="345"/>
      <c r="I13" s="348"/>
      <c r="K13">
        <v>7</v>
      </c>
      <c r="L13" s="67">
        <v>3600</v>
      </c>
      <c r="M13" s="68">
        <v>497400</v>
      </c>
      <c r="N13" s="331">
        <v>0.14000000000000001</v>
      </c>
      <c r="O13" s="88">
        <f t="shared" si="0"/>
        <v>294000</v>
      </c>
      <c r="P13" s="67">
        <v>1800</v>
      </c>
      <c r="Q13" s="68">
        <v>186600</v>
      </c>
      <c r="R13" s="331">
        <v>0.35</v>
      </c>
      <c r="S13" s="88">
        <f t="shared" si="1"/>
        <v>126000</v>
      </c>
      <c r="T13" s="67">
        <v>1800</v>
      </c>
      <c r="U13" s="68">
        <v>186600</v>
      </c>
      <c r="V13" s="88">
        <v>2</v>
      </c>
      <c r="W13" s="331">
        <v>0.35</v>
      </c>
      <c r="X13" s="88">
        <f t="shared" si="2"/>
        <v>126000</v>
      </c>
      <c r="Y13" s="67">
        <v>3600</v>
      </c>
      <c r="Z13" s="68">
        <v>497400</v>
      </c>
      <c r="AA13" s="334">
        <v>0.14000000000000001</v>
      </c>
      <c r="AB13" s="68">
        <f t="shared" si="3"/>
        <v>294000</v>
      </c>
    </row>
    <row r="14" spans="2:28" x14ac:dyDescent="0.3">
      <c r="B14" s="9"/>
      <c r="C14" s="1">
        <v>7</v>
      </c>
      <c r="D14" s="67">
        <v>780</v>
      </c>
      <c r="E14" s="88"/>
      <c r="F14" s="310">
        <v>2.0299999999999999E-2</v>
      </c>
      <c r="G14" s="342"/>
      <c r="H14" s="345"/>
      <c r="I14" s="348"/>
      <c r="K14">
        <v>8</v>
      </c>
      <c r="L14" s="67">
        <v>4200</v>
      </c>
      <c r="M14" s="68">
        <v>580200</v>
      </c>
      <c r="N14" s="331">
        <v>0.16</v>
      </c>
      <c r="O14" s="88">
        <f t="shared" si="0"/>
        <v>336000</v>
      </c>
      <c r="P14" s="67">
        <v>2100</v>
      </c>
      <c r="Q14" s="68">
        <v>217200</v>
      </c>
      <c r="R14" s="331">
        <v>0.4</v>
      </c>
      <c r="S14" s="88">
        <f t="shared" si="1"/>
        <v>144000</v>
      </c>
      <c r="T14" s="67">
        <v>2100</v>
      </c>
      <c r="U14" s="68">
        <v>217200</v>
      </c>
      <c r="V14" s="88">
        <v>2</v>
      </c>
      <c r="W14" s="331">
        <v>0.4</v>
      </c>
      <c r="X14" s="88">
        <f t="shared" si="2"/>
        <v>144000</v>
      </c>
      <c r="Y14" s="67">
        <v>4200</v>
      </c>
      <c r="Z14" s="68">
        <v>580200</v>
      </c>
      <c r="AA14" s="334">
        <v>0.16</v>
      </c>
      <c r="AB14" s="68">
        <f t="shared" si="3"/>
        <v>336000</v>
      </c>
    </row>
    <row r="15" spans="2:28" x14ac:dyDescent="0.3">
      <c r="B15" s="9"/>
      <c r="C15" s="1">
        <v>8</v>
      </c>
      <c r="D15" s="67">
        <v>840</v>
      </c>
      <c r="E15" s="88"/>
      <c r="F15" s="310">
        <v>2.1000000000000001E-2</v>
      </c>
      <c r="G15" s="342"/>
      <c r="H15" s="345"/>
      <c r="I15" s="348"/>
      <c r="K15">
        <v>9</v>
      </c>
      <c r="L15" s="67">
        <v>4800</v>
      </c>
      <c r="M15" s="68">
        <v>663600</v>
      </c>
      <c r="N15" s="331">
        <v>0.18</v>
      </c>
      <c r="O15" s="88">
        <f t="shared" si="0"/>
        <v>378000</v>
      </c>
      <c r="P15" s="67">
        <v>2400</v>
      </c>
      <c r="Q15" s="68">
        <v>248400</v>
      </c>
      <c r="R15" s="331">
        <v>0.45</v>
      </c>
      <c r="S15" s="88">
        <f t="shared" si="1"/>
        <v>162000</v>
      </c>
      <c r="T15" s="67">
        <v>2400</v>
      </c>
      <c r="U15" s="68">
        <v>248400</v>
      </c>
      <c r="V15" s="88">
        <v>2</v>
      </c>
      <c r="W15" s="331">
        <v>0.45</v>
      </c>
      <c r="X15" s="88">
        <f t="shared" si="2"/>
        <v>162000</v>
      </c>
      <c r="Y15" s="67">
        <v>4800</v>
      </c>
      <c r="Z15" s="68">
        <v>663600</v>
      </c>
      <c r="AA15" s="334">
        <v>0.18</v>
      </c>
      <c r="AB15" s="68">
        <f t="shared" si="3"/>
        <v>378000</v>
      </c>
    </row>
    <row r="16" spans="2:28" x14ac:dyDescent="0.3">
      <c r="B16" s="9"/>
      <c r="C16" s="1">
        <v>9</v>
      </c>
      <c r="D16" s="67">
        <v>900</v>
      </c>
      <c r="E16" s="88"/>
      <c r="F16" s="310">
        <v>2.18E-2</v>
      </c>
      <c r="G16" s="342"/>
      <c r="H16" s="345"/>
      <c r="I16" s="348"/>
      <c r="K16">
        <v>10</v>
      </c>
      <c r="L16" s="69">
        <v>5400</v>
      </c>
      <c r="M16" s="70">
        <v>746400</v>
      </c>
      <c r="N16" s="332">
        <v>0.2</v>
      </c>
      <c r="O16" s="83">
        <f t="shared" si="0"/>
        <v>420000</v>
      </c>
      <c r="P16" s="69">
        <v>2700</v>
      </c>
      <c r="Q16" s="70">
        <v>279600</v>
      </c>
      <c r="R16" s="332">
        <v>0.5</v>
      </c>
      <c r="S16" s="83">
        <f t="shared" si="1"/>
        <v>180000</v>
      </c>
      <c r="T16" s="69">
        <v>2700</v>
      </c>
      <c r="U16" s="70">
        <v>279600</v>
      </c>
      <c r="V16" s="83">
        <v>3</v>
      </c>
      <c r="W16" s="332">
        <v>0.5</v>
      </c>
      <c r="X16" s="83">
        <f t="shared" si="2"/>
        <v>180000</v>
      </c>
      <c r="Y16" s="69">
        <v>5400</v>
      </c>
      <c r="Z16" s="70">
        <v>746400</v>
      </c>
      <c r="AA16" s="335">
        <v>0.2</v>
      </c>
      <c r="AB16" s="70">
        <f t="shared" si="3"/>
        <v>420000</v>
      </c>
    </row>
    <row r="17" spans="2:26" x14ac:dyDescent="0.3">
      <c r="B17" s="9"/>
      <c r="C17" s="1">
        <v>10</v>
      </c>
      <c r="D17" s="67">
        <v>960</v>
      </c>
      <c r="E17" s="88"/>
      <c r="F17" s="310">
        <v>2.2499999999999999E-2</v>
      </c>
      <c r="G17" s="342"/>
      <c r="H17" s="345"/>
      <c r="I17" s="348"/>
      <c r="L17" s="88">
        <f>SUM(L7:L16)</f>
        <v>27000</v>
      </c>
      <c r="M17" s="88">
        <f t="shared" ref="M17:Z17" si="4">SUM(M7:M16)</f>
        <v>3730800</v>
      </c>
      <c r="N17" s="88"/>
      <c r="O17" s="88"/>
      <c r="P17" s="88">
        <f t="shared" si="4"/>
        <v>13500</v>
      </c>
      <c r="Q17" s="88">
        <f t="shared" si="4"/>
        <v>1396800</v>
      </c>
      <c r="R17" s="88"/>
      <c r="S17" s="88"/>
      <c r="T17" s="88">
        <f t="shared" si="4"/>
        <v>13500</v>
      </c>
      <c r="U17" s="88">
        <f t="shared" si="4"/>
        <v>1396800</v>
      </c>
      <c r="V17" s="88"/>
      <c r="W17" s="88"/>
      <c r="X17" s="88"/>
      <c r="Y17" s="88">
        <f t="shared" si="4"/>
        <v>27000</v>
      </c>
      <c r="Z17" s="88">
        <f t="shared" si="4"/>
        <v>3730800</v>
      </c>
    </row>
    <row r="18" spans="2:26" x14ac:dyDescent="0.3">
      <c r="B18" s="9" t="s">
        <v>828</v>
      </c>
      <c r="C18" s="1">
        <v>10.1</v>
      </c>
      <c r="D18" s="325" t="s">
        <v>27</v>
      </c>
      <c r="E18" s="83">
        <v>8</v>
      </c>
      <c r="F18" s="316">
        <v>2.8500000000000001E-2</v>
      </c>
      <c r="G18" s="343">
        <v>0.55000000000000004</v>
      </c>
      <c r="H18" s="346">
        <v>1</v>
      </c>
      <c r="I18" s="349">
        <v>116000</v>
      </c>
    </row>
    <row r="19" spans="2:26" x14ac:dyDescent="0.3">
      <c r="B19" s="9"/>
      <c r="C19" s="1">
        <v>11</v>
      </c>
      <c r="D19" s="65">
        <v>1020</v>
      </c>
      <c r="E19" s="80"/>
      <c r="F19" s="308">
        <v>2.93E-2</v>
      </c>
      <c r="G19" s="341"/>
      <c r="H19" s="344"/>
      <c r="I19" s="347"/>
    </row>
    <row r="20" spans="2:26" x14ac:dyDescent="0.3">
      <c r="B20" s="9"/>
      <c r="C20" s="1">
        <v>12</v>
      </c>
      <c r="D20" s="67">
        <v>1080</v>
      </c>
      <c r="E20" s="88"/>
      <c r="F20" s="310">
        <v>0.03</v>
      </c>
      <c r="G20" s="342"/>
      <c r="H20" s="345"/>
      <c r="I20" s="348"/>
    </row>
    <row r="21" spans="2:26" x14ac:dyDescent="0.3">
      <c r="B21" s="9"/>
      <c r="C21" s="1">
        <v>13</v>
      </c>
      <c r="D21" s="67">
        <v>1140</v>
      </c>
      <c r="E21" s="88"/>
      <c r="F21" s="310">
        <v>3.0800000000000001E-2</v>
      </c>
      <c r="G21" s="342"/>
      <c r="H21" s="345"/>
      <c r="I21" s="348"/>
    </row>
    <row r="22" spans="2:26" x14ac:dyDescent="0.3">
      <c r="B22" s="9"/>
      <c r="C22" s="1">
        <v>14</v>
      </c>
      <c r="D22" s="67">
        <v>1200</v>
      </c>
      <c r="E22" s="88"/>
      <c r="F22" s="310">
        <v>3.15E-2</v>
      </c>
      <c r="G22" s="342"/>
      <c r="H22" s="345"/>
      <c r="I22" s="348"/>
    </row>
    <row r="23" spans="2:26" x14ac:dyDescent="0.3">
      <c r="B23" s="9"/>
      <c r="C23" s="1">
        <v>15</v>
      </c>
      <c r="D23" s="67">
        <v>1260</v>
      </c>
      <c r="E23" s="88"/>
      <c r="F23" s="310">
        <v>3.2300000000000002E-2</v>
      </c>
      <c r="G23" s="342"/>
      <c r="H23" s="345"/>
      <c r="I23" s="348"/>
    </row>
    <row r="24" spans="2:26" x14ac:dyDescent="0.3">
      <c r="B24" s="9"/>
      <c r="C24" s="1">
        <v>16</v>
      </c>
      <c r="D24" s="67">
        <v>1320</v>
      </c>
      <c r="E24" s="88"/>
      <c r="F24" s="310">
        <v>3.3000000000000002E-2</v>
      </c>
      <c r="G24" s="342"/>
      <c r="H24" s="345"/>
      <c r="I24" s="348"/>
    </row>
    <row r="25" spans="2:26" x14ac:dyDescent="0.3">
      <c r="B25" s="9"/>
      <c r="C25" s="1">
        <v>17</v>
      </c>
      <c r="D25" s="67">
        <v>1380</v>
      </c>
      <c r="E25" s="88"/>
      <c r="F25" s="310">
        <v>3.3799999999999997E-2</v>
      </c>
      <c r="G25" s="342"/>
      <c r="H25" s="345"/>
      <c r="I25" s="348"/>
    </row>
    <row r="26" spans="2:26" x14ac:dyDescent="0.3">
      <c r="B26" s="9"/>
      <c r="C26" s="1">
        <v>18</v>
      </c>
      <c r="D26" s="67">
        <v>1440</v>
      </c>
      <c r="E26" s="88"/>
      <c r="F26" s="310">
        <v>3.4500000000000003E-2</v>
      </c>
      <c r="G26" s="342"/>
      <c r="H26" s="345"/>
      <c r="I26" s="348"/>
    </row>
    <row r="27" spans="2:26" x14ac:dyDescent="0.3">
      <c r="B27" s="9"/>
      <c r="C27" s="1">
        <v>19</v>
      </c>
      <c r="D27" s="67">
        <v>1500</v>
      </c>
      <c r="E27" s="88"/>
      <c r="F27" s="310">
        <v>3.5299999999999998E-2</v>
      </c>
      <c r="G27" s="342"/>
      <c r="H27" s="345"/>
      <c r="I27" s="348"/>
    </row>
    <row r="28" spans="2:26" x14ac:dyDescent="0.3">
      <c r="B28" s="9"/>
      <c r="C28" s="1">
        <v>20</v>
      </c>
      <c r="D28" s="67">
        <v>1560</v>
      </c>
      <c r="E28" s="88"/>
      <c r="F28" s="310">
        <v>3.5999999999999997E-2</v>
      </c>
      <c r="G28" s="342"/>
      <c r="H28" s="345"/>
      <c r="I28" s="348"/>
    </row>
    <row r="29" spans="2:26" x14ac:dyDescent="0.3">
      <c r="B29" s="9" t="s">
        <v>829</v>
      </c>
      <c r="C29" s="1">
        <v>20.100000000000001</v>
      </c>
      <c r="D29" s="69" t="s">
        <v>27</v>
      </c>
      <c r="E29" s="83">
        <v>16</v>
      </c>
      <c r="F29" s="316">
        <v>4.2000000000000003E-2</v>
      </c>
      <c r="G29" s="343">
        <v>0.6</v>
      </c>
      <c r="H29" s="346">
        <v>1</v>
      </c>
      <c r="I29" s="349">
        <v>174000</v>
      </c>
    </row>
    <row r="30" spans="2:26" x14ac:dyDescent="0.3">
      <c r="B30" s="9"/>
      <c r="C30" s="1">
        <v>21</v>
      </c>
      <c r="D30" s="65">
        <v>1620</v>
      </c>
      <c r="E30" s="80"/>
      <c r="F30" s="308">
        <v>4.2799999999999998E-2</v>
      </c>
      <c r="G30" s="341"/>
      <c r="H30" s="344"/>
      <c r="I30" s="347"/>
    </row>
    <row r="31" spans="2:26" x14ac:dyDescent="0.3">
      <c r="B31" s="9"/>
      <c r="C31" s="1">
        <v>22</v>
      </c>
      <c r="D31" s="67">
        <v>1680</v>
      </c>
      <c r="E31" s="88"/>
      <c r="F31" s="310">
        <v>4.3499999999999997E-2</v>
      </c>
      <c r="G31" s="342"/>
      <c r="H31" s="345"/>
      <c r="I31" s="348"/>
    </row>
    <row r="32" spans="2:26" x14ac:dyDescent="0.3">
      <c r="B32" s="9"/>
      <c r="C32" s="1">
        <v>23</v>
      </c>
      <c r="D32" s="67">
        <v>1740</v>
      </c>
      <c r="E32" s="88"/>
      <c r="F32" s="310">
        <v>4.4299999999999999E-2</v>
      </c>
      <c r="G32" s="342"/>
      <c r="H32" s="345"/>
      <c r="I32" s="348"/>
    </row>
    <row r="33" spans="2:9" x14ac:dyDescent="0.3">
      <c r="B33" s="9"/>
      <c r="C33" s="1">
        <v>24</v>
      </c>
      <c r="D33" s="67">
        <v>1800</v>
      </c>
      <c r="E33" s="88"/>
      <c r="F33" s="310">
        <v>4.4999999999999998E-2</v>
      </c>
      <c r="G33" s="342"/>
      <c r="H33" s="345"/>
      <c r="I33" s="348"/>
    </row>
    <row r="34" spans="2:9" x14ac:dyDescent="0.3">
      <c r="B34" s="9"/>
      <c r="C34" s="1">
        <v>25</v>
      </c>
      <c r="D34" s="67">
        <v>1860</v>
      </c>
      <c r="E34" s="88"/>
      <c r="F34" s="310">
        <v>4.58E-2</v>
      </c>
      <c r="G34" s="342"/>
      <c r="H34" s="345"/>
      <c r="I34" s="348"/>
    </row>
    <row r="35" spans="2:9" x14ac:dyDescent="0.3">
      <c r="B35" s="9"/>
      <c r="C35" s="1">
        <v>26</v>
      </c>
      <c r="D35" s="67">
        <v>1920</v>
      </c>
      <c r="E35" s="88"/>
      <c r="F35" s="310">
        <v>4.65E-2</v>
      </c>
      <c r="G35" s="342"/>
      <c r="H35" s="345"/>
      <c r="I35" s="348"/>
    </row>
    <row r="36" spans="2:9" x14ac:dyDescent="0.3">
      <c r="B36" s="9"/>
      <c r="C36" s="1">
        <v>27</v>
      </c>
      <c r="D36" s="67">
        <v>1980</v>
      </c>
      <c r="E36" s="88"/>
      <c r="F36" s="310">
        <v>4.7300000000000002E-2</v>
      </c>
      <c r="G36" s="342"/>
      <c r="H36" s="345"/>
      <c r="I36" s="348"/>
    </row>
    <row r="37" spans="2:9" x14ac:dyDescent="0.3">
      <c r="B37" s="259"/>
      <c r="C37" s="1">
        <v>28</v>
      </c>
      <c r="D37" s="67">
        <v>2040</v>
      </c>
      <c r="E37" s="88"/>
      <c r="F37" s="310">
        <v>4.8000000000000001E-2</v>
      </c>
      <c r="G37" s="342"/>
      <c r="H37" s="345"/>
      <c r="I37" s="348"/>
    </row>
    <row r="38" spans="2:9" x14ac:dyDescent="0.3">
      <c r="B38" s="9"/>
      <c r="C38" s="1">
        <v>29</v>
      </c>
      <c r="D38" s="67">
        <v>2100</v>
      </c>
      <c r="E38" s="88"/>
      <c r="F38" s="310">
        <v>4.8800000000000003E-2</v>
      </c>
      <c r="G38" s="342"/>
      <c r="H38" s="345"/>
      <c r="I38" s="348"/>
    </row>
    <row r="39" spans="2:9" x14ac:dyDescent="0.3">
      <c r="B39" s="9"/>
      <c r="C39" s="1">
        <v>30</v>
      </c>
      <c r="D39" s="67">
        <v>2190</v>
      </c>
      <c r="E39" s="88"/>
      <c r="F39" s="310">
        <v>4.9500000000000002E-2</v>
      </c>
      <c r="G39" s="342"/>
      <c r="H39" s="345"/>
      <c r="I39" s="348"/>
    </row>
    <row r="40" spans="2:9" x14ac:dyDescent="0.3">
      <c r="B40" s="9" t="s">
        <v>830</v>
      </c>
      <c r="C40" s="1">
        <v>30.1</v>
      </c>
      <c r="D40" s="69" t="s">
        <v>27</v>
      </c>
      <c r="E40" s="83">
        <v>24</v>
      </c>
      <c r="F40" s="316">
        <v>5.5E-2</v>
      </c>
      <c r="G40" s="343">
        <v>0.65</v>
      </c>
      <c r="H40" s="346">
        <v>1</v>
      </c>
      <c r="I40" s="349">
        <v>232000</v>
      </c>
    </row>
    <row r="41" spans="2:9" x14ac:dyDescent="0.3">
      <c r="B41" s="9"/>
      <c r="C41" s="1">
        <v>31</v>
      </c>
      <c r="D41" s="65">
        <v>2280</v>
      </c>
      <c r="E41" s="80"/>
      <c r="F41" s="308">
        <v>5.6300000000000003E-2</v>
      </c>
      <c r="G41" s="341"/>
      <c r="H41" s="344"/>
      <c r="I41" s="347"/>
    </row>
    <row r="42" spans="2:9" x14ac:dyDescent="0.3">
      <c r="B42" s="9"/>
      <c r="C42" s="1">
        <v>32</v>
      </c>
      <c r="D42" s="67">
        <v>2370</v>
      </c>
      <c r="E42" s="88"/>
      <c r="F42" s="310">
        <v>5.7000000000000002E-2</v>
      </c>
      <c r="G42" s="342"/>
      <c r="H42" s="345"/>
      <c r="I42" s="348"/>
    </row>
    <row r="43" spans="2:9" x14ac:dyDescent="0.3">
      <c r="B43" s="259"/>
      <c r="C43" s="1">
        <v>33</v>
      </c>
      <c r="D43" s="67">
        <v>2460</v>
      </c>
      <c r="E43" s="88"/>
      <c r="F43" s="310">
        <v>5.7799999999999997E-2</v>
      </c>
      <c r="G43" s="342"/>
      <c r="H43" s="345"/>
      <c r="I43" s="348"/>
    </row>
    <row r="44" spans="2:9" x14ac:dyDescent="0.3">
      <c r="B44" s="9"/>
      <c r="C44" s="1">
        <v>34</v>
      </c>
      <c r="D44" s="67">
        <v>2550</v>
      </c>
      <c r="E44" s="88"/>
      <c r="F44" s="310">
        <v>5.8500000000000003E-2</v>
      </c>
      <c r="G44" s="342"/>
      <c r="H44" s="345"/>
      <c r="I44" s="348"/>
    </row>
    <row r="45" spans="2:9" x14ac:dyDescent="0.3">
      <c r="B45" s="9"/>
      <c r="C45" s="1">
        <v>35</v>
      </c>
      <c r="D45" s="67">
        <v>2640</v>
      </c>
      <c r="E45" s="88"/>
      <c r="F45" s="310">
        <v>5.9299999999999999E-2</v>
      </c>
      <c r="G45" s="342"/>
      <c r="H45" s="345"/>
      <c r="I45" s="348"/>
    </row>
    <row r="46" spans="2:9" x14ac:dyDescent="0.3">
      <c r="B46" s="9"/>
      <c r="C46" s="1">
        <v>36</v>
      </c>
      <c r="D46" s="67">
        <v>2730</v>
      </c>
      <c r="E46" s="88"/>
      <c r="F46" s="310">
        <v>0.06</v>
      </c>
      <c r="G46" s="342"/>
      <c r="H46" s="345"/>
      <c r="I46" s="348"/>
    </row>
    <row r="47" spans="2:9" x14ac:dyDescent="0.3">
      <c r="B47" s="9"/>
      <c r="C47" s="1">
        <v>37</v>
      </c>
      <c r="D47" s="67">
        <v>2820</v>
      </c>
      <c r="E47" s="88"/>
      <c r="F47" s="310">
        <v>6.08E-2</v>
      </c>
      <c r="G47" s="342"/>
      <c r="H47" s="345"/>
      <c r="I47" s="348"/>
    </row>
    <row r="48" spans="2:9" x14ac:dyDescent="0.3">
      <c r="B48" s="9"/>
      <c r="C48" s="1">
        <v>38</v>
      </c>
      <c r="D48" s="67">
        <v>2910</v>
      </c>
      <c r="E48" s="88"/>
      <c r="F48" s="310">
        <v>6.1499999999999999E-2</v>
      </c>
      <c r="G48" s="342"/>
      <c r="H48" s="345"/>
      <c r="I48" s="348"/>
    </row>
    <row r="49" spans="2:9" x14ac:dyDescent="0.3">
      <c r="B49" s="9"/>
      <c r="C49" s="1">
        <v>39</v>
      </c>
      <c r="D49" s="67">
        <v>3000</v>
      </c>
      <c r="E49" s="88"/>
      <c r="F49" s="310">
        <v>6.2300000000000001E-2</v>
      </c>
      <c r="G49" s="342"/>
      <c r="H49" s="345"/>
      <c r="I49" s="348"/>
    </row>
    <row r="50" spans="2:9" x14ac:dyDescent="0.3">
      <c r="B50" s="9"/>
      <c r="C50" s="1">
        <v>40</v>
      </c>
      <c r="D50" s="67">
        <v>3120</v>
      </c>
      <c r="E50" s="88"/>
      <c r="F50" s="310">
        <v>6.3E-2</v>
      </c>
      <c r="G50" s="342"/>
      <c r="H50" s="345"/>
      <c r="I50" s="348"/>
    </row>
    <row r="51" spans="2:9" x14ac:dyDescent="0.3">
      <c r="B51" s="9" t="s">
        <v>831</v>
      </c>
      <c r="C51" s="1">
        <v>40.1</v>
      </c>
      <c r="D51" s="69" t="s">
        <v>27</v>
      </c>
      <c r="E51" s="83">
        <v>32</v>
      </c>
      <c r="F51" s="316">
        <v>6.9000000000000006E-2</v>
      </c>
      <c r="G51" s="343">
        <v>0.7</v>
      </c>
      <c r="H51" s="346">
        <v>1</v>
      </c>
      <c r="I51" s="349">
        <v>290000</v>
      </c>
    </row>
    <row r="52" spans="2:9" x14ac:dyDescent="0.3">
      <c r="B52" s="9"/>
      <c r="C52" s="1">
        <v>41</v>
      </c>
      <c r="D52" s="65">
        <v>3240</v>
      </c>
      <c r="E52" s="80"/>
      <c r="F52" s="308">
        <v>6.9800000000000001E-2</v>
      </c>
      <c r="G52" s="341"/>
      <c r="H52" s="344"/>
      <c r="I52" s="347"/>
    </row>
    <row r="53" spans="2:9" x14ac:dyDescent="0.3">
      <c r="B53" s="9"/>
      <c r="C53" s="1">
        <v>42</v>
      </c>
      <c r="D53" s="67">
        <v>3360</v>
      </c>
      <c r="E53" s="88"/>
      <c r="F53" s="310">
        <v>7.0499999999999993E-2</v>
      </c>
      <c r="G53" s="342"/>
      <c r="H53" s="345"/>
      <c r="I53" s="348"/>
    </row>
    <row r="54" spans="2:9" x14ac:dyDescent="0.3">
      <c r="B54" s="9"/>
      <c r="C54" s="1">
        <v>43</v>
      </c>
      <c r="D54" s="67">
        <v>3480</v>
      </c>
      <c r="E54" s="88"/>
      <c r="F54" s="310">
        <v>7.1300000000000002E-2</v>
      </c>
      <c r="G54" s="342"/>
      <c r="H54" s="345"/>
      <c r="I54" s="348"/>
    </row>
    <row r="55" spans="2:9" x14ac:dyDescent="0.3">
      <c r="B55" s="9"/>
      <c r="C55" s="1">
        <v>44</v>
      </c>
      <c r="D55" s="67">
        <v>3600</v>
      </c>
      <c r="E55" s="88"/>
      <c r="F55" s="310">
        <v>7.1999999999999995E-2</v>
      </c>
      <c r="G55" s="342"/>
      <c r="H55" s="345"/>
      <c r="I55" s="348"/>
    </row>
    <row r="56" spans="2:9" x14ac:dyDescent="0.3">
      <c r="B56" s="9"/>
      <c r="C56" s="1">
        <v>45</v>
      </c>
      <c r="D56" s="67">
        <v>3720</v>
      </c>
      <c r="E56" s="88"/>
      <c r="F56" s="310">
        <v>7.2800000000000004E-2</v>
      </c>
      <c r="G56" s="342"/>
      <c r="H56" s="345"/>
      <c r="I56" s="348"/>
    </row>
    <row r="57" spans="2:9" x14ac:dyDescent="0.3">
      <c r="B57" s="9"/>
      <c r="C57" s="1">
        <v>46</v>
      </c>
      <c r="D57" s="67">
        <v>3840</v>
      </c>
      <c r="E57" s="88"/>
      <c r="F57" s="310">
        <v>7.3499999999999996E-2</v>
      </c>
      <c r="G57" s="342"/>
      <c r="H57" s="345"/>
      <c r="I57" s="348"/>
    </row>
    <row r="58" spans="2:9" x14ac:dyDescent="0.3">
      <c r="B58" s="9"/>
      <c r="C58" s="1">
        <v>47</v>
      </c>
      <c r="D58" s="67">
        <v>3960</v>
      </c>
      <c r="E58" s="88"/>
      <c r="F58" s="310">
        <v>7.4300000000000005E-2</v>
      </c>
      <c r="G58" s="342"/>
      <c r="H58" s="345"/>
      <c r="I58" s="348"/>
    </row>
    <row r="59" spans="2:9" x14ac:dyDescent="0.3">
      <c r="B59" s="9"/>
      <c r="C59" s="1">
        <v>48</v>
      </c>
      <c r="D59" s="67">
        <v>4080</v>
      </c>
      <c r="E59" s="88"/>
      <c r="F59" s="310">
        <v>7.4999999999999997E-2</v>
      </c>
      <c r="G59" s="342"/>
      <c r="H59" s="345"/>
      <c r="I59" s="348"/>
    </row>
    <row r="60" spans="2:9" x14ac:dyDescent="0.3">
      <c r="B60" s="9"/>
      <c r="C60" s="1">
        <v>49</v>
      </c>
      <c r="D60" s="67">
        <v>4200</v>
      </c>
      <c r="E60" s="88"/>
      <c r="F60" s="310">
        <v>7.5800000000000006E-2</v>
      </c>
      <c r="G60" s="342"/>
      <c r="H60" s="345"/>
      <c r="I60" s="348"/>
    </row>
    <row r="61" spans="2:9" x14ac:dyDescent="0.3">
      <c r="B61" s="9"/>
      <c r="C61" s="1">
        <v>50</v>
      </c>
      <c r="D61" s="67">
        <v>4350</v>
      </c>
      <c r="E61" s="88"/>
      <c r="F61" s="310">
        <v>7.6499999999999999E-2</v>
      </c>
      <c r="G61" s="342"/>
      <c r="H61" s="345"/>
      <c r="I61" s="348"/>
    </row>
    <row r="62" spans="2:9" x14ac:dyDescent="0.3">
      <c r="B62" s="9" t="s">
        <v>832</v>
      </c>
      <c r="C62" s="1">
        <v>50.1</v>
      </c>
      <c r="D62" s="69" t="s">
        <v>27</v>
      </c>
      <c r="E62" s="83">
        <v>40</v>
      </c>
      <c r="F62" s="316">
        <v>8.2500000000000004E-2</v>
      </c>
      <c r="G62" s="343">
        <v>0.75</v>
      </c>
      <c r="H62" s="346">
        <v>2</v>
      </c>
      <c r="I62" s="349">
        <v>348000</v>
      </c>
    </row>
    <row r="63" spans="2:9" x14ac:dyDescent="0.3">
      <c r="B63" s="9"/>
      <c r="C63" s="1">
        <v>51</v>
      </c>
      <c r="D63" s="65">
        <v>4500</v>
      </c>
      <c r="E63" s="80"/>
      <c r="F63" s="308">
        <v>8.3299999999999999E-2</v>
      </c>
      <c r="G63" s="341"/>
      <c r="H63" s="344"/>
      <c r="I63" s="347"/>
    </row>
    <row r="64" spans="2:9" x14ac:dyDescent="0.3">
      <c r="B64" s="9"/>
      <c r="C64" s="1">
        <v>52</v>
      </c>
      <c r="D64" s="67">
        <v>4650</v>
      </c>
      <c r="E64" s="88"/>
      <c r="F64" s="310">
        <v>8.4000000000000005E-2</v>
      </c>
      <c r="G64" s="342"/>
      <c r="H64" s="345"/>
      <c r="I64" s="348"/>
    </row>
    <row r="65" spans="2:9" x14ac:dyDescent="0.3">
      <c r="B65" s="9"/>
      <c r="C65" s="1">
        <v>53</v>
      </c>
      <c r="D65" s="67">
        <v>4800</v>
      </c>
      <c r="E65" s="88"/>
      <c r="F65" s="310">
        <v>8.48E-2</v>
      </c>
      <c r="G65" s="342"/>
      <c r="H65" s="345"/>
      <c r="I65" s="348"/>
    </row>
    <row r="66" spans="2:9" x14ac:dyDescent="0.3">
      <c r="B66" s="9"/>
      <c r="C66" s="1">
        <v>54</v>
      </c>
      <c r="D66" s="67">
        <v>4950</v>
      </c>
      <c r="E66" s="88"/>
      <c r="F66" s="310">
        <v>8.5500000000000007E-2</v>
      </c>
      <c r="G66" s="342"/>
      <c r="H66" s="345"/>
      <c r="I66" s="348"/>
    </row>
    <row r="67" spans="2:9" x14ac:dyDescent="0.3">
      <c r="B67" s="9"/>
      <c r="C67" s="1">
        <v>55</v>
      </c>
      <c r="D67" s="67">
        <v>5100</v>
      </c>
      <c r="E67" s="88"/>
      <c r="F67" s="310">
        <v>8.6300000000000002E-2</v>
      </c>
      <c r="G67" s="342"/>
      <c r="H67" s="345"/>
      <c r="I67" s="348"/>
    </row>
    <row r="68" spans="2:9" x14ac:dyDescent="0.3">
      <c r="B68" s="9"/>
      <c r="C68" s="1">
        <v>56</v>
      </c>
      <c r="D68" s="67">
        <v>5250</v>
      </c>
      <c r="E68" s="88"/>
      <c r="F68" s="310">
        <v>8.6999999999999994E-2</v>
      </c>
      <c r="G68" s="342"/>
      <c r="H68" s="345"/>
      <c r="I68" s="348"/>
    </row>
    <row r="69" spans="2:9" x14ac:dyDescent="0.3">
      <c r="B69" s="9"/>
      <c r="C69" s="1">
        <v>57</v>
      </c>
      <c r="D69" s="67">
        <v>5400</v>
      </c>
      <c r="E69" s="88"/>
      <c r="F69" s="310">
        <v>8.7800000000000003E-2</v>
      </c>
      <c r="G69" s="342"/>
      <c r="H69" s="345"/>
      <c r="I69" s="348"/>
    </row>
    <row r="70" spans="2:9" x14ac:dyDescent="0.3">
      <c r="B70" s="9"/>
      <c r="C70" s="1">
        <v>58</v>
      </c>
      <c r="D70" s="67">
        <v>5550</v>
      </c>
      <c r="E70" s="88"/>
      <c r="F70" s="310">
        <v>8.8499999999999995E-2</v>
      </c>
      <c r="G70" s="342"/>
      <c r="H70" s="345"/>
      <c r="I70" s="348"/>
    </row>
    <row r="71" spans="2:9" x14ac:dyDescent="0.3">
      <c r="B71" s="9"/>
      <c r="C71" s="1">
        <v>59</v>
      </c>
      <c r="D71" s="67">
        <v>5700</v>
      </c>
      <c r="E71" s="88"/>
      <c r="F71" s="310">
        <v>8.9300000000000004E-2</v>
      </c>
      <c r="G71" s="342"/>
      <c r="H71" s="345"/>
      <c r="I71" s="348"/>
    </row>
    <row r="72" spans="2:9" x14ac:dyDescent="0.3">
      <c r="B72" s="9"/>
      <c r="C72" s="1">
        <v>60</v>
      </c>
      <c r="D72" s="67">
        <v>5850</v>
      </c>
      <c r="E72" s="88"/>
      <c r="F72" s="310">
        <v>0.09</v>
      </c>
      <c r="G72" s="342"/>
      <c r="H72" s="345"/>
      <c r="I72" s="348"/>
    </row>
    <row r="73" spans="2:9" x14ac:dyDescent="0.3">
      <c r="B73" s="9" t="s">
        <v>833</v>
      </c>
      <c r="C73" s="1">
        <v>60.1</v>
      </c>
      <c r="D73" s="69" t="s">
        <v>27</v>
      </c>
      <c r="E73" s="83">
        <v>48</v>
      </c>
      <c r="F73" s="316">
        <v>9.6000000000000002E-2</v>
      </c>
      <c r="G73" s="343">
        <v>0.8</v>
      </c>
      <c r="H73" s="346">
        <v>2</v>
      </c>
      <c r="I73" s="349">
        <v>406000</v>
      </c>
    </row>
    <row r="74" spans="2:9" x14ac:dyDescent="0.3">
      <c r="B74" s="9"/>
      <c r="C74" s="1">
        <v>61</v>
      </c>
      <c r="D74" s="65">
        <v>6000</v>
      </c>
      <c r="E74" s="80"/>
      <c r="F74" s="308">
        <v>9.6799999999999997E-2</v>
      </c>
      <c r="G74" s="341"/>
      <c r="H74" s="344"/>
      <c r="I74" s="347"/>
    </row>
    <row r="75" spans="2:9" x14ac:dyDescent="0.3">
      <c r="B75" s="9"/>
      <c r="C75" s="1">
        <v>62</v>
      </c>
      <c r="D75" s="67">
        <v>6150</v>
      </c>
      <c r="E75" s="88"/>
      <c r="F75" s="310">
        <v>9.7500000000000003E-2</v>
      </c>
      <c r="G75" s="342"/>
      <c r="H75" s="345"/>
      <c r="I75" s="348"/>
    </row>
    <row r="76" spans="2:9" x14ac:dyDescent="0.3">
      <c r="B76" s="9"/>
      <c r="C76" s="1">
        <v>63</v>
      </c>
      <c r="D76" s="67">
        <v>6300</v>
      </c>
      <c r="E76" s="88"/>
      <c r="F76" s="310">
        <v>9.8299999999999998E-2</v>
      </c>
      <c r="G76" s="342"/>
      <c r="H76" s="345"/>
      <c r="I76" s="348"/>
    </row>
    <row r="77" spans="2:9" x14ac:dyDescent="0.3">
      <c r="B77" s="9"/>
      <c r="C77" s="1">
        <v>64</v>
      </c>
      <c r="D77" s="67">
        <v>6450</v>
      </c>
      <c r="E77" s="88"/>
      <c r="F77" s="310">
        <v>9.9000000000000005E-2</v>
      </c>
      <c r="G77" s="342"/>
      <c r="H77" s="345"/>
      <c r="I77" s="348"/>
    </row>
    <row r="78" spans="2:9" x14ac:dyDescent="0.3">
      <c r="B78" s="9"/>
      <c r="C78" s="1">
        <v>65</v>
      </c>
      <c r="D78" s="67">
        <v>6600</v>
      </c>
      <c r="E78" s="88"/>
      <c r="F78" s="310">
        <v>9.98E-2</v>
      </c>
      <c r="G78" s="342"/>
      <c r="H78" s="345"/>
      <c r="I78" s="348"/>
    </row>
    <row r="79" spans="2:9" x14ac:dyDescent="0.3">
      <c r="B79" s="9"/>
      <c r="C79" s="1">
        <v>66</v>
      </c>
      <c r="D79" s="67">
        <v>6750</v>
      </c>
      <c r="E79" s="88"/>
      <c r="F79" s="310">
        <v>0.10050000000000001</v>
      </c>
      <c r="G79" s="342"/>
      <c r="H79" s="345"/>
      <c r="I79" s="348"/>
    </row>
    <row r="80" spans="2:9" x14ac:dyDescent="0.3">
      <c r="B80" s="9"/>
      <c r="C80" s="1">
        <v>67</v>
      </c>
      <c r="D80" s="67">
        <v>6900</v>
      </c>
      <c r="E80" s="88"/>
      <c r="F80" s="310">
        <v>0.1013</v>
      </c>
      <c r="G80" s="342"/>
      <c r="H80" s="345"/>
      <c r="I80" s="348"/>
    </row>
    <row r="81" spans="2:9" x14ac:dyDescent="0.3">
      <c r="B81" s="9"/>
      <c r="C81" s="1">
        <v>68</v>
      </c>
      <c r="D81" s="67">
        <v>7050</v>
      </c>
      <c r="E81" s="88"/>
      <c r="F81" s="310">
        <v>0.10199999999999999</v>
      </c>
      <c r="G81" s="342"/>
      <c r="H81" s="345"/>
      <c r="I81" s="348"/>
    </row>
    <row r="82" spans="2:9" x14ac:dyDescent="0.3">
      <c r="B82" s="9"/>
      <c r="C82" s="1">
        <v>69</v>
      </c>
      <c r="D82" s="67">
        <v>7200</v>
      </c>
      <c r="E82" s="88"/>
      <c r="F82" s="310">
        <v>0.1028</v>
      </c>
      <c r="G82" s="342"/>
      <c r="H82" s="345"/>
      <c r="I82" s="348"/>
    </row>
    <row r="83" spans="2:9" x14ac:dyDescent="0.3">
      <c r="B83" s="9"/>
      <c r="C83" s="1">
        <v>70</v>
      </c>
      <c r="D83" s="67">
        <v>7350</v>
      </c>
      <c r="E83" s="88"/>
      <c r="F83" s="310">
        <v>0.10349999999999999</v>
      </c>
      <c r="G83" s="342"/>
      <c r="H83" s="345"/>
      <c r="I83" s="348"/>
    </row>
    <row r="84" spans="2:9" x14ac:dyDescent="0.3">
      <c r="B84" s="9" t="s">
        <v>834</v>
      </c>
      <c r="C84" s="1">
        <v>70.099999999999994</v>
      </c>
      <c r="D84" s="69" t="s">
        <v>27</v>
      </c>
      <c r="E84" s="83">
        <v>56</v>
      </c>
      <c r="F84" s="316">
        <v>0.1095</v>
      </c>
      <c r="G84" s="343">
        <v>0.85</v>
      </c>
      <c r="H84" s="346">
        <v>2</v>
      </c>
      <c r="I84" s="349">
        <v>464000</v>
      </c>
    </row>
    <row r="85" spans="2:9" x14ac:dyDescent="0.3">
      <c r="B85" s="9"/>
      <c r="C85" s="1">
        <v>71</v>
      </c>
      <c r="D85" s="65">
        <v>7500</v>
      </c>
      <c r="E85" s="80"/>
      <c r="F85" s="308">
        <v>0.1103</v>
      </c>
      <c r="G85" s="341"/>
      <c r="H85" s="344"/>
      <c r="I85" s="347"/>
    </row>
    <row r="86" spans="2:9" x14ac:dyDescent="0.3">
      <c r="B86" s="9"/>
      <c r="C86" s="1">
        <v>72</v>
      </c>
      <c r="D86" s="67">
        <v>7650</v>
      </c>
      <c r="E86" s="88"/>
      <c r="F86" s="310">
        <v>0.111</v>
      </c>
      <c r="G86" s="342"/>
      <c r="H86" s="345"/>
      <c r="I86" s="348"/>
    </row>
    <row r="87" spans="2:9" x14ac:dyDescent="0.3">
      <c r="B87" s="9"/>
      <c r="C87" s="1">
        <v>73</v>
      </c>
      <c r="D87" s="67">
        <v>7800</v>
      </c>
      <c r="E87" s="88"/>
      <c r="F87" s="310">
        <v>0.1118</v>
      </c>
      <c r="G87" s="342"/>
      <c r="H87" s="345"/>
      <c r="I87" s="348"/>
    </row>
    <row r="88" spans="2:9" x14ac:dyDescent="0.3">
      <c r="B88" s="9"/>
      <c r="C88" s="1">
        <v>74</v>
      </c>
      <c r="D88" s="67">
        <v>7950</v>
      </c>
      <c r="E88" s="88"/>
      <c r="F88" s="310">
        <v>0.1125</v>
      </c>
      <c r="G88" s="342"/>
      <c r="H88" s="345"/>
      <c r="I88" s="348"/>
    </row>
    <row r="89" spans="2:9" x14ac:dyDescent="0.3">
      <c r="B89" s="9"/>
      <c r="C89" s="1">
        <v>75</v>
      </c>
      <c r="D89" s="67">
        <v>8100</v>
      </c>
      <c r="E89" s="88"/>
      <c r="F89" s="310">
        <v>0.1133</v>
      </c>
      <c r="G89" s="342"/>
      <c r="H89" s="345"/>
      <c r="I89" s="348"/>
    </row>
    <row r="90" spans="2:9" x14ac:dyDescent="0.3">
      <c r="B90" s="9"/>
      <c r="C90" s="1">
        <v>76</v>
      </c>
      <c r="D90" s="67">
        <v>8250</v>
      </c>
      <c r="E90" s="88"/>
      <c r="F90" s="310">
        <v>0.114</v>
      </c>
      <c r="G90" s="342"/>
      <c r="H90" s="345"/>
      <c r="I90" s="348"/>
    </row>
    <row r="91" spans="2:9" x14ac:dyDescent="0.3">
      <c r="B91" s="9"/>
      <c r="C91" s="1">
        <v>77</v>
      </c>
      <c r="D91" s="67">
        <v>8400</v>
      </c>
      <c r="E91" s="88"/>
      <c r="F91" s="310">
        <v>0.1148</v>
      </c>
      <c r="G91" s="342"/>
      <c r="H91" s="345"/>
      <c r="I91" s="348"/>
    </row>
    <row r="92" spans="2:9" x14ac:dyDescent="0.3">
      <c r="B92" s="9"/>
      <c r="C92" s="1">
        <v>78</v>
      </c>
      <c r="D92" s="67">
        <v>8550</v>
      </c>
      <c r="E92" s="88"/>
      <c r="F92" s="310">
        <v>0.11550000000000001</v>
      </c>
      <c r="G92" s="342"/>
      <c r="H92" s="345"/>
      <c r="I92" s="348"/>
    </row>
    <row r="93" spans="2:9" x14ac:dyDescent="0.3">
      <c r="B93" s="9"/>
      <c r="C93" s="1">
        <v>79</v>
      </c>
      <c r="D93" s="67">
        <v>8700</v>
      </c>
      <c r="E93" s="88"/>
      <c r="F93" s="310">
        <v>0.1163</v>
      </c>
      <c r="G93" s="342"/>
      <c r="H93" s="345"/>
      <c r="I93" s="348"/>
    </row>
    <row r="94" spans="2:9" x14ac:dyDescent="0.3">
      <c r="B94" s="9"/>
      <c r="C94" s="1">
        <v>80</v>
      </c>
      <c r="D94" s="67">
        <v>8850</v>
      </c>
      <c r="E94" s="88"/>
      <c r="F94" s="310">
        <v>0.11700000000000001</v>
      </c>
      <c r="G94" s="342"/>
      <c r="H94" s="345"/>
      <c r="I94" s="348"/>
    </row>
    <row r="95" spans="2:9" x14ac:dyDescent="0.3">
      <c r="B95" s="9" t="s">
        <v>835</v>
      </c>
      <c r="C95" s="1">
        <v>80.099999999999994</v>
      </c>
      <c r="D95" s="69" t="s">
        <v>27</v>
      </c>
      <c r="E95" s="83">
        <v>64</v>
      </c>
      <c r="F95" s="316">
        <v>0.123</v>
      </c>
      <c r="G95" s="343">
        <v>0.9</v>
      </c>
      <c r="H95" s="346">
        <v>2</v>
      </c>
      <c r="I95" s="349">
        <v>522000</v>
      </c>
    </row>
    <row r="96" spans="2:9" x14ac:dyDescent="0.3">
      <c r="B96" s="9"/>
      <c r="C96" s="1">
        <v>81</v>
      </c>
      <c r="D96" s="65">
        <v>9000</v>
      </c>
      <c r="E96" s="80"/>
      <c r="F96" s="308">
        <v>0.12379999999999999</v>
      </c>
      <c r="G96" s="341"/>
      <c r="H96" s="344"/>
      <c r="I96" s="347"/>
    </row>
    <row r="97" spans="2:9" x14ac:dyDescent="0.3">
      <c r="B97" s="9"/>
      <c r="C97" s="1">
        <v>82</v>
      </c>
      <c r="D97" s="67">
        <v>9150</v>
      </c>
      <c r="E97" s="88"/>
      <c r="F97" s="310">
        <v>0.1245</v>
      </c>
      <c r="G97" s="342"/>
      <c r="H97" s="345"/>
      <c r="I97" s="348"/>
    </row>
    <row r="98" spans="2:9" x14ac:dyDescent="0.3">
      <c r="B98" s="9"/>
      <c r="C98" s="1">
        <v>83</v>
      </c>
      <c r="D98" s="67">
        <v>9300</v>
      </c>
      <c r="E98" s="88"/>
      <c r="F98" s="310">
        <v>0.12529999999999999</v>
      </c>
      <c r="G98" s="342"/>
      <c r="H98" s="345"/>
      <c r="I98" s="348"/>
    </row>
    <row r="99" spans="2:9" x14ac:dyDescent="0.3">
      <c r="B99" s="9"/>
      <c r="C99" s="1">
        <v>84</v>
      </c>
      <c r="D99" s="67">
        <v>9450</v>
      </c>
      <c r="E99" s="88"/>
      <c r="F99" s="310">
        <v>0.126</v>
      </c>
      <c r="G99" s="342"/>
      <c r="H99" s="345"/>
      <c r="I99" s="348"/>
    </row>
    <row r="100" spans="2:9" x14ac:dyDescent="0.3">
      <c r="B100" s="9"/>
      <c r="C100" s="1">
        <v>85</v>
      </c>
      <c r="D100" s="67">
        <v>9600</v>
      </c>
      <c r="E100" s="88"/>
      <c r="F100" s="310">
        <v>0.1268</v>
      </c>
      <c r="G100" s="342"/>
      <c r="H100" s="345"/>
      <c r="I100" s="348"/>
    </row>
    <row r="101" spans="2:9" x14ac:dyDescent="0.3">
      <c r="B101" s="9"/>
      <c r="C101" s="1">
        <v>86</v>
      </c>
      <c r="D101" s="67">
        <v>9750</v>
      </c>
      <c r="E101" s="88"/>
      <c r="F101" s="310">
        <v>0.1275</v>
      </c>
      <c r="G101" s="342"/>
      <c r="H101" s="345"/>
      <c r="I101" s="348"/>
    </row>
    <row r="102" spans="2:9" x14ac:dyDescent="0.3">
      <c r="B102" s="9"/>
      <c r="C102" s="1">
        <v>87</v>
      </c>
      <c r="D102" s="67">
        <v>9900</v>
      </c>
      <c r="E102" s="88"/>
      <c r="F102" s="310">
        <v>0.1283</v>
      </c>
      <c r="G102" s="342"/>
      <c r="H102" s="345"/>
      <c r="I102" s="348"/>
    </row>
    <row r="103" spans="2:9" x14ac:dyDescent="0.3">
      <c r="B103" s="9"/>
      <c r="C103" s="1">
        <v>88</v>
      </c>
      <c r="D103" s="67">
        <v>10050</v>
      </c>
      <c r="E103" s="88"/>
      <c r="F103" s="310">
        <v>0.129</v>
      </c>
      <c r="G103" s="342"/>
      <c r="H103" s="345"/>
      <c r="I103" s="348"/>
    </row>
    <row r="104" spans="2:9" x14ac:dyDescent="0.3">
      <c r="B104" s="9"/>
      <c r="C104" s="1">
        <v>89</v>
      </c>
      <c r="D104" s="67">
        <v>10200</v>
      </c>
      <c r="E104" s="88"/>
      <c r="F104" s="310">
        <v>0.1298</v>
      </c>
      <c r="G104" s="342"/>
      <c r="H104" s="345"/>
      <c r="I104" s="348"/>
    </row>
    <row r="105" spans="2:9" x14ac:dyDescent="0.3">
      <c r="B105" s="9"/>
      <c r="C105" s="1">
        <v>90</v>
      </c>
      <c r="D105" s="67">
        <v>10350</v>
      </c>
      <c r="E105" s="88"/>
      <c r="F105" s="310">
        <v>0.1305</v>
      </c>
      <c r="G105" s="342"/>
      <c r="H105" s="345"/>
      <c r="I105" s="348"/>
    </row>
    <row r="106" spans="2:9" x14ac:dyDescent="0.3">
      <c r="B106" s="9" t="s">
        <v>836</v>
      </c>
      <c r="C106" s="1">
        <v>90.1</v>
      </c>
      <c r="D106" s="69" t="s">
        <v>27</v>
      </c>
      <c r="E106" s="83">
        <v>72</v>
      </c>
      <c r="F106" s="316">
        <v>0.13650000000000001</v>
      </c>
      <c r="G106" s="343">
        <v>0.95</v>
      </c>
      <c r="H106" s="346">
        <v>2</v>
      </c>
      <c r="I106" s="349">
        <v>580000</v>
      </c>
    </row>
    <row r="107" spans="2:9" x14ac:dyDescent="0.3">
      <c r="B107" s="9"/>
      <c r="C107" s="1">
        <v>91</v>
      </c>
      <c r="D107" s="65">
        <v>10500</v>
      </c>
      <c r="E107" s="80"/>
      <c r="F107" s="308">
        <v>0.13730000000000001</v>
      </c>
      <c r="G107" s="341"/>
      <c r="H107" s="344"/>
      <c r="I107" s="347"/>
    </row>
    <row r="108" spans="2:9" x14ac:dyDescent="0.3">
      <c r="B108" s="9"/>
      <c r="C108" s="1">
        <v>92</v>
      </c>
      <c r="D108" s="67">
        <v>10650</v>
      </c>
      <c r="E108" s="88"/>
      <c r="F108" s="310">
        <v>0.13800000000000001</v>
      </c>
      <c r="G108" s="342"/>
      <c r="H108" s="345"/>
      <c r="I108" s="348"/>
    </row>
    <row r="109" spans="2:9" x14ac:dyDescent="0.3">
      <c r="B109" s="9"/>
      <c r="C109" s="1">
        <v>93</v>
      </c>
      <c r="D109" s="67">
        <v>10800</v>
      </c>
      <c r="E109" s="88"/>
      <c r="F109" s="310">
        <v>0.13880000000000001</v>
      </c>
      <c r="G109" s="342"/>
      <c r="H109" s="345"/>
      <c r="I109" s="348"/>
    </row>
    <row r="110" spans="2:9" x14ac:dyDescent="0.3">
      <c r="B110" s="9"/>
      <c r="C110" s="1">
        <v>94</v>
      </c>
      <c r="D110" s="67">
        <v>10950</v>
      </c>
      <c r="E110" s="88"/>
      <c r="F110" s="310">
        <v>0.13950000000000001</v>
      </c>
      <c r="G110" s="342"/>
      <c r="H110" s="345"/>
      <c r="I110" s="348"/>
    </row>
    <row r="111" spans="2:9" x14ac:dyDescent="0.3">
      <c r="B111" s="9"/>
      <c r="C111" s="1">
        <v>95</v>
      </c>
      <c r="D111" s="67">
        <v>11100</v>
      </c>
      <c r="E111" s="88"/>
      <c r="F111" s="310">
        <v>0.14030000000000001</v>
      </c>
      <c r="G111" s="342"/>
      <c r="H111" s="345"/>
      <c r="I111" s="348"/>
    </row>
    <row r="112" spans="2:9" x14ac:dyDescent="0.3">
      <c r="B112" s="9"/>
      <c r="C112" s="1">
        <v>96</v>
      </c>
      <c r="D112" s="67">
        <v>11250</v>
      </c>
      <c r="E112" s="88"/>
      <c r="F112" s="310">
        <v>0.14099999999999999</v>
      </c>
      <c r="G112" s="342"/>
      <c r="H112" s="345"/>
      <c r="I112" s="348"/>
    </row>
    <row r="113" spans="2:9" x14ac:dyDescent="0.3">
      <c r="B113" s="9"/>
      <c r="C113" s="1">
        <v>97</v>
      </c>
      <c r="D113" s="67">
        <v>11400</v>
      </c>
      <c r="E113" s="88"/>
      <c r="F113" s="310">
        <v>0.14180000000000001</v>
      </c>
      <c r="G113" s="342"/>
      <c r="H113" s="345"/>
      <c r="I113" s="348"/>
    </row>
    <row r="114" spans="2:9" x14ac:dyDescent="0.3">
      <c r="B114" s="9"/>
      <c r="C114" s="1">
        <v>98</v>
      </c>
      <c r="D114" s="67">
        <v>11550</v>
      </c>
      <c r="E114" s="88"/>
      <c r="F114" s="310">
        <v>0.14249999999999999</v>
      </c>
      <c r="G114" s="342"/>
      <c r="H114" s="345"/>
      <c r="I114" s="348"/>
    </row>
    <row r="115" spans="2:9" x14ac:dyDescent="0.3">
      <c r="B115" s="9"/>
      <c r="C115" s="1">
        <v>99</v>
      </c>
      <c r="D115" s="67">
        <v>11700</v>
      </c>
      <c r="E115" s="88"/>
      <c r="F115" s="310">
        <v>0.14330000000000001</v>
      </c>
      <c r="G115" s="342"/>
      <c r="H115" s="345"/>
      <c r="I115" s="348"/>
    </row>
    <row r="116" spans="2:9" x14ac:dyDescent="0.3">
      <c r="B116" s="9"/>
      <c r="C116" s="1">
        <v>100</v>
      </c>
      <c r="D116" s="67">
        <v>11850</v>
      </c>
      <c r="E116" s="88"/>
      <c r="F116" s="310">
        <v>0.14399999999999999</v>
      </c>
      <c r="G116" s="342"/>
      <c r="H116" s="345"/>
      <c r="I116" s="348"/>
    </row>
    <row r="117" spans="2:9" x14ac:dyDescent="0.3">
      <c r="B117" s="9" t="s">
        <v>837</v>
      </c>
      <c r="C117" s="1">
        <v>100.1</v>
      </c>
      <c r="D117" s="69" t="s">
        <v>27</v>
      </c>
      <c r="E117" s="83">
        <v>80</v>
      </c>
      <c r="F117" s="316">
        <v>0.15</v>
      </c>
      <c r="G117" s="343">
        <v>1</v>
      </c>
      <c r="H117" s="346">
        <v>3</v>
      </c>
      <c r="I117" s="349">
        <v>638000</v>
      </c>
    </row>
  </sheetData>
  <sheetProtection sheet="1" objects="1" scenarios="1"/>
  <mergeCells count="12">
    <mergeCell ref="D4:I4"/>
    <mergeCell ref="L1:AB1"/>
    <mergeCell ref="L5:O5"/>
    <mergeCell ref="P5:S5"/>
    <mergeCell ref="T5:X5"/>
    <mergeCell ref="Y5:AB5"/>
    <mergeCell ref="D5:I5"/>
    <mergeCell ref="L2:AB2"/>
    <mergeCell ref="L3:O4"/>
    <mergeCell ref="P3:S4"/>
    <mergeCell ref="T3:X4"/>
    <mergeCell ref="Y3:AB4"/>
  </mergeCells>
  <conditionalFormatting sqref="D8:I117">
    <cfRule type="expression" dxfId="71" priority="2" stopIfTrue="1">
      <formula>IF(HolgerLevelCurrent&gt;=$C8,TRUE,FALSE)</formula>
    </cfRule>
    <cfRule type="expression" dxfId="70" priority="4" stopIfTrue="1">
      <formula>IF(AgnesLevelCurrent&gt;=$C8,TRUE,FALSE)</formula>
    </cfRule>
    <cfRule type="expression" dxfId="69" priority="7">
      <formula>IF(HolgerLevelDesired&gt;=$C8,TRUE,FALSE)</formula>
    </cfRule>
    <cfRule type="expression" dxfId="68" priority="9">
      <formula>IF(AgnesLevelDesired&gt;=$C8,TRUE,FALSE)</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7116-5E4A-4FED-9C46-193418FFEE0B}">
  <dimension ref="B1:AA117"/>
  <sheetViews>
    <sheetView workbookViewId="0">
      <pane xSplit="3" ySplit="6" topLeftCell="D7" activePane="bottomRight" state="frozen"/>
      <selection pane="topRight" activeCell="D1" sqref="D1"/>
      <selection pane="bottomLeft" activeCell="A7" sqref="A7"/>
      <selection pane="bottomRight" activeCell="Q36" sqref="Q36"/>
    </sheetView>
  </sheetViews>
  <sheetFormatPr baseColWidth="10" defaultColWidth="8.88671875" defaultRowHeight="14.4" x14ac:dyDescent="0.3"/>
  <cols>
    <col min="17" max="17" width="10.109375" bestFit="1" customWidth="1"/>
    <col min="21" max="21" width="10.109375" bestFit="1" customWidth="1"/>
    <col min="25" max="25" width="10.109375" bestFit="1" customWidth="1"/>
  </cols>
  <sheetData>
    <row r="1" spans="2:27" x14ac:dyDescent="0.3">
      <c r="K1" s="406" t="s">
        <v>937</v>
      </c>
      <c r="L1" s="406"/>
      <c r="M1" s="406"/>
      <c r="N1" s="406"/>
      <c r="O1" s="406"/>
      <c r="P1" s="406"/>
      <c r="Q1" s="406"/>
      <c r="R1" s="406"/>
      <c r="S1" s="406"/>
      <c r="T1" s="406"/>
      <c r="U1" s="406"/>
      <c r="V1" s="406"/>
      <c r="W1" s="406"/>
      <c r="X1" s="406"/>
      <c r="Y1" s="406"/>
      <c r="Z1" s="406"/>
      <c r="AA1" s="406"/>
    </row>
    <row r="2" spans="2:27" x14ac:dyDescent="0.3">
      <c r="K2" s="530" t="s">
        <v>824</v>
      </c>
      <c r="L2" s="531"/>
      <c r="M2" s="531"/>
      <c r="N2" s="531"/>
      <c r="O2" s="531"/>
      <c r="P2" s="531"/>
      <c r="Q2" s="531"/>
      <c r="R2" s="531"/>
      <c r="S2" s="531"/>
      <c r="T2" s="531"/>
      <c r="U2" s="531"/>
      <c r="V2" s="531"/>
      <c r="W2" s="531"/>
      <c r="X2" s="531"/>
      <c r="Y2" s="531"/>
      <c r="Z2" s="531"/>
      <c r="AA2" s="531"/>
    </row>
    <row r="3" spans="2:27" x14ac:dyDescent="0.3">
      <c r="K3" s="474" t="s">
        <v>847</v>
      </c>
      <c r="L3" s="475"/>
      <c r="M3" s="475"/>
      <c r="N3" s="475"/>
      <c r="O3" s="476"/>
      <c r="P3" s="474" t="s">
        <v>848</v>
      </c>
      <c r="Q3" s="475"/>
      <c r="R3" s="475"/>
      <c r="S3" s="476"/>
      <c r="T3" s="474" t="s">
        <v>849</v>
      </c>
      <c r="U3" s="475"/>
      <c r="V3" s="475"/>
      <c r="W3" s="476"/>
      <c r="X3" s="474" t="s">
        <v>850</v>
      </c>
      <c r="Y3" s="475"/>
      <c r="Z3" s="475"/>
      <c r="AA3" s="476"/>
    </row>
    <row r="4" spans="2:27" x14ac:dyDescent="0.3">
      <c r="B4" s="9"/>
      <c r="D4" s="406" t="s">
        <v>936</v>
      </c>
      <c r="E4" s="406"/>
      <c r="F4" s="406"/>
      <c r="G4" s="406"/>
      <c r="H4" s="406"/>
      <c r="K4" s="477"/>
      <c r="L4" s="478"/>
      <c r="M4" s="478"/>
      <c r="N4" s="478"/>
      <c r="O4" s="479"/>
      <c r="P4" s="477"/>
      <c r="Q4" s="478"/>
      <c r="R4" s="478"/>
      <c r="S4" s="479"/>
      <c r="T4" s="477"/>
      <c r="U4" s="478"/>
      <c r="V4" s="478"/>
      <c r="W4" s="479"/>
      <c r="X4" s="477"/>
      <c r="Y4" s="478"/>
      <c r="Z4" s="478"/>
      <c r="AA4" s="479"/>
    </row>
    <row r="5" spans="2:27" x14ac:dyDescent="0.3">
      <c r="B5" s="9"/>
      <c r="D5" s="597" t="s">
        <v>824</v>
      </c>
      <c r="E5" s="598"/>
      <c r="F5" s="598"/>
      <c r="G5" s="598"/>
      <c r="H5" s="598"/>
      <c r="K5" s="771" t="s">
        <v>967</v>
      </c>
      <c r="L5" s="772"/>
      <c r="M5" s="772"/>
      <c r="N5" s="772"/>
      <c r="O5" s="773"/>
      <c r="P5" s="771" t="s">
        <v>971</v>
      </c>
      <c r="Q5" s="772"/>
      <c r="R5" s="772"/>
      <c r="S5" s="773"/>
      <c r="T5" s="771" t="s">
        <v>970</v>
      </c>
      <c r="U5" s="772"/>
      <c r="V5" s="772"/>
      <c r="W5" s="773"/>
      <c r="X5" s="771" t="s">
        <v>973</v>
      </c>
      <c r="Y5" s="772"/>
      <c r="Z5" s="772"/>
      <c r="AA5" s="773"/>
    </row>
    <row r="6" spans="2:27" x14ac:dyDescent="0.3">
      <c r="B6" s="1"/>
      <c r="C6" s="1"/>
      <c r="D6" s="291" t="s">
        <v>838</v>
      </c>
      <c r="E6" s="291" t="s">
        <v>839</v>
      </c>
      <c r="F6" s="304" t="s">
        <v>857</v>
      </c>
      <c r="G6" s="304" t="s">
        <v>978</v>
      </c>
      <c r="H6" s="304" t="s">
        <v>79</v>
      </c>
      <c r="J6">
        <v>0</v>
      </c>
      <c r="K6" s="339" t="s">
        <v>856</v>
      </c>
      <c r="L6" s="339" t="s">
        <v>570</v>
      </c>
      <c r="M6" s="339" t="s">
        <v>819</v>
      </c>
      <c r="N6" s="339" t="s">
        <v>968</v>
      </c>
      <c r="O6" s="339" t="s">
        <v>79</v>
      </c>
      <c r="P6" s="339" t="s">
        <v>856</v>
      </c>
      <c r="Q6" s="339" t="s">
        <v>570</v>
      </c>
      <c r="R6" s="339" t="s">
        <v>969</v>
      </c>
      <c r="S6" s="339" t="s">
        <v>79</v>
      </c>
      <c r="T6" s="339" t="s">
        <v>856</v>
      </c>
      <c r="U6" s="339" t="s">
        <v>570</v>
      </c>
      <c r="V6" s="339" t="s">
        <v>972</v>
      </c>
      <c r="W6" s="339" t="s">
        <v>79</v>
      </c>
      <c r="X6" s="339" t="s">
        <v>856</v>
      </c>
      <c r="Y6" s="339" t="s">
        <v>570</v>
      </c>
      <c r="Z6" s="339" t="s">
        <v>974</v>
      </c>
      <c r="AA6" s="339" t="s">
        <v>79</v>
      </c>
    </row>
    <row r="7" spans="2:27" x14ac:dyDescent="0.3">
      <c r="B7" s="9" t="s">
        <v>826</v>
      </c>
      <c r="C7" s="1">
        <v>0</v>
      </c>
      <c r="D7" s="280"/>
      <c r="E7" s="280"/>
      <c r="F7" s="280"/>
      <c r="G7" s="127"/>
      <c r="H7" s="127"/>
      <c r="J7">
        <v>1</v>
      </c>
      <c r="K7" s="65">
        <v>0</v>
      </c>
      <c r="L7" s="66">
        <v>0</v>
      </c>
      <c r="M7" s="80">
        <v>150</v>
      </c>
      <c r="N7" s="80">
        <v>1</v>
      </c>
      <c r="O7" s="80">
        <v>18000</v>
      </c>
      <c r="P7" s="65">
        <v>0</v>
      </c>
      <c r="Q7" s="66">
        <v>0</v>
      </c>
      <c r="R7" s="336">
        <v>5.0000000000000001E-3</v>
      </c>
      <c r="S7" s="80">
        <v>108000</v>
      </c>
      <c r="T7" s="65">
        <v>0</v>
      </c>
      <c r="U7" s="66">
        <v>0</v>
      </c>
      <c r="V7" s="336">
        <v>5.0000000000000001E-3</v>
      </c>
      <c r="W7" s="80">
        <v>135000</v>
      </c>
      <c r="X7" s="65">
        <v>0</v>
      </c>
      <c r="Y7" s="66">
        <v>0</v>
      </c>
      <c r="Z7" s="65">
        <v>5000</v>
      </c>
      <c r="AA7" s="66">
        <v>150000</v>
      </c>
    </row>
    <row r="8" spans="2:27" x14ac:dyDescent="0.3">
      <c r="B8" s="9" t="s">
        <v>827</v>
      </c>
      <c r="C8" s="1">
        <v>1</v>
      </c>
      <c r="D8" s="65">
        <v>1000</v>
      </c>
      <c r="E8" s="80"/>
      <c r="F8" s="308">
        <v>2.1000000000000001E-2</v>
      </c>
      <c r="G8" s="344">
        <v>300</v>
      </c>
      <c r="H8" s="347">
        <v>236000</v>
      </c>
      <c r="J8">
        <v>2</v>
      </c>
      <c r="K8" s="67">
        <v>300</v>
      </c>
      <c r="L8" s="68">
        <v>30600</v>
      </c>
      <c r="M8" s="88">
        <v>200</v>
      </c>
      <c r="N8" s="88">
        <v>2</v>
      </c>
      <c r="O8" s="88">
        <f>O7+18000</f>
        <v>36000</v>
      </c>
      <c r="P8" s="67">
        <v>500</v>
      </c>
      <c r="Q8" s="68">
        <v>86400</v>
      </c>
      <c r="R8" s="337">
        <v>0.01</v>
      </c>
      <c r="S8" s="88">
        <f>S7+108000</f>
        <v>216000</v>
      </c>
      <c r="T8" s="67">
        <v>800</v>
      </c>
      <c r="U8" s="68">
        <v>159000</v>
      </c>
      <c r="V8" s="337">
        <v>0.01</v>
      </c>
      <c r="W8" s="88">
        <f>W7+135000</f>
        <v>270000</v>
      </c>
      <c r="X8" s="67">
        <v>800</v>
      </c>
      <c r="Y8" s="68">
        <v>179400</v>
      </c>
      <c r="Z8" s="67">
        <v>10000</v>
      </c>
      <c r="AA8" s="68">
        <f>AA7+150000</f>
        <v>300000</v>
      </c>
    </row>
    <row r="9" spans="2:27" x14ac:dyDescent="0.3">
      <c r="B9" s="9"/>
      <c r="C9" s="1">
        <v>2</v>
      </c>
      <c r="D9" s="67">
        <v>1100</v>
      </c>
      <c r="E9" s="88"/>
      <c r="F9" s="310">
        <v>2.1999999999999999E-2</v>
      </c>
      <c r="G9" s="345"/>
      <c r="H9" s="348"/>
      <c r="J9">
        <v>3</v>
      </c>
      <c r="K9" s="67">
        <v>600</v>
      </c>
      <c r="L9" s="68">
        <v>61800</v>
      </c>
      <c r="M9" s="88">
        <v>250</v>
      </c>
      <c r="N9" s="88">
        <v>3</v>
      </c>
      <c r="O9" s="88">
        <f t="shared" ref="O9:O16" si="0">O8+18000</f>
        <v>54000</v>
      </c>
      <c r="P9" s="67">
        <v>1000</v>
      </c>
      <c r="Q9" s="68">
        <v>172800</v>
      </c>
      <c r="R9" s="337">
        <v>1.4999999999999999E-2</v>
      </c>
      <c r="S9" s="88">
        <f t="shared" ref="S9:S26" si="1">S8+108000</f>
        <v>324000</v>
      </c>
      <c r="T9" s="67">
        <v>1500</v>
      </c>
      <c r="U9" s="68">
        <v>297600</v>
      </c>
      <c r="V9" s="337">
        <v>1.4999999999999999E-2</v>
      </c>
      <c r="W9" s="88">
        <f t="shared" ref="W9:W26" si="2">W8+135000</f>
        <v>405000</v>
      </c>
      <c r="X9" s="67">
        <v>1500</v>
      </c>
      <c r="Y9" s="68">
        <v>336600</v>
      </c>
      <c r="Z9" s="67">
        <v>15000</v>
      </c>
      <c r="AA9" s="68">
        <f t="shared" ref="AA9:AA26" si="3">AA8+150000</f>
        <v>450000</v>
      </c>
    </row>
    <row r="10" spans="2:27" x14ac:dyDescent="0.3">
      <c r="B10" s="9"/>
      <c r="C10" s="1">
        <v>3</v>
      </c>
      <c r="D10" s="67">
        <v>1160</v>
      </c>
      <c r="E10" s="88"/>
      <c r="F10" s="310">
        <v>2.3E-2</v>
      </c>
      <c r="G10" s="345"/>
      <c r="H10" s="348"/>
      <c r="J10">
        <v>4</v>
      </c>
      <c r="K10" s="67">
        <v>900</v>
      </c>
      <c r="L10" s="68">
        <v>93000</v>
      </c>
      <c r="M10" s="88">
        <v>300</v>
      </c>
      <c r="N10" s="88">
        <v>4</v>
      </c>
      <c r="O10" s="88">
        <f t="shared" si="0"/>
        <v>72000</v>
      </c>
      <c r="P10" s="67">
        <v>1500</v>
      </c>
      <c r="Q10" s="68">
        <v>259200</v>
      </c>
      <c r="R10" s="337">
        <v>0.02</v>
      </c>
      <c r="S10" s="88">
        <f t="shared" si="1"/>
        <v>432000</v>
      </c>
      <c r="T10" s="67">
        <v>2200</v>
      </c>
      <c r="U10" s="68">
        <v>436800</v>
      </c>
      <c r="V10" s="337">
        <v>0.02</v>
      </c>
      <c r="W10" s="88">
        <f t="shared" si="2"/>
        <v>540000</v>
      </c>
      <c r="X10" s="67">
        <v>2200</v>
      </c>
      <c r="Y10" s="68">
        <v>493800</v>
      </c>
      <c r="Z10" s="67">
        <v>20000</v>
      </c>
      <c r="AA10" s="68">
        <f t="shared" si="3"/>
        <v>600000</v>
      </c>
    </row>
    <row r="11" spans="2:27" x14ac:dyDescent="0.3">
      <c r="B11" s="9"/>
      <c r="C11" s="1">
        <v>4</v>
      </c>
      <c r="D11" s="67">
        <v>1210</v>
      </c>
      <c r="E11" s="88"/>
      <c r="F11" s="310">
        <v>2.4E-2</v>
      </c>
      <c r="G11" s="345"/>
      <c r="H11" s="348"/>
      <c r="J11">
        <v>5</v>
      </c>
      <c r="K11" s="69">
        <v>1200</v>
      </c>
      <c r="L11" s="70">
        <v>124200</v>
      </c>
      <c r="M11" s="83">
        <v>350</v>
      </c>
      <c r="N11" s="83">
        <v>5</v>
      </c>
      <c r="O11" s="83">
        <f t="shared" si="0"/>
        <v>90000</v>
      </c>
      <c r="P11" s="69">
        <v>2000</v>
      </c>
      <c r="Q11" s="70">
        <v>345600</v>
      </c>
      <c r="R11" s="338">
        <v>2.5000000000000001E-2</v>
      </c>
      <c r="S11" s="83">
        <f t="shared" si="1"/>
        <v>540000</v>
      </c>
      <c r="T11" s="69">
        <v>7000</v>
      </c>
      <c r="U11" s="70">
        <v>595800</v>
      </c>
      <c r="V11" s="338">
        <v>2.5000000000000001E-2</v>
      </c>
      <c r="W11" s="83">
        <f t="shared" si="2"/>
        <v>675000</v>
      </c>
      <c r="X11" s="69">
        <v>3000</v>
      </c>
      <c r="Y11" s="70">
        <v>673800</v>
      </c>
      <c r="Z11" s="69">
        <v>25000</v>
      </c>
      <c r="AA11" s="70">
        <f t="shared" si="3"/>
        <v>750000</v>
      </c>
    </row>
    <row r="12" spans="2:27" x14ac:dyDescent="0.3">
      <c r="B12" s="9"/>
      <c r="C12" s="1">
        <v>5</v>
      </c>
      <c r="D12" s="67">
        <v>1270</v>
      </c>
      <c r="E12" s="88"/>
      <c r="F12" s="310">
        <v>2.5000000000000001E-2</v>
      </c>
      <c r="G12" s="345"/>
      <c r="H12" s="348"/>
      <c r="J12">
        <v>6</v>
      </c>
      <c r="K12" s="65">
        <v>1500</v>
      </c>
      <c r="L12" s="66">
        <v>155400</v>
      </c>
      <c r="M12" s="80">
        <v>400</v>
      </c>
      <c r="N12" s="80">
        <v>6</v>
      </c>
      <c r="O12" s="80">
        <f t="shared" si="0"/>
        <v>108000</v>
      </c>
      <c r="P12" s="65">
        <v>2500</v>
      </c>
      <c r="Q12" s="66">
        <v>432000</v>
      </c>
      <c r="R12" s="336">
        <v>0.03</v>
      </c>
      <c r="S12" s="80">
        <f t="shared" si="1"/>
        <v>648000</v>
      </c>
      <c r="T12" s="65">
        <v>3800</v>
      </c>
      <c r="U12" s="66">
        <v>754800</v>
      </c>
      <c r="V12" s="336">
        <v>0.03</v>
      </c>
      <c r="W12" s="80">
        <f t="shared" si="2"/>
        <v>810000</v>
      </c>
      <c r="X12" s="65">
        <v>3800</v>
      </c>
      <c r="Y12" s="66">
        <v>853200</v>
      </c>
      <c r="Z12" s="65">
        <v>30000</v>
      </c>
      <c r="AA12" s="66">
        <f t="shared" si="3"/>
        <v>900000</v>
      </c>
    </row>
    <row r="13" spans="2:27" x14ac:dyDescent="0.3">
      <c r="B13" s="9"/>
      <c r="C13" s="1">
        <v>6</v>
      </c>
      <c r="D13" s="67">
        <v>1320</v>
      </c>
      <c r="E13" s="88"/>
      <c r="F13" s="310">
        <v>2.5999999999999999E-2</v>
      </c>
      <c r="G13" s="345"/>
      <c r="H13" s="348"/>
      <c r="J13">
        <v>7</v>
      </c>
      <c r="K13" s="67">
        <v>1800</v>
      </c>
      <c r="L13" s="68">
        <v>186600</v>
      </c>
      <c r="M13" s="88">
        <v>450</v>
      </c>
      <c r="N13" s="88">
        <v>7</v>
      </c>
      <c r="O13" s="88">
        <f t="shared" si="0"/>
        <v>126000</v>
      </c>
      <c r="P13" s="67">
        <v>3000</v>
      </c>
      <c r="Q13" s="68">
        <v>518400</v>
      </c>
      <c r="R13" s="337">
        <v>3.5000000000000003E-2</v>
      </c>
      <c r="S13" s="88">
        <f t="shared" si="1"/>
        <v>756000</v>
      </c>
      <c r="T13" s="67">
        <v>4500</v>
      </c>
      <c r="U13" s="68">
        <v>894000</v>
      </c>
      <c r="V13" s="337">
        <v>3.5000000000000003E-2</v>
      </c>
      <c r="W13" s="88">
        <f t="shared" si="2"/>
        <v>945000</v>
      </c>
      <c r="X13" s="67">
        <v>4500</v>
      </c>
      <c r="Y13" s="68">
        <v>1010400</v>
      </c>
      <c r="Z13" s="67">
        <v>35000</v>
      </c>
      <c r="AA13" s="68">
        <f t="shared" si="3"/>
        <v>1050000</v>
      </c>
    </row>
    <row r="14" spans="2:27" x14ac:dyDescent="0.3">
      <c r="B14" s="9"/>
      <c r="C14" s="1">
        <v>7</v>
      </c>
      <c r="D14" s="67">
        <v>1430</v>
      </c>
      <c r="E14" s="88"/>
      <c r="F14" s="310">
        <v>2.7E-2</v>
      </c>
      <c r="G14" s="345"/>
      <c r="H14" s="348"/>
      <c r="J14">
        <v>8</v>
      </c>
      <c r="K14" s="67">
        <v>2100</v>
      </c>
      <c r="L14" s="68">
        <v>217200</v>
      </c>
      <c r="M14" s="88">
        <v>500</v>
      </c>
      <c r="N14" s="88">
        <v>8</v>
      </c>
      <c r="O14" s="88">
        <f t="shared" si="0"/>
        <v>144000</v>
      </c>
      <c r="P14" s="67">
        <v>3500</v>
      </c>
      <c r="Q14" s="68">
        <v>604800</v>
      </c>
      <c r="R14" s="337">
        <v>0.04</v>
      </c>
      <c r="S14" s="88">
        <f t="shared" si="1"/>
        <v>864000</v>
      </c>
      <c r="T14" s="67">
        <v>5200</v>
      </c>
      <c r="U14" s="68">
        <v>1033200</v>
      </c>
      <c r="V14" s="337">
        <v>0.04</v>
      </c>
      <c r="W14" s="88">
        <f t="shared" si="2"/>
        <v>1080000</v>
      </c>
      <c r="X14" s="67">
        <v>5200</v>
      </c>
      <c r="Y14" s="68">
        <v>1167600</v>
      </c>
      <c r="Z14" s="67">
        <v>40000</v>
      </c>
      <c r="AA14" s="68">
        <f t="shared" si="3"/>
        <v>1200000</v>
      </c>
    </row>
    <row r="15" spans="2:27" x14ac:dyDescent="0.3">
      <c r="B15" s="9"/>
      <c r="C15" s="1">
        <v>8</v>
      </c>
      <c r="D15" s="67">
        <v>1540</v>
      </c>
      <c r="E15" s="88"/>
      <c r="F15" s="310">
        <v>2.8000000000000001E-2</v>
      </c>
      <c r="G15" s="345"/>
      <c r="H15" s="348"/>
      <c r="J15">
        <v>9</v>
      </c>
      <c r="K15" s="67">
        <v>2400</v>
      </c>
      <c r="L15" s="68">
        <v>248400</v>
      </c>
      <c r="M15" s="88">
        <v>550</v>
      </c>
      <c r="N15" s="88">
        <v>9</v>
      </c>
      <c r="O15" s="88">
        <f t="shared" si="0"/>
        <v>162000</v>
      </c>
      <c r="P15" s="67">
        <v>4000</v>
      </c>
      <c r="Q15" s="68">
        <v>691200</v>
      </c>
      <c r="R15" s="337">
        <v>4.4999999999999998E-2</v>
      </c>
      <c r="S15" s="88">
        <f t="shared" si="1"/>
        <v>972000</v>
      </c>
      <c r="T15" s="67">
        <v>6000</v>
      </c>
      <c r="U15" s="68">
        <v>1192200</v>
      </c>
      <c r="V15" s="337">
        <v>4.4999999999999998E-2</v>
      </c>
      <c r="W15" s="88">
        <f t="shared" si="2"/>
        <v>1215000</v>
      </c>
      <c r="X15" s="67">
        <v>6000</v>
      </c>
      <c r="Y15" s="68">
        <v>1347600</v>
      </c>
      <c r="Z15" s="67">
        <v>45000</v>
      </c>
      <c r="AA15" s="68">
        <f t="shared" si="3"/>
        <v>1350000</v>
      </c>
    </row>
    <row r="16" spans="2:27" x14ac:dyDescent="0.3">
      <c r="B16" s="9"/>
      <c r="C16" s="1">
        <v>9</v>
      </c>
      <c r="D16" s="67">
        <v>1650</v>
      </c>
      <c r="E16" s="88"/>
      <c r="F16" s="310">
        <v>2.9000000000000001E-2</v>
      </c>
      <c r="G16" s="345"/>
      <c r="H16" s="348"/>
      <c r="J16">
        <v>10</v>
      </c>
      <c r="K16" s="69">
        <v>2700</v>
      </c>
      <c r="L16" s="70">
        <v>279600</v>
      </c>
      <c r="M16" s="83">
        <v>600</v>
      </c>
      <c r="N16" s="83">
        <v>10</v>
      </c>
      <c r="O16" s="83">
        <f t="shared" si="0"/>
        <v>180000</v>
      </c>
      <c r="P16" s="69">
        <v>4500</v>
      </c>
      <c r="Q16" s="70">
        <v>777600</v>
      </c>
      <c r="R16" s="338">
        <v>0.05</v>
      </c>
      <c r="S16" s="83">
        <f t="shared" si="1"/>
        <v>1080000</v>
      </c>
      <c r="T16" s="69">
        <v>6800</v>
      </c>
      <c r="U16" s="70">
        <v>1351200</v>
      </c>
      <c r="V16" s="338">
        <v>0.05</v>
      </c>
      <c r="W16" s="83">
        <f t="shared" si="2"/>
        <v>1350000</v>
      </c>
      <c r="X16" s="69">
        <v>6800</v>
      </c>
      <c r="Y16" s="70">
        <v>1527600</v>
      </c>
      <c r="Z16" s="69">
        <v>50000</v>
      </c>
      <c r="AA16" s="70">
        <f t="shared" si="3"/>
        <v>1500000</v>
      </c>
    </row>
    <row r="17" spans="2:27" x14ac:dyDescent="0.3">
      <c r="B17" s="9"/>
      <c r="C17" s="1">
        <v>10</v>
      </c>
      <c r="D17" s="67">
        <v>1760</v>
      </c>
      <c r="E17" s="88"/>
      <c r="F17" s="310">
        <v>0.03</v>
      </c>
      <c r="G17" s="345"/>
      <c r="H17" s="348"/>
      <c r="J17">
        <v>11</v>
      </c>
      <c r="K17" s="314"/>
      <c r="L17" s="315"/>
      <c r="M17" s="296"/>
      <c r="N17" s="296"/>
      <c r="O17" s="296"/>
      <c r="P17" s="65">
        <v>5000</v>
      </c>
      <c r="Q17" s="66">
        <v>864000</v>
      </c>
      <c r="R17" s="336">
        <v>5.5E-2</v>
      </c>
      <c r="S17" s="80">
        <f t="shared" si="1"/>
        <v>1188000</v>
      </c>
      <c r="T17" s="65">
        <v>7500</v>
      </c>
      <c r="U17" s="66">
        <v>1490400</v>
      </c>
      <c r="V17" s="336">
        <v>5.5E-2</v>
      </c>
      <c r="W17" s="80">
        <f t="shared" si="2"/>
        <v>1485000</v>
      </c>
      <c r="X17" s="65">
        <v>7500</v>
      </c>
      <c r="Y17" s="66">
        <v>1684800</v>
      </c>
      <c r="Z17" s="65">
        <v>55000</v>
      </c>
      <c r="AA17" s="66">
        <f t="shared" si="3"/>
        <v>1650000</v>
      </c>
    </row>
    <row r="18" spans="2:27" x14ac:dyDescent="0.3">
      <c r="B18" s="9" t="s">
        <v>828</v>
      </c>
      <c r="C18" s="1">
        <v>10.1</v>
      </c>
      <c r="D18" s="69" t="s">
        <v>27</v>
      </c>
      <c r="E18" s="83">
        <v>20</v>
      </c>
      <c r="F18" s="316">
        <v>3.7999999999999999E-2</v>
      </c>
      <c r="G18" s="346">
        <v>600</v>
      </c>
      <c r="H18" s="349">
        <v>472000</v>
      </c>
      <c r="J18">
        <v>12</v>
      </c>
      <c r="K18" s="314"/>
      <c r="L18" s="315"/>
      <c r="M18" s="296"/>
      <c r="N18" s="296"/>
      <c r="O18" s="296"/>
      <c r="P18" s="67">
        <v>5500</v>
      </c>
      <c r="Q18" s="68">
        <v>950400</v>
      </c>
      <c r="R18" s="337">
        <v>0.06</v>
      </c>
      <c r="S18" s="88">
        <f t="shared" si="1"/>
        <v>1296000</v>
      </c>
      <c r="T18" s="67">
        <v>8200</v>
      </c>
      <c r="U18" s="68">
        <v>1629000</v>
      </c>
      <c r="V18" s="337">
        <v>0.06</v>
      </c>
      <c r="W18" s="88">
        <f t="shared" si="2"/>
        <v>1620000</v>
      </c>
      <c r="X18" s="67">
        <v>8200</v>
      </c>
      <c r="Y18" s="68">
        <v>1842000</v>
      </c>
      <c r="Z18" s="67">
        <v>60000</v>
      </c>
      <c r="AA18" s="68">
        <f t="shared" si="3"/>
        <v>1800000</v>
      </c>
    </row>
    <row r="19" spans="2:27" x14ac:dyDescent="0.3">
      <c r="B19" s="9"/>
      <c r="C19" s="1">
        <v>11</v>
      </c>
      <c r="D19" s="65">
        <v>1870</v>
      </c>
      <c r="E19" s="80"/>
      <c r="F19" s="308">
        <v>3.9E-2</v>
      </c>
      <c r="G19" s="344"/>
      <c r="H19" s="347"/>
      <c r="J19">
        <v>13</v>
      </c>
      <c r="K19" s="314"/>
      <c r="L19" s="315"/>
      <c r="M19" s="296"/>
      <c r="N19" s="296"/>
      <c r="O19" s="296"/>
      <c r="P19" s="67">
        <v>6000</v>
      </c>
      <c r="Q19" s="68">
        <v>1036800</v>
      </c>
      <c r="R19" s="337">
        <v>6.5000000000000002E-2</v>
      </c>
      <c r="S19" s="88">
        <f t="shared" si="1"/>
        <v>1404000</v>
      </c>
      <c r="T19" s="67">
        <v>9000</v>
      </c>
      <c r="U19" s="68">
        <v>1788000</v>
      </c>
      <c r="V19" s="337">
        <v>6.5000000000000002E-2</v>
      </c>
      <c r="W19" s="88">
        <f t="shared" si="2"/>
        <v>1755000</v>
      </c>
      <c r="X19" s="67">
        <v>9000</v>
      </c>
      <c r="Y19" s="68">
        <v>2021400</v>
      </c>
      <c r="Z19" s="67">
        <v>65000</v>
      </c>
      <c r="AA19" s="68">
        <f t="shared" si="3"/>
        <v>1950000</v>
      </c>
    </row>
    <row r="20" spans="2:27" x14ac:dyDescent="0.3">
      <c r="B20" s="9"/>
      <c r="C20" s="1">
        <v>12</v>
      </c>
      <c r="D20" s="67">
        <v>1980</v>
      </c>
      <c r="E20" s="88"/>
      <c r="F20" s="310">
        <v>0.04</v>
      </c>
      <c r="G20" s="345"/>
      <c r="H20" s="348"/>
      <c r="J20">
        <v>14</v>
      </c>
      <c r="K20" s="314"/>
      <c r="L20" s="315"/>
      <c r="M20" s="296"/>
      <c r="N20" s="296"/>
      <c r="O20" s="296"/>
      <c r="P20" s="67">
        <v>6500</v>
      </c>
      <c r="Q20" s="68">
        <v>1209600</v>
      </c>
      <c r="R20" s="337">
        <v>7.0000000000000007E-2</v>
      </c>
      <c r="S20" s="88">
        <f t="shared" si="1"/>
        <v>1512000</v>
      </c>
      <c r="T20" s="67">
        <v>10500</v>
      </c>
      <c r="U20" s="68">
        <v>2086200</v>
      </c>
      <c r="V20" s="337">
        <v>7.0000000000000007E-2</v>
      </c>
      <c r="W20" s="88">
        <f t="shared" si="2"/>
        <v>1890000</v>
      </c>
      <c r="X20" s="67">
        <v>10500</v>
      </c>
      <c r="Y20" s="68">
        <v>2358600</v>
      </c>
      <c r="Z20" s="67">
        <v>70000</v>
      </c>
      <c r="AA20" s="68">
        <f t="shared" si="3"/>
        <v>2100000</v>
      </c>
    </row>
    <row r="21" spans="2:27" x14ac:dyDescent="0.3">
      <c r="B21" s="9"/>
      <c r="C21" s="1">
        <v>13</v>
      </c>
      <c r="D21" s="67">
        <v>2090</v>
      </c>
      <c r="E21" s="88"/>
      <c r="F21" s="310">
        <v>4.1000000000000002E-2</v>
      </c>
      <c r="G21" s="345"/>
      <c r="H21" s="348"/>
      <c r="J21">
        <v>15</v>
      </c>
      <c r="K21" s="314"/>
      <c r="L21" s="315"/>
      <c r="M21" s="296"/>
      <c r="N21" s="296"/>
      <c r="O21" s="296"/>
      <c r="P21" s="69">
        <v>7000</v>
      </c>
      <c r="Q21" s="70">
        <v>1382400</v>
      </c>
      <c r="R21" s="338">
        <v>7.4999999999999997E-2</v>
      </c>
      <c r="S21" s="83">
        <f t="shared" si="1"/>
        <v>1620000</v>
      </c>
      <c r="T21" s="69">
        <v>12000</v>
      </c>
      <c r="U21" s="70">
        <v>2384400</v>
      </c>
      <c r="V21" s="338">
        <v>7.4999999999999997E-2</v>
      </c>
      <c r="W21" s="83">
        <f t="shared" si="2"/>
        <v>2025000</v>
      </c>
      <c r="X21" s="69">
        <v>12000</v>
      </c>
      <c r="Y21" s="70">
        <v>2695200</v>
      </c>
      <c r="Z21" s="69">
        <v>75000</v>
      </c>
      <c r="AA21" s="70">
        <f t="shared" si="3"/>
        <v>2250000</v>
      </c>
    </row>
    <row r="22" spans="2:27" x14ac:dyDescent="0.3">
      <c r="B22" s="9"/>
      <c r="C22" s="1">
        <v>14</v>
      </c>
      <c r="D22" s="67">
        <v>2200</v>
      </c>
      <c r="E22" s="88"/>
      <c r="F22" s="310">
        <v>4.2000000000000003E-2</v>
      </c>
      <c r="G22" s="345"/>
      <c r="H22" s="348"/>
      <c r="J22">
        <v>16</v>
      </c>
      <c r="K22" s="314"/>
      <c r="L22" s="315"/>
      <c r="M22" s="296"/>
      <c r="N22" s="296"/>
      <c r="O22" s="296"/>
      <c r="P22" s="67">
        <v>7500</v>
      </c>
      <c r="Q22" s="68">
        <v>1382400</v>
      </c>
      <c r="R22" s="337">
        <v>0.08</v>
      </c>
      <c r="S22" s="88">
        <f t="shared" si="1"/>
        <v>1728000</v>
      </c>
      <c r="T22" s="67">
        <v>12000</v>
      </c>
      <c r="U22" s="68">
        <v>2384400</v>
      </c>
      <c r="V22" s="337">
        <v>0.08</v>
      </c>
      <c r="W22" s="88">
        <f t="shared" si="2"/>
        <v>2160000</v>
      </c>
      <c r="X22" s="67">
        <v>12000</v>
      </c>
      <c r="Y22" s="68">
        <v>2695200</v>
      </c>
      <c r="Z22" s="65">
        <v>80000</v>
      </c>
      <c r="AA22" s="66">
        <f t="shared" si="3"/>
        <v>2400000</v>
      </c>
    </row>
    <row r="23" spans="2:27" x14ac:dyDescent="0.3">
      <c r="B23" s="9"/>
      <c r="C23" s="1">
        <v>15</v>
      </c>
      <c r="D23" s="67">
        <v>2310</v>
      </c>
      <c r="E23" s="88"/>
      <c r="F23" s="310">
        <v>4.2999999999999997E-2</v>
      </c>
      <c r="G23" s="345"/>
      <c r="H23" s="348"/>
      <c r="J23">
        <v>17</v>
      </c>
      <c r="K23" s="314"/>
      <c r="L23" s="315"/>
      <c r="M23" s="296"/>
      <c r="N23" s="296"/>
      <c r="O23" s="296"/>
      <c r="P23" s="67">
        <v>8000</v>
      </c>
      <c r="Q23" s="68">
        <v>1555200</v>
      </c>
      <c r="R23" s="337">
        <v>8.5000000000000006E-2</v>
      </c>
      <c r="S23" s="88">
        <f t="shared" si="1"/>
        <v>1836000</v>
      </c>
      <c r="T23" s="67">
        <v>13500</v>
      </c>
      <c r="U23" s="68">
        <v>2682600</v>
      </c>
      <c r="V23" s="337">
        <v>8.5000000000000006E-2</v>
      </c>
      <c r="W23" s="88">
        <f t="shared" si="2"/>
        <v>2295000</v>
      </c>
      <c r="X23" s="67">
        <v>13500</v>
      </c>
      <c r="Y23" s="68">
        <v>3032400</v>
      </c>
      <c r="Z23" s="67">
        <v>85000</v>
      </c>
      <c r="AA23" s="68">
        <f t="shared" si="3"/>
        <v>2550000</v>
      </c>
    </row>
    <row r="24" spans="2:27" x14ac:dyDescent="0.3">
      <c r="B24" s="9"/>
      <c r="C24" s="1">
        <v>16</v>
      </c>
      <c r="D24" s="67">
        <v>2420</v>
      </c>
      <c r="E24" s="88"/>
      <c r="F24" s="310">
        <v>4.3999999999999997E-2</v>
      </c>
      <c r="G24" s="345"/>
      <c r="H24" s="348"/>
      <c r="J24">
        <v>18</v>
      </c>
      <c r="K24" s="314"/>
      <c r="L24" s="315"/>
      <c r="M24" s="296"/>
      <c r="N24" s="296"/>
      <c r="O24" s="296"/>
      <c r="P24" s="67">
        <v>8500</v>
      </c>
      <c r="Q24" s="68">
        <v>1555200</v>
      </c>
      <c r="R24" s="337">
        <v>0.09</v>
      </c>
      <c r="S24" s="88">
        <f t="shared" si="1"/>
        <v>1944000</v>
      </c>
      <c r="T24" s="67">
        <v>13500</v>
      </c>
      <c r="U24" s="68">
        <v>2682600</v>
      </c>
      <c r="V24" s="337">
        <v>0.09</v>
      </c>
      <c r="W24" s="88">
        <f t="shared" si="2"/>
        <v>2430000</v>
      </c>
      <c r="X24" s="67">
        <v>13500</v>
      </c>
      <c r="Y24" s="68">
        <v>3032400</v>
      </c>
      <c r="Z24" s="67">
        <v>90000</v>
      </c>
      <c r="AA24" s="68">
        <f t="shared" si="3"/>
        <v>2700000</v>
      </c>
    </row>
    <row r="25" spans="2:27" x14ac:dyDescent="0.3">
      <c r="B25" s="9"/>
      <c r="C25" s="1">
        <v>17</v>
      </c>
      <c r="D25" s="67">
        <v>2530</v>
      </c>
      <c r="E25" s="88"/>
      <c r="F25" s="310">
        <v>4.4999999999999998E-2</v>
      </c>
      <c r="G25" s="345"/>
      <c r="H25" s="348"/>
      <c r="J25">
        <v>19</v>
      </c>
      <c r="K25" s="314"/>
      <c r="L25" s="315"/>
      <c r="M25" s="296"/>
      <c r="N25" s="296"/>
      <c r="O25" s="296"/>
      <c r="P25" s="67">
        <v>9000</v>
      </c>
      <c r="Q25" s="68">
        <v>1728000</v>
      </c>
      <c r="R25" s="337">
        <v>9.5000000000000001E-2</v>
      </c>
      <c r="S25" s="88">
        <f t="shared" si="1"/>
        <v>2052000</v>
      </c>
      <c r="T25" s="67">
        <v>15000</v>
      </c>
      <c r="U25" s="68">
        <v>2980800</v>
      </c>
      <c r="V25" s="337">
        <v>9.5000000000000001E-2</v>
      </c>
      <c r="W25" s="88">
        <f t="shared" si="2"/>
        <v>2565000</v>
      </c>
      <c r="X25" s="67">
        <v>15000</v>
      </c>
      <c r="Y25" s="68">
        <v>3369600</v>
      </c>
      <c r="Z25" s="67">
        <v>95000</v>
      </c>
      <c r="AA25" s="68">
        <f t="shared" si="3"/>
        <v>2850000</v>
      </c>
    </row>
    <row r="26" spans="2:27" x14ac:dyDescent="0.3">
      <c r="B26" s="9"/>
      <c r="C26" s="1">
        <v>18</v>
      </c>
      <c r="D26" s="67">
        <v>2640</v>
      </c>
      <c r="E26" s="88"/>
      <c r="F26" s="310">
        <v>4.5999999999999999E-2</v>
      </c>
      <c r="G26" s="345"/>
      <c r="H26" s="348"/>
      <c r="J26">
        <v>20</v>
      </c>
      <c r="K26" s="318"/>
      <c r="L26" s="319"/>
      <c r="M26" s="328"/>
      <c r="N26" s="328"/>
      <c r="O26" s="328"/>
      <c r="P26" s="69">
        <v>9500</v>
      </c>
      <c r="Q26" s="70">
        <v>1728000</v>
      </c>
      <c r="R26" s="338">
        <v>0.1</v>
      </c>
      <c r="S26" s="83">
        <f t="shared" si="1"/>
        <v>2160000</v>
      </c>
      <c r="T26" s="69">
        <v>15000</v>
      </c>
      <c r="U26" s="70">
        <v>2980800</v>
      </c>
      <c r="V26" s="338">
        <v>0.1</v>
      </c>
      <c r="W26" s="83">
        <f t="shared" si="2"/>
        <v>2700000</v>
      </c>
      <c r="X26" s="69">
        <v>15000</v>
      </c>
      <c r="Y26" s="70">
        <v>3369600</v>
      </c>
      <c r="Z26" s="69">
        <v>100000</v>
      </c>
      <c r="AA26" s="70">
        <f t="shared" si="3"/>
        <v>3000000</v>
      </c>
    </row>
    <row r="27" spans="2:27" x14ac:dyDescent="0.3">
      <c r="B27" s="9"/>
      <c r="C27" s="1">
        <v>19</v>
      </c>
      <c r="D27" s="67">
        <v>2750</v>
      </c>
      <c r="E27" s="88"/>
      <c r="F27" s="310">
        <v>4.7E-2</v>
      </c>
      <c r="G27" s="345"/>
      <c r="H27" s="348"/>
      <c r="K27" s="88">
        <f>SUM(K7:K26)</f>
        <v>13500</v>
      </c>
      <c r="L27" s="88">
        <f t="shared" ref="L27:Y27" si="4">SUM(L7:L26)</f>
        <v>1396800</v>
      </c>
      <c r="M27" s="88"/>
      <c r="N27" s="88"/>
      <c r="O27" s="88"/>
      <c r="P27" s="88">
        <f t="shared" si="4"/>
        <v>95000</v>
      </c>
      <c r="Q27" s="88">
        <f t="shared" si="4"/>
        <v>17280000</v>
      </c>
      <c r="R27" s="88"/>
      <c r="S27" s="88"/>
      <c r="T27" s="88">
        <f t="shared" si="4"/>
        <v>154000</v>
      </c>
      <c r="U27" s="88">
        <f t="shared" si="4"/>
        <v>29803800</v>
      </c>
      <c r="V27" s="88"/>
      <c r="W27" s="88"/>
      <c r="X27" s="88">
        <f t="shared" si="4"/>
        <v>150000</v>
      </c>
      <c r="Y27" s="88">
        <f t="shared" si="4"/>
        <v>33691200</v>
      </c>
      <c r="Z27" s="88"/>
      <c r="AA27" s="88"/>
    </row>
    <row r="28" spans="2:27" x14ac:dyDescent="0.3">
      <c r="B28" s="9"/>
      <c r="C28" s="1">
        <v>20</v>
      </c>
      <c r="D28" s="67">
        <v>2860</v>
      </c>
      <c r="E28" s="88"/>
      <c r="F28" s="310">
        <v>4.8000000000000001E-2</v>
      </c>
      <c r="G28" s="345"/>
      <c r="H28" s="348"/>
    </row>
    <row r="29" spans="2:27" x14ac:dyDescent="0.3">
      <c r="B29" s="9" t="s">
        <v>829</v>
      </c>
      <c r="C29" s="1">
        <v>20.100000000000001</v>
      </c>
      <c r="D29" s="69" t="s">
        <v>27</v>
      </c>
      <c r="E29" s="83">
        <v>40</v>
      </c>
      <c r="F29" s="316">
        <v>5.6000000000000001E-2</v>
      </c>
      <c r="G29" s="346">
        <v>1000</v>
      </c>
      <c r="H29" s="349">
        <v>708000</v>
      </c>
    </row>
    <row r="30" spans="2:27" x14ac:dyDescent="0.3">
      <c r="B30" s="9"/>
      <c r="C30" s="1">
        <v>21</v>
      </c>
      <c r="D30" s="65">
        <v>2970</v>
      </c>
      <c r="E30" s="80"/>
      <c r="F30" s="308">
        <v>5.7000000000000002E-2</v>
      </c>
      <c r="G30" s="344"/>
      <c r="H30" s="347"/>
    </row>
    <row r="31" spans="2:27" x14ac:dyDescent="0.3">
      <c r="B31" s="9"/>
      <c r="C31" s="1">
        <v>22</v>
      </c>
      <c r="D31" s="67">
        <v>3080</v>
      </c>
      <c r="E31" s="88"/>
      <c r="F31" s="310">
        <v>5.8000000000000003E-2</v>
      </c>
      <c r="G31" s="345"/>
      <c r="H31" s="348"/>
    </row>
    <row r="32" spans="2:27" x14ac:dyDescent="0.3">
      <c r="B32" s="9"/>
      <c r="C32" s="1">
        <v>23</v>
      </c>
      <c r="D32" s="67">
        <v>3190</v>
      </c>
      <c r="E32" s="88"/>
      <c r="F32" s="310">
        <v>5.8999999999999997E-2</v>
      </c>
      <c r="G32" s="345"/>
      <c r="H32" s="348"/>
    </row>
    <row r="33" spans="2:8" x14ac:dyDescent="0.3">
      <c r="B33" s="9"/>
      <c r="C33" s="1">
        <v>24</v>
      </c>
      <c r="D33" s="67">
        <v>3300</v>
      </c>
      <c r="E33" s="88"/>
      <c r="F33" s="310">
        <v>0.06</v>
      </c>
      <c r="G33" s="345"/>
      <c r="H33" s="348"/>
    </row>
    <row r="34" spans="2:8" x14ac:dyDescent="0.3">
      <c r="B34" s="9"/>
      <c r="C34" s="1">
        <v>25</v>
      </c>
      <c r="D34" s="67">
        <v>3520</v>
      </c>
      <c r="E34" s="88"/>
      <c r="F34" s="310">
        <v>6.0999999999999999E-2</v>
      </c>
      <c r="G34" s="345"/>
      <c r="H34" s="348"/>
    </row>
    <row r="35" spans="2:8" x14ac:dyDescent="0.3">
      <c r="B35" s="9"/>
      <c r="C35" s="1">
        <v>26</v>
      </c>
      <c r="D35" s="67">
        <v>3620</v>
      </c>
      <c r="E35" s="88"/>
      <c r="F35" s="310">
        <v>6.2E-2</v>
      </c>
      <c r="G35" s="345"/>
      <c r="H35" s="348"/>
    </row>
    <row r="36" spans="2:8" x14ac:dyDescent="0.3">
      <c r="B36" s="9"/>
      <c r="C36" s="1">
        <v>27</v>
      </c>
      <c r="D36" s="67">
        <v>3720</v>
      </c>
      <c r="E36" s="88"/>
      <c r="F36" s="310">
        <v>6.3E-2</v>
      </c>
      <c r="G36" s="345"/>
      <c r="H36" s="348"/>
    </row>
    <row r="37" spans="2:8" x14ac:dyDescent="0.3">
      <c r="B37" s="259"/>
      <c r="C37" s="1">
        <v>28</v>
      </c>
      <c r="D37" s="67">
        <v>3820</v>
      </c>
      <c r="E37" s="88"/>
      <c r="F37" s="310">
        <v>6.4000000000000001E-2</v>
      </c>
      <c r="G37" s="345"/>
      <c r="H37" s="348"/>
    </row>
    <row r="38" spans="2:8" x14ac:dyDescent="0.3">
      <c r="B38" s="9"/>
      <c r="C38" s="1">
        <v>29</v>
      </c>
      <c r="D38" s="67">
        <v>3920</v>
      </c>
      <c r="E38" s="88"/>
      <c r="F38" s="310">
        <v>6.5000000000000002E-2</v>
      </c>
      <c r="G38" s="345"/>
      <c r="H38" s="348"/>
    </row>
    <row r="39" spans="2:8" x14ac:dyDescent="0.3">
      <c r="B39" s="9"/>
      <c r="C39" s="1">
        <v>30</v>
      </c>
      <c r="D39" s="67">
        <v>4020</v>
      </c>
      <c r="E39" s="88"/>
      <c r="F39" s="310">
        <v>6.6000000000000003E-2</v>
      </c>
      <c r="G39" s="345"/>
      <c r="H39" s="348"/>
    </row>
    <row r="40" spans="2:8" x14ac:dyDescent="0.3">
      <c r="B40" s="9" t="s">
        <v>830</v>
      </c>
      <c r="C40" s="1">
        <v>30.1</v>
      </c>
      <c r="D40" s="69" t="s">
        <v>27</v>
      </c>
      <c r="E40" s="83">
        <v>80</v>
      </c>
      <c r="F40" s="316">
        <v>7.3999999999999996E-2</v>
      </c>
      <c r="G40" s="346">
        <v>1500</v>
      </c>
      <c r="H40" s="349">
        <v>944000</v>
      </c>
    </row>
    <row r="41" spans="2:8" x14ac:dyDescent="0.3">
      <c r="B41" s="9"/>
      <c r="C41" s="1">
        <v>31</v>
      </c>
      <c r="D41" s="65">
        <v>4180</v>
      </c>
      <c r="E41" s="80"/>
      <c r="F41" s="308">
        <v>7.4999999999999997E-2</v>
      </c>
      <c r="G41" s="344"/>
      <c r="H41" s="347"/>
    </row>
    <row r="42" spans="2:8" x14ac:dyDescent="0.3">
      <c r="B42" s="9"/>
      <c r="C42" s="1">
        <v>32</v>
      </c>
      <c r="D42" s="67">
        <v>4350</v>
      </c>
      <c r="E42" s="88"/>
      <c r="F42" s="310">
        <v>7.5999999999999998E-2</v>
      </c>
      <c r="G42" s="345"/>
      <c r="H42" s="348"/>
    </row>
    <row r="43" spans="2:8" x14ac:dyDescent="0.3">
      <c r="B43" s="259"/>
      <c r="C43" s="1">
        <v>33</v>
      </c>
      <c r="D43" s="67">
        <v>4510</v>
      </c>
      <c r="E43" s="88"/>
      <c r="F43" s="310">
        <v>7.6999999999999999E-2</v>
      </c>
      <c r="G43" s="345"/>
      <c r="H43" s="348"/>
    </row>
    <row r="44" spans="2:8" x14ac:dyDescent="0.3">
      <c r="B44" s="9"/>
      <c r="C44" s="1">
        <v>34</v>
      </c>
      <c r="D44" s="67">
        <v>4680</v>
      </c>
      <c r="E44" s="88"/>
      <c r="F44" s="310">
        <v>7.8E-2</v>
      </c>
      <c r="G44" s="345"/>
      <c r="H44" s="348"/>
    </row>
    <row r="45" spans="2:8" x14ac:dyDescent="0.3">
      <c r="B45" s="9"/>
      <c r="C45" s="1">
        <v>35</v>
      </c>
      <c r="D45" s="67">
        <v>4840</v>
      </c>
      <c r="E45" s="88"/>
      <c r="F45" s="310">
        <v>7.9000000000000001E-2</v>
      </c>
      <c r="G45" s="345"/>
      <c r="H45" s="348"/>
    </row>
    <row r="46" spans="2:8" x14ac:dyDescent="0.3">
      <c r="B46" s="9"/>
      <c r="C46" s="1">
        <v>36</v>
      </c>
      <c r="D46" s="67">
        <v>5000</v>
      </c>
      <c r="E46" s="88"/>
      <c r="F46" s="310">
        <v>0.08</v>
      </c>
      <c r="G46" s="345"/>
      <c r="H46" s="348"/>
    </row>
    <row r="47" spans="2:8" x14ac:dyDescent="0.3">
      <c r="B47" s="9"/>
      <c r="C47" s="1">
        <v>37</v>
      </c>
      <c r="D47" s="67">
        <v>5170</v>
      </c>
      <c r="E47" s="88"/>
      <c r="F47" s="310">
        <v>8.1000000000000003E-2</v>
      </c>
      <c r="G47" s="345"/>
      <c r="H47" s="348"/>
    </row>
    <row r="48" spans="2:8" x14ac:dyDescent="0.3">
      <c r="B48" s="9"/>
      <c r="C48" s="1">
        <v>38</v>
      </c>
      <c r="D48" s="67">
        <v>5330</v>
      </c>
      <c r="E48" s="88"/>
      <c r="F48" s="310">
        <v>8.2000000000000003E-2</v>
      </c>
      <c r="G48" s="345"/>
      <c r="H48" s="348"/>
    </row>
    <row r="49" spans="2:8" x14ac:dyDescent="0.3">
      <c r="B49" s="9"/>
      <c r="C49" s="1">
        <v>39</v>
      </c>
      <c r="D49" s="67">
        <v>5500</v>
      </c>
      <c r="E49" s="88"/>
      <c r="F49" s="310">
        <v>8.3000000000000004E-2</v>
      </c>
      <c r="G49" s="345"/>
      <c r="H49" s="348"/>
    </row>
    <row r="50" spans="2:8" x14ac:dyDescent="0.3">
      <c r="B50" s="9"/>
      <c r="C50" s="1">
        <v>40</v>
      </c>
      <c r="D50" s="67">
        <v>5720</v>
      </c>
      <c r="E50" s="88"/>
      <c r="F50" s="310">
        <v>8.4000000000000005E-2</v>
      </c>
      <c r="G50" s="345"/>
      <c r="H50" s="348"/>
    </row>
    <row r="51" spans="2:8" x14ac:dyDescent="0.3">
      <c r="B51" s="9" t="s">
        <v>831</v>
      </c>
      <c r="C51" s="1">
        <v>40.1</v>
      </c>
      <c r="D51" s="69" t="s">
        <v>27</v>
      </c>
      <c r="E51" s="83">
        <v>120</v>
      </c>
      <c r="F51" s="316">
        <v>9.1999999999999998E-2</v>
      </c>
      <c r="G51" s="346">
        <v>2000</v>
      </c>
      <c r="H51" s="349">
        <v>1180000</v>
      </c>
    </row>
    <row r="52" spans="2:8" x14ac:dyDescent="0.3">
      <c r="B52" s="9"/>
      <c r="C52" s="1">
        <v>41</v>
      </c>
      <c r="D52" s="65">
        <v>5940</v>
      </c>
      <c r="E52" s="80"/>
      <c r="F52" s="308">
        <v>9.2999999999999999E-2</v>
      </c>
      <c r="G52" s="344"/>
      <c r="H52" s="347"/>
    </row>
    <row r="53" spans="2:8" x14ac:dyDescent="0.3">
      <c r="B53" s="9"/>
      <c r="C53" s="1">
        <v>42</v>
      </c>
      <c r="D53" s="67">
        <v>6160</v>
      </c>
      <c r="E53" s="88"/>
      <c r="F53" s="310">
        <v>9.4E-2</v>
      </c>
      <c r="G53" s="345"/>
      <c r="H53" s="348"/>
    </row>
    <row r="54" spans="2:8" x14ac:dyDescent="0.3">
      <c r="B54" s="9"/>
      <c r="C54" s="1">
        <v>43</v>
      </c>
      <c r="D54" s="67">
        <v>6380</v>
      </c>
      <c r="E54" s="88"/>
      <c r="F54" s="310">
        <v>9.5000000000000001E-2</v>
      </c>
      <c r="G54" s="345"/>
      <c r="H54" s="348"/>
    </row>
    <row r="55" spans="2:8" x14ac:dyDescent="0.3">
      <c r="B55" s="9"/>
      <c r="C55" s="1">
        <v>44</v>
      </c>
      <c r="D55" s="67">
        <v>6600</v>
      </c>
      <c r="E55" s="88"/>
      <c r="F55" s="310">
        <v>9.6000000000000002E-2</v>
      </c>
      <c r="G55" s="345"/>
      <c r="H55" s="348"/>
    </row>
    <row r="56" spans="2:8" x14ac:dyDescent="0.3">
      <c r="B56" s="9"/>
      <c r="C56" s="1">
        <v>45</v>
      </c>
      <c r="D56" s="67">
        <v>6820</v>
      </c>
      <c r="E56" s="88"/>
      <c r="F56" s="310">
        <v>9.7000000000000003E-2</v>
      </c>
      <c r="G56" s="345"/>
      <c r="H56" s="348"/>
    </row>
    <row r="57" spans="2:8" x14ac:dyDescent="0.3">
      <c r="B57" s="9"/>
      <c r="C57" s="1">
        <v>46</v>
      </c>
      <c r="D57" s="67">
        <v>7040</v>
      </c>
      <c r="E57" s="88"/>
      <c r="F57" s="310">
        <v>9.8000000000000004E-2</v>
      </c>
      <c r="G57" s="345"/>
      <c r="H57" s="348"/>
    </row>
    <row r="58" spans="2:8" x14ac:dyDescent="0.3">
      <c r="B58" s="9"/>
      <c r="C58" s="1">
        <v>47</v>
      </c>
      <c r="D58" s="67">
        <v>7260</v>
      </c>
      <c r="E58" s="88"/>
      <c r="F58" s="310">
        <v>9.9000000000000005E-2</v>
      </c>
      <c r="G58" s="345"/>
      <c r="H58" s="348"/>
    </row>
    <row r="59" spans="2:8" x14ac:dyDescent="0.3">
      <c r="B59" s="9"/>
      <c r="C59" s="1">
        <v>48</v>
      </c>
      <c r="D59" s="67">
        <v>7480</v>
      </c>
      <c r="E59" s="88"/>
      <c r="F59" s="310">
        <v>0.1</v>
      </c>
      <c r="G59" s="345"/>
      <c r="H59" s="348"/>
    </row>
    <row r="60" spans="2:8" x14ac:dyDescent="0.3">
      <c r="B60" s="9"/>
      <c r="C60" s="1">
        <v>49</v>
      </c>
      <c r="D60" s="67">
        <v>7700</v>
      </c>
      <c r="E60" s="88"/>
      <c r="F60" s="310">
        <v>0.10100000000000001</v>
      </c>
      <c r="G60" s="345"/>
      <c r="H60" s="348"/>
    </row>
    <row r="61" spans="2:8" x14ac:dyDescent="0.3">
      <c r="B61" s="9"/>
      <c r="C61" s="1">
        <v>50</v>
      </c>
      <c r="D61" s="67">
        <v>7980</v>
      </c>
      <c r="E61" s="88"/>
      <c r="F61" s="310">
        <v>0.10199999999999999</v>
      </c>
      <c r="G61" s="345"/>
      <c r="H61" s="348"/>
    </row>
    <row r="62" spans="2:8" x14ac:dyDescent="0.3">
      <c r="B62" s="9" t="s">
        <v>832</v>
      </c>
      <c r="C62" s="1">
        <v>50.1</v>
      </c>
      <c r="D62" s="69" t="s">
        <v>27</v>
      </c>
      <c r="E62" s="83">
        <v>160</v>
      </c>
      <c r="F62" s="316">
        <v>0.11</v>
      </c>
      <c r="G62" s="346">
        <v>3000</v>
      </c>
      <c r="H62" s="349">
        <v>1416000</v>
      </c>
    </row>
    <row r="63" spans="2:8" x14ac:dyDescent="0.3">
      <c r="B63" s="9"/>
      <c r="C63" s="1">
        <v>51</v>
      </c>
      <c r="D63" s="65">
        <v>8250</v>
      </c>
      <c r="E63" s="80"/>
      <c r="F63" s="308">
        <v>0.111</v>
      </c>
      <c r="G63" s="344"/>
      <c r="H63" s="347"/>
    </row>
    <row r="64" spans="2:8" x14ac:dyDescent="0.3">
      <c r="B64" s="9"/>
      <c r="C64" s="1">
        <v>52</v>
      </c>
      <c r="D64" s="67">
        <v>8530</v>
      </c>
      <c r="E64" s="88"/>
      <c r="F64" s="310">
        <v>0.112</v>
      </c>
      <c r="G64" s="345"/>
      <c r="H64" s="348"/>
    </row>
    <row r="65" spans="2:8" x14ac:dyDescent="0.3">
      <c r="B65" s="9"/>
      <c r="C65" s="1">
        <v>53</v>
      </c>
      <c r="D65" s="67">
        <v>8800</v>
      </c>
      <c r="E65" s="88"/>
      <c r="F65" s="310">
        <v>0.113</v>
      </c>
      <c r="G65" s="345"/>
      <c r="H65" s="348"/>
    </row>
    <row r="66" spans="2:8" x14ac:dyDescent="0.3">
      <c r="B66" s="9"/>
      <c r="C66" s="1">
        <v>54</v>
      </c>
      <c r="D66" s="67">
        <v>9080</v>
      </c>
      <c r="E66" s="88"/>
      <c r="F66" s="310">
        <v>0.114</v>
      </c>
      <c r="G66" s="345"/>
      <c r="H66" s="348"/>
    </row>
    <row r="67" spans="2:8" x14ac:dyDescent="0.3">
      <c r="B67" s="9"/>
      <c r="C67" s="1">
        <v>55</v>
      </c>
      <c r="D67" s="67">
        <v>9350</v>
      </c>
      <c r="E67" s="88"/>
      <c r="F67" s="310">
        <v>0.115</v>
      </c>
      <c r="G67" s="345"/>
      <c r="H67" s="348"/>
    </row>
    <row r="68" spans="2:8" x14ac:dyDescent="0.3">
      <c r="B68" s="9"/>
      <c r="C68" s="1">
        <v>56</v>
      </c>
      <c r="D68" s="67">
        <v>9630</v>
      </c>
      <c r="E68" s="88"/>
      <c r="F68" s="310">
        <v>0.11600000000000001</v>
      </c>
      <c r="G68" s="345"/>
      <c r="H68" s="348"/>
    </row>
    <row r="69" spans="2:8" x14ac:dyDescent="0.3">
      <c r="B69" s="9"/>
      <c r="C69" s="1">
        <v>57</v>
      </c>
      <c r="D69" s="67">
        <v>9900</v>
      </c>
      <c r="E69" s="88"/>
      <c r="F69" s="310">
        <v>0.11700000000000001</v>
      </c>
      <c r="G69" s="345"/>
      <c r="H69" s="348"/>
    </row>
    <row r="70" spans="2:8" x14ac:dyDescent="0.3">
      <c r="B70" s="9"/>
      <c r="C70" s="1">
        <v>58</v>
      </c>
      <c r="D70" s="67">
        <v>10180</v>
      </c>
      <c r="E70" s="88"/>
      <c r="F70" s="310">
        <v>0.11799999999999999</v>
      </c>
      <c r="G70" s="345"/>
      <c r="H70" s="348"/>
    </row>
    <row r="71" spans="2:8" x14ac:dyDescent="0.3">
      <c r="B71" s="9"/>
      <c r="C71" s="1">
        <v>59</v>
      </c>
      <c r="D71" s="67">
        <v>10450</v>
      </c>
      <c r="E71" s="88"/>
      <c r="F71" s="310">
        <v>0.11899999999999999</v>
      </c>
      <c r="G71" s="345"/>
      <c r="H71" s="348"/>
    </row>
    <row r="72" spans="2:8" x14ac:dyDescent="0.3">
      <c r="B72" s="9"/>
      <c r="C72" s="1">
        <v>60</v>
      </c>
      <c r="D72" s="67">
        <v>10730</v>
      </c>
      <c r="E72" s="88"/>
      <c r="F72" s="310">
        <v>0.12</v>
      </c>
      <c r="G72" s="345"/>
      <c r="H72" s="348"/>
    </row>
    <row r="73" spans="2:8" x14ac:dyDescent="0.3">
      <c r="B73" s="9" t="s">
        <v>833</v>
      </c>
      <c r="C73" s="1">
        <v>60.1</v>
      </c>
      <c r="D73" s="69" t="s">
        <v>27</v>
      </c>
      <c r="E73" s="83">
        <v>200</v>
      </c>
      <c r="F73" s="316">
        <v>0.128</v>
      </c>
      <c r="G73" s="346">
        <v>4000</v>
      </c>
      <c r="H73" s="349">
        <v>1652000</v>
      </c>
    </row>
    <row r="74" spans="2:8" x14ac:dyDescent="0.3">
      <c r="B74" s="9"/>
      <c r="C74" s="1">
        <v>61</v>
      </c>
      <c r="D74" s="65">
        <v>11000</v>
      </c>
      <c r="E74" s="80"/>
      <c r="F74" s="308">
        <v>0.129</v>
      </c>
      <c r="G74" s="344"/>
      <c r="H74" s="347"/>
    </row>
    <row r="75" spans="2:8" x14ac:dyDescent="0.3">
      <c r="B75" s="9"/>
      <c r="C75" s="1">
        <v>62</v>
      </c>
      <c r="D75" s="67">
        <v>11280</v>
      </c>
      <c r="E75" s="88"/>
      <c r="F75" s="310">
        <v>0.13</v>
      </c>
      <c r="G75" s="345"/>
      <c r="H75" s="348"/>
    </row>
    <row r="76" spans="2:8" x14ac:dyDescent="0.3">
      <c r="B76" s="9"/>
      <c r="C76" s="1">
        <v>63</v>
      </c>
      <c r="D76" s="67">
        <v>11560</v>
      </c>
      <c r="E76" s="88"/>
      <c r="F76" s="310">
        <v>0.13100000000000001</v>
      </c>
      <c r="G76" s="345"/>
      <c r="H76" s="348"/>
    </row>
    <row r="77" spans="2:8" x14ac:dyDescent="0.3">
      <c r="B77" s="9"/>
      <c r="C77" s="1">
        <v>64</v>
      </c>
      <c r="D77" s="67">
        <v>11830</v>
      </c>
      <c r="E77" s="88"/>
      <c r="F77" s="310">
        <v>0.13200000000000001</v>
      </c>
      <c r="G77" s="345"/>
      <c r="H77" s="348"/>
    </row>
    <row r="78" spans="2:8" x14ac:dyDescent="0.3">
      <c r="B78" s="9"/>
      <c r="C78" s="1">
        <v>65</v>
      </c>
      <c r="D78" s="67">
        <v>12110</v>
      </c>
      <c r="E78" s="88"/>
      <c r="F78" s="310">
        <v>0.13300000000000001</v>
      </c>
      <c r="G78" s="345"/>
      <c r="H78" s="348"/>
    </row>
    <row r="79" spans="2:8" x14ac:dyDescent="0.3">
      <c r="B79" s="9"/>
      <c r="C79" s="1">
        <v>66</v>
      </c>
      <c r="D79" s="67">
        <v>12380</v>
      </c>
      <c r="E79" s="88"/>
      <c r="F79" s="310">
        <v>0.13400000000000001</v>
      </c>
      <c r="G79" s="345"/>
      <c r="H79" s="348"/>
    </row>
    <row r="80" spans="2:8" x14ac:dyDescent="0.3">
      <c r="B80" s="9"/>
      <c r="C80" s="1">
        <v>67</v>
      </c>
      <c r="D80" s="67">
        <v>12660</v>
      </c>
      <c r="E80" s="88"/>
      <c r="F80" s="310">
        <v>0.13500000000000001</v>
      </c>
      <c r="G80" s="345"/>
      <c r="H80" s="348"/>
    </row>
    <row r="81" spans="2:8" x14ac:dyDescent="0.3">
      <c r="B81" s="9"/>
      <c r="C81" s="1">
        <v>68</v>
      </c>
      <c r="D81" s="67">
        <v>12930</v>
      </c>
      <c r="E81" s="88"/>
      <c r="F81" s="310">
        <v>0.13600000000000001</v>
      </c>
      <c r="G81" s="345"/>
      <c r="H81" s="348"/>
    </row>
    <row r="82" spans="2:8" x14ac:dyDescent="0.3">
      <c r="B82" s="9"/>
      <c r="C82" s="1">
        <v>69</v>
      </c>
      <c r="D82" s="67">
        <v>13210</v>
      </c>
      <c r="E82" s="88"/>
      <c r="F82" s="310">
        <v>0.13700000000000001</v>
      </c>
      <c r="G82" s="345"/>
      <c r="H82" s="348"/>
    </row>
    <row r="83" spans="2:8" x14ac:dyDescent="0.3">
      <c r="B83" s="9"/>
      <c r="C83" s="1">
        <v>70</v>
      </c>
      <c r="D83" s="67">
        <v>13480</v>
      </c>
      <c r="E83" s="88"/>
      <c r="F83" s="310">
        <v>0.13800000000000001</v>
      </c>
      <c r="G83" s="345"/>
      <c r="H83" s="348"/>
    </row>
    <row r="84" spans="2:8" x14ac:dyDescent="0.3">
      <c r="B84" s="9" t="s">
        <v>834</v>
      </c>
      <c r="C84" s="1">
        <v>70.099999999999994</v>
      </c>
      <c r="D84" s="69" t="s">
        <v>27</v>
      </c>
      <c r="E84" s="83">
        <v>240</v>
      </c>
      <c r="F84" s="316">
        <v>0.14599999999999999</v>
      </c>
      <c r="G84" s="346">
        <v>5500</v>
      </c>
      <c r="H84" s="349">
        <v>1888000</v>
      </c>
    </row>
    <row r="85" spans="2:8" x14ac:dyDescent="0.3">
      <c r="B85" s="9"/>
      <c r="C85" s="1">
        <v>71</v>
      </c>
      <c r="D85" s="65">
        <v>13750</v>
      </c>
      <c r="E85" s="80"/>
      <c r="F85" s="308">
        <v>0.14699999999999999</v>
      </c>
      <c r="G85" s="344"/>
      <c r="H85" s="347"/>
    </row>
    <row r="86" spans="2:8" x14ac:dyDescent="0.3">
      <c r="B86" s="9"/>
      <c r="C86" s="1">
        <v>72</v>
      </c>
      <c r="D86" s="67">
        <v>14030</v>
      </c>
      <c r="E86" s="88"/>
      <c r="F86" s="310">
        <v>0.14799999999999999</v>
      </c>
      <c r="G86" s="345"/>
      <c r="H86" s="348"/>
    </row>
    <row r="87" spans="2:8" x14ac:dyDescent="0.3">
      <c r="B87" s="9"/>
      <c r="C87" s="1">
        <v>73</v>
      </c>
      <c r="D87" s="67">
        <v>14300</v>
      </c>
      <c r="E87" s="88"/>
      <c r="F87" s="310">
        <v>0.14899999999999999</v>
      </c>
      <c r="G87" s="345"/>
      <c r="H87" s="348"/>
    </row>
    <row r="88" spans="2:8" x14ac:dyDescent="0.3">
      <c r="B88" s="9"/>
      <c r="C88" s="1">
        <v>74</v>
      </c>
      <c r="D88" s="67">
        <v>14580</v>
      </c>
      <c r="E88" s="88"/>
      <c r="F88" s="310">
        <v>0.15</v>
      </c>
      <c r="G88" s="345"/>
      <c r="H88" s="348"/>
    </row>
    <row r="89" spans="2:8" x14ac:dyDescent="0.3">
      <c r="B89" s="9"/>
      <c r="C89" s="1">
        <v>75</v>
      </c>
      <c r="D89" s="67">
        <v>14850</v>
      </c>
      <c r="E89" s="88"/>
      <c r="F89" s="310">
        <v>0.151</v>
      </c>
      <c r="G89" s="345"/>
      <c r="H89" s="348"/>
    </row>
    <row r="90" spans="2:8" x14ac:dyDescent="0.3">
      <c r="B90" s="9"/>
      <c r="C90" s="1">
        <v>76</v>
      </c>
      <c r="D90" s="67">
        <v>15130</v>
      </c>
      <c r="E90" s="88"/>
      <c r="F90" s="310">
        <v>0.152</v>
      </c>
      <c r="G90" s="345"/>
      <c r="H90" s="348"/>
    </row>
    <row r="91" spans="2:8" x14ac:dyDescent="0.3">
      <c r="B91" s="9"/>
      <c r="C91" s="1">
        <v>77</v>
      </c>
      <c r="D91" s="67">
        <v>15400</v>
      </c>
      <c r="E91" s="88"/>
      <c r="F91" s="310">
        <v>0.153</v>
      </c>
      <c r="G91" s="345"/>
      <c r="H91" s="348"/>
    </row>
    <row r="92" spans="2:8" x14ac:dyDescent="0.3">
      <c r="B92" s="9"/>
      <c r="C92" s="1">
        <v>78</v>
      </c>
      <c r="D92" s="67">
        <v>15680</v>
      </c>
      <c r="E92" s="88"/>
      <c r="F92" s="310">
        <v>0.154</v>
      </c>
      <c r="G92" s="345"/>
      <c r="H92" s="348"/>
    </row>
    <row r="93" spans="2:8" x14ac:dyDescent="0.3">
      <c r="B93" s="9"/>
      <c r="C93" s="1">
        <v>79</v>
      </c>
      <c r="D93" s="67">
        <v>15950</v>
      </c>
      <c r="E93" s="88"/>
      <c r="F93" s="310">
        <v>0.155</v>
      </c>
      <c r="G93" s="345"/>
      <c r="H93" s="348"/>
    </row>
    <row r="94" spans="2:8" x14ac:dyDescent="0.3">
      <c r="B94" s="9"/>
      <c r="C94" s="1">
        <v>80</v>
      </c>
      <c r="D94" s="67">
        <v>16230</v>
      </c>
      <c r="E94" s="88"/>
      <c r="F94" s="310">
        <v>0.156</v>
      </c>
      <c r="G94" s="345"/>
      <c r="H94" s="348"/>
    </row>
    <row r="95" spans="2:8" x14ac:dyDescent="0.3">
      <c r="B95" s="9" t="s">
        <v>835</v>
      </c>
      <c r="C95" s="1">
        <v>80.099999999999994</v>
      </c>
      <c r="D95" s="69" t="s">
        <v>27</v>
      </c>
      <c r="E95" s="83">
        <v>280</v>
      </c>
      <c r="F95" s="316">
        <v>0.16400000000000001</v>
      </c>
      <c r="G95" s="346">
        <v>7000</v>
      </c>
      <c r="H95" s="349">
        <v>2124000</v>
      </c>
    </row>
    <row r="96" spans="2:8" x14ac:dyDescent="0.3">
      <c r="B96" s="9"/>
      <c r="C96" s="1">
        <v>81</v>
      </c>
      <c r="D96" s="65">
        <v>16500</v>
      </c>
      <c r="E96" s="80"/>
      <c r="F96" s="308">
        <v>0.16500000000000001</v>
      </c>
      <c r="G96" s="344"/>
      <c r="H96" s="347"/>
    </row>
    <row r="97" spans="2:8" x14ac:dyDescent="0.3">
      <c r="B97" s="9"/>
      <c r="C97" s="1">
        <v>82</v>
      </c>
      <c r="D97" s="67">
        <v>16780</v>
      </c>
      <c r="E97" s="88"/>
      <c r="F97" s="310">
        <v>0.16600000000000001</v>
      </c>
      <c r="G97" s="345"/>
      <c r="H97" s="348"/>
    </row>
    <row r="98" spans="2:8" x14ac:dyDescent="0.3">
      <c r="B98" s="9"/>
      <c r="C98" s="1">
        <v>83</v>
      </c>
      <c r="D98" s="67">
        <v>17050</v>
      </c>
      <c r="E98" s="88"/>
      <c r="F98" s="310">
        <v>0.16700000000000001</v>
      </c>
      <c r="G98" s="345"/>
      <c r="H98" s="348"/>
    </row>
    <row r="99" spans="2:8" x14ac:dyDescent="0.3">
      <c r="B99" s="9"/>
      <c r="C99" s="1">
        <v>84</v>
      </c>
      <c r="D99" s="67">
        <v>17330</v>
      </c>
      <c r="E99" s="88"/>
      <c r="F99" s="310">
        <v>0.16800000000000001</v>
      </c>
      <c r="G99" s="345"/>
      <c r="H99" s="348"/>
    </row>
    <row r="100" spans="2:8" x14ac:dyDescent="0.3">
      <c r="B100" s="9"/>
      <c r="C100" s="1">
        <v>85</v>
      </c>
      <c r="D100" s="67">
        <v>17600</v>
      </c>
      <c r="E100" s="88"/>
      <c r="F100" s="310">
        <v>0.16900000000000001</v>
      </c>
      <c r="G100" s="345"/>
      <c r="H100" s="348"/>
    </row>
    <row r="101" spans="2:8" x14ac:dyDescent="0.3">
      <c r="B101" s="9"/>
      <c r="C101" s="1">
        <v>86</v>
      </c>
      <c r="D101" s="67">
        <v>17880</v>
      </c>
      <c r="E101" s="88"/>
      <c r="F101" s="310">
        <v>0.17</v>
      </c>
      <c r="G101" s="345"/>
      <c r="H101" s="348"/>
    </row>
    <row r="102" spans="2:8" x14ac:dyDescent="0.3">
      <c r="B102" s="9"/>
      <c r="C102" s="1">
        <v>87</v>
      </c>
      <c r="D102" s="67">
        <v>18150</v>
      </c>
      <c r="E102" s="88"/>
      <c r="F102" s="310">
        <v>0.17100000000000001</v>
      </c>
      <c r="G102" s="345"/>
      <c r="H102" s="348"/>
    </row>
    <row r="103" spans="2:8" x14ac:dyDescent="0.3">
      <c r="B103" s="9"/>
      <c r="C103" s="1">
        <v>88</v>
      </c>
      <c r="D103" s="67">
        <v>18430</v>
      </c>
      <c r="E103" s="88"/>
      <c r="F103" s="310">
        <v>0.17199999999999999</v>
      </c>
      <c r="G103" s="345"/>
      <c r="H103" s="348"/>
    </row>
    <row r="104" spans="2:8" x14ac:dyDescent="0.3">
      <c r="B104" s="9"/>
      <c r="C104" s="1">
        <v>89</v>
      </c>
      <c r="D104" s="67">
        <v>18700</v>
      </c>
      <c r="E104" s="88"/>
      <c r="F104" s="310">
        <v>0.17299999999999999</v>
      </c>
      <c r="G104" s="345"/>
      <c r="H104" s="348"/>
    </row>
    <row r="105" spans="2:8" x14ac:dyDescent="0.3">
      <c r="B105" s="9"/>
      <c r="C105" s="1">
        <v>90</v>
      </c>
      <c r="D105" s="67">
        <v>18980</v>
      </c>
      <c r="E105" s="88"/>
      <c r="F105" s="310">
        <v>0.17399999999999999</v>
      </c>
      <c r="G105" s="345"/>
      <c r="H105" s="348"/>
    </row>
    <row r="106" spans="2:8" x14ac:dyDescent="0.3">
      <c r="B106" s="9" t="s">
        <v>836</v>
      </c>
      <c r="C106" s="1">
        <v>90.1</v>
      </c>
      <c r="D106" s="69" t="s">
        <v>27</v>
      </c>
      <c r="E106" s="83">
        <v>320</v>
      </c>
      <c r="F106" s="316">
        <v>0.182</v>
      </c>
      <c r="G106" s="346">
        <v>8500</v>
      </c>
      <c r="H106" s="349">
        <v>2360000</v>
      </c>
    </row>
    <row r="107" spans="2:8" x14ac:dyDescent="0.3">
      <c r="B107" s="9"/>
      <c r="C107" s="1">
        <v>91</v>
      </c>
      <c r="D107" s="65">
        <v>19250</v>
      </c>
      <c r="E107" s="80"/>
      <c r="F107" s="308">
        <v>0.183</v>
      </c>
      <c r="G107" s="344"/>
      <c r="H107" s="347"/>
    </row>
    <row r="108" spans="2:8" x14ac:dyDescent="0.3">
      <c r="B108" s="9"/>
      <c r="C108" s="1">
        <v>92</v>
      </c>
      <c r="D108" s="67">
        <v>19530</v>
      </c>
      <c r="E108" s="88"/>
      <c r="F108" s="310">
        <v>0.184</v>
      </c>
      <c r="G108" s="345"/>
      <c r="H108" s="348"/>
    </row>
    <row r="109" spans="2:8" x14ac:dyDescent="0.3">
      <c r="B109" s="9"/>
      <c r="C109" s="1">
        <v>93</v>
      </c>
      <c r="D109" s="67">
        <v>19800</v>
      </c>
      <c r="E109" s="88"/>
      <c r="F109" s="310">
        <v>0.185</v>
      </c>
      <c r="G109" s="345"/>
      <c r="H109" s="348"/>
    </row>
    <row r="110" spans="2:8" x14ac:dyDescent="0.3">
      <c r="B110" s="9"/>
      <c r="C110" s="1">
        <v>94</v>
      </c>
      <c r="D110" s="67">
        <v>20080</v>
      </c>
      <c r="E110" s="88"/>
      <c r="F110" s="310">
        <v>0.186</v>
      </c>
      <c r="G110" s="345"/>
      <c r="H110" s="348"/>
    </row>
    <row r="111" spans="2:8" x14ac:dyDescent="0.3">
      <c r="B111" s="9"/>
      <c r="C111" s="1">
        <v>95</v>
      </c>
      <c r="D111" s="67">
        <v>20350</v>
      </c>
      <c r="E111" s="88"/>
      <c r="F111" s="310">
        <v>0.187</v>
      </c>
      <c r="G111" s="345"/>
      <c r="H111" s="348"/>
    </row>
    <row r="112" spans="2:8" x14ac:dyDescent="0.3">
      <c r="B112" s="9"/>
      <c r="C112" s="1">
        <v>96</v>
      </c>
      <c r="D112" s="67">
        <v>20630</v>
      </c>
      <c r="E112" s="88"/>
      <c r="F112" s="310">
        <v>0.188</v>
      </c>
      <c r="G112" s="345"/>
      <c r="H112" s="348"/>
    </row>
    <row r="113" spans="2:8" x14ac:dyDescent="0.3">
      <c r="B113" s="9"/>
      <c r="C113" s="1">
        <v>97</v>
      </c>
      <c r="D113" s="67">
        <v>20900</v>
      </c>
      <c r="E113" s="88"/>
      <c r="F113" s="310">
        <v>0.189</v>
      </c>
      <c r="G113" s="345"/>
      <c r="H113" s="348"/>
    </row>
    <row r="114" spans="2:8" x14ac:dyDescent="0.3">
      <c r="B114" s="9"/>
      <c r="C114" s="1">
        <v>98</v>
      </c>
      <c r="D114" s="67">
        <v>21180</v>
      </c>
      <c r="E114" s="88"/>
      <c r="F114" s="310">
        <v>0.19</v>
      </c>
      <c r="G114" s="345"/>
      <c r="H114" s="348"/>
    </row>
    <row r="115" spans="2:8" x14ac:dyDescent="0.3">
      <c r="B115" s="9"/>
      <c r="C115" s="1">
        <v>99</v>
      </c>
      <c r="D115" s="67">
        <v>21450</v>
      </c>
      <c r="E115" s="88"/>
      <c r="F115" s="310">
        <v>0.191</v>
      </c>
      <c r="G115" s="345"/>
      <c r="H115" s="348"/>
    </row>
    <row r="116" spans="2:8" x14ac:dyDescent="0.3">
      <c r="B116" s="9"/>
      <c r="C116" s="1">
        <v>100</v>
      </c>
      <c r="D116" s="67">
        <v>21730</v>
      </c>
      <c r="E116" s="88"/>
      <c r="F116" s="310">
        <v>0.192</v>
      </c>
      <c r="G116" s="345"/>
      <c r="H116" s="348"/>
    </row>
    <row r="117" spans="2:8" x14ac:dyDescent="0.3">
      <c r="B117" s="9" t="s">
        <v>837</v>
      </c>
      <c r="C117" s="1">
        <v>100.1</v>
      </c>
      <c r="D117" s="69" t="s">
        <v>27</v>
      </c>
      <c r="E117" s="83">
        <v>360</v>
      </c>
      <c r="F117" s="316">
        <v>0.2</v>
      </c>
      <c r="G117" s="346">
        <v>10000</v>
      </c>
      <c r="H117" s="349">
        <v>2596000</v>
      </c>
    </row>
  </sheetData>
  <sheetProtection sheet="1" objects="1" scenarios="1"/>
  <mergeCells count="12">
    <mergeCell ref="D4:H4"/>
    <mergeCell ref="K1:AA1"/>
    <mergeCell ref="K5:O5"/>
    <mergeCell ref="P5:S5"/>
    <mergeCell ref="T5:W5"/>
    <mergeCell ref="X5:AA5"/>
    <mergeCell ref="D5:H5"/>
    <mergeCell ref="K2:AA2"/>
    <mergeCell ref="K3:O4"/>
    <mergeCell ref="P3:S4"/>
    <mergeCell ref="T3:W4"/>
    <mergeCell ref="X3:AA4"/>
  </mergeCells>
  <conditionalFormatting sqref="D8:H117">
    <cfRule type="expression" dxfId="67" priority="3" stopIfTrue="1">
      <formula>IF(RomulusLevelCurrent&gt;=$C8,TRUE,FALSE)</formula>
    </cfRule>
    <cfRule type="expression" dxfId="66" priority="6">
      <formula>IF(RomulusLevelDesired&gt;=$C8,TRUE,FALSE)</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FE94-3DEF-4C50-A79C-6292B330595A}">
  <dimension ref="B1:AA118"/>
  <sheetViews>
    <sheetView workbookViewId="0">
      <pane xSplit="3" ySplit="6" topLeftCell="D85" activePane="bottomRight" state="frozen"/>
      <selection pane="topRight" activeCell="D1" sqref="D1"/>
      <selection pane="bottomLeft" activeCell="A7" sqref="A7"/>
      <selection pane="bottomRight" activeCell="H40" sqref="H40"/>
    </sheetView>
  </sheetViews>
  <sheetFormatPr baseColWidth="10" defaultColWidth="8.88671875" defaultRowHeight="14.4" x14ac:dyDescent="0.3"/>
  <cols>
    <col min="25" max="26" width="10.109375" bestFit="1" customWidth="1"/>
  </cols>
  <sheetData>
    <row r="1" spans="2:27" x14ac:dyDescent="0.3">
      <c r="L1" s="406" t="s">
        <v>937</v>
      </c>
      <c r="M1" s="406"/>
      <c r="N1" s="406"/>
      <c r="O1" s="406"/>
      <c r="P1" s="406"/>
      <c r="Q1" s="406"/>
      <c r="R1" s="406"/>
      <c r="S1" s="406"/>
      <c r="T1" s="406"/>
      <c r="U1" s="406"/>
      <c r="V1" s="406"/>
      <c r="W1" s="406"/>
      <c r="X1" s="406"/>
      <c r="Y1" s="406"/>
      <c r="Z1" s="406"/>
      <c r="AA1" s="406"/>
    </row>
    <row r="2" spans="2:27" x14ac:dyDescent="0.3">
      <c r="L2" s="530" t="s">
        <v>1007</v>
      </c>
      <c r="M2" s="531"/>
      <c r="N2" s="531"/>
      <c r="O2" s="531"/>
      <c r="P2" s="531"/>
      <c r="Q2" s="531"/>
      <c r="R2" s="531"/>
      <c r="S2" s="531"/>
      <c r="T2" s="531"/>
      <c r="U2" s="531"/>
      <c r="V2" s="531"/>
      <c r="W2" s="531"/>
      <c r="X2" s="531"/>
      <c r="Y2" s="531"/>
      <c r="Z2" s="531"/>
      <c r="AA2" s="531"/>
    </row>
    <row r="3" spans="2:27" x14ac:dyDescent="0.3">
      <c r="L3" s="474" t="s">
        <v>1018</v>
      </c>
      <c r="M3" s="475"/>
      <c r="N3" s="475"/>
      <c r="O3" s="476"/>
      <c r="P3" s="474" t="s">
        <v>1019</v>
      </c>
      <c r="Q3" s="475"/>
      <c r="R3" s="475"/>
      <c r="S3" s="476"/>
      <c r="T3" s="474" t="s">
        <v>1020</v>
      </c>
      <c r="U3" s="475"/>
      <c r="V3" s="475"/>
      <c r="W3" s="476"/>
      <c r="X3" s="474" t="s">
        <v>1021</v>
      </c>
      <c r="Y3" s="475"/>
      <c r="Z3" s="475"/>
      <c r="AA3" s="476"/>
    </row>
    <row r="4" spans="2:27" x14ac:dyDescent="0.3">
      <c r="B4" s="9"/>
      <c r="D4" s="406" t="s">
        <v>936</v>
      </c>
      <c r="E4" s="406"/>
      <c r="F4" s="406"/>
      <c r="G4" s="406"/>
      <c r="H4" s="406"/>
      <c r="I4" s="406"/>
      <c r="L4" s="477"/>
      <c r="M4" s="478"/>
      <c r="N4" s="478"/>
      <c r="O4" s="479"/>
      <c r="P4" s="477"/>
      <c r="Q4" s="478"/>
      <c r="R4" s="478"/>
      <c r="S4" s="479"/>
      <c r="T4" s="477"/>
      <c r="U4" s="478"/>
      <c r="V4" s="478"/>
      <c r="W4" s="479"/>
      <c r="X4" s="477"/>
      <c r="Y4" s="478"/>
      <c r="Z4" s="478"/>
      <c r="AA4" s="479"/>
    </row>
    <row r="5" spans="2:27" ht="15" customHeight="1" x14ac:dyDescent="0.3">
      <c r="B5" s="9"/>
      <c r="D5" s="634" t="s">
        <v>1007</v>
      </c>
      <c r="E5" s="635"/>
      <c r="F5" s="635"/>
      <c r="G5" s="635"/>
      <c r="H5" s="635"/>
      <c r="I5" s="635"/>
      <c r="L5" s="771" t="s">
        <v>1042</v>
      </c>
      <c r="M5" s="772"/>
      <c r="N5" s="772"/>
      <c r="O5" s="773"/>
      <c r="P5" s="771" t="s">
        <v>1043</v>
      </c>
      <c r="Q5" s="772"/>
      <c r="R5" s="772"/>
      <c r="S5" s="773"/>
      <c r="T5" s="771" t="s">
        <v>1044</v>
      </c>
      <c r="U5" s="772"/>
      <c r="V5" s="772"/>
      <c r="W5" s="773"/>
      <c r="X5" s="771" t="s">
        <v>1045</v>
      </c>
      <c r="Y5" s="772"/>
      <c r="Z5" s="772"/>
      <c r="AA5" s="773"/>
    </row>
    <row r="6" spans="2:27" x14ac:dyDescent="0.3">
      <c r="B6" s="1"/>
      <c r="C6" s="1"/>
      <c r="D6" s="291" t="s">
        <v>838</v>
      </c>
      <c r="E6" s="291" t="s">
        <v>839</v>
      </c>
      <c r="F6" s="304" t="s">
        <v>693</v>
      </c>
      <c r="G6" s="304" t="s">
        <v>1040</v>
      </c>
      <c r="H6" s="304" t="s">
        <v>1041</v>
      </c>
      <c r="I6" s="304" t="s">
        <v>79</v>
      </c>
      <c r="K6">
        <v>0</v>
      </c>
      <c r="L6" s="339" t="s">
        <v>856</v>
      </c>
      <c r="M6" s="339" t="s">
        <v>570</v>
      </c>
      <c r="N6" s="339" t="s">
        <v>1046</v>
      </c>
      <c r="O6" s="339" t="s">
        <v>79</v>
      </c>
      <c r="P6" s="339" t="s">
        <v>856</v>
      </c>
      <c r="Q6" s="339" t="s">
        <v>570</v>
      </c>
      <c r="R6" s="339" t="s">
        <v>819</v>
      </c>
      <c r="S6" s="339" t="s">
        <v>79</v>
      </c>
      <c r="T6" s="339" t="s">
        <v>856</v>
      </c>
      <c r="U6" s="339" t="s">
        <v>570</v>
      </c>
      <c r="V6" s="339" t="s">
        <v>972</v>
      </c>
      <c r="W6" s="339" t="s">
        <v>79</v>
      </c>
      <c r="X6" s="339" t="s">
        <v>856</v>
      </c>
      <c r="Y6" s="339" t="s">
        <v>570</v>
      </c>
      <c r="Z6" s="339" t="s">
        <v>974</v>
      </c>
      <c r="AA6" s="339" t="s">
        <v>79</v>
      </c>
    </row>
    <row r="7" spans="2:27" x14ac:dyDescent="0.3">
      <c r="B7" s="9" t="s">
        <v>826</v>
      </c>
      <c r="C7" s="1">
        <v>0</v>
      </c>
      <c r="D7" s="280"/>
      <c r="E7" s="280"/>
      <c r="F7" s="280"/>
      <c r="G7" s="127"/>
      <c r="H7" s="127"/>
      <c r="I7" s="127"/>
      <c r="K7">
        <v>1</v>
      </c>
      <c r="L7" s="65" t="s">
        <v>27</v>
      </c>
      <c r="M7" s="66" t="s">
        <v>27</v>
      </c>
      <c r="N7" s="330">
        <v>0.1</v>
      </c>
      <c r="O7" s="80">
        <v>18000</v>
      </c>
      <c r="P7" s="65" t="s">
        <v>27</v>
      </c>
      <c r="Q7" s="66" t="s">
        <v>27</v>
      </c>
      <c r="R7" s="362">
        <v>100000</v>
      </c>
      <c r="S7" s="80">
        <v>37000</v>
      </c>
      <c r="T7" s="65" t="s">
        <v>27</v>
      </c>
      <c r="U7" s="66" t="s">
        <v>27</v>
      </c>
      <c r="V7" s="336">
        <v>1.4999999999999999E-2</v>
      </c>
      <c r="W7" s="80">
        <v>52000</v>
      </c>
      <c r="X7" s="65" t="s">
        <v>27</v>
      </c>
      <c r="Y7" s="66" t="s">
        <v>27</v>
      </c>
      <c r="Z7" s="65">
        <v>7500</v>
      </c>
      <c r="AA7" s="66">
        <v>83000</v>
      </c>
    </row>
    <row r="8" spans="2:27" x14ac:dyDescent="0.3">
      <c r="B8" s="9" t="s">
        <v>827</v>
      </c>
      <c r="C8" s="1">
        <v>1</v>
      </c>
      <c r="D8" s="65">
        <v>1000</v>
      </c>
      <c r="E8" s="80"/>
      <c r="F8" s="308">
        <v>1.5800000000000002E-2</v>
      </c>
      <c r="G8" s="341">
        <v>0.02</v>
      </c>
      <c r="H8" s="341">
        <v>0.02</v>
      </c>
      <c r="I8" s="347"/>
      <c r="K8">
        <v>2</v>
      </c>
      <c r="L8" s="67">
        <v>300</v>
      </c>
      <c r="M8" s="68">
        <v>25800</v>
      </c>
      <c r="N8" s="133">
        <v>0.2</v>
      </c>
      <c r="O8" s="88">
        <v>36000</v>
      </c>
      <c r="P8" s="67">
        <v>500</v>
      </c>
      <c r="Q8" s="68">
        <v>330553</v>
      </c>
      <c r="R8" s="363">
        <v>200000</v>
      </c>
      <c r="S8" s="88">
        <v>74000</v>
      </c>
      <c r="T8" s="67">
        <v>200</v>
      </c>
      <c r="U8" s="68">
        <v>27600</v>
      </c>
      <c r="V8" s="337">
        <v>0.03</v>
      </c>
      <c r="W8" s="88">
        <v>104000</v>
      </c>
      <c r="X8" s="67">
        <v>300</v>
      </c>
      <c r="Y8" s="68">
        <v>46200</v>
      </c>
      <c r="Z8" s="67">
        <v>15000</v>
      </c>
      <c r="AA8" s="68">
        <v>166000</v>
      </c>
    </row>
    <row r="9" spans="2:27" x14ac:dyDescent="0.3">
      <c r="B9" s="9"/>
      <c r="C9" s="1">
        <v>2</v>
      </c>
      <c r="D9" s="67">
        <v>1000</v>
      </c>
      <c r="E9" s="88"/>
      <c r="F9" s="310">
        <v>1.6500000000000001E-2</v>
      </c>
      <c r="G9" s="342"/>
      <c r="H9" s="342"/>
      <c r="I9" s="348"/>
      <c r="K9">
        <v>3</v>
      </c>
      <c r="L9" s="67">
        <v>600</v>
      </c>
      <c r="M9" s="68">
        <v>51600</v>
      </c>
      <c r="N9" s="133">
        <v>0.3</v>
      </c>
      <c r="O9" s="88">
        <v>54000</v>
      </c>
      <c r="P9" s="67">
        <v>100</v>
      </c>
      <c r="Q9" s="68">
        <v>107400</v>
      </c>
      <c r="R9" s="363">
        <v>300000</v>
      </c>
      <c r="S9" s="88">
        <v>111000</v>
      </c>
      <c r="T9" s="67">
        <v>500</v>
      </c>
      <c r="U9" s="68">
        <v>69000</v>
      </c>
      <c r="V9" s="337">
        <v>4.4999999999999998E-2</v>
      </c>
      <c r="W9" s="88">
        <v>156000</v>
      </c>
      <c r="X9" s="67">
        <v>700</v>
      </c>
      <c r="Y9" s="68">
        <v>108600</v>
      </c>
      <c r="Z9" s="67">
        <v>22500</v>
      </c>
      <c r="AA9" s="68">
        <v>249000</v>
      </c>
    </row>
    <row r="10" spans="2:27" x14ac:dyDescent="0.3">
      <c r="B10" s="9"/>
      <c r="C10" s="1">
        <v>3</v>
      </c>
      <c r="D10" s="67">
        <v>1050</v>
      </c>
      <c r="E10" s="88"/>
      <c r="F10" s="310">
        <v>1.7299999999999999E-2</v>
      </c>
      <c r="G10" s="342"/>
      <c r="H10" s="342"/>
      <c r="I10" s="348"/>
      <c r="K10">
        <v>4</v>
      </c>
      <c r="L10" s="67">
        <v>9200</v>
      </c>
      <c r="M10" s="68">
        <v>77400</v>
      </c>
      <c r="N10" s="133">
        <v>0.4</v>
      </c>
      <c r="O10" s="88">
        <v>72000</v>
      </c>
      <c r="P10" s="67">
        <v>1500</v>
      </c>
      <c r="Q10" s="68">
        <v>160800</v>
      </c>
      <c r="R10" s="363">
        <v>400000</v>
      </c>
      <c r="S10" s="88">
        <v>148000</v>
      </c>
      <c r="T10" s="67">
        <v>700</v>
      </c>
      <c r="U10" s="68">
        <v>96600</v>
      </c>
      <c r="V10" s="337">
        <v>0.06</v>
      </c>
      <c r="W10" s="88">
        <v>208000</v>
      </c>
      <c r="X10" s="67">
        <v>1000</v>
      </c>
      <c r="Y10" s="68">
        <v>155400</v>
      </c>
      <c r="Z10" s="67">
        <v>30000</v>
      </c>
      <c r="AA10" s="68">
        <v>332000</v>
      </c>
    </row>
    <row r="11" spans="2:27" x14ac:dyDescent="0.3">
      <c r="B11" s="9"/>
      <c r="C11" s="1">
        <v>4</v>
      </c>
      <c r="D11" s="67">
        <v>1100</v>
      </c>
      <c r="E11" s="88"/>
      <c r="F11" s="310">
        <v>1.7999999999999999E-2</v>
      </c>
      <c r="G11" s="342"/>
      <c r="H11" s="342"/>
      <c r="I11" s="348">
        <v>410000</v>
      </c>
      <c r="K11">
        <v>5</v>
      </c>
      <c r="L11" s="69">
        <v>1200</v>
      </c>
      <c r="M11" s="70">
        <v>103200</v>
      </c>
      <c r="N11" s="332">
        <v>0.5</v>
      </c>
      <c r="O11" s="83">
        <v>90000</v>
      </c>
      <c r="P11" s="69">
        <v>2000</v>
      </c>
      <c r="Q11" s="70">
        <v>214800</v>
      </c>
      <c r="R11" s="364">
        <v>500000</v>
      </c>
      <c r="S11" s="83">
        <v>185000</v>
      </c>
      <c r="T11" s="69">
        <v>1000</v>
      </c>
      <c r="U11" s="70">
        <v>138000</v>
      </c>
      <c r="V11" s="338">
        <v>7.4999999999999997E-2</v>
      </c>
      <c r="W11" s="83">
        <v>260000</v>
      </c>
      <c r="X11" s="69">
        <v>1400</v>
      </c>
      <c r="Y11" s="70">
        <v>217200</v>
      </c>
      <c r="Z11" s="69">
        <v>37500</v>
      </c>
      <c r="AA11" s="70">
        <v>415000</v>
      </c>
    </row>
    <row r="12" spans="2:27" x14ac:dyDescent="0.3">
      <c r="B12" s="9"/>
      <c r="C12" s="1">
        <v>5</v>
      </c>
      <c r="D12" s="67">
        <v>1150</v>
      </c>
      <c r="E12" s="88"/>
      <c r="F12" s="310">
        <v>1.8800000000000001E-2</v>
      </c>
      <c r="G12" s="342"/>
      <c r="H12" s="342"/>
      <c r="I12" s="348">
        <v>423500</v>
      </c>
      <c r="J12" s="38"/>
      <c r="K12">
        <v>6</v>
      </c>
      <c r="L12" s="65">
        <v>1500</v>
      </c>
      <c r="M12" s="66">
        <v>129600</v>
      </c>
      <c r="N12" s="330">
        <v>0.6</v>
      </c>
      <c r="O12" s="80">
        <v>108000</v>
      </c>
      <c r="P12" s="65">
        <v>2500</v>
      </c>
      <c r="Q12" s="66">
        <v>268800</v>
      </c>
      <c r="R12" s="362">
        <v>600000</v>
      </c>
      <c r="S12" s="80">
        <v>222000</v>
      </c>
      <c r="T12" s="65">
        <v>1200</v>
      </c>
      <c r="U12" s="66">
        <v>165600</v>
      </c>
      <c r="V12" s="336">
        <v>0.09</v>
      </c>
      <c r="W12" s="80">
        <v>312000</v>
      </c>
      <c r="X12" s="65">
        <v>1800</v>
      </c>
      <c r="Y12" s="66">
        <v>279600</v>
      </c>
      <c r="Z12" s="65">
        <v>45000</v>
      </c>
      <c r="AA12" s="66">
        <v>498000</v>
      </c>
    </row>
    <row r="13" spans="2:27" x14ac:dyDescent="0.3">
      <c r="B13" s="9"/>
      <c r="C13" s="1">
        <v>6</v>
      </c>
      <c r="D13" s="67">
        <v>1200</v>
      </c>
      <c r="E13" s="88"/>
      <c r="F13" s="310">
        <v>1.95E-2</v>
      </c>
      <c r="G13" s="342"/>
      <c r="H13" s="342"/>
      <c r="I13" s="348">
        <v>437000</v>
      </c>
      <c r="J13" s="38"/>
      <c r="K13">
        <v>7</v>
      </c>
      <c r="L13" s="67">
        <v>1800</v>
      </c>
      <c r="M13" s="68">
        <v>155400</v>
      </c>
      <c r="N13" s="133">
        <v>0.7</v>
      </c>
      <c r="O13" s="88">
        <v>126000</v>
      </c>
      <c r="P13" s="67">
        <v>3000</v>
      </c>
      <c r="Q13" s="68">
        <v>322200</v>
      </c>
      <c r="R13" s="363">
        <v>700000</v>
      </c>
      <c r="S13" s="88">
        <v>259000</v>
      </c>
      <c r="T13" s="67">
        <v>1500</v>
      </c>
      <c r="U13" s="68">
        <v>207000</v>
      </c>
      <c r="V13" s="337">
        <v>0.105</v>
      </c>
      <c r="W13" s="88">
        <v>364000</v>
      </c>
      <c r="X13" s="67">
        <v>2100</v>
      </c>
      <c r="Y13" s="68">
        <v>326400</v>
      </c>
      <c r="Z13" s="67">
        <v>52500</v>
      </c>
      <c r="AA13" s="68">
        <v>581000</v>
      </c>
    </row>
    <row r="14" spans="2:27" x14ac:dyDescent="0.3">
      <c r="B14" s="9"/>
      <c r="C14" s="1">
        <v>7</v>
      </c>
      <c r="D14" s="67">
        <v>1300</v>
      </c>
      <c r="E14" s="88"/>
      <c r="F14" s="310">
        <v>2.0299999999999999E-2</v>
      </c>
      <c r="G14" s="342"/>
      <c r="H14" s="342"/>
      <c r="I14" s="348">
        <v>450500</v>
      </c>
      <c r="J14" s="38"/>
      <c r="K14">
        <v>8</v>
      </c>
      <c r="L14" s="67">
        <v>2100</v>
      </c>
      <c r="M14" s="68">
        <v>181200</v>
      </c>
      <c r="N14" s="133">
        <v>0.8</v>
      </c>
      <c r="O14" s="88">
        <v>144000</v>
      </c>
      <c r="P14" s="67">
        <v>3500</v>
      </c>
      <c r="Q14" s="68">
        <v>376200</v>
      </c>
      <c r="R14" s="363">
        <v>800000</v>
      </c>
      <c r="S14" s="88">
        <v>296000</v>
      </c>
      <c r="T14" s="67">
        <v>1700</v>
      </c>
      <c r="U14" s="68">
        <v>234600</v>
      </c>
      <c r="V14" s="337">
        <v>0.12</v>
      </c>
      <c r="W14" s="88">
        <v>416000</v>
      </c>
      <c r="X14" s="67">
        <v>2400</v>
      </c>
      <c r="Y14" s="68">
        <v>373200</v>
      </c>
      <c r="Z14" s="67">
        <v>60000</v>
      </c>
      <c r="AA14" s="68">
        <v>664000</v>
      </c>
    </row>
    <row r="15" spans="2:27" x14ac:dyDescent="0.3">
      <c r="B15" s="9"/>
      <c r="C15" s="1">
        <v>8</v>
      </c>
      <c r="D15" s="67">
        <v>1400</v>
      </c>
      <c r="E15" s="88"/>
      <c r="F15" s="310">
        <v>2.1000000000000001E-2</v>
      </c>
      <c r="G15" s="342"/>
      <c r="H15" s="342"/>
      <c r="I15" s="348">
        <v>464000</v>
      </c>
      <c r="J15" s="38"/>
      <c r="K15">
        <v>9</v>
      </c>
      <c r="L15" s="67">
        <v>2400</v>
      </c>
      <c r="M15" s="68">
        <v>207000</v>
      </c>
      <c r="N15" s="133">
        <v>0.9</v>
      </c>
      <c r="O15" s="88">
        <v>162000</v>
      </c>
      <c r="P15" s="67">
        <v>4000</v>
      </c>
      <c r="Q15" s="68">
        <v>429600</v>
      </c>
      <c r="R15" s="363">
        <v>900000</v>
      </c>
      <c r="S15" s="88">
        <v>333000</v>
      </c>
      <c r="T15" s="67">
        <v>2000</v>
      </c>
      <c r="U15" s="68">
        <v>276000</v>
      </c>
      <c r="V15" s="337">
        <v>0.13500000000000001</v>
      </c>
      <c r="W15" s="88">
        <v>486000</v>
      </c>
      <c r="X15" s="67">
        <v>2800</v>
      </c>
      <c r="Y15" s="68">
        <v>435000</v>
      </c>
      <c r="Z15" s="67">
        <v>67500</v>
      </c>
      <c r="AA15" s="68">
        <v>747000</v>
      </c>
    </row>
    <row r="16" spans="2:27" x14ac:dyDescent="0.3">
      <c r="B16" s="9"/>
      <c r="C16" s="1">
        <v>9</v>
      </c>
      <c r="D16" s="67">
        <v>1500</v>
      </c>
      <c r="E16" s="88"/>
      <c r="F16" s="310">
        <v>2.18E-2</v>
      </c>
      <c r="G16" s="342"/>
      <c r="H16" s="342"/>
      <c r="I16" s="348">
        <v>477500</v>
      </c>
      <c r="J16" s="38"/>
      <c r="K16">
        <v>10</v>
      </c>
      <c r="L16" s="69">
        <v>2700</v>
      </c>
      <c r="M16" s="70">
        <v>232800</v>
      </c>
      <c r="N16" s="332">
        <v>1</v>
      </c>
      <c r="O16" s="83">
        <v>180000</v>
      </c>
      <c r="P16" s="69">
        <v>4500</v>
      </c>
      <c r="Q16" s="70">
        <v>483600</v>
      </c>
      <c r="R16" s="364">
        <v>1000000</v>
      </c>
      <c r="S16" s="83">
        <v>370000</v>
      </c>
      <c r="T16" s="69">
        <v>2300</v>
      </c>
      <c r="U16" s="70">
        <v>318000</v>
      </c>
      <c r="V16" s="338">
        <v>0.15</v>
      </c>
      <c r="W16" s="83">
        <v>520000</v>
      </c>
      <c r="X16" s="69">
        <v>3200</v>
      </c>
      <c r="Y16" s="70">
        <v>497400</v>
      </c>
      <c r="Z16" s="69">
        <v>75000</v>
      </c>
      <c r="AA16" s="70">
        <v>830000</v>
      </c>
    </row>
    <row r="17" spans="2:27" x14ac:dyDescent="0.3">
      <c r="B17" s="9"/>
      <c r="C17" s="1">
        <v>10</v>
      </c>
      <c r="D17" s="67">
        <v>1600</v>
      </c>
      <c r="E17" s="88"/>
      <c r="F17" s="310">
        <v>2.2499999999999999E-2</v>
      </c>
      <c r="G17" s="342"/>
      <c r="H17" s="342"/>
      <c r="I17" s="348">
        <v>491000</v>
      </c>
      <c r="J17" s="38"/>
      <c r="K17">
        <v>11</v>
      </c>
      <c r="L17" s="314"/>
      <c r="M17" s="315"/>
      <c r="N17" s="296"/>
      <c r="O17" s="296"/>
      <c r="P17" s="356"/>
      <c r="Q17" s="357"/>
      <c r="R17" s="358"/>
      <c r="S17" s="359"/>
      <c r="T17" s="65">
        <v>2500</v>
      </c>
      <c r="U17" s="66">
        <v>345600</v>
      </c>
      <c r="V17" s="336">
        <v>0.16500000000000001</v>
      </c>
      <c r="W17" s="80">
        <v>572000</v>
      </c>
      <c r="X17" s="65">
        <v>3500</v>
      </c>
      <c r="Y17" s="66">
        <v>544200</v>
      </c>
      <c r="Z17" s="65">
        <v>82500</v>
      </c>
      <c r="AA17" s="66">
        <v>913000</v>
      </c>
    </row>
    <row r="18" spans="2:27" x14ac:dyDescent="0.3">
      <c r="B18" s="9" t="s">
        <v>828</v>
      </c>
      <c r="C18" s="1">
        <v>10.1</v>
      </c>
      <c r="D18" s="69" t="s">
        <v>27</v>
      </c>
      <c r="E18" s="83">
        <v>12</v>
      </c>
      <c r="F18" s="316">
        <v>2.8500000000000001E-2</v>
      </c>
      <c r="G18" s="343">
        <v>0.04</v>
      </c>
      <c r="H18" s="343">
        <v>0.04</v>
      </c>
      <c r="I18" s="349"/>
      <c r="K18">
        <v>12</v>
      </c>
      <c r="L18" s="314"/>
      <c r="M18" s="315"/>
      <c r="N18" s="296"/>
      <c r="O18" s="296"/>
      <c r="P18" s="314"/>
      <c r="Q18" s="315"/>
      <c r="R18" s="360"/>
      <c r="S18" s="296"/>
      <c r="T18" s="67">
        <v>2700</v>
      </c>
      <c r="U18" s="68">
        <v>373200</v>
      </c>
      <c r="V18" s="337">
        <v>0.18</v>
      </c>
      <c r="W18" s="88">
        <v>624000</v>
      </c>
      <c r="X18" s="67">
        <v>3800</v>
      </c>
      <c r="Y18" s="68">
        <v>591000</v>
      </c>
      <c r="Z18" s="67">
        <v>90000</v>
      </c>
      <c r="AA18" s="68">
        <v>996000</v>
      </c>
    </row>
    <row r="19" spans="2:27" x14ac:dyDescent="0.3">
      <c r="B19" s="9"/>
      <c r="C19" s="1">
        <v>11</v>
      </c>
      <c r="D19" s="65">
        <v>1700</v>
      </c>
      <c r="E19" s="80"/>
      <c r="F19" s="308">
        <v>2.93E-2</v>
      </c>
      <c r="G19" s="341"/>
      <c r="H19" s="341"/>
      <c r="I19" s="347"/>
      <c r="K19">
        <v>13</v>
      </c>
      <c r="L19" s="314"/>
      <c r="M19" s="315"/>
      <c r="N19" s="296"/>
      <c r="O19" s="296"/>
      <c r="P19" s="314"/>
      <c r="Q19" s="315"/>
      <c r="R19" s="360"/>
      <c r="S19" s="296"/>
      <c r="T19" s="67">
        <v>3000</v>
      </c>
      <c r="U19" s="68">
        <v>414600</v>
      </c>
      <c r="V19" s="337">
        <v>0.19500000000000001</v>
      </c>
      <c r="W19" s="88">
        <v>676000</v>
      </c>
      <c r="X19" s="67">
        <v>4200</v>
      </c>
      <c r="Y19" s="68">
        <v>652800</v>
      </c>
      <c r="Z19" s="67">
        <v>97500</v>
      </c>
      <c r="AA19" s="68">
        <v>1079000</v>
      </c>
    </row>
    <row r="20" spans="2:27" x14ac:dyDescent="0.3">
      <c r="B20" s="9"/>
      <c r="C20" s="1">
        <v>12</v>
      </c>
      <c r="D20" s="67">
        <v>1800</v>
      </c>
      <c r="E20" s="88"/>
      <c r="F20" s="310">
        <v>0.03</v>
      </c>
      <c r="G20" s="342"/>
      <c r="H20" s="342"/>
      <c r="I20" s="348"/>
      <c r="K20">
        <v>14</v>
      </c>
      <c r="L20" s="314"/>
      <c r="M20" s="315"/>
      <c r="N20" s="296"/>
      <c r="O20" s="296"/>
      <c r="P20" s="314"/>
      <c r="Q20" s="315"/>
      <c r="R20" s="360"/>
      <c r="S20" s="296"/>
      <c r="T20" s="67">
        <v>3500</v>
      </c>
      <c r="U20" s="68">
        <v>483600</v>
      </c>
      <c r="V20" s="337">
        <v>0.21</v>
      </c>
      <c r="W20" s="88">
        <v>728000</v>
      </c>
      <c r="X20" s="67">
        <v>4900</v>
      </c>
      <c r="Y20" s="68">
        <v>762000</v>
      </c>
      <c r="Z20" s="67">
        <v>105000</v>
      </c>
      <c r="AA20" s="68">
        <v>1162000</v>
      </c>
    </row>
    <row r="21" spans="2:27" x14ac:dyDescent="0.3">
      <c r="B21" s="9"/>
      <c r="C21" s="1">
        <v>13</v>
      </c>
      <c r="D21" s="67">
        <v>1900</v>
      </c>
      <c r="E21" s="88"/>
      <c r="F21" s="310">
        <v>3.0800000000000001E-2</v>
      </c>
      <c r="G21" s="342"/>
      <c r="H21" s="342"/>
      <c r="I21" s="348"/>
      <c r="K21">
        <v>15</v>
      </c>
      <c r="L21" s="314"/>
      <c r="M21" s="315"/>
      <c r="N21" s="296"/>
      <c r="O21" s="296"/>
      <c r="P21" s="318"/>
      <c r="Q21" s="319"/>
      <c r="R21" s="361"/>
      <c r="S21" s="328"/>
      <c r="T21" s="69">
        <v>4000</v>
      </c>
      <c r="U21" s="70">
        <v>552600</v>
      </c>
      <c r="V21" s="338">
        <v>0.22500000000000001</v>
      </c>
      <c r="W21" s="83">
        <v>780000</v>
      </c>
      <c r="X21" s="69">
        <v>5700</v>
      </c>
      <c r="Y21" s="70">
        <v>886200</v>
      </c>
      <c r="Z21" s="69">
        <v>112500</v>
      </c>
      <c r="AA21" s="70">
        <v>1245000</v>
      </c>
    </row>
    <row r="22" spans="2:27" x14ac:dyDescent="0.3">
      <c r="B22" s="9"/>
      <c r="C22" s="1">
        <v>14</v>
      </c>
      <c r="D22" s="67">
        <v>2000</v>
      </c>
      <c r="E22" s="88"/>
      <c r="F22" s="310">
        <v>3.15E-2</v>
      </c>
      <c r="G22" s="342"/>
      <c r="H22" s="342"/>
      <c r="I22" s="348"/>
      <c r="K22">
        <v>16</v>
      </c>
      <c r="L22" s="314"/>
      <c r="M22" s="315"/>
      <c r="N22" s="296"/>
      <c r="O22" s="296"/>
      <c r="P22" s="314"/>
      <c r="Q22" s="315"/>
      <c r="R22" s="360"/>
      <c r="S22" s="296"/>
      <c r="T22" s="67">
        <v>4000</v>
      </c>
      <c r="U22" s="68">
        <v>552600</v>
      </c>
      <c r="V22" s="337">
        <v>0.24</v>
      </c>
      <c r="W22" s="88">
        <v>832000</v>
      </c>
      <c r="X22" s="67">
        <v>5700</v>
      </c>
      <c r="Y22" s="68">
        <v>886200</v>
      </c>
      <c r="Z22" s="65">
        <v>120000</v>
      </c>
      <c r="AA22" s="66">
        <v>1328000</v>
      </c>
    </row>
    <row r="23" spans="2:27" x14ac:dyDescent="0.3">
      <c r="B23" s="9"/>
      <c r="C23" s="1">
        <v>15</v>
      </c>
      <c r="D23" s="67">
        <v>2100</v>
      </c>
      <c r="E23" s="88"/>
      <c r="F23" s="310">
        <v>3.2300000000000002E-2</v>
      </c>
      <c r="G23" s="342"/>
      <c r="H23" s="342"/>
      <c r="I23" s="348"/>
      <c r="K23">
        <v>17</v>
      </c>
      <c r="L23" s="314"/>
      <c r="M23" s="315"/>
      <c r="N23" s="296"/>
      <c r="O23" s="296"/>
      <c r="P23" s="314"/>
      <c r="Q23" s="315"/>
      <c r="R23" s="360"/>
      <c r="S23" s="296"/>
      <c r="T23" s="67">
        <v>4500</v>
      </c>
      <c r="U23" s="68">
        <v>621600</v>
      </c>
      <c r="V23" s="337">
        <v>0.255</v>
      </c>
      <c r="W23" s="88">
        <v>884000</v>
      </c>
      <c r="X23" s="67">
        <v>6400</v>
      </c>
      <c r="Y23" s="68">
        <v>994800</v>
      </c>
      <c r="Z23" s="67">
        <v>127500</v>
      </c>
      <c r="AA23" s="68">
        <v>1411000</v>
      </c>
    </row>
    <row r="24" spans="2:27" x14ac:dyDescent="0.3">
      <c r="B24" s="9"/>
      <c r="C24" s="1">
        <v>16</v>
      </c>
      <c r="D24" s="67">
        <v>2200</v>
      </c>
      <c r="E24" s="88"/>
      <c r="F24" s="310">
        <v>3.3000000000000002E-2</v>
      </c>
      <c r="G24" s="342"/>
      <c r="H24" s="342"/>
      <c r="I24" s="348"/>
      <c r="K24">
        <v>18</v>
      </c>
      <c r="L24" s="314"/>
      <c r="M24" s="315"/>
      <c r="N24" s="296"/>
      <c r="O24" s="296"/>
      <c r="P24" s="314"/>
      <c r="Q24" s="315"/>
      <c r="R24" s="360"/>
      <c r="S24" s="296"/>
      <c r="T24" s="67">
        <v>4500</v>
      </c>
      <c r="U24" s="68">
        <v>621600</v>
      </c>
      <c r="V24" s="337">
        <v>0.27</v>
      </c>
      <c r="W24" s="88">
        <v>936000</v>
      </c>
      <c r="X24" s="67">
        <v>6400</v>
      </c>
      <c r="Y24" s="68">
        <v>994800</v>
      </c>
      <c r="Z24" s="67">
        <v>135000</v>
      </c>
      <c r="AA24" s="68">
        <v>1494000</v>
      </c>
    </row>
    <row r="25" spans="2:27" x14ac:dyDescent="0.3">
      <c r="B25" s="9"/>
      <c r="C25" s="1">
        <v>17</v>
      </c>
      <c r="D25" s="67">
        <v>2300</v>
      </c>
      <c r="E25" s="88"/>
      <c r="F25" s="310">
        <v>3.3799999999999997E-2</v>
      </c>
      <c r="G25" s="342"/>
      <c r="H25" s="342"/>
      <c r="I25" s="348"/>
      <c r="K25">
        <v>19</v>
      </c>
      <c r="L25" s="314"/>
      <c r="M25" s="315"/>
      <c r="N25" s="296"/>
      <c r="O25" s="296"/>
      <c r="P25" s="314"/>
      <c r="Q25" s="315"/>
      <c r="R25" s="360"/>
      <c r="S25" s="296"/>
      <c r="T25" s="67">
        <v>5100</v>
      </c>
      <c r="U25" s="68">
        <v>705000</v>
      </c>
      <c r="V25" s="337">
        <v>0.28499999999999998</v>
      </c>
      <c r="W25" s="88">
        <v>988000</v>
      </c>
      <c r="X25" s="67">
        <v>7100</v>
      </c>
      <c r="Y25" s="68">
        <v>1104000</v>
      </c>
      <c r="Z25" s="67">
        <v>142500</v>
      </c>
      <c r="AA25" s="68">
        <v>1577000</v>
      </c>
    </row>
    <row r="26" spans="2:27" x14ac:dyDescent="0.3">
      <c r="B26" s="9"/>
      <c r="C26" s="1">
        <v>18</v>
      </c>
      <c r="D26" s="67">
        <v>2400</v>
      </c>
      <c r="E26" s="88"/>
      <c r="F26" s="310">
        <v>3.4500000000000003E-2</v>
      </c>
      <c r="G26" s="342"/>
      <c r="H26" s="342"/>
      <c r="I26" s="348"/>
      <c r="K26">
        <v>20</v>
      </c>
      <c r="L26" s="318"/>
      <c r="M26" s="319"/>
      <c r="N26" s="328"/>
      <c r="O26" s="328"/>
      <c r="P26" s="318"/>
      <c r="Q26" s="319"/>
      <c r="R26" s="361"/>
      <c r="S26" s="328"/>
      <c r="T26" s="69">
        <v>5100</v>
      </c>
      <c r="U26" s="70">
        <v>705000</v>
      </c>
      <c r="V26" s="338">
        <v>0.3</v>
      </c>
      <c r="W26" s="83">
        <v>1040000</v>
      </c>
      <c r="X26" s="69">
        <v>7100</v>
      </c>
      <c r="Y26" s="70">
        <v>1104000</v>
      </c>
      <c r="Z26" s="69">
        <v>150000</v>
      </c>
      <c r="AA26" s="70">
        <v>1660000</v>
      </c>
    </row>
    <row r="27" spans="2:27" x14ac:dyDescent="0.3">
      <c r="B27" s="9"/>
      <c r="C27" s="1">
        <v>19</v>
      </c>
      <c r="D27" s="67">
        <v>5600</v>
      </c>
      <c r="E27" s="88"/>
      <c r="F27" s="310">
        <v>3.5299999999999998E-2</v>
      </c>
      <c r="G27" s="342"/>
      <c r="H27" s="342"/>
      <c r="I27" s="348"/>
      <c r="L27" s="88">
        <f>SUM(L7:L26)</f>
        <v>21800</v>
      </c>
      <c r="M27" s="88">
        <f>SUM(M7:M26)</f>
        <v>1164000</v>
      </c>
      <c r="N27" s="88"/>
      <c r="O27" s="88"/>
      <c r="P27" s="88">
        <f>SUM(P7:P26)</f>
        <v>21600</v>
      </c>
      <c r="Q27" s="88">
        <f>SUM(Q7:Q26)</f>
        <v>2693953</v>
      </c>
      <c r="R27" s="88"/>
      <c r="S27" s="88"/>
      <c r="T27" s="88">
        <f>SUM(T7:T26)</f>
        <v>50000</v>
      </c>
      <c r="U27" s="88">
        <f>SUM(U7:U26)</f>
        <v>6907800</v>
      </c>
      <c r="V27" s="88"/>
      <c r="W27" s="88"/>
      <c r="X27" s="88">
        <f>SUM(X7:X26)</f>
        <v>70500</v>
      </c>
      <c r="Y27" s="88">
        <f>SUM(Y7:Y26)</f>
        <v>10959000</v>
      </c>
      <c r="Z27" s="88"/>
      <c r="AA27" s="88"/>
    </row>
    <row r="28" spans="2:27" x14ac:dyDescent="0.3">
      <c r="B28" s="9"/>
      <c r="C28" s="1">
        <v>20</v>
      </c>
      <c r="D28" s="67">
        <v>2600</v>
      </c>
      <c r="E28" s="88"/>
      <c r="F28" s="310">
        <v>3.5999999999999997E-2</v>
      </c>
      <c r="G28" s="342"/>
      <c r="H28" s="342"/>
      <c r="I28" s="348"/>
    </row>
    <row r="29" spans="2:27" x14ac:dyDescent="0.3">
      <c r="B29" s="9" t="s">
        <v>829</v>
      </c>
      <c r="C29" s="1">
        <v>20.100000000000001</v>
      </c>
      <c r="D29" s="69" t="s">
        <v>27</v>
      </c>
      <c r="E29" s="83">
        <v>24</v>
      </c>
      <c r="F29" s="316">
        <v>4.2000000000000003E-2</v>
      </c>
      <c r="G29" s="343">
        <v>0.06</v>
      </c>
      <c r="H29" s="343">
        <v>0.06</v>
      </c>
      <c r="I29" s="349"/>
    </row>
    <row r="30" spans="2:27" x14ac:dyDescent="0.3">
      <c r="B30" s="9"/>
      <c r="C30" s="1">
        <v>21</v>
      </c>
      <c r="D30" s="65">
        <v>2700</v>
      </c>
      <c r="E30" s="80"/>
      <c r="F30" s="308">
        <v>4.2799999999999998E-2</v>
      </c>
      <c r="G30" s="341"/>
      <c r="H30" s="341"/>
      <c r="I30" s="347"/>
    </row>
    <row r="31" spans="2:27" x14ac:dyDescent="0.3">
      <c r="B31" s="9"/>
      <c r="C31" s="1">
        <v>22</v>
      </c>
      <c r="D31" s="67">
        <v>2800</v>
      </c>
      <c r="E31" s="88"/>
      <c r="F31" s="310">
        <v>4.3499999999999997E-2</v>
      </c>
      <c r="G31" s="342"/>
      <c r="H31" s="342"/>
      <c r="I31" s="348"/>
    </row>
    <row r="32" spans="2:27" x14ac:dyDescent="0.3">
      <c r="B32" s="9"/>
      <c r="C32" s="1">
        <v>23</v>
      </c>
      <c r="D32" s="67">
        <v>2900</v>
      </c>
      <c r="E32" s="88"/>
      <c r="F32" s="310">
        <v>4.4299999999999999E-2</v>
      </c>
      <c r="G32" s="342"/>
      <c r="H32" s="342"/>
      <c r="I32" s="348"/>
    </row>
    <row r="33" spans="2:9" x14ac:dyDescent="0.3">
      <c r="B33" s="9"/>
      <c r="C33" s="1">
        <v>24</v>
      </c>
      <c r="D33" s="67">
        <v>3000</v>
      </c>
      <c r="E33" s="88"/>
      <c r="F33" s="310">
        <v>4.4999999999999998E-2</v>
      </c>
      <c r="G33" s="342"/>
      <c r="H33" s="342"/>
      <c r="I33" s="348"/>
    </row>
    <row r="34" spans="2:9" x14ac:dyDescent="0.3">
      <c r="B34" s="9"/>
      <c r="C34" s="1">
        <v>25</v>
      </c>
      <c r="D34" s="67">
        <v>3100</v>
      </c>
      <c r="E34" s="88"/>
      <c r="F34" s="310">
        <v>4.58E-2</v>
      </c>
      <c r="G34" s="342"/>
      <c r="H34" s="342"/>
      <c r="I34" s="348"/>
    </row>
    <row r="35" spans="2:9" x14ac:dyDescent="0.3">
      <c r="B35" s="9"/>
      <c r="C35" s="1">
        <v>26</v>
      </c>
      <c r="D35" s="67">
        <v>3200</v>
      </c>
      <c r="E35" s="88"/>
      <c r="F35" s="310">
        <v>4.65E-2</v>
      </c>
      <c r="G35" s="342"/>
      <c r="H35" s="342"/>
      <c r="I35" s="348"/>
    </row>
    <row r="36" spans="2:9" x14ac:dyDescent="0.3">
      <c r="B36" s="9"/>
      <c r="C36" s="1">
        <v>27</v>
      </c>
      <c r="D36" s="67">
        <v>3300</v>
      </c>
      <c r="E36" s="88"/>
      <c r="F36" s="310">
        <v>4.7300000000000002E-2</v>
      </c>
      <c r="G36" s="342"/>
      <c r="H36" s="342"/>
      <c r="I36" s="348"/>
    </row>
    <row r="37" spans="2:9" x14ac:dyDescent="0.3">
      <c r="B37" s="259"/>
      <c r="C37" s="1">
        <v>28</v>
      </c>
      <c r="D37" s="67">
        <v>3400</v>
      </c>
      <c r="E37" s="88"/>
      <c r="F37" s="310">
        <v>4.8000000000000001E-2</v>
      </c>
      <c r="G37" s="342"/>
      <c r="H37" s="342"/>
      <c r="I37" s="348"/>
    </row>
    <row r="38" spans="2:9" x14ac:dyDescent="0.3">
      <c r="B38" s="9"/>
      <c r="C38" s="1">
        <v>29</v>
      </c>
      <c r="D38" s="67">
        <v>3500</v>
      </c>
      <c r="E38" s="88"/>
      <c r="F38" s="310">
        <v>4.8800000000000003E-2</v>
      </c>
      <c r="G38" s="342"/>
      <c r="H38" s="342"/>
      <c r="I38" s="348"/>
    </row>
    <row r="39" spans="2:9" x14ac:dyDescent="0.3">
      <c r="B39" s="9"/>
      <c r="C39" s="1">
        <v>30</v>
      </c>
      <c r="D39" s="67">
        <v>3650</v>
      </c>
      <c r="E39" s="88"/>
      <c r="F39" s="310">
        <v>4.9500000000000002E-2</v>
      </c>
      <c r="G39" s="342"/>
      <c r="H39" s="342"/>
      <c r="I39" s="348"/>
    </row>
    <row r="40" spans="2:9" x14ac:dyDescent="0.3">
      <c r="B40" s="9" t="s">
        <v>830</v>
      </c>
      <c r="C40" s="1">
        <v>30.1</v>
      </c>
      <c r="D40" s="69" t="s">
        <v>27</v>
      </c>
      <c r="E40" s="83">
        <v>36</v>
      </c>
      <c r="F40" s="316">
        <v>5.5500000000000001E-2</v>
      </c>
      <c r="G40" s="343">
        <v>0.09</v>
      </c>
      <c r="H40" s="343">
        <v>0.09</v>
      </c>
      <c r="I40" s="349"/>
    </row>
    <row r="41" spans="2:9" x14ac:dyDescent="0.3">
      <c r="B41" s="9"/>
      <c r="C41" s="1">
        <v>31</v>
      </c>
      <c r="D41" s="65">
        <v>3800</v>
      </c>
      <c r="E41" s="80"/>
      <c r="F41" s="308">
        <v>5.6300000000000003E-2</v>
      </c>
      <c r="G41" s="341"/>
      <c r="H41" s="341"/>
      <c r="I41" s="347"/>
    </row>
    <row r="42" spans="2:9" x14ac:dyDescent="0.3">
      <c r="B42" s="9"/>
      <c r="C42" s="1">
        <v>32</v>
      </c>
      <c r="D42" s="67">
        <v>3950</v>
      </c>
      <c r="E42" s="88"/>
      <c r="F42" s="310">
        <v>5.7000000000000002E-2</v>
      </c>
      <c r="G42" s="342"/>
      <c r="H42" s="342"/>
      <c r="I42" s="348"/>
    </row>
    <row r="43" spans="2:9" x14ac:dyDescent="0.3">
      <c r="B43" s="259"/>
      <c r="C43" s="1">
        <v>33</v>
      </c>
      <c r="D43" s="67">
        <v>4100</v>
      </c>
      <c r="E43" s="88"/>
      <c r="F43" s="310">
        <v>5.7799999999999997E-2</v>
      </c>
      <c r="G43" s="342"/>
      <c r="H43" s="342"/>
      <c r="I43" s="348"/>
    </row>
    <row r="44" spans="2:9" x14ac:dyDescent="0.3">
      <c r="B44" s="9"/>
      <c r="C44" s="1">
        <v>34</v>
      </c>
      <c r="D44" s="67">
        <v>4250</v>
      </c>
      <c r="E44" s="88"/>
      <c r="F44" s="310">
        <v>5.8500000000000003E-2</v>
      </c>
      <c r="G44" s="342"/>
      <c r="H44" s="342"/>
      <c r="I44" s="348"/>
    </row>
    <row r="45" spans="2:9" x14ac:dyDescent="0.3">
      <c r="B45" s="9"/>
      <c r="C45" s="1">
        <v>35</v>
      </c>
      <c r="D45" s="67">
        <v>4400</v>
      </c>
      <c r="E45" s="88"/>
      <c r="F45" s="310">
        <v>5.9299999999999999E-2</v>
      </c>
      <c r="G45" s="342"/>
      <c r="H45" s="342"/>
      <c r="I45" s="348"/>
    </row>
    <row r="46" spans="2:9" x14ac:dyDescent="0.3">
      <c r="B46" s="9"/>
      <c r="C46" s="1">
        <v>36</v>
      </c>
      <c r="D46" s="67">
        <v>4550</v>
      </c>
      <c r="E46" s="88"/>
      <c r="F46" s="310">
        <v>0.06</v>
      </c>
      <c r="G46" s="342"/>
      <c r="H46" s="342"/>
      <c r="I46" s="348"/>
    </row>
    <row r="47" spans="2:9" x14ac:dyDescent="0.3">
      <c r="B47" s="9"/>
      <c r="C47" s="1">
        <v>37</v>
      </c>
      <c r="D47" s="67">
        <v>4700</v>
      </c>
      <c r="E47" s="88"/>
      <c r="F47" s="310">
        <v>6.08E-2</v>
      </c>
      <c r="G47" s="342"/>
      <c r="H47" s="342"/>
      <c r="I47" s="348"/>
    </row>
    <row r="48" spans="2:9" x14ac:dyDescent="0.3">
      <c r="B48" s="9"/>
      <c r="C48" s="1">
        <v>38</v>
      </c>
      <c r="D48" s="67">
        <v>4850</v>
      </c>
      <c r="E48" s="88"/>
      <c r="F48" s="310">
        <v>6.1499999999999999E-2</v>
      </c>
      <c r="G48" s="342"/>
      <c r="H48" s="342"/>
      <c r="I48" s="348"/>
    </row>
    <row r="49" spans="2:9" x14ac:dyDescent="0.3">
      <c r="B49" s="9"/>
      <c r="C49" s="1">
        <v>39</v>
      </c>
      <c r="D49" s="67">
        <v>5000</v>
      </c>
      <c r="E49" s="88"/>
      <c r="F49" s="310">
        <v>6.2300000000000001E-2</v>
      </c>
      <c r="G49" s="342"/>
      <c r="H49" s="342"/>
      <c r="I49" s="348"/>
    </row>
    <row r="50" spans="2:9" x14ac:dyDescent="0.3">
      <c r="B50" s="9"/>
      <c r="C50" s="1">
        <v>40</v>
      </c>
      <c r="D50" s="67">
        <v>5200</v>
      </c>
      <c r="E50" s="88"/>
      <c r="F50" s="310">
        <v>6.3E-2</v>
      </c>
      <c r="G50" s="342"/>
      <c r="H50" s="342"/>
      <c r="I50" s="348"/>
    </row>
    <row r="51" spans="2:9" x14ac:dyDescent="0.3">
      <c r="B51" s="9" t="s">
        <v>831</v>
      </c>
      <c r="C51" s="1">
        <v>40.1</v>
      </c>
      <c r="D51" s="69" t="s">
        <v>27</v>
      </c>
      <c r="E51" s="83">
        <v>48</v>
      </c>
      <c r="F51" s="316">
        <v>6.9000000000000006E-2</v>
      </c>
      <c r="G51" s="343">
        <v>0.12</v>
      </c>
      <c r="H51" s="343">
        <v>0.12</v>
      </c>
      <c r="I51" s="349"/>
    </row>
    <row r="52" spans="2:9" x14ac:dyDescent="0.3">
      <c r="B52" s="9"/>
      <c r="C52" s="1">
        <v>41</v>
      </c>
      <c r="D52" s="65">
        <v>5400</v>
      </c>
      <c r="E52" s="80"/>
      <c r="F52" s="308">
        <v>6.9800000000000001E-2</v>
      </c>
      <c r="G52" s="341"/>
      <c r="H52" s="341"/>
      <c r="I52" s="347"/>
    </row>
    <row r="53" spans="2:9" x14ac:dyDescent="0.3">
      <c r="B53" s="9"/>
      <c r="C53" s="1">
        <v>42</v>
      </c>
      <c r="D53" s="67">
        <v>5600</v>
      </c>
      <c r="E53" s="88"/>
      <c r="F53" s="310">
        <v>7.0499999999999993E-2</v>
      </c>
      <c r="G53" s="342"/>
      <c r="H53" s="342"/>
      <c r="I53" s="348"/>
    </row>
    <row r="54" spans="2:9" x14ac:dyDescent="0.3">
      <c r="B54" s="9"/>
      <c r="C54" s="1">
        <v>43</v>
      </c>
      <c r="D54" s="67">
        <v>5800</v>
      </c>
      <c r="E54" s="88"/>
      <c r="F54" s="310">
        <v>7.1300000000000002E-2</v>
      </c>
      <c r="G54" s="342"/>
      <c r="H54" s="342"/>
      <c r="I54" s="348"/>
    </row>
    <row r="55" spans="2:9" x14ac:dyDescent="0.3">
      <c r="B55" s="9"/>
      <c r="C55" s="1">
        <v>44</v>
      </c>
      <c r="D55" s="67">
        <v>6000</v>
      </c>
      <c r="E55" s="88"/>
      <c r="F55" s="310">
        <v>7.1999999999999995E-2</v>
      </c>
      <c r="G55" s="342"/>
      <c r="H55" s="342"/>
      <c r="I55" s="348"/>
    </row>
    <row r="56" spans="2:9" x14ac:dyDescent="0.3">
      <c r="B56" s="9"/>
      <c r="C56" s="1">
        <v>45</v>
      </c>
      <c r="D56" s="67">
        <v>6200</v>
      </c>
      <c r="E56" s="88"/>
      <c r="F56" s="310">
        <v>7.2800000000000004E-2</v>
      </c>
      <c r="G56" s="342"/>
      <c r="H56" s="342"/>
      <c r="I56" s="348"/>
    </row>
    <row r="57" spans="2:9" x14ac:dyDescent="0.3">
      <c r="B57" s="9"/>
      <c r="C57" s="1">
        <v>46</v>
      </c>
      <c r="D57" s="67">
        <v>6400</v>
      </c>
      <c r="E57" s="88"/>
      <c r="F57" s="310">
        <v>7.3499999999999996E-2</v>
      </c>
      <c r="G57" s="342"/>
      <c r="H57" s="342"/>
      <c r="I57" s="348"/>
    </row>
    <row r="58" spans="2:9" x14ac:dyDescent="0.3">
      <c r="B58" s="9"/>
      <c r="C58" s="1">
        <v>47</v>
      </c>
      <c r="D58" s="67">
        <v>6600</v>
      </c>
      <c r="E58" s="88"/>
      <c r="F58" s="310">
        <v>7.4300000000000005E-2</v>
      </c>
      <c r="G58" s="342"/>
      <c r="H58" s="342"/>
      <c r="I58" s="348"/>
    </row>
    <row r="59" spans="2:9" x14ac:dyDescent="0.3">
      <c r="B59" s="9"/>
      <c r="C59" s="1">
        <v>48</v>
      </c>
      <c r="D59" s="67">
        <v>6800</v>
      </c>
      <c r="E59" s="88"/>
      <c r="F59" s="310">
        <v>4.4999999999999998E-2</v>
      </c>
      <c r="G59" s="342"/>
      <c r="H59" s="342"/>
      <c r="I59" s="348"/>
    </row>
    <row r="60" spans="2:9" x14ac:dyDescent="0.3">
      <c r="B60" s="9"/>
      <c r="C60" s="1">
        <v>49</v>
      </c>
      <c r="D60" s="67">
        <v>7000</v>
      </c>
      <c r="E60" s="88"/>
      <c r="F60" s="310">
        <v>7.5800000000000006E-2</v>
      </c>
      <c r="G60" s="342"/>
      <c r="H60" s="342"/>
      <c r="I60" s="348"/>
    </row>
    <row r="61" spans="2:9" x14ac:dyDescent="0.3">
      <c r="B61" s="9"/>
      <c r="C61" s="1">
        <v>50</v>
      </c>
      <c r="D61" s="67">
        <v>7250</v>
      </c>
      <c r="E61" s="88"/>
      <c r="F61" s="310">
        <v>7.6499999999999999E-2</v>
      </c>
      <c r="G61" s="342"/>
      <c r="H61" s="342"/>
      <c r="I61" s="348"/>
    </row>
    <row r="62" spans="2:9" x14ac:dyDescent="0.3">
      <c r="B62" s="9" t="s">
        <v>832</v>
      </c>
      <c r="C62" s="1">
        <v>50.1</v>
      </c>
      <c r="D62" s="69" t="s">
        <v>27</v>
      </c>
      <c r="E62" s="83">
        <v>60</v>
      </c>
      <c r="F62" s="316">
        <v>8.2500000000000004E-2</v>
      </c>
      <c r="G62" s="343">
        <v>0.15</v>
      </c>
      <c r="H62" s="343">
        <v>0.15</v>
      </c>
      <c r="I62" s="349"/>
    </row>
    <row r="63" spans="2:9" x14ac:dyDescent="0.3">
      <c r="B63" s="9"/>
      <c r="C63" s="1">
        <v>51</v>
      </c>
      <c r="D63" s="65">
        <v>7500</v>
      </c>
      <c r="E63" s="80"/>
      <c r="F63" s="308">
        <v>8.3199999999999996E-2</v>
      </c>
      <c r="G63" s="341"/>
      <c r="H63" s="341"/>
      <c r="I63" s="347"/>
    </row>
    <row r="64" spans="2:9" x14ac:dyDescent="0.3">
      <c r="B64" s="9"/>
      <c r="C64" s="1">
        <v>52</v>
      </c>
      <c r="D64" s="67">
        <v>7750</v>
      </c>
      <c r="E64" s="88"/>
      <c r="F64" s="310">
        <v>8.4000000000000005E-2</v>
      </c>
      <c r="G64" s="342"/>
      <c r="H64" s="342"/>
      <c r="I64" s="348"/>
    </row>
    <row r="65" spans="2:9" x14ac:dyDescent="0.3">
      <c r="B65" s="9"/>
      <c r="C65" s="1">
        <v>53</v>
      </c>
      <c r="D65" s="67">
        <v>8000</v>
      </c>
      <c r="E65" s="88"/>
      <c r="F65" s="310">
        <v>8.48E-2</v>
      </c>
      <c r="G65" s="342"/>
      <c r="H65" s="342"/>
      <c r="I65" s="348"/>
    </row>
    <row r="66" spans="2:9" x14ac:dyDescent="0.3">
      <c r="B66" s="9"/>
      <c r="C66" s="1">
        <v>54</v>
      </c>
      <c r="D66" s="67">
        <v>8250</v>
      </c>
      <c r="E66" s="88"/>
      <c r="F66" s="310">
        <v>8.5500000000000007E-2</v>
      </c>
      <c r="G66" s="342"/>
      <c r="H66" s="342"/>
      <c r="I66" s="348"/>
    </row>
    <row r="67" spans="2:9" x14ac:dyDescent="0.3">
      <c r="B67" s="9"/>
      <c r="C67" s="1">
        <v>55</v>
      </c>
      <c r="D67" s="67">
        <v>8500</v>
      </c>
      <c r="E67" s="88"/>
      <c r="F67" s="310">
        <v>8.6300000000000002E-2</v>
      </c>
      <c r="G67" s="342"/>
      <c r="H67" s="342"/>
      <c r="I67" s="348"/>
    </row>
    <row r="68" spans="2:9" x14ac:dyDescent="0.3">
      <c r="B68" s="9"/>
      <c r="C68" s="1">
        <v>56</v>
      </c>
      <c r="D68" s="67">
        <v>8750</v>
      </c>
      <c r="E68" s="88"/>
      <c r="F68" s="310">
        <v>8.6999999999999994E-2</v>
      </c>
      <c r="G68" s="342"/>
      <c r="H68" s="342"/>
      <c r="I68" s="348"/>
    </row>
    <row r="69" spans="2:9" x14ac:dyDescent="0.3">
      <c r="B69" s="9"/>
      <c r="C69" s="1">
        <v>57</v>
      </c>
      <c r="D69" s="67">
        <v>9000</v>
      </c>
      <c r="E69" s="88"/>
      <c r="F69" s="310">
        <v>8.7800000000000003E-2</v>
      </c>
      <c r="G69" s="342"/>
      <c r="H69" s="342"/>
      <c r="I69" s="348"/>
    </row>
    <row r="70" spans="2:9" x14ac:dyDescent="0.3">
      <c r="B70" s="9"/>
      <c r="C70" s="1">
        <v>58</v>
      </c>
      <c r="D70" s="67">
        <v>9250</v>
      </c>
      <c r="E70" s="88"/>
      <c r="F70" s="310">
        <v>8.8499999999999995E-2</v>
      </c>
      <c r="G70" s="342"/>
      <c r="H70" s="342"/>
      <c r="I70" s="348"/>
    </row>
    <row r="71" spans="2:9" x14ac:dyDescent="0.3">
      <c r="B71" s="9"/>
      <c r="C71" s="1">
        <v>59</v>
      </c>
      <c r="D71" s="67">
        <v>9500</v>
      </c>
      <c r="E71" s="88"/>
      <c r="F71" s="310">
        <v>8.9200000000000002E-2</v>
      </c>
      <c r="G71" s="342"/>
      <c r="H71" s="342"/>
      <c r="I71" s="348"/>
    </row>
    <row r="72" spans="2:9" x14ac:dyDescent="0.3">
      <c r="B72" s="9"/>
      <c r="C72" s="1">
        <v>60</v>
      </c>
      <c r="D72" s="67">
        <v>9750</v>
      </c>
      <c r="E72" s="88"/>
      <c r="F72" s="310">
        <v>0.09</v>
      </c>
      <c r="G72" s="342"/>
      <c r="H72" s="342"/>
      <c r="I72" s="348"/>
    </row>
    <row r="73" spans="2:9" x14ac:dyDescent="0.3">
      <c r="B73" s="9" t="s">
        <v>833</v>
      </c>
      <c r="C73" s="1">
        <v>60.1</v>
      </c>
      <c r="D73" s="69" t="s">
        <v>27</v>
      </c>
      <c r="E73" s="83">
        <v>72</v>
      </c>
      <c r="F73" s="316">
        <v>9.6000000000000002E-2</v>
      </c>
      <c r="G73" s="343">
        <v>0.18</v>
      </c>
      <c r="H73" s="343">
        <v>0.18</v>
      </c>
      <c r="I73" s="349"/>
    </row>
    <row r="74" spans="2:9" x14ac:dyDescent="0.3">
      <c r="B74" s="9"/>
      <c r="C74" s="1">
        <v>61</v>
      </c>
      <c r="D74" s="65">
        <v>10000</v>
      </c>
      <c r="E74" s="80"/>
      <c r="F74" s="308">
        <v>9.6699999999999994E-2</v>
      </c>
      <c r="G74" s="341"/>
      <c r="H74" s="341"/>
      <c r="I74" s="347"/>
    </row>
    <row r="75" spans="2:9" x14ac:dyDescent="0.3">
      <c r="B75" s="9"/>
      <c r="C75" s="1">
        <v>62</v>
      </c>
      <c r="D75" s="67">
        <v>10250</v>
      </c>
      <c r="E75" s="88"/>
      <c r="F75" s="310">
        <v>9.7500000000000003E-2</v>
      </c>
      <c r="G75" s="342"/>
      <c r="H75" s="342"/>
      <c r="I75" s="348"/>
    </row>
    <row r="76" spans="2:9" x14ac:dyDescent="0.3">
      <c r="B76" s="9"/>
      <c r="C76" s="1">
        <v>63</v>
      </c>
      <c r="D76" s="67">
        <v>10500</v>
      </c>
      <c r="E76" s="88"/>
      <c r="F76" s="310">
        <v>9.8199999999999996E-2</v>
      </c>
      <c r="G76" s="342"/>
      <c r="H76" s="342"/>
      <c r="I76" s="348"/>
    </row>
    <row r="77" spans="2:9" x14ac:dyDescent="0.3">
      <c r="B77" s="9"/>
      <c r="C77" s="1">
        <v>64</v>
      </c>
      <c r="D77" s="67">
        <v>10750</v>
      </c>
      <c r="E77" s="88"/>
      <c r="F77" s="310">
        <v>9.9000000000000005E-2</v>
      </c>
      <c r="G77" s="342"/>
      <c r="H77" s="342"/>
      <c r="I77" s="348"/>
    </row>
    <row r="78" spans="2:9" x14ac:dyDescent="0.3">
      <c r="B78" s="9"/>
      <c r="C78" s="1">
        <v>65</v>
      </c>
      <c r="D78" s="67">
        <v>11000</v>
      </c>
      <c r="E78" s="88"/>
      <c r="F78" s="310">
        <v>9.9699999999999997E-2</v>
      </c>
      <c r="G78" s="342"/>
      <c r="H78" s="342"/>
      <c r="I78" s="348"/>
    </row>
    <row r="79" spans="2:9" x14ac:dyDescent="0.3">
      <c r="B79" s="9"/>
      <c r="C79" s="1">
        <v>66</v>
      </c>
      <c r="D79" s="67">
        <v>11250</v>
      </c>
      <c r="E79" s="88"/>
      <c r="F79" s="310">
        <v>0.10050000000000001</v>
      </c>
      <c r="G79" s="342"/>
      <c r="H79" s="342"/>
      <c r="I79" s="348"/>
    </row>
    <row r="80" spans="2:9" x14ac:dyDescent="0.3">
      <c r="B80" s="9"/>
      <c r="C80" s="1">
        <v>67</v>
      </c>
      <c r="D80" s="67">
        <v>11500</v>
      </c>
      <c r="E80" s="88"/>
      <c r="F80" s="310">
        <v>0.1012</v>
      </c>
      <c r="G80" s="342"/>
      <c r="H80" s="342"/>
      <c r="I80" s="348"/>
    </row>
    <row r="81" spans="2:9" x14ac:dyDescent="0.3">
      <c r="B81" s="9"/>
      <c r="C81" s="1">
        <v>68</v>
      </c>
      <c r="D81" s="67">
        <v>11750</v>
      </c>
      <c r="E81" s="88"/>
      <c r="F81" s="310">
        <v>0.10199999999999999</v>
      </c>
      <c r="G81" s="342"/>
      <c r="H81" s="342"/>
      <c r="I81" s="348"/>
    </row>
    <row r="82" spans="2:9" x14ac:dyDescent="0.3">
      <c r="B82" s="9"/>
      <c r="C82" s="1">
        <v>69</v>
      </c>
      <c r="D82" s="67">
        <v>12000</v>
      </c>
      <c r="E82" s="88"/>
      <c r="F82" s="310">
        <v>0.1027</v>
      </c>
      <c r="G82" s="342"/>
      <c r="H82" s="342"/>
      <c r="I82" s="348"/>
    </row>
    <row r="83" spans="2:9" x14ac:dyDescent="0.3">
      <c r="B83" s="9"/>
      <c r="C83" s="1">
        <v>70</v>
      </c>
      <c r="D83" s="67">
        <v>12250</v>
      </c>
      <c r="E83" s="88"/>
      <c r="F83" s="310">
        <v>0.10349999999999999</v>
      </c>
      <c r="G83" s="342"/>
      <c r="H83" s="342"/>
      <c r="I83" s="348"/>
    </row>
    <row r="84" spans="2:9" x14ac:dyDescent="0.3">
      <c r="B84" s="9" t="s">
        <v>834</v>
      </c>
      <c r="C84" s="1">
        <v>70.099999999999994</v>
      </c>
      <c r="D84" s="69" t="s">
        <v>27</v>
      </c>
      <c r="E84" s="83">
        <v>84</v>
      </c>
      <c r="F84" s="316">
        <v>0.1095</v>
      </c>
      <c r="G84" s="343">
        <v>0.21</v>
      </c>
      <c r="H84" s="343">
        <v>0.21</v>
      </c>
      <c r="I84" s="349"/>
    </row>
    <row r="85" spans="2:9" x14ac:dyDescent="0.3">
      <c r="B85" s="9"/>
      <c r="C85" s="1">
        <v>71</v>
      </c>
      <c r="D85" s="65">
        <v>12500</v>
      </c>
      <c r="E85" s="80"/>
      <c r="F85" s="308">
        <v>0.11020000000000001</v>
      </c>
      <c r="G85" s="341"/>
      <c r="H85" s="341"/>
      <c r="I85" s="347"/>
    </row>
    <row r="86" spans="2:9" x14ac:dyDescent="0.3">
      <c r="B86" s="9"/>
      <c r="C86" s="1">
        <v>72</v>
      </c>
      <c r="D86" s="67">
        <v>12750</v>
      </c>
      <c r="E86" s="88"/>
      <c r="F86" s="310">
        <v>0.111</v>
      </c>
      <c r="G86" s="342"/>
      <c r="H86" s="342"/>
      <c r="I86" s="348"/>
    </row>
    <row r="87" spans="2:9" x14ac:dyDescent="0.3">
      <c r="B87" s="9"/>
      <c r="C87" s="1">
        <v>73</v>
      </c>
      <c r="D87" s="67">
        <v>13000</v>
      </c>
      <c r="E87" s="88"/>
      <c r="F87" s="310">
        <v>0.11169999999999999</v>
      </c>
      <c r="G87" s="342"/>
      <c r="H87" s="342"/>
      <c r="I87" s="348"/>
    </row>
    <row r="88" spans="2:9" x14ac:dyDescent="0.3">
      <c r="B88" s="9"/>
      <c r="C88" s="1">
        <v>74</v>
      </c>
      <c r="D88" s="67">
        <v>13250</v>
      </c>
      <c r="E88" s="88"/>
      <c r="F88" s="310">
        <v>0.1125</v>
      </c>
      <c r="G88" s="342"/>
      <c r="H88" s="342"/>
      <c r="I88" s="348"/>
    </row>
    <row r="89" spans="2:9" x14ac:dyDescent="0.3">
      <c r="B89" s="9"/>
      <c r="C89" s="1">
        <v>75</v>
      </c>
      <c r="D89" s="67">
        <v>13500</v>
      </c>
      <c r="E89" s="88"/>
      <c r="F89" s="310">
        <v>0.1132</v>
      </c>
      <c r="G89" s="342"/>
      <c r="H89" s="342"/>
      <c r="I89" s="348"/>
    </row>
    <row r="90" spans="2:9" x14ac:dyDescent="0.3">
      <c r="B90" s="9"/>
      <c r="C90" s="1">
        <v>76</v>
      </c>
      <c r="D90" s="67">
        <v>13750</v>
      </c>
      <c r="E90" s="88"/>
      <c r="F90" s="310">
        <v>0.114</v>
      </c>
      <c r="G90" s="342"/>
      <c r="H90" s="342"/>
      <c r="I90" s="348"/>
    </row>
    <row r="91" spans="2:9" x14ac:dyDescent="0.3">
      <c r="B91" s="9"/>
      <c r="C91" s="1">
        <v>77</v>
      </c>
      <c r="D91" s="67">
        <v>14000</v>
      </c>
      <c r="E91" s="88"/>
      <c r="F91" s="310">
        <v>0.1147</v>
      </c>
      <c r="G91" s="342"/>
      <c r="H91" s="342"/>
      <c r="I91" s="348"/>
    </row>
    <row r="92" spans="2:9" x14ac:dyDescent="0.3">
      <c r="B92" s="9"/>
      <c r="C92" s="1">
        <v>78</v>
      </c>
      <c r="D92" s="67">
        <v>14250</v>
      </c>
      <c r="E92" s="88"/>
      <c r="F92" s="310">
        <v>0.11550000000000001</v>
      </c>
      <c r="G92" s="342"/>
      <c r="H92" s="342"/>
      <c r="I92" s="348"/>
    </row>
    <row r="93" spans="2:9" x14ac:dyDescent="0.3">
      <c r="B93" s="9"/>
      <c r="C93" s="1">
        <v>79</v>
      </c>
      <c r="D93" s="67">
        <v>14500</v>
      </c>
      <c r="E93" s="88"/>
      <c r="F93" s="310">
        <v>0.1162</v>
      </c>
      <c r="G93" s="342"/>
      <c r="H93" s="342"/>
      <c r="I93" s="348"/>
    </row>
    <row r="94" spans="2:9" x14ac:dyDescent="0.3">
      <c r="B94" s="9"/>
      <c r="C94" s="1">
        <v>80</v>
      </c>
      <c r="D94" s="67">
        <v>14750</v>
      </c>
      <c r="E94" s="88"/>
      <c r="F94" s="310">
        <v>0.11700000000000001</v>
      </c>
      <c r="G94" s="342"/>
      <c r="H94" s="342"/>
      <c r="I94" s="348"/>
    </row>
    <row r="95" spans="2:9" x14ac:dyDescent="0.3">
      <c r="B95" s="9" t="s">
        <v>835</v>
      </c>
      <c r="C95" s="1">
        <v>80.099999999999994</v>
      </c>
      <c r="D95" s="69" t="s">
        <v>27</v>
      </c>
      <c r="E95" s="83">
        <v>96</v>
      </c>
      <c r="F95" s="316">
        <v>0.123</v>
      </c>
      <c r="G95" s="343">
        <v>0.24</v>
      </c>
      <c r="H95" s="343">
        <v>0.24</v>
      </c>
      <c r="I95" s="349"/>
    </row>
    <row r="96" spans="2:9" x14ac:dyDescent="0.3">
      <c r="B96" s="9"/>
      <c r="C96" s="1">
        <v>81</v>
      </c>
      <c r="D96" s="65">
        <v>15000</v>
      </c>
      <c r="E96" s="80"/>
      <c r="F96" s="308">
        <v>0.1237</v>
      </c>
      <c r="G96" s="341"/>
      <c r="H96" s="341"/>
      <c r="I96" s="347"/>
    </row>
    <row r="97" spans="2:9" x14ac:dyDescent="0.3">
      <c r="B97" s="9"/>
      <c r="C97" s="1">
        <v>82</v>
      </c>
      <c r="D97" s="67">
        <v>15250</v>
      </c>
      <c r="E97" s="88"/>
      <c r="F97" s="310">
        <v>0.1245</v>
      </c>
      <c r="G97" s="342"/>
      <c r="H97" s="342"/>
      <c r="I97" s="348"/>
    </row>
    <row r="98" spans="2:9" x14ac:dyDescent="0.3">
      <c r="B98" s="9"/>
      <c r="C98" s="1">
        <v>83</v>
      </c>
      <c r="D98" s="67">
        <v>15500</v>
      </c>
      <c r="E98" s="88"/>
      <c r="F98" s="310">
        <v>0.12520000000000001</v>
      </c>
      <c r="G98" s="342"/>
      <c r="H98" s="342"/>
      <c r="I98" s="348"/>
    </row>
    <row r="99" spans="2:9" x14ac:dyDescent="0.3">
      <c r="B99" s="9"/>
      <c r="C99" s="1">
        <v>84</v>
      </c>
      <c r="D99" s="67">
        <v>15750</v>
      </c>
      <c r="E99" s="88"/>
      <c r="F99" s="310">
        <v>0.126</v>
      </c>
      <c r="G99" s="342"/>
      <c r="H99" s="342"/>
      <c r="I99" s="348"/>
    </row>
    <row r="100" spans="2:9" x14ac:dyDescent="0.3">
      <c r="B100" s="9"/>
      <c r="C100" s="1">
        <v>85</v>
      </c>
      <c r="D100" s="67">
        <v>16000</v>
      </c>
      <c r="E100" s="88"/>
      <c r="F100" s="310">
        <v>0.12670000000000001</v>
      </c>
      <c r="G100" s="342"/>
      <c r="H100" s="342"/>
      <c r="I100" s="348"/>
    </row>
    <row r="101" spans="2:9" x14ac:dyDescent="0.3">
      <c r="B101" s="9"/>
      <c r="C101" s="1">
        <v>86</v>
      </c>
      <c r="D101" s="67">
        <v>16250</v>
      </c>
      <c r="E101" s="88"/>
      <c r="F101" s="310">
        <v>0.1275</v>
      </c>
      <c r="G101" s="342"/>
      <c r="H101" s="342"/>
      <c r="I101" s="348"/>
    </row>
    <row r="102" spans="2:9" x14ac:dyDescent="0.3">
      <c r="B102" s="9"/>
      <c r="C102" s="1">
        <v>87</v>
      </c>
      <c r="D102" s="67">
        <v>16500</v>
      </c>
      <c r="E102" s="88"/>
      <c r="F102" s="310">
        <v>0.1283</v>
      </c>
      <c r="G102" s="342"/>
      <c r="H102" s="342"/>
      <c r="I102" s="348"/>
    </row>
    <row r="103" spans="2:9" x14ac:dyDescent="0.3">
      <c r="B103" s="9"/>
      <c r="C103" s="1">
        <v>88</v>
      </c>
      <c r="D103" s="67">
        <v>16750</v>
      </c>
      <c r="E103" s="88"/>
      <c r="F103" s="310">
        <v>0.129</v>
      </c>
      <c r="G103" s="342"/>
      <c r="H103" s="342"/>
      <c r="I103" s="348"/>
    </row>
    <row r="104" spans="2:9" x14ac:dyDescent="0.3">
      <c r="B104" s="9"/>
      <c r="C104" s="1">
        <v>89</v>
      </c>
      <c r="D104" s="67">
        <v>17000</v>
      </c>
      <c r="E104" s="88"/>
      <c r="F104" s="310">
        <v>0.12970000000000001</v>
      </c>
      <c r="G104" s="342"/>
      <c r="H104" s="342"/>
      <c r="I104" s="348"/>
    </row>
    <row r="105" spans="2:9" x14ac:dyDescent="0.3">
      <c r="B105" s="9"/>
      <c r="C105" s="1">
        <v>90</v>
      </c>
      <c r="D105" s="67">
        <v>17250</v>
      </c>
      <c r="E105" s="88"/>
      <c r="F105" s="310">
        <v>0.1305</v>
      </c>
      <c r="G105" s="342"/>
      <c r="H105" s="342"/>
      <c r="I105" s="348"/>
    </row>
    <row r="106" spans="2:9" x14ac:dyDescent="0.3">
      <c r="B106" s="9" t="s">
        <v>836</v>
      </c>
      <c r="C106" s="1">
        <v>90.1</v>
      </c>
      <c r="D106" s="69" t="s">
        <v>27</v>
      </c>
      <c r="E106" s="83">
        <v>108</v>
      </c>
      <c r="F106" s="316">
        <v>0.13650000000000001</v>
      </c>
      <c r="G106" s="343">
        <v>0.27</v>
      </c>
      <c r="H106" s="343">
        <v>0.27</v>
      </c>
      <c r="I106" s="349"/>
    </row>
    <row r="107" spans="2:9" x14ac:dyDescent="0.3">
      <c r="B107" s="9"/>
      <c r="C107" s="1">
        <v>91</v>
      </c>
      <c r="D107" s="65">
        <v>17500</v>
      </c>
      <c r="E107" s="80"/>
      <c r="F107" s="308">
        <v>0.13719999999999999</v>
      </c>
      <c r="G107" s="341"/>
      <c r="H107" s="341"/>
      <c r="I107" s="347"/>
    </row>
    <row r="108" spans="2:9" x14ac:dyDescent="0.3">
      <c r="B108" s="9"/>
      <c r="C108" s="1">
        <v>92</v>
      </c>
      <c r="D108" s="67">
        <v>17750</v>
      </c>
      <c r="E108" s="88"/>
      <c r="F108" s="310">
        <v>0.13800000000000001</v>
      </c>
      <c r="G108" s="342"/>
      <c r="H108" s="342"/>
      <c r="I108" s="348"/>
    </row>
    <row r="109" spans="2:9" x14ac:dyDescent="0.3">
      <c r="B109" s="9"/>
      <c r="C109" s="1">
        <v>93</v>
      </c>
      <c r="D109" s="67">
        <v>18000</v>
      </c>
      <c r="E109" s="88"/>
      <c r="F109" s="310">
        <v>0.13869999999999999</v>
      </c>
      <c r="G109" s="342"/>
      <c r="H109" s="342"/>
      <c r="I109" s="348"/>
    </row>
    <row r="110" spans="2:9" x14ac:dyDescent="0.3">
      <c r="B110" s="9"/>
      <c r="C110" s="1">
        <v>94</v>
      </c>
      <c r="D110" s="67">
        <v>18250</v>
      </c>
      <c r="E110" s="88"/>
      <c r="F110" s="310">
        <v>0.13950000000000001</v>
      </c>
      <c r="G110" s="342"/>
      <c r="H110" s="342"/>
      <c r="I110" s="348"/>
    </row>
    <row r="111" spans="2:9" x14ac:dyDescent="0.3">
      <c r="B111" s="9"/>
      <c r="C111" s="1">
        <v>95</v>
      </c>
      <c r="D111" s="67">
        <v>18500</v>
      </c>
      <c r="E111" s="88"/>
      <c r="F111" s="310">
        <v>0.14019999999999999</v>
      </c>
      <c r="G111" s="342"/>
      <c r="H111" s="342"/>
      <c r="I111" s="348"/>
    </row>
    <row r="112" spans="2:9" x14ac:dyDescent="0.3">
      <c r="B112" s="9"/>
      <c r="C112" s="1">
        <v>96</v>
      </c>
      <c r="D112" s="67">
        <v>18750</v>
      </c>
      <c r="E112" s="88"/>
      <c r="F112" s="310">
        <v>0.14099999999999999</v>
      </c>
      <c r="G112" s="342"/>
      <c r="H112" s="342"/>
      <c r="I112" s="348"/>
    </row>
    <row r="113" spans="2:9" x14ac:dyDescent="0.3">
      <c r="B113" s="9"/>
      <c r="C113" s="1">
        <v>97</v>
      </c>
      <c r="D113" s="67">
        <v>19000</v>
      </c>
      <c r="E113" s="88"/>
      <c r="F113" s="310">
        <v>0.14169999999999999</v>
      </c>
      <c r="G113" s="342"/>
      <c r="H113" s="342"/>
      <c r="I113" s="348"/>
    </row>
    <row r="114" spans="2:9" x14ac:dyDescent="0.3">
      <c r="B114" s="9"/>
      <c r="C114" s="1">
        <v>98</v>
      </c>
      <c r="D114" s="67">
        <v>19250</v>
      </c>
      <c r="E114" s="88"/>
      <c r="F114" s="310">
        <v>0.14249999999999999</v>
      </c>
      <c r="G114" s="342"/>
      <c r="H114" s="342"/>
      <c r="I114" s="348"/>
    </row>
    <row r="115" spans="2:9" x14ac:dyDescent="0.3">
      <c r="B115" s="9"/>
      <c r="C115" s="1">
        <v>99</v>
      </c>
      <c r="D115" s="67">
        <v>19500</v>
      </c>
      <c r="E115" s="88"/>
      <c r="F115" s="310">
        <v>0.14319999999999999</v>
      </c>
      <c r="G115" s="342"/>
      <c r="H115" s="342"/>
      <c r="I115" s="348"/>
    </row>
    <row r="116" spans="2:9" x14ac:dyDescent="0.3">
      <c r="B116" s="9"/>
      <c r="C116" s="1">
        <v>100</v>
      </c>
      <c r="D116" s="67">
        <v>19750</v>
      </c>
      <c r="E116" s="88"/>
      <c r="F116" s="310">
        <v>0.14399999999999999</v>
      </c>
      <c r="G116" s="342"/>
      <c r="H116" s="342"/>
      <c r="I116" s="348"/>
    </row>
    <row r="117" spans="2:9" x14ac:dyDescent="0.3">
      <c r="B117" s="9" t="s">
        <v>837</v>
      </c>
      <c r="C117" s="1">
        <v>100.1</v>
      </c>
      <c r="D117" s="69" t="s">
        <v>27</v>
      </c>
      <c r="E117" s="83">
        <v>120</v>
      </c>
      <c r="F117" s="316">
        <v>0.15</v>
      </c>
      <c r="G117" s="343">
        <v>0.3</v>
      </c>
      <c r="H117" s="343">
        <v>0.3</v>
      </c>
      <c r="I117" s="349"/>
    </row>
    <row r="118" spans="2:9" x14ac:dyDescent="0.3">
      <c r="D118" s="38">
        <f>SUM(D8:D117)</f>
        <v>857550</v>
      </c>
    </row>
  </sheetData>
  <sheetProtection sheet="1" objects="1" scenarios="1"/>
  <mergeCells count="12">
    <mergeCell ref="D4:I4"/>
    <mergeCell ref="L2:AA2"/>
    <mergeCell ref="L1:AA1"/>
    <mergeCell ref="L3:O4"/>
    <mergeCell ref="L5:O5"/>
    <mergeCell ref="P3:S4"/>
    <mergeCell ref="T3:W4"/>
    <mergeCell ref="X3:AA4"/>
    <mergeCell ref="P5:S5"/>
    <mergeCell ref="T5:W5"/>
    <mergeCell ref="X5:AA5"/>
    <mergeCell ref="D5:I5"/>
  </mergeCells>
  <conditionalFormatting sqref="D8:I117">
    <cfRule type="expression" dxfId="65" priority="1" stopIfTrue="1">
      <formula>IF(RomulusLevelCurrent&gt;=$C8,TRUE,FALSE)</formula>
    </cfRule>
    <cfRule type="expression" dxfId="64" priority="2">
      <formula>IF(RomulusLevelDesired&gt;=$C8,TRUE,FALSE)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F24BD-942F-49DD-81B1-F580B0710EBC}">
  <dimension ref="B1:AE118"/>
  <sheetViews>
    <sheetView workbookViewId="0">
      <pane xSplit="3" ySplit="6" topLeftCell="D67" activePane="bottomRight" state="frozen"/>
      <selection pane="topRight" activeCell="D1" sqref="D1"/>
      <selection pane="bottomLeft" activeCell="A7" sqref="A7"/>
      <selection pane="bottomRight" activeCell="K84" sqref="K84"/>
    </sheetView>
  </sheetViews>
  <sheetFormatPr baseColWidth="10" defaultColWidth="8.88671875" defaultRowHeight="14.4" x14ac:dyDescent="0.3"/>
  <sheetData>
    <row r="1" spans="2:31" x14ac:dyDescent="0.3">
      <c r="L1" s="406" t="s">
        <v>937</v>
      </c>
      <c r="M1" s="406"/>
      <c r="N1" s="406"/>
      <c r="O1" s="406"/>
      <c r="P1" s="406"/>
      <c r="Q1" s="406"/>
      <c r="R1" s="406"/>
      <c r="S1" s="406"/>
      <c r="T1" s="406"/>
      <c r="U1" s="406"/>
      <c r="V1" s="406"/>
      <c r="W1" s="406"/>
      <c r="X1" s="406"/>
      <c r="Y1" s="406"/>
      <c r="Z1" s="406"/>
      <c r="AA1" s="406"/>
      <c r="AB1" s="406"/>
      <c r="AC1" s="406"/>
      <c r="AD1" s="406"/>
      <c r="AE1" s="406"/>
    </row>
    <row r="2" spans="2:31" x14ac:dyDescent="0.3">
      <c r="L2" s="530" t="s">
        <v>1006</v>
      </c>
      <c r="M2" s="531"/>
      <c r="N2" s="531"/>
      <c r="O2" s="531"/>
      <c r="P2" s="531"/>
      <c r="Q2" s="531"/>
      <c r="R2" s="531"/>
      <c r="S2" s="531"/>
      <c r="T2" s="531"/>
      <c r="U2" s="531"/>
      <c r="V2" s="531"/>
      <c r="W2" s="531"/>
      <c r="X2" s="531"/>
      <c r="Y2" s="531"/>
      <c r="Z2" s="531"/>
      <c r="AA2" s="531"/>
      <c r="AB2" s="531"/>
      <c r="AC2" s="531"/>
      <c r="AD2" s="531"/>
      <c r="AE2" s="531"/>
    </row>
    <row r="3" spans="2:31" ht="15" customHeight="1" x14ac:dyDescent="0.3">
      <c r="L3" s="474" t="s">
        <v>1008</v>
      </c>
      <c r="M3" s="475"/>
      <c r="N3" s="475"/>
      <c r="O3" s="475"/>
      <c r="P3" s="476"/>
      <c r="Q3" s="474" t="s">
        <v>1009</v>
      </c>
      <c r="R3" s="475"/>
      <c r="S3" s="475"/>
      <c r="T3" s="475"/>
      <c r="U3" s="476"/>
      <c r="V3" s="474" t="s">
        <v>1010</v>
      </c>
      <c r="W3" s="475"/>
      <c r="X3" s="475"/>
      <c r="Y3" s="475"/>
      <c r="Z3" s="476"/>
      <c r="AA3" s="474" t="s">
        <v>1011</v>
      </c>
      <c r="AB3" s="475"/>
      <c r="AC3" s="475"/>
      <c r="AD3" s="475"/>
      <c r="AE3" s="476"/>
    </row>
    <row r="4" spans="2:31" x14ac:dyDescent="0.3">
      <c r="B4" s="9"/>
      <c r="D4" s="406" t="s">
        <v>936</v>
      </c>
      <c r="E4" s="406"/>
      <c r="F4" s="406"/>
      <c r="G4" s="406"/>
      <c r="H4" s="406"/>
      <c r="I4" s="406"/>
      <c r="L4" s="477"/>
      <c r="M4" s="478"/>
      <c r="N4" s="478"/>
      <c r="O4" s="478"/>
      <c r="P4" s="479"/>
      <c r="Q4" s="477"/>
      <c r="R4" s="478"/>
      <c r="S4" s="478"/>
      <c r="T4" s="478"/>
      <c r="U4" s="479"/>
      <c r="V4" s="477"/>
      <c r="W4" s="478"/>
      <c r="X4" s="478"/>
      <c r="Y4" s="478"/>
      <c r="Z4" s="479"/>
      <c r="AA4" s="477"/>
      <c r="AB4" s="478"/>
      <c r="AC4" s="478"/>
      <c r="AD4" s="478"/>
      <c r="AE4" s="479"/>
    </row>
    <row r="5" spans="2:31" ht="15" customHeight="1" x14ac:dyDescent="0.3">
      <c r="B5" s="9"/>
      <c r="D5" s="634" t="s">
        <v>1006</v>
      </c>
      <c r="E5" s="635"/>
      <c r="F5" s="635"/>
      <c r="G5" s="635"/>
      <c r="H5" s="635"/>
      <c r="I5" s="635"/>
      <c r="L5" s="774" t="s">
        <v>1012</v>
      </c>
      <c r="M5" s="775"/>
      <c r="N5" s="775"/>
      <c r="O5" s="775"/>
      <c r="P5" s="776"/>
      <c r="Q5" s="774" t="s">
        <v>1014</v>
      </c>
      <c r="R5" s="775"/>
      <c r="S5" s="775"/>
      <c r="T5" s="775"/>
      <c r="U5" s="776"/>
      <c r="V5" s="774" t="s">
        <v>1015</v>
      </c>
      <c r="W5" s="775"/>
      <c r="X5" s="775"/>
      <c r="Y5" s="775"/>
      <c r="Z5" s="776"/>
      <c r="AA5" s="774" t="s">
        <v>1016</v>
      </c>
      <c r="AB5" s="775"/>
      <c r="AC5" s="775"/>
      <c r="AD5" s="775"/>
      <c r="AE5" s="776"/>
    </row>
    <row r="6" spans="2:31" x14ac:dyDescent="0.3">
      <c r="B6" s="1"/>
      <c r="C6" s="1"/>
      <c r="D6" s="291" t="s">
        <v>838</v>
      </c>
      <c r="E6" s="291" t="s">
        <v>839</v>
      </c>
      <c r="F6" s="304" t="s">
        <v>719</v>
      </c>
      <c r="G6" s="304" t="s">
        <v>1022</v>
      </c>
      <c r="H6" s="304" t="s">
        <v>1023</v>
      </c>
      <c r="I6" s="304" t="s">
        <v>79</v>
      </c>
      <c r="K6">
        <v>0</v>
      </c>
      <c r="L6" s="313" t="s">
        <v>856</v>
      </c>
      <c r="M6" s="313" t="s">
        <v>570</v>
      </c>
      <c r="N6" s="313" t="s">
        <v>962</v>
      </c>
      <c r="O6" s="313" t="s">
        <v>1013</v>
      </c>
      <c r="P6" s="313" t="s">
        <v>79</v>
      </c>
      <c r="Q6" s="313" t="s">
        <v>856</v>
      </c>
      <c r="R6" s="313" t="s">
        <v>570</v>
      </c>
      <c r="S6" s="313" t="s">
        <v>962</v>
      </c>
      <c r="T6" s="313" t="s">
        <v>958</v>
      </c>
      <c r="U6" s="313" t="s">
        <v>79</v>
      </c>
      <c r="V6" s="313" t="s">
        <v>856</v>
      </c>
      <c r="W6" s="313" t="s">
        <v>570</v>
      </c>
      <c r="X6" s="313" t="s">
        <v>962</v>
      </c>
      <c r="Y6" s="313" t="s">
        <v>224</v>
      </c>
      <c r="Z6" s="313" t="s">
        <v>79</v>
      </c>
      <c r="AA6" s="313" t="s">
        <v>856</v>
      </c>
      <c r="AB6" s="313" t="s">
        <v>570</v>
      </c>
      <c r="AC6" s="313" t="s">
        <v>962</v>
      </c>
      <c r="AD6" s="313" t="s">
        <v>1017</v>
      </c>
      <c r="AE6" s="313" t="s">
        <v>79</v>
      </c>
    </row>
    <row r="7" spans="2:31" x14ac:dyDescent="0.3">
      <c r="B7" s="9" t="s">
        <v>826</v>
      </c>
      <c r="C7" s="1">
        <v>0</v>
      </c>
      <c r="D7" s="280"/>
      <c r="E7" s="280"/>
      <c r="F7" s="280"/>
      <c r="G7" s="127"/>
      <c r="H7" s="127"/>
      <c r="I7" s="127"/>
      <c r="K7">
        <v>1</v>
      </c>
      <c r="L7" s="65" t="s">
        <v>27</v>
      </c>
      <c r="M7" s="66" t="s">
        <v>27</v>
      </c>
      <c r="N7" s="330">
        <v>0.02</v>
      </c>
      <c r="O7" s="353">
        <v>1</v>
      </c>
      <c r="P7" s="80">
        <v>18000</v>
      </c>
      <c r="Q7" s="65" t="s">
        <v>27</v>
      </c>
      <c r="R7" s="66" t="s">
        <v>27</v>
      </c>
      <c r="S7" s="330">
        <v>0.05</v>
      </c>
      <c r="T7" s="353">
        <v>1</v>
      </c>
      <c r="U7" s="80">
        <v>18000</v>
      </c>
      <c r="V7" s="65" t="s">
        <v>27</v>
      </c>
      <c r="W7" s="66" t="s">
        <v>27</v>
      </c>
      <c r="X7" s="330">
        <v>0.05</v>
      </c>
      <c r="Y7" s="353">
        <v>1</v>
      </c>
      <c r="Z7" s="80">
        <v>18000</v>
      </c>
      <c r="AA7" s="65" t="s">
        <v>27</v>
      </c>
      <c r="AB7" s="66" t="s">
        <v>27</v>
      </c>
      <c r="AC7" s="333">
        <v>0.05</v>
      </c>
      <c r="AD7" s="353">
        <v>1</v>
      </c>
      <c r="AE7" s="66">
        <v>35000</v>
      </c>
    </row>
    <row r="8" spans="2:31" x14ac:dyDescent="0.3">
      <c r="B8" s="9" t="s">
        <v>827</v>
      </c>
      <c r="C8" s="1">
        <v>1</v>
      </c>
      <c r="D8" s="65">
        <v>1000</v>
      </c>
      <c r="E8" s="80"/>
      <c r="F8" s="308">
        <v>1.0500000000000001E-2</v>
      </c>
      <c r="G8" s="341">
        <v>0.05</v>
      </c>
      <c r="H8" s="341">
        <v>0.2</v>
      </c>
      <c r="I8" s="347">
        <v>194200</v>
      </c>
      <c r="K8">
        <v>2</v>
      </c>
      <c r="L8" s="67">
        <v>300</v>
      </c>
      <c r="M8" s="68">
        <v>25800</v>
      </c>
      <c r="N8" s="331">
        <v>0.04</v>
      </c>
      <c r="O8" s="354">
        <v>1</v>
      </c>
      <c r="P8" s="88">
        <v>36000</v>
      </c>
      <c r="Q8" s="67">
        <v>300</v>
      </c>
      <c r="R8" s="68">
        <v>25800</v>
      </c>
      <c r="S8" s="331">
        <v>0.1</v>
      </c>
      <c r="T8" s="354">
        <v>1</v>
      </c>
      <c r="U8" s="88">
        <v>36000</v>
      </c>
      <c r="V8" s="67">
        <v>300</v>
      </c>
      <c r="W8" s="68">
        <v>25800</v>
      </c>
      <c r="X8" s="133">
        <v>0.1</v>
      </c>
      <c r="Y8" s="354">
        <v>2</v>
      </c>
      <c r="Z8" s="88">
        <v>36000</v>
      </c>
      <c r="AA8" s="67">
        <v>500</v>
      </c>
      <c r="AB8" s="68">
        <v>51600</v>
      </c>
      <c r="AC8" s="334">
        <v>0.1</v>
      </c>
      <c r="AD8" s="354">
        <v>1</v>
      </c>
      <c r="AE8" s="68">
        <v>70000</v>
      </c>
    </row>
    <row r="9" spans="2:31" x14ac:dyDescent="0.3">
      <c r="B9" s="9"/>
      <c r="C9" s="1">
        <v>2</v>
      </c>
      <c r="D9" s="67">
        <v>400</v>
      </c>
      <c r="E9" s="88"/>
      <c r="F9" s="310">
        <v>1.0999999999999999E-2</v>
      </c>
      <c r="G9" s="342"/>
      <c r="H9" s="342"/>
      <c r="I9" s="348"/>
      <c r="J9" s="38"/>
      <c r="K9">
        <v>3</v>
      </c>
      <c r="L9" s="67">
        <v>600</v>
      </c>
      <c r="M9" s="68">
        <v>51600</v>
      </c>
      <c r="N9" s="331">
        <v>0.06</v>
      </c>
      <c r="O9" s="354">
        <v>1</v>
      </c>
      <c r="P9" s="88">
        <v>54000</v>
      </c>
      <c r="Q9" s="67">
        <v>600</v>
      </c>
      <c r="R9" s="68">
        <v>51600</v>
      </c>
      <c r="S9" s="331">
        <v>0.15</v>
      </c>
      <c r="T9" s="354">
        <v>1</v>
      </c>
      <c r="U9" s="88">
        <v>54000</v>
      </c>
      <c r="V9" s="67">
        <v>600</v>
      </c>
      <c r="W9" s="68">
        <v>51600</v>
      </c>
      <c r="X9" s="133">
        <v>0.15</v>
      </c>
      <c r="Y9" s="354">
        <v>3</v>
      </c>
      <c r="Z9" s="88">
        <v>54000</v>
      </c>
      <c r="AA9" s="67">
        <v>1000</v>
      </c>
      <c r="AB9" s="68">
        <v>103200</v>
      </c>
      <c r="AC9" s="334">
        <v>0.15</v>
      </c>
      <c r="AD9" s="354">
        <v>1</v>
      </c>
      <c r="AE9" s="68">
        <v>105000</v>
      </c>
    </row>
    <row r="10" spans="2:31" x14ac:dyDescent="0.3">
      <c r="B10" s="9"/>
      <c r="C10" s="1">
        <v>3</v>
      </c>
      <c r="D10" s="67">
        <v>420</v>
      </c>
      <c r="E10" s="88"/>
      <c r="F10" s="310">
        <v>1.15E-2</v>
      </c>
      <c r="G10" s="342"/>
      <c r="H10" s="342"/>
      <c r="I10" s="348"/>
      <c r="K10">
        <v>4</v>
      </c>
      <c r="L10" s="67">
        <v>900</v>
      </c>
      <c r="M10" s="68">
        <v>77400</v>
      </c>
      <c r="N10" s="331">
        <v>0.08</v>
      </c>
      <c r="O10" s="354">
        <v>1</v>
      </c>
      <c r="P10" s="88">
        <v>72000</v>
      </c>
      <c r="Q10" s="67">
        <v>900</v>
      </c>
      <c r="R10" s="68">
        <v>77400</v>
      </c>
      <c r="S10" s="331">
        <v>0.2</v>
      </c>
      <c r="T10" s="354">
        <v>1</v>
      </c>
      <c r="U10" s="88">
        <v>72000</v>
      </c>
      <c r="V10" s="67">
        <v>900</v>
      </c>
      <c r="W10" s="68">
        <v>77400</v>
      </c>
      <c r="X10" s="133">
        <v>0.2</v>
      </c>
      <c r="Y10" s="354">
        <v>4</v>
      </c>
      <c r="Z10" s="88">
        <v>72000</v>
      </c>
      <c r="AA10" s="67">
        <v>1500</v>
      </c>
      <c r="AB10" s="68">
        <v>155400</v>
      </c>
      <c r="AC10" s="334">
        <v>0.2</v>
      </c>
      <c r="AD10" s="354">
        <v>1</v>
      </c>
      <c r="AE10" s="68">
        <v>140000</v>
      </c>
    </row>
    <row r="11" spans="2:31" x14ac:dyDescent="0.3">
      <c r="B11" s="9"/>
      <c r="C11" s="1">
        <v>4</v>
      </c>
      <c r="D11" s="67">
        <v>440</v>
      </c>
      <c r="E11" s="88"/>
      <c r="F11" s="310">
        <v>1.2E-2</v>
      </c>
      <c r="G11" s="342"/>
      <c r="H11" s="342"/>
      <c r="I11" s="348"/>
      <c r="K11">
        <v>5</v>
      </c>
      <c r="L11" s="69">
        <v>1200</v>
      </c>
      <c r="M11" s="70">
        <v>103200</v>
      </c>
      <c r="N11" s="332">
        <v>0.1</v>
      </c>
      <c r="O11" s="355">
        <v>1</v>
      </c>
      <c r="P11" s="83">
        <v>90000</v>
      </c>
      <c r="Q11" s="69">
        <v>1200</v>
      </c>
      <c r="R11" s="70">
        <v>103200</v>
      </c>
      <c r="S11" s="332">
        <v>0.25</v>
      </c>
      <c r="T11" s="355">
        <v>1</v>
      </c>
      <c r="U11" s="83">
        <v>90000</v>
      </c>
      <c r="V11" s="69">
        <v>1200</v>
      </c>
      <c r="W11" s="70">
        <v>103200</v>
      </c>
      <c r="X11" s="332">
        <v>0.25</v>
      </c>
      <c r="Y11" s="355">
        <v>5</v>
      </c>
      <c r="Z11" s="83">
        <v>90000</v>
      </c>
      <c r="AA11" s="69">
        <v>2000</v>
      </c>
      <c r="AB11" s="70">
        <v>207000</v>
      </c>
      <c r="AC11" s="335">
        <v>0.25</v>
      </c>
      <c r="AD11" s="355">
        <v>1</v>
      </c>
      <c r="AE11" s="70">
        <v>175000</v>
      </c>
    </row>
    <row r="12" spans="2:31" x14ac:dyDescent="0.3">
      <c r="B12" s="9"/>
      <c r="C12" s="1">
        <v>5</v>
      </c>
      <c r="D12" s="67">
        <v>460</v>
      </c>
      <c r="E12" s="88"/>
      <c r="F12" s="310">
        <v>1.2500000000000001E-2</v>
      </c>
      <c r="G12" s="342"/>
      <c r="H12" s="342"/>
      <c r="I12" s="348"/>
      <c r="K12">
        <v>6</v>
      </c>
      <c r="L12" s="65">
        <v>1500</v>
      </c>
      <c r="M12" s="66">
        <v>129600</v>
      </c>
      <c r="N12" s="330">
        <v>0.12</v>
      </c>
      <c r="O12" s="353">
        <v>2</v>
      </c>
      <c r="P12" s="80">
        <v>108000</v>
      </c>
      <c r="Q12" s="65">
        <v>1500</v>
      </c>
      <c r="R12" s="66">
        <v>129600</v>
      </c>
      <c r="S12" s="330">
        <v>0.3</v>
      </c>
      <c r="T12" s="353">
        <v>2</v>
      </c>
      <c r="U12" s="80">
        <v>108000</v>
      </c>
      <c r="V12" s="65">
        <v>1500</v>
      </c>
      <c r="W12" s="66">
        <v>129600</v>
      </c>
      <c r="X12" s="330">
        <v>0.3</v>
      </c>
      <c r="Y12" s="353">
        <v>6</v>
      </c>
      <c r="Z12" s="80">
        <v>108000</v>
      </c>
      <c r="AA12" s="65">
        <v>2500</v>
      </c>
      <c r="AB12" s="66">
        <v>259200</v>
      </c>
      <c r="AC12" s="333">
        <v>0.3</v>
      </c>
      <c r="AD12" s="353">
        <v>2</v>
      </c>
      <c r="AE12" s="66">
        <v>210000</v>
      </c>
    </row>
    <row r="13" spans="2:31" x14ac:dyDescent="0.3">
      <c r="B13" s="9"/>
      <c r="C13" s="1">
        <v>6</v>
      </c>
      <c r="D13" s="67">
        <v>480</v>
      </c>
      <c r="E13" s="88"/>
      <c r="F13" s="310">
        <v>1.2999999999999999E-2</v>
      </c>
      <c r="G13" s="342"/>
      <c r="H13" s="342"/>
      <c r="I13" s="348"/>
      <c r="K13">
        <v>7</v>
      </c>
      <c r="L13" s="67">
        <v>1800</v>
      </c>
      <c r="M13" s="68">
        <v>155400</v>
      </c>
      <c r="N13" s="331">
        <v>0.14000000000000001</v>
      </c>
      <c r="O13" s="354">
        <v>2</v>
      </c>
      <c r="P13" s="88">
        <v>126000</v>
      </c>
      <c r="Q13" s="67">
        <v>1800</v>
      </c>
      <c r="R13" s="68">
        <v>155400</v>
      </c>
      <c r="S13" s="331">
        <v>0.35</v>
      </c>
      <c r="T13" s="354">
        <v>2</v>
      </c>
      <c r="U13" s="88">
        <v>126000</v>
      </c>
      <c r="V13" s="67">
        <v>1800</v>
      </c>
      <c r="W13" s="68">
        <v>155400</v>
      </c>
      <c r="X13" s="133">
        <v>0.35</v>
      </c>
      <c r="Y13" s="354">
        <v>7</v>
      </c>
      <c r="Z13" s="88">
        <v>126000</v>
      </c>
      <c r="AA13" s="67">
        <v>3000</v>
      </c>
      <c r="AB13" s="68">
        <v>310800</v>
      </c>
      <c r="AC13" s="334">
        <v>0.35</v>
      </c>
      <c r="AD13" s="354">
        <v>2</v>
      </c>
      <c r="AE13" s="68">
        <v>245000</v>
      </c>
    </row>
    <row r="14" spans="2:31" x14ac:dyDescent="0.3">
      <c r="B14" s="9"/>
      <c r="C14" s="1">
        <v>7</v>
      </c>
      <c r="D14" s="67">
        <v>520</v>
      </c>
      <c r="E14" s="88"/>
      <c r="F14" s="310">
        <v>1.35E-2</v>
      </c>
      <c r="G14" s="342"/>
      <c r="H14" s="342"/>
      <c r="I14" s="348"/>
      <c r="K14">
        <v>8</v>
      </c>
      <c r="L14" s="67">
        <v>2100</v>
      </c>
      <c r="M14" s="68">
        <v>181200</v>
      </c>
      <c r="N14" s="331">
        <v>0.16</v>
      </c>
      <c r="O14" s="354">
        <v>2</v>
      </c>
      <c r="P14" s="88">
        <v>144000</v>
      </c>
      <c r="Q14" s="67">
        <v>2100</v>
      </c>
      <c r="R14" s="68">
        <v>181200</v>
      </c>
      <c r="S14" s="331">
        <v>0.4</v>
      </c>
      <c r="T14" s="354">
        <v>2</v>
      </c>
      <c r="U14" s="88">
        <v>144000</v>
      </c>
      <c r="V14" s="67">
        <v>2100</v>
      </c>
      <c r="W14" s="68">
        <v>181200</v>
      </c>
      <c r="X14" s="133">
        <v>0.4</v>
      </c>
      <c r="Y14" s="354">
        <v>8</v>
      </c>
      <c r="Z14" s="88">
        <v>144000</v>
      </c>
      <c r="AA14" s="67">
        <v>3500</v>
      </c>
      <c r="AB14" s="68">
        <v>362400</v>
      </c>
      <c r="AC14" s="334">
        <v>0.4</v>
      </c>
      <c r="AD14" s="354">
        <v>2</v>
      </c>
      <c r="AE14" s="68">
        <v>280000</v>
      </c>
    </row>
    <row r="15" spans="2:31" x14ac:dyDescent="0.3">
      <c r="B15" s="9"/>
      <c r="C15" s="1">
        <v>8</v>
      </c>
      <c r="D15" s="67">
        <v>560</v>
      </c>
      <c r="E15" s="88"/>
      <c r="F15" s="310">
        <v>1.4E-2</v>
      </c>
      <c r="G15" s="342"/>
      <c r="H15" s="342"/>
      <c r="I15" s="348"/>
      <c r="K15">
        <v>9</v>
      </c>
      <c r="L15" s="67">
        <v>2400</v>
      </c>
      <c r="M15" s="68">
        <v>207000</v>
      </c>
      <c r="N15" s="331">
        <v>0.18</v>
      </c>
      <c r="O15" s="354">
        <v>2</v>
      </c>
      <c r="P15" s="88">
        <v>162000</v>
      </c>
      <c r="Q15" s="67">
        <v>2400</v>
      </c>
      <c r="R15" s="68">
        <v>207000</v>
      </c>
      <c r="S15" s="331">
        <v>0.45</v>
      </c>
      <c r="T15" s="354">
        <v>2</v>
      </c>
      <c r="U15" s="88">
        <v>162000</v>
      </c>
      <c r="V15" s="67">
        <v>2400</v>
      </c>
      <c r="W15" s="68">
        <v>207000</v>
      </c>
      <c r="X15" s="133">
        <v>0.45</v>
      </c>
      <c r="Y15" s="354">
        <v>9</v>
      </c>
      <c r="Z15" s="88">
        <v>162000</v>
      </c>
      <c r="AA15" s="67">
        <v>4000</v>
      </c>
      <c r="AB15" s="68">
        <v>414600</v>
      </c>
      <c r="AC15" s="334">
        <v>0.45</v>
      </c>
      <c r="AD15" s="354">
        <v>2</v>
      </c>
      <c r="AE15" s="68">
        <v>315000</v>
      </c>
    </row>
    <row r="16" spans="2:31" x14ac:dyDescent="0.3">
      <c r="B16" s="9"/>
      <c r="C16" s="1">
        <v>9</v>
      </c>
      <c r="D16" s="67">
        <v>600</v>
      </c>
      <c r="E16" s="88"/>
      <c r="F16" s="310">
        <v>1.4500000000000001E-2</v>
      </c>
      <c r="G16" s="342"/>
      <c r="H16" s="342"/>
      <c r="I16" s="348"/>
      <c r="K16">
        <v>10</v>
      </c>
      <c r="L16" s="69">
        <v>2700</v>
      </c>
      <c r="M16" s="70">
        <v>232800</v>
      </c>
      <c r="N16" s="332">
        <v>0.2</v>
      </c>
      <c r="O16" s="355">
        <v>3</v>
      </c>
      <c r="P16" s="83">
        <v>180000</v>
      </c>
      <c r="Q16" s="69">
        <v>2700</v>
      </c>
      <c r="R16" s="70">
        <v>232800</v>
      </c>
      <c r="S16" s="332">
        <v>0.5</v>
      </c>
      <c r="T16" s="355">
        <v>3</v>
      </c>
      <c r="U16" s="83">
        <v>180000</v>
      </c>
      <c r="V16" s="69">
        <v>2700</v>
      </c>
      <c r="W16" s="70">
        <v>232880</v>
      </c>
      <c r="X16" s="332">
        <v>0.5</v>
      </c>
      <c r="Y16" s="355">
        <v>10</v>
      </c>
      <c r="Z16" s="83">
        <v>180000</v>
      </c>
      <c r="AA16" s="69">
        <v>4500</v>
      </c>
      <c r="AB16" s="70">
        <v>466200</v>
      </c>
      <c r="AC16" s="335">
        <v>0.5</v>
      </c>
      <c r="AD16" s="355">
        <v>3</v>
      </c>
      <c r="AE16" s="70">
        <v>350000</v>
      </c>
    </row>
    <row r="17" spans="2:28" x14ac:dyDescent="0.3">
      <c r="B17" s="9"/>
      <c r="C17" s="1">
        <v>10</v>
      </c>
      <c r="D17" s="67">
        <v>640</v>
      </c>
      <c r="E17" s="88"/>
      <c r="F17" s="310">
        <v>1.4999999999999999E-2</v>
      </c>
      <c r="G17" s="342"/>
      <c r="H17" s="342"/>
      <c r="I17" s="348">
        <v>259000</v>
      </c>
      <c r="L17" s="88">
        <f>SUM(L7:L16)</f>
        <v>13500</v>
      </c>
      <c r="M17" s="88">
        <f t="shared" ref="M17" si="0">SUM(M7:M16)</f>
        <v>1164000</v>
      </c>
      <c r="N17" s="88"/>
      <c r="O17" s="88"/>
      <c r="P17" s="88"/>
      <c r="Q17" s="88">
        <f>SUM(Q7:Q16)</f>
        <v>13500</v>
      </c>
      <c r="R17" s="88">
        <f>SUM(R7:R16)</f>
        <v>1164000</v>
      </c>
      <c r="S17" s="88"/>
      <c r="T17" s="88"/>
      <c r="U17" s="88"/>
      <c r="V17" s="88">
        <f>SUM(V7:V16)</f>
        <v>13500</v>
      </c>
      <c r="W17" s="88">
        <f>SUM(W7:W16)</f>
        <v>1164080</v>
      </c>
      <c r="X17" s="88"/>
      <c r="Y17" s="88"/>
      <c r="Z17" s="88"/>
      <c r="AA17" s="88">
        <f>SUM(AA7:AA16)</f>
        <v>22500</v>
      </c>
      <c r="AB17" s="88">
        <f>SUM(AB7:AB16)</f>
        <v>2330400</v>
      </c>
    </row>
    <row r="18" spans="2:28" x14ac:dyDescent="0.3">
      <c r="B18" s="9" t="s">
        <v>828</v>
      </c>
      <c r="C18" s="1">
        <v>10.1</v>
      </c>
      <c r="D18" s="69">
        <v>0</v>
      </c>
      <c r="E18" s="83">
        <v>6</v>
      </c>
      <c r="F18" s="316">
        <v>1.9E-2</v>
      </c>
      <c r="G18" s="343">
        <v>0.05</v>
      </c>
      <c r="H18" s="343">
        <v>0.28000000000000003</v>
      </c>
      <c r="I18" s="349">
        <f>259000+57600</f>
        <v>316600</v>
      </c>
    </row>
    <row r="19" spans="2:28" x14ac:dyDescent="0.3">
      <c r="B19" s="9"/>
      <c r="C19" s="1">
        <v>11</v>
      </c>
      <c r="D19" s="65">
        <v>680</v>
      </c>
      <c r="E19" s="80"/>
      <c r="F19" s="308">
        <v>1.95E-2</v>
      </c>
      <c r="G19" s="341"/>
      <c r="H19" s="341"/>
      <c r="I19" s="347"/>
    </row>
    <row r="20" spans="2:28" x14ac:dyDescent="0.3">
      <c r="B20" s="9"/>
      <c r="C20" s="1">
        <v>12</v>
      </c>
      <c r="D20" s="67">
        <v>720</v>
      </c>
      <c r="E20" s="88"/>
      <c r="F20" s="310">
        <v>0.02</v>
      </c>
      <c r="G20" s="342"/>
      <c r="H20" s="342"/>
      <c r="I20" s="348"/>
    </row>
    <row r="21" spans="2:28" x14ac:dyDescent="0.3">
      <c r="B21" s="9"/>
      <c r="C21" s="1">
        <v>13</v>
      </c>
      <c r="D21" s="67">
        <v>760</v>
      </c>
      <c r="E21" s="88"/>
      <c r="F21" s="310">
        <v>2.0500000000000001E-2</v>
      </c>
      <c r="G21" s="342"/>
      <c r="H21" s="342"/>
      <c r="I21" s="348"/>
    </row>
    <row r="22" spans="2:28" x14ac:dyDescent="0.3">
      <c r="B22" s="9"/>
      <c r="C22" s="1">
        <v>14</v>
      </c>
      <c r="D22" s="67">
        <v>800</v>
      </c>
      <c r="E22" s="88"/>
      <c r="F22" s="310">
        <v>2.1000000000000001E-2</v>
      </c>
      <c r="G22" s="342"/>
      <c r="H22" s="342"/>
      <c r="I22" s="348"/>
    </row>
    <row r="23" spans="2:28" x14ac:dyDescent="0.3">
      <c r="B23" s="9"/>
      <c r="C23" s="1">
        <v>15</v>
      </c>
      <c r="D23" s="67">
        <v>840</v>
      </c>
      <c r="E23" s="88"/>
      <c r="F23" s="310">
        <v>2.1499999999999998E-2</v>
      </c>
      <c r="G23" s="342"/>
      <c r="H23" s="342"/>
      <c r="I23" s="348"/>
    </row>
    <row r="24" spans="2:28" x14ac:dyDescent="0.3">
      <c r="B24" s="9"/>
      <c r="C24" s="1">
        <v>16</v>
      </c>
      <c r="D24" s="67">
        <v>880</v>
      </c>
      <c r="E24" s="88"/>
      <c r="F24" s="310">
        <v>2.1999999999999999E-2</v>
      </c>
      <c r="G24" s="342"/>
      <c r="H24" s="342"/>
      <c r="I24" s="348"/>
    </row>
    <row r="25" spans="2:28" x14ac:dyDescent="0.3">
      <c r="B25" s="9"/>
      <c r="C25" s="1">
        <v>17</v>
      </c>
      <c r="D25" s="67">
        <v>920</v>
      </c>
      <c r="E25" s="88"/>
      <c r="F25" s="310">
        <v>2.2499999999999999E-2</v>
      </c>
      <c r="G25" s="342"/>
      <c r="H25" s="342"/>
      <c r="I25" s="348"/>
    </row>
    <row r="26" spans="2:28" x14ac:dyDescent="0.3">
      <c r="B26" s="9"/>
      <c r="C26" s="1">
        <v>18</v>
      </c>
      <c r="D26" s="67">
        <v>960</v>
      </c>
      <c r="E26" s="88"/>
      <c r="F26" s="310">
        <v>2.3E-2</v>
      </c>
      <c r="G26" s="342"/>
      <c r="H26" s="342"/>
      <c r="I26" s="348"/>
    </row>
    <row r="27" spans="2:28" x14ac:dyDescent="0.3">
      <c r="B27" s="9"/>
      <c r="C27" s="1">
        <v>19</v>
      </c>
      <c r="D27" s="67">
        <v>1000</v>
      </c>
      <c r="E27" s="88"/>
      <c r="F27" s="310">
        <v>2.35E-2</v>
      </c>
      <c r="G27" s="342"/>
      <c r="H27" s="342"/>
      <c r="I27" s="348"/>
    </row>
    <row r="28" spans="2:28" x14ac:dyDescent="0.3">
      <c r="B28" s="9"/>
      <c r="C28" s="1">
        <v>20</v>
      </c>
      <c r="D28" s="67">
        <v>1040</v>
      </c>
      <c r="E28" s="88"/>
      <c r="F28" s="310">
        <v>2.4E-2</v>
      </c>
      <c r="G28" s="342"/>
      <c r="H28" s="342"/>
      <c r="I28" s="348"/>
    </row>
    <row r="29" spans="2:28" x14ac:dyDescent="0.3">
      <c r="B29" s="9" t="s">
        <v>829</v>
      </c>
      <c r="C29" s="1">
        <v>20.100000000000001</v>
      </c>
      <c r="D29" s="69" t="s">
        <v>27</v>
      </c>
      <c r="E29" s="83">
        <v>12</v>
      </c>
      <c r="F29" s="316">
        <v>2.8000000000000001E-2</v>
      </c>
      <c r="G29" s="343">
        <v>0.05</v>
      </c>
      <c r="H29" s="343">
        <v>0.36</v>
      </c>
      <c r="I29" s="349"/>
    </row>
    <row r="30" spans="2:28" x14ac:dyDescent="0.3">
      <c r="B30" s="9"/>
      <c r="C30" s="1">
        <v>21</v>
      </c>
      <c r="D30" s="65">
        <v>1080</v>
      </c>
      <c r="E30" s="80"/>
      <c r="F30" s="308">
        <v>2.8500000000000001E-2</v>
      </c>
      <c r="G30" s="341"/>
      <c r="H30" s="341"/>
      <c r="I30" s="347"/>
    </row>
    <row r="31" spans="2:28" x14ac:dyDescent="0.3">
      <c r="B31" s="9"/>
      <c r="C31" s="1">
        <v>22</v>
      </c>
      <c r="D31" s="67">
        <v>1120</v>
      </c>
      <c r="E31" s="88"/>
      <c r="F31" s="310">
        <v>2.9000000000000001E-2</v>
      </c>
      <c r="G31" s="342"/>
      <c r="H31" s="342"/>
      <c r="I31" s="348"/>
    </row>
    <row r="32" spans="2:28" x14ac:dyDescent="0.3">
      <c r="B32" s="9"/>
      <c r="C32" s="1">
        <v>23</v>
      </c>
      <c r="D32" s="67">
        <v>1160</v>
      </c>
      <c r="E32" s="88"/>
      <c r="F32" s="310">
        <v>2.9499999999999998E-2</v>
      </c>
      <c r="G32" s="342"/>
      <c r="H32" s="342"/>
      <c r="I32" s="348"/>
    </row>
    <row r="33" spans="2:9" x14ac:dyDescent="0.3">
      <c r="B33" s="9"/>
      <c r="C33" s="1">
        <v>24</v>
      </c>
      <c r="D33" s="67">
        <v>1200</v>
      </c>
      <c r="E33" s="88"/>
      <c r="F33" s="310">
        <v>0.03</v>
      </c>
      <c r="G33" s="342"/>
      <c r="H33" s="342"/>
      <c r="I33" s="348"/>
    </row>
    <row r="34" spans="2:9" x14ac:dyDescent="0.3">
      <c r="B34" s="9"/>
      <c r="C34" s="1">
        <v>25</v>
      </c>
      <c r="D34" s="67">
        <v>1240</v>
      </c>
      <c r="E34" s="88"/>
      <c r="F34" s="310">
        <v>3.0499999999999999E-2</v>
      </c>
      <c r="G34" s="342"/>
      <c r="H34" s="342"/>
      <c r="I34" s="348"/>
    </row>
    <row r="35" spans="2:9" x14ac:dyDescent="0.3">
      <c r="B35" s="9"/>
      <c r="C35" s="1">
        <v>26</v>
      </c>
      <c r="D35" s="67">
        <v>1284</v>
      </c>
      <c r="E35" s="88"/>
      <c r="F35" s="310">
        <v>3.1E-2</v>
      </c>
      <c r="G35" s="342"/>
      <c r="H35" s="342"/>
      <c r="I35" s="348"/>
    </row>
    <row r="36" spans="2:9" x14ac:dyDescent="0.3">
      <c r="B36" s="9"/>
      <c r="C36" s="1">
        <v>27</v>
      </c>
      <c r="D36" s="67">
        <v>1320</v>
      </c>
      <c r="E36" s="88"/>
      <c r="F36" s="310">
        <v>3.15E-2</v>
      </c>
      <c r="G36" s="342"/>
      <c r="H36" s="342"/>
      <c r="I36" s="348"/>
    </row>
    <row r="37" spans="2:9" x14ac:dyDescent="0.3">
      <c r="B37" s="259"/>
      <c r="C37" s="1">
        <v>28</v>
      </c>
      <c r="D37" s="67">
        <v>1360</v>
      </c>
      <c r="E37" s="88"/>
      <c r="F37" s="310">
        <v>3.2000000000000001E-2</v>
      </c>
      <c r="G37" s="342"/>
      <c r="H37" s="342"/>
      <c r="I37" s="348"/>
    </row>
    <row r="38" spans="2:9" x14ac:dyDescent="0.3">
      <c r="B38" s="9"/>
      <c r="C38" s="1">
        <v>29</v>
      </c>
      <c r="D38" s="67">
        <v>1400</v>
      </c>
      <c r="E38" s="88"/>
      <c r="F38" s="310">
        <v>3.2500000000000001E-2</v>
      </c>
      <c r="G38" s="342"/>
      <c r="H38" s="342"/>
      <c r="I38" s="348"/>
    </row>
    <row r="39" spans="2:9" x14ac:dyDescent="0.3">
      <c r="B39" s="9"/>
      <c r="C39" s="1">
        <v>30</v>
      </c>
      <c r="D39" s="67">
        <v>1460</v>
      </c>
      <c r="E39" s="88"/>
      <c r="F39" s="310">
        <v>3.3000000000000002E-2</v>
      </c>
      <c r="G39" s="342"/>
      <c r="H39" s="342"/>
      <c r="I39" s="348"/>
    </row>
    <row r="40" spans="2:9" x14ac:dyDescent="0.3">
      <c r="B40" s="9" t="s">
        <v>830</v>
      </c>
      <c r="C40" s="1">
        <v>30.1</v>
      </c>
      <c r="D40" s="69" t="s">
        <v>27</v>
      </c>
      <c r="E40" s="83">
        <v>18</v>
      </c>
      <c r="F40" s="316">
        <v>3.6999999999999998E-2</v>
      </c>
      <c r="G40" s="343">
        <v>0.05</v>
      </c>
      <c r="H40" s="343">
        <v>0.44</v>
      </c>
      <c r="I40" s="349"/>
    </row>
    <row r="41" spans="2:9" x14ac:dyDescent="0.3">
      <c r="B41" s="9"/>
      <c r="C41" s="1">
        <v>31</v>
      </c>
      <c r="D41" s="65">
        <v>1520</v>
      </c>
      <c r="E41" s="80"/>
      <c r="F41" s="308">
        <v>3.7499999999999999E-2</v>
      </c>
      <c r="G41" s="341"/>
      <c r="H41" s="341"/>
      <c r="I41" s="347"/>
    </row>
    <row r="42" spans="2:9" x14ac:dyDescent="0.3">
      <c r="B42" s="9"/>
      <c r="C42" s="1">
        <v>32</v>
      </c>
      <c r="D42" s="67">
        <v>1580</v>
      </c>
      <c r="E42" s="88"/>
      <c r="F42" s="310">
        <v>3.7999999999999999E-2</v>
      </c>
      <c r="G42" s="342"/>
      <c r="H42" s="342"/>
      <c r="I42" s="348"/>
    </row>
    <row r="43" spans="2:9" x14ac:dyDescent="0.3">
      <c r="B43" s="259"/>
      <c r="C43" s="1">
        <v>33</v>
      </c>
      <c r="D43" s="67">
        <v>1640</v>
      </c>
      <c r="E43" s="88"/>
      <c r="F43" s="310">
        <v>3.85E-2</v>
      </c>
      <c r="G43" s="342"/>
      <c r="H43" s="342"/>
      <c r="I43" s="348"/>
    </row>
    <row r="44" spans="2:9" x14ac:dyDescent="0.3">
      <c r="B44" s="9"/>
      <c r="C44" s="1">
        <v>34</v>
      </c>
      <c r="D44" s="67">
        <v>1700</v>
      </c>
      <c r="E44" s="88"/>
      <c r="F44" s="310">
        <v>3.9E-2</v>
      </c>
      <c r="G44" s="342"/>
      <c r="H44" s="342"/>
      <c r="I44" s="348"/>
    </row>
    <row r="45" spans="2:9" x14ac:dyDescent="0.3">
      <c r="B45" s="9"/>
      <c r="C45" s="1">
        <v>35</v>
      </c>
      <c r="D45" s="67">
        <v>1760</v>
      </c>
      <c r="E45" s="88"/>
      <c r="F45" s="310">
        <v>3.95E-2</v>
      </c>
      <c r="G45" s="342"/>
      <c r="H45" s="342"/>
      <c r="I45" s="348"/>
    </row>
    <row r="46" spans="2:9" x14ac:dyDescent="0.3">
      <c r="B46" s="9"/>
      <c r="C46" s="1">
        <v>36</v>
      </c>
      <c r="D46" s="67">
        <v>1820</v>
      </c>
      <c r="E46" s="88"/>
      <c r="F46" s="310">
        <v>0.04</v>
      </c>
      <c r="G46" s="342"/>
      <c r="H46" s="342"/>
      <c r="I46" s="348"/>
    </row>
    <row r="47" spans="2:9" x14ac:dyDescent="0.3">
      <c r="B47" s="9"/>
      <c r="C47" s="1">
        <v>37</v>
      </c>
      <c r="D47" s="67">
        <v>1880</v>
      </c>
      <c r="E47" s="88"/>
      <c r="F47" s="310">
        <v>4.0500000000000001E-2</v>
      </c>
      <c r="G47" s="342"/>
      <c r="H47" s="342"/>
      <c r="I47" s="348"/>
    </row>
    <row r="48" spans="2:9" x14ac:dyDescent="0.3">
      <c r="B48" s="9"/>
      <c r="C48" s="1">
        <v>38</v>
      </c>
      <c r="D48" s="67">
        <v>1940</v>
      </c>
      <c r="E48" s="88"/>
      <c r="F48" s="310">
        <v>4.1000000000000002E-2</v>
      </c>
      <c r="G48" s="342"/>
      <c r="H48" s="342"/>
      <c r="I48" s="348"/>
    </row>
    <row r="49" spans="2:9" x14ac:dyDescent="0.3">
      <c r="B49" s="9"/>
      <c r="C49" s="1">
        <v>39</v>
      </c>
      <c r="D49" s="67">
        <v>2000</v>
      </c>
      <c r="E49" s="88"/>
      <c r="F49" s="310">
        <v>4.1500000000000002E-2</v>
      </c>
      <c r="G49" s="342"/>
      <c r="H49" s="342"/>
      <c r="I49" s="348"/>
    </row>
    <row r="50" spans="2:9" x14ac:dyDescent="0.3">
      <c r="B50" s="9"/>
      <c r="C50" s="1">
        <v>40</v>
      </c>
      <c r="D50" s="67">
        <v>2080</v>
      </c>
      <c r="E50" s="88"/>
      <c r="F50" s="310">
        <v>4.2000000000000003E-2</v>
      </c>
      <c r="G50" s="342"/>
      <c r="H50" s="342"/>
      <c r="I50" s="348"/>
    </row>
    <row r="51" spans="2:9" x14ac:dyDescent="0.3">
      <c r="B51" s="9" t="s">
        <v>831</v>
      </c>
      <c r="C51" s="1">
        <v>40.1</v>
      </c>
      <c r="D51" s="69" t="s">
        <v>27</v>
      </c>
      <c r="E51" s="83">
        <v>24</v>
      </c>
      <c r="F51" s="316">
        <v>4.5999999999999999E-2</v>
      </c>
      <c r="G51" s="343">
        <v>0.05</v>
      </c>
      <c r="H51" s="343">
        <v>0.52</v>
      </c>
      <c r="I51" s="349"/>
    </row>
    <row r="52" spans="2:9" x14ac:dyDescent="0.3">
      <c r="B52" s="9"/>
      <c r="C52" s="1">
        <v>41</v>
      </c>
      <c r="D52" s="65">
        <v>2160</v>
      </c>
      <c r="E52" s="80"/>
      <c r="F52" s="308">
        <v>4.65E-2</v>
      </c>
      <c r="G52" s="341"/>
      <c r="H52" s="341"/>
      <c r="I52" s="347"/>
    </row>
    <row r="53" spans="2:9" x14ac:dyDescent="0.3">
      <c r="B53" s="9"/>
      <c r="C53" s="1">
        <v>42</v>
      </c>
      <c r="D53" s="67">
        <v>2240</v>
      </c>
      <c r="E53" s="88"/>
      <c r="F53" s="310">
        <v>4.7E-2</v>
      </c>
      <c r="G53" s="342"/>
      <c r="H53" s="342"/>
      <c r="I53" s="348"/>
    </row>
    <row r="54" spans="2:9" x14ac:dyDescent="0.3">
      <c r="B54" s="9"/>
      <c r="C54" s="1">
        <v>43</v>
      </c>
      <c r="D54" s="67">
        <v>2320</v>
      </c>
      <c r="E54" s="88"/>
      <c r="F54" s="310">
        <v>4.7500000000000001E-2</v>
      </c>
      <c r="G54" s="342"/>
      <c r="H54" s="342"/>
      <c r="I54" s="348"/>
    </row>
    <row r="55" spans="2:9" x14ac:dyDescent="0.3">
      <c r="B55" s="9"/>
      <c r="C55" s="1">
        <v>44</v>
      </c>
      <c r="D55" s="67">
        <v>2400</v>
      </c>
      <c r="E55" s="88"/>
      <c r="F55" s="310">
        <v>4.8000000000000001E-2</v>
      </c>
      <c r="G55" s="342"/>
      <c r="H55" s="342"/>
      <c r="I55" s="348"/>
    </row>
    <row r="56" spans="2:9" x14ac:dyDescent="0.3">
      <c r="B56" s="9"/>
      <c r="C56" s="1">
        <v>45</v>
      </c>
      <c r="D56" s="67">
        <v>2480</v>
      </c>
      <c r="E56" s="88"/>
      <c r="F56" s="310">
        <v>4.8500000000000001E-2</v>
      </c>
      <c r="G56" s="342"/>
      <c r="H56" s="342"/>
      <c r="I56" s="348"/>
    </row>
    <row r="57" spans="2:9" x14ac:dyDescent="0.3">
      <c r="B57" s="9"/>
      <c r="C57" s="1">
        <v>46</v>
      </c>
      <c r="D57" s="67">
        <v>2560</v>
      </c>
      <c r="E57" s="88"/>
      <c r="F57" s="310">
        <v>4.9000000000000002E-2</v>
      </c>
      <c r="G57" s="342"/>
      <c r="H57" s="342"/>
      <c r="I57" s="348"/>
    </row>
    <row r="58" spans="2:9" x14ac:dyDescent="0.3">
      <c r="B58" s="9"/>
      <c r="C58" s="1">
        <v>47</v>
      </c>
      <c r="D58" s="67">
        <v>2640</v>
      </c>
      <c r="E58" s="88"/>
      <c r="F58" s="310">
        <v>4.9500000000000002E-2</v>
      </c>
      <c r="G58" s="342"/>
      <c r="H58" s="342"/>
      <c r="I58" s="348"/>
    </row>
    <row r="59" spans="2:9" x14ac:dyDescent="0.3">
      <c r="B59" s="9"/>
      <c r="C59" s="1">
        <v>48</v>
      </c>
      <c r="D59" s="67">
        <v>2720</v>
      </c>
      <c r="E59" s="88"/>
      <c r="F59" s="310">
        <v>0.05</v>
      </c>
      <c r="G59" s="342"/>
      <c r="H59" s="342"/>
      <c r="I59" s="348"/>
    </row>
    <row r="60" spans="2:9" x14ac:dyDescent="0.3">
      <c r="B60" s="9"/>
      <c r="C60" s="1">
        <v>49</v>
      </c>
      <c r="D60" s="67">
        <v>2800</v>
      </c>
      <c r="E60" s="88"/>
      <c r="F60" s="310">
        <v>5.0500000000000003E-2</v>
      </c>
      <c r="G60" s="342"/>
      <c r="H60" s="342"/>
      <c r="I60" s="348"/>
    </row>
    <row r="61" spans="2:9" x14ac:dyDescent="0.3">
      <c r="B61" s="9"/>
      <c r="C61" s="1">
        <v>50</v>
      </c>
      <c r="D61" s="67">
        <v>2900</v>
      </c>
      <c r="E61" s="88"/>
      <c r="F61" s="310">
        <v>5.0999999999999997E-2</v>
      </c>
      <c r="G61" s="342"/>
      <c r="H61" s="342"/>
      <c r="I61" s="348"/>
    </row>
    <row r="62" spans="2:9" x14ac:dyDescent="0.3">
      <c r="B62" s="9" t="s">
        <v>832</v>
      </c>
      <c r="C62" s="1">
        <v>50.1</v>
      </c>
      <c r="D62" s="69" t="s">
        <v>27</v>
      </c>
      <c r="E62" s="83">
        <v>30</v>
      </c>
      <c r="F62" s="316">
        <v>5.5E-2</v>
      </c>
      <c r="G62" s="343">
        <v>0.1</v>
      </c>
      <c r="H62" s="343">
        <v>0.6</v>
      </c>
      <c r="I62" s="349"/>
    </row>
    <row r="63" spans="2:9" x14ac:dyDescent="0.3">
      <c r="B63" s="9"/>
      <c r="C63" s="1">
        <v>51</v>
      </c>
      <c r="D63" s="65">
        <v>3000</v>
      </c>
      <c r="E63" s="80"/>
      <c r="F63" s="308">
        <v>5.5500000000000001E-2</v>
      </c>
      <c r="G63" s="341"/>
      <c r="H63" s="341"/>
      <c r="I63" s="347"/>
    </row>
    <row r="64" spans="2:9" x14ac:dyDescent="0.3">
      <c r="B64" s="9"/>
      <c r="C64" s="1">
        <v>52</v>
      </c>
      <c r="D64" s="67">
        <v>3100</v>
      </c>
      <c r="E64" s="88"/>
      <c r="F64" s="310">
        <v>5.6000000000000001E-2</v>
      </c>
      <c r="G64" s="342"/>
      <c r="H64" s="342"/>
      <c r="I64" s="348"/>
    </row>
    <row r="65" spans="2:9" x14ac:dyDescent="0.3">
      <c r="B65" s="9"/>
      <c r="C65" s="1">
        <v>53</v>
      </c>
      <c r="D65" s="67">
        <v>3200</v>
      </c>
      <c r="E65" s="88"/>
      <c r="F65" s="310">
        <v>5.6500000000000002E-2</v>
      </c>
      <c r="G65" s="342"/>
      <c r="H65" s="342"/>
      <c r="I65" s="348"/>
    </row>
    <row r="66" spans="2:9" x14ac:dyDescent="0.3">
      <c r="B66" s="9"/>
      <c r="C66" s="1">
        <v>54</v>
      </c>
      <c r="D66" s="67">
        <v>3300</v>
      </c>
      <c r="E66" s="88"/>
      <c r="F66" s="310">
        <v>5.7000000000000002E-2</v>
      </c>
      <c r="G66" s="342"/>
      <c r="H66" s="342"/>
      <c r="I66" s="348"/>
    </row>
    <row r="67" spans="2:9" x14ac:dyDescent="0.3">
      <c r="B67" s="9"/>
      <c r="C67" s="1">
        <v>55</v>
      </c>
      <c r="D67" s="67">
        <v>3400</v>
      </c>
      <c r="E67" s="88"/>
      <c r="F67" s="310">
        <v>5.7500000000000002E-2</v>
      </c>
      <c r="G67" s="342"/>
      <c r="H67" s="342"/>
      <c r="I67" s="348"/>
    </row>
    <row r="68" spans="2:9" x14ac:dyDescent="0.3">
      <c r="B68" s="9"/>
      <c r="C68" s="1">
        <v>56</v>
      </c>
      <c r="D68" s="67">
        <v>3500</v>
      </c>
      <c r="E68" s="88"/>
      <c r="F68" s="310">
        <v>5.8000000000000003E-2</v>
      </c>
      <c r="G68" s="342"/>
      <c r="H68" s="342"/>
      <c r="I68" s="348"/>
    </row>
    <row r="69" spans="2:9" x14ac:dyDescent="0.3">
      <c r="B69" s="9"/>
      <c r="C69" s="1">
        <v>57</v>
      </c>
      <c r="D69" s="67">
        <v>3600</v>
      </c>
      <c r="E69" s="88"/>
      <c r="F69" s="310">
        <v>5.8500000000000003E-2</v>
      </c>
      <c r="G69" s="342"/>
      <c r="H69" s="342"/>
      <c r="I69" s="348"/>
    </row>
    <row r="70" spans="2:9" x14ac:dyDescent="0.3">
      <c r="B70" s="9"/>
      <c r="C70" s="1">
        <v>58</v>
      </c>
      <c r="D70" s="67">
        <v>3700</v>
      </c>
      <c r="E70" s="88"/>
      <c r="F70" s="310">
        <v>5.8999999999999997E-2</v>
      </c>
      <c r="G70" s="342"/>
      <c r="H70" s="342"/>
      <c r="I70" s="348"/>
    </row>
    <row r="71" spans="2:9" x14ac:dyDescent="0.3">
      <c r="B71" s="9"/>
      <c r="C71" s="1">
        <v>59</v>
      </c>
      <c r="D71" s="67">
        <v>3800</v>
      </c>
      <c r="E71" s="88"/>
      <c r="F71" s="310">
        <v>5.9499999999999997E-2</v>
      </c>
      <c r="G71" s="342"/>
      <c r="H71" s="342"/>
      <c r="I71" s="348"/>
    </row>
    <row r="72" spans="2:9" x14ac:dyDescent="0.3">
      <c r="B72" s="9"/>
      <c r="C72" s="1">
        <v>60</v>
      </c>
      <c r="D72" s="67">
        <v>3900</v>
      </c>
      <c r="E72" s="88"/>
      <c r="F72" s="310">
        <v>0.06</v>
      </c>
      <c r="G72" s="342"/>
      <c r="H72" s="342"/>
      <c r="I72" s="348"/>
    </row>
    <row r="73" spans="2:9" x14ac:dyDescent="0.3">
      <c r="B73" s="9" t="s">
        <v>833</v>
      </c>
      <c r="C73" s="1">
        <v>60.1</v>
      </c>
      <c r="D73" s="69" t="s">
        <v>27</v>
      </c>
      <c r="E73" s="83">
        <v>36</v>
      </c>
      <c r="F73" s="316">
        <v>6.4000000000000001E-2</v>
      </c>
      <c r="G73" s="343">
        <v>0.1</v>
      </c>
      <c r="H73" s="343">
        <v>0.68</v>
      </c>
      <c r="I73" s="349"/>
    </row>
    <row r="74" spans="2:9" x14ac:dyDescent="0.3">
      <c r="B74" s="9"/>
      <c r="C74" s="1">
        <v>61</v>
      </c>
      <c r="D74" s="65">
        <v>4000</v>
      </c>
      <c r="E74" s="80"/>
      <c r="F74" s="308">
        <v>6.4500000000000002E-2</v>
      </c>
      <c r="G74" s="341"/>
      <c r="H74" s="341"/>
      <c r="I74" s="347"/>
    </row>
    <row r="75" spans="2:9" x14ac:dyDescent="0.3">
      <c r="B75" s="9"/>
      <c r="C75" s="1">
        <v>62</v>
      </c>
      <c r="D75" s="67">
        <v>4100</v>
      </c>
      <c r="E75" s="88"/>
      <c r="F75" s="310">
        <v>6.5000000000000002E-2</v>
      </c>
      <c r="G75" s="342"/>
      <c r="H75" s="342"/>
      <c r="I75" s="348"/>
    </row>
    <row r="76" spans="2:9" x14ac:dyDescent="0.3">
      <c r="B76" s="9"/>
      <c r="C76" s="1">
        <v>63</v>
      </c>
      <c r="D76" s="67">
        <v>4200</v>
      </c>
      <c r="E76" s="88"/>
      <c r="F76" s="310">
        <v>6.5500000000000003E-2</v>
      </c>
      <c r="G76" s="342"/>
      <c r="H76" s="342"/>
      <c r="I76" s="348"/>
    </row>
    <row r="77" spans="2:9" x14ac:dyDescent="0.3">
      <c r="B77" s="9"/>
      <c r="C77" s="1">
        <v>64</v>
      </c>
      <c r="D77" s="67">
        <v>4300</v>
      </c>
      <c r="E77" s="88"/>
      <c r="F77" s="310">
        <v>6.6000000000000003E-2</v>
      </c>
      <c r="G77" s="342"/>
      <c r="H77" s="342"/>
      <c r="I77" s="348"/>
    </row>
    <row r="78" spans="2:9" x14ac:dyDescent="0.3">
      <c r="B78" s="9"/>
      <c r="C78" s="1">
        <v>65</v>
      </c>
      <c r="D78" s="67">
        <v>4400</v>
      </c>
      <c r="E78" s="88"/>
      <c r="F78" s="310">
        <v>6.6500000000000004E-2</v>
      </c>
      <c r="G78" s="342"/>
      <c r="H78" s="342"/>
      <c r="I78" s="348"/>
    </row>
    <row r="79" spans="2:9" x14ac:dyDescent="0.3">
      <c r="B79" s="9"/>
      <c r="C79" s="1">
        <v>66</v>
      </c>
      <c r="D79" s="67">
        <v>4500</v>
      </c>
      <c r="E79" s="88"/>
      <c r="F79" s="310">
        <v>6.7000000000000004E-2</v>
      </c>
      <c r="G79" s="342"/>
      <c r="H79" s="342"/>
      <c r="I79" s="348"/>
    </row>
    <row r="80" spans="2:9" x14ac:dyDescent="0.3">
      <c r="B80" s="9"/>
      <c r="C80" s="1">
        <v>67</v>
      </c>
      <c r="D80" s="67">
        <v>4600</v>
      </c>
      <c r="E80" s="88"/>
      <c r="F80" s="310">
        <v>6.7500000000000004E-2</v>
      </c>
      <c r="G80" s="342"/>
      <c r="H80" s="342"/>
      <c r="I80" s="348"/>
    </row>
    <row r="81" spans="2:10" x14ac:dyDescent="0.3">
      <c r="B81" s="9"/>
      <c r="C81" s="1">
        <v>68</v>
      </c>
      <c r="D81" s="67">
        <v>4700</v>
      </c>
      <c r="E81" s="88"/>
      <c r="F81" s="310">
        <v>6.8000000000000005E-2</v>
      </c>
      <c r="G81" s="342"/>
      <c r="H81" s="342"/>
      <c r="I81" s="348"/>
    </row>
    <row r="82" spans="2:10" x14ac:dyDescent="0.3">
      <c r="B82" s="9"/>
      <c r="C82" s="1">
        <v>69</v>
      </c>
      <c r="D82" s="67">
        <v>4800</v>
      </c>
      <c r="E82" s="88"/>
      <c r="F82" s="310">
        <v>6.8500000000000005E-2</v>
      </c>
      <c r="G82" s="342"/>
      <c r="H82" s="342"/>
      <c r="I82" s="348"/>
    </row>
    <row r="83" spans="2:10" x14ac:dyDescent="0.3">
      <c r="B83" s="9"/>
      <c r="C83" s="1">
        <v>70</v>
      </c>
      <c r="D83" s="67">
        <v>4900</v>
      </c>
      <c r="E83" s="88"/>
      <c r="F83" s="310">
        <v>6.9000000000000006E-2</v>
      </c>
      <c r="G83" s="342"/>
      <c r="H83" s="342"/>
      <c r="I83" s="348"/>
    </row>
    <row r="84" spans="2:10" x14ac:dyDescent="0.3">
      <c r="B84" s="9" t="s">
        <v>834</v>
      </c>
      <c r="C84" s="1">
        <v>70.099999999999994</v>
      </c>
      <c r="D84" s="69" t="s">
        <v>27</v>
      </c>
      <c r="E84" s="83">
        <v>42</v>
      </c>
      <c r="F84" s="316">
        <v>7.2999999999999995E-2</v>
      </c>
      <c r="G84" s="343">
        <v>0.1</v>
      </c>
      <c r="H84" s="343">
        <v>0.76</v>
      </c>
      <c r="I84" s="349"/>
      <c r="J84" t="s">
        <v>1156</v>
      </c>
    </row>
    <row r="85" spans="2:10" x14ac:dyDescent="0.3">
      <c r="B85" s="9"/>
      <c r="C85" s="1">
        <v>71</v>
      </c>
      <c r="D85" s="65">
        <v>5000</v>
      </c>
      <c r="E85" s="80"/>
      <c r="F85" s="308">
        <v>7.3499999999999996E-2</v>
      </c>
      <c r="G85" s="341"/>
      <c r="H85" s="341"/>
      <c r="I85" s="347"/>
      <c r="J85" t="s">
        <v>1156</v>
      </c>
    </row>
    <row r="86" spans="2:10" x14ac:dyDescent="0.3">
      <c r="B86" s="9"/>
      <c r="C86" s="1">
        <v>72</v>
      </c>
      <c r="D86" s="67">
        <v>5100</v>
      </c>
      <c r="E86" s="88"/>
      <c r="F86" s="310">
        <v>7.3999999999999996E-2</v>
      </c>
      <c r="G86" s="342"/>
      <c r="H86" s="342"/>
      <c r="I86" s="348"/>
      <c r="J86" t="s">
        <v>1156</v>
      </c>
    </row>
    <row r="87" spans="2:10" x14ac:dyDescent="0.3">
      <c r="B87" s="9"/>
      <c r="C87" s="1">
        <v>73</v>
      </c>
      <c r="D87" s="67">
        <v>5200</v>
      </c>
      <c r="E87" s="88"/>
      <c r="F87" s="310">
        <v>7.4499999999999997E-2</v>
      </c>
      <c r="G87" s="342"/>
      <c r="H87" s="342"/>
      <c r="I87" s="348"/>
      <c r="J87" t="s">
        <v>1156</v>
      </c>
    </row>
    <row r="88" spans="2:10" x14ac:dyDescent="0.3">
      <c r="B88" s="9"/>
      <c r="C88" s="1">
        <v>74</v>
      </c>
      <c r="D88" s="67">
        <v>5300</v>
      </c>
      <c r="E88" s="88"/>
      <c r="F88" s="310">
        <v>7.4999999999999997E-2</v>
      </c>
      <c r="G88" s="342"/>
      <c r="H88" s="342"/>
      <c r="I88" s="348"/>
      <c r="J88" t="s">
        <v>1156</v>
      </c>
    </row>
    <row r="89" spans="2:10" x14ac:dyDescent="0.3">
      <c r="B89" s="9"/>
      <c r="C89" s="1">
        <v>75</v>
      </c>
      <c r="D89" s="67">
        <v>5400</v>
      </c>
      <c r="E89" s="88"/>
      <c r="F89" s="310">
        <v>7.5499999999999998E-2</v>
      </c>
      <c r="G89" s="342"/>
      <c r="H89" s="342"/>
      <c r="I89" s="348"/>
      <c r="J89" t="s">
        <v>1156</v>
      </c>
    </row>
    <row r="90" spans="2:10" x14ac:dyDescent="0.3">
      <c r="B90" s="9"/>
      <c r="C90" s="1">
        <v>76</v>
      </c>
      <c r="D90" s="67">
        <v>5500</v>
      </c>
      <c r="E90" s="88"/>
      <c r="F90" s="310">
        <v>7.5999999999999998E-2</v>
      </c>
      <c r="G90" s="342"/>
      <c r="H90" s="342"/>
      <c r="I90" s="348"/>
      <c r="J90" t="s">
        <v>1156</v>
      </c>
    </row>
    <row r="91" spans="2:10" x14ac:dyDescent="0.3">
      <c r="B91" s="9"/>
      <c r="C91" s="1">
        <v>77</v>
      </c>
      <c r="D91" s="67">
        <v>5600</v>
      </c>
      <c r="E91" s="88"/>
      <c r="F91" s="310">
        <v>7.6499999999999999E-2</v>
      </c>
      <c r="G91" s="342"/>
      <c r="H91" s="342"/>
      <c r="I91" s="348"/>
      <c r="J91" t="s">
        <v>1156</v>
      </c>
    </row>
    <row r="92" spans="2:10" x14ac:dyDescent="0.3">
      <c r="B92" s="9"/>
      <c r="C92" s="1">
        <v>78</v>
      </c>
      <c r="D92" s="67">
        <v>5700</v>
      </c>
      <c r="E92" s="88"/>
      <c r="F92" s="310">
        <v>7.6999999999999999E-2</v>
      </c>
      <c r="G92" s="342"/>
      <c r="H92" s="342"/>
      <c r="I92" s="348"/>
      <c r="J92" t="s">
        <v>1156</v>
      </c>
    </row>
    <row r="93" spans="2:10" x14ac:dyDescent="0.3">
      <c r="B93" s="9"/>
      <c r="C93" s="1">
        <v>79</v>
      </c>
      <c r="D93" s="67">
        <v>5800</v>
      </c>
      <c r="E93" s="88"/>
      <c r="F93" s="310">
        <v>7.7499999999999999E-2</v>
      </c>
      <c r="G93" s="342"/>
      <c r="H93" s="342"/>
      <c r="I93" s="348"/>
      <c r="J93" t="s">
        <v>1156</v>
      </c>
    </row>
    <row r="94" spans="2:10" x14ac:dyDescent="0.3">
      <c r="B94" s="9"/>
      <c r="C94" s="1">
        <v>80</v>
      </c>
      <c r="D94" s="67">
        <v>5900</v>
      </c>
      <c r="E94" s="88"/>
      <c r="F94" s="310">
        <v>7.8E-2</v>
      </c>
      <c r="G94" s="342"/>
      <c r="H94" s="342"/>
      <c r="I94" s="348"/>
      <c r="J94" t="s">
        <v>1156</v>
      </c>
    </row>
    <row r="95" spans="2:10" x14ac:dyDescent="0.3">
      <c r="B95" s="9" t="s">
        <v>835</v>
      </c>
      <c r="C95" s="1">
        <v>80.099999999999994</v>
      </c>
      <c r="D95" s="69" t="s">
        <v>27</v>
      </c>
      <c r="E95" s="83">
        <v>48</v>
      </c>
      <c r="F95" s="316">
        <v>8.2000000000000003E-2</v>
      </c>
      <c r="G95" s="343">
        <v>0.1</v>
      </c>
      <c r="H95" s="343">
        <v>0.84</v>
      </c>
      <c r="I95" s="349"/>
      <c r="J95" t="s">
        <v>1156</v>
      </c>
    </row>
    <row r="96" spans="2:10" x14ac:dyDescent="0.3">
      <c r="B96" s="9"/>
      <c r="C96" s="1">
        <v>81</v>
      </c>
      <c r="D96" s="65">
        <v>6000</v>
      </c>
      <c r="E96" s="80"/>
      <c r="F96" s="308">
        <v>8.2500000000000004E-2</v>
      </c>
      <c r="G96" s="341"/>
      <c r="H96" s="341"/>
      <c r="I96" s="347"/>
      <c r="J96" t="s">
        <v>1156</v>
      </c>
    </row>
    <row r="97" spans="2:10" x14ac:dyDescent="0.3">
      <c r="B97" s="9"/>
      <c r="C97" s="1">
        <v>82</v>
      </c>
      <c r="D97" s="67">
        <v>6100</v>
      </c>
      <c r="E97" s="88"/>
      <c r="F97" s="310">
        <v>8.3000000000000004E-2</v>
      </c>
      <c r="G97" s="342"/>
      <c r="H97" s="342"/>
      <c r="I97" s="348"/>
      <c r="J97" t="s">
        <v>1156</v>
      </c>
    </row>
    <row r="98" spans="2:10" x14ac:dyDescent="0.3">
      <c r="B98" s="9"/>
      <c r="C98" s="1">
        <v>83</v>
      </c>
      <c r="D98" s="67">
        <v>6200</v>
      </c>
      <c r="E98" s="88"/>
      <c r="F98" s="310">
        <v>8.3500000000000005E-2</v>
      </c>
      <c r="G98" s="342"/>
      <c r="H98" s="342"/>
      <c r="I98" s="348"/>
      <c r="J98" t="s">
        <v>1156</v>
      </c>
    </row>
    <row r="99" spans="2:10" x14ac:dyDescent="0.3">
      <c r="B99" s="9"/>
      <c r="C99" s="1">
        <v>84</v>
      </c>
      <c r="D99" s="67">
        <v>6300</v>
      </c>
      <c r="E99" s="88"/>
      <c r="F99" s="310">
        <v>8.4000000000000005E-2</v>
      </c>
      <c r="G99" s="342"/>
      <c r="H99" s="342"/>
      <c r="I99" s="348"/>
      <c r="J99" t="s">
        <v>1156</v>
      </c>
    </row>
    <row r="100" spans="2:10" x14ac:dyDescent="0.3">
      <c r="B100" s="9"/>
      <c r="C100" s="1">
        <v>85</v>
      </c>
      <c r="D100" s="67">
        <v>6400</v>
      </c>
      <c r="E100" s="88"/>
      <c r="F100" s="310">
        <v>8.4500000000000006E-2</v>
      </c>
      <c r="G100" s="342"/>
      <c r="H100" s="342"/>
      <c r="I100" s="348"/>
      <c r="J100" t="s">
        <v>1156</v>
      </c>
    </row>
    <row r="101" spans="2:10" x14ac:dyDescent="0.3">
      <c r="B101" s="9"/>
      <c r="C101" s="1">
        <v>86</v>
      </c>
      <c r="D101" s="67">
        <v>6500</v>
      </c>
      <c r="E101" s="88"/>
      <c r="F101" s="310">
        <v>8.5000000000000006E-2</v>
      </c>
      <c r="G101" s="342"/>
      <c r="H101" s="342"/>
      <c r="I101" s="348"/>
      <c r="J101" t="s">
        <v>1156</v>
      </c>
    </row>
    <row r="102" spans="2:10" x14ac:dyDescent="0.3">
      <c r="B102" s="9"/>
      <c r="C102" s="1">
        <v>87</v>
      </c>
      <c r="D102" s="67">
        <v>6600</v>
      </c>
      <c r="E102" s="88"/>
      <c r="F102" s="310">
        <v>8.5500000000000007E-2</v>
      </c>
      <c r="G102" s="342"/>
      <c r="H102" s="342"/>
      <c r="I102" s="348"/>
      <c r="J102" t="s">
        <v>1156</v>
      </c>
    </row>
    <row r="103" spans="2:10" x14ac:dyDescent="0.3">
      <c r="B103" s="9"/>
      <c r="C103" s="1">
        <v>88</v>
      </c>
      <c r="D103" s="67">
        <v>6700</v>
      </c>
      <c r="E103" s="88"/>
      <c r="F103" s="310">
        <v>8.5999999999999993E-2</v>
      </c>
      <c r="G103" s="342"/>
      <c r="H103" s="342"/>
      <c r="I103" s="348"/>
      <c r="J103" t="s">
        <v>1156</v>
      </c>
    </row>
    <row r="104" spans="2:10" x14ac:dyDescent="0.3">
      <c r="B104" s="9"/>
      <c r="C104" s="1">
        <v>89</v>
      </c>
      <c r="D104" s="67">
        <v>6800</v>
      </c>
      <c r="E104" s="88"/>
      <c r="F104" s="310">
        <v>8.6499999999999994E-2</v>
      </c>
      <c r="G104" s="342"/>
      <c r="H104" s="342"/>
      <c r="I104" s="348"/>
      <c r="J104" t="s">
        <v>1156</v>
      </c>
    </row>
    <row r="105" spans="2:10" x14ac:dyDescent="0.3">
      <c r="B105" s="9"/>
      <c r="C105" s="1">
        <v>90</v>
      </c>
      <c r="D105" s="67">
        <v>6900</v>
      </c>
      <c r="E105" s="88"/>
      <c r="F105" s="310">
        <v>8.6999999999999994E-2</v>
      </c>
      <c r="G105" s="342"/>
      <c r="H105" s="342"/>
      <c r="I105" s="348"/>
      <c r="J105" t="s">
        <v>1156</v>
      </c>
    </row>
    <row r="106" spans="2:10" x14ac:dyDescent="0.3">
      <c r="B106" s="9" t="s">
        <v>836</v>
      </c>
      <c r="C106" s="1">
        <v>90.1</v>
      </c>
      <c r="D106" s="69" t="s">
        <v>27</v>
      </c>
      <c r="E106" s="83">
        <v>54</v>
      </c>
      <c r="F106" s="316">
        <v>9.0999999999999998E-2</v>
      </c>
      <c r="G106" s="343">
        <v>0.1</v>
      </c>
      <c r="H106" s="343">
        <v>0.92</v>
      </c>
      <c r="I106" s="349"/>
      <c r="J106" t="s">
        <v>1156</v>
      </c>
    </row>
    <row r="107" spans="2:10" x14ac:dyDescent="0.3">
      <c r="B107" s="9"/>
      <c r="C107" s="1">
        <v>91</v>
      </c>
      <c r="D107" s="65">
        <v>7000</v>
      </c>
      <c r="E107" s="80"/>
      <c r="F107" s="308">
        <v>9.1499999999999998E-2</v>
      </c>
      <c r="G107" s="341"/>
      <c r="H107" s="341"/>
      <c r="I107" s="347"/>
      <c r="J107" t="s">
        <v>1156</v>
      </c>
    </row>
    <row r="108" spans="2:10" x14ac:dyDescent="0.3">
      <c r="B108" s="9"/>
      <c r="C108" s="1">
        <v>92</v>
      </c>
      <c r="D108" s="67">
        <v>7100</v>
      </c>
      <c r="E108" s="88"/>
      <c r="F108" s="310">
        <v>9.1999999999999998E-2</v>
      </c>
      <c r="G108" s="342"/>
      <c r="H108" s="342"/>
      <c r="I108" s="348"/>
      <c r="J108" t="s">
        <v>1156</v>
      </c>
    </row>
    <row r="109" spans="2:10" x14ac:dyDescent="0.3">
      <c r="B109" s="9"/>
      <c r="C109" s="1">
        <v>93</v>
      </c>
      <c r="D109" s="67">
        <v>7200</v>
      </c>
      <c r="E109" s="88"/>
      <c r="F109" s="310">
        <v>9.2499999999999999E-2</v>
      </c>
      <c r="G109" s="342"/>
      <c r="H109" s="342"/>
      <c r="I109" s="348"/>
      <c r="J109" t="s">
        <v>1156</v>
      </c>
    </row>
    <row r="110" spans="2:10" x14ac:dyDescent="0.3">
      <c r="B110" s="9"/>
      <c r="C110" s="1">
        <v>94</v>
      </c>
      <c r="D110" s="67">
        <v>7300</v>
      </c>
      <c r="E110" s="88"/>
      <c r="F110" s="310">
        <v>9.2999999999999999E-2</v>
      </c>
      <c r="G110" s="342"/>
      <c r="H110" s="342"/>
      <c r="I110" s="348"/>
      <c r="J110" t="s">
        <v>1156</v>
      </c>
    </row>
    <row r="111" spans="2:10" x14ac:dyDescent="0.3">
      <c r="B111" s="9"/>
      <c r="C111" s="1">
        <v>95</v>
      </c>
      <c r="D111" s="67">
        <v>7400</v>
      </c>
      <c r="E111" s="88"/>
      <c r="F111" s="310">
        <v>9.35E-2</v>
      </c>
      <c r="G111" s="342"/>
      <c r="H111" s="342"/>
      <c r="I111" s="348"/>
      <c r="J111" t="s">
        <v>1156</v>
      </c>
    </row>
    <row r="112" spans="2:10" x14ac:dyDescent="0.3">
      <c r="B112" s="9"/>
      <c r="C112" s="1">
        <v>96</v>
      </c>
      <c r="D112" s="67">
        <v>7500</v>
      </c>
      <c r="E112" s="88"/>
      <c r="F112" s="310">
        <v>9.4E-2</v>
      </c>
      <c r="G112" s="342"/>
      <c r="H112" s="342"/>
      <c r="I112" s="348"/>
      <c r="J112" t="s">
        <v>1156</v>
      </c>
    </row>
    <row r="113" spans="2:10" x14ac:dyDescent="0.3">
      <c r="B113" s="9"/>
      <c r="C113" s="1">
        <v>97</v>
      </c>
      <c r="D113" s="67">
        <v>7600</v>
      </c>
      <c r="E113" s="88"/>
      <c r="F113" s="310">
        <v>9.4500000000000001E-2</v>
      </c>
      <c r="G113" s="342"/>
      <c r="H113" s="342"/>
      <c r="I113" s="348"/>
      <c r="J113" t="s">
        <v>1156</v>
      </c>
    </row>
    <row r="114" spans="2:10" x14ac:dyDescent="0.3">
      <c r="B114" s="9"/>
      <c r="C114" s="1">
        <v>98</v>
      </c>
      <c r="D114" s="67">
        <v>7700</v>
      </c>
      <c r="E114" s="88"/>
      <c r="F114" s="310">
        <v>9.5000000000000001E-2</v>
      </c>
      <c r="G114" s="342"/>
      <c r="H114" s="342"/>
      <c r="I114" s="348"/>
      <c r="J114" t="s">
        <v>1156</v>
      </c>
    </row>
    <row r="115" spans="2:10" x14ac:dyDescent="0.3">
      <c r="B115" s="9"/>
      <c r="C115" s="1">
        <v>99</v>
      </c>
      <c r="D115" s="67">
        <v>7800</v>
      </c>
      <c r="E115" s="88"/>
      <c r="F115" s="310">
        <v>9.5500000000000002E-2</v>
      </c>
      <c r="G115" s="342"/>
      <c r="H115" s="342"/>
      <c r="I115" s="348"/>
      <c r="J115" t="s">
        <v>1156</v>
      </c>
    </row>
    <row r="116" spans="2:10" x14ac:dyDescent="0.3">
      <c r="B116" s="9"/>
      <c r="C116" s="1">
        <v>100</v>
      </c>
      <c r="D116" s="67">
        <v>7900</v>
      </c>
      <c r="E116" s="88"/>
      <c r="F116" s="310">
        <v>9.6000000000000002E-2</v>
      </c>
      <c r="G116" s="342"/>
      <c r="H116" s="342"/>
      <c r="I116" s="348"/>
      <c r="J116" t="s">
        <v>1156</v>
      </c>
    </row>
    <row r="117" spans="2:10" x14ac:dyDescent="0.3">
      <c r="B117" s="9" t="s">
        <v>837</v>
      </c>
      <c r="C117" s="1">
        <v>100.1</v>
      </c>
      <c r="D117" s="69" t="s">
        <v>27</v>
      </c>
      <c r="E117" s="83">
        <v>60</v>
      </c>
      <c r="F117" s="316">
        <v>0.1</v>
      </c>
      <c r="G117" s="343">
        <v>0.15</v>
      </c>
      <c r="H117" s="343">
        <v>1</v>
      </c>
      <c r="I117" s="349"/>
    </row>
    <row r="118" spans="2:10" x14ac:dyDescent="0.3">
      <c r="D118" s="38">
        <f>SUM(D8:D117)</f>
        <v>342384</v>
      </c>
    </row>
  </sheetData>
  <sheetProtection sheet="1" objects="1" scenarios="1"/>
  <mergeCells count="12">
    <mergeCell ref="L1:AE1"/>
    <mergeCell ref="D4:I4"/>
    <mergeCell ref="D5:I5"/>
    <mergeCell ref="V3:Z4"/>
    <mergeCell ref="AA3:AE4"/>
    <mergeCell ref="Q5:U5"/>
    <mergeCell ref="V5:Z5"/>
    <mergeCell ref="AA5:AE5"/>
    <mergeCell ref="L2:AE2"/>
    <mergeCell ref="L3:P4"/>
    <mergeCell ref="L5:P5"/>
    <mergeCell ref="Q3:U4"/>
  </mergeCells>
  <conditionalFormatting sqref="D8:I117">
    <cfRule type="expression" dxfId="63" priority="1" stopIfTrue="1">
      <formula>IF(RomulusLevelCurrent&gt;=$C8,TRUE,FALSE)</formula>
    </cfRule>
    <cfRule type="expression" dxfId="62" priority="2">
      <formula>IF(RomulusLevelDesired&gt;=$C8,TRUE,FALSE)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FDE9C-4AC2-4483-8F21-43CBB6CD164A}">
  <sheetPr codeName="Sheet29"/>
  <dimension ref="A1:T31"/>
  <sheetViews>
    <sheetView workbookViewId="0">
      <selection sqref="A1:T2"/>
    </sheetView>
  </sheetViews>
  <sheetFormatPr baseColWidth="10" defaultColWidth="8.88671875" defaultRowHeight="14.4" x14ac:dyDescent="0.3"/>
  <cols>
    <col min="2" max="3" width="9.109375" style="1"/>
    <col min="4" max="4" width="9.109375" style="133"/>
  </cols>
  <sheetData>
    <row r="1" spans="1:20" x14ac:dyDescent="0.3">
      <c r="A1" s="728" t="s">
        <v>616</v>
      </c>
      <c r="B1" s="728"/>
      <c r="C1" s="728"/>
      <c r="D1" s="728"/>
      <c r="E1" s="728"/>
      <c r="F1" s="728"/>
      <c r="G1" s="728"/>
      <c r="H1" s="728"/>
      <c r="I1" s="728"/>
      <c r="J1" s="728"/>
      <c r="K1" s="728"/>
      <c r="L1" s="728"/>
      <c r="M1" s="728"/>
      <c r="N1" s="728"/>
      <c r="O1" s="728"/>
      <c r="P1" s="728"/>
      <c r="Q1" s="728"/>
      <c r="R1" s="728"/>
      <c r="S1" s="728"/>
      <c r="T1" s="728"/>
    </row>
    <row r="2" spans="1:20" x14ac:dyDescent="0.3">
      <c r="A2" s="728"/>
      <c r="B2" s="728"/>
      <c r="C2" s="728"/>
      <c r="D2" s="728"/>
      <c r="E2" s="728"/>
      <c r="F2" s="728"/>
      <c r="G2" s="728"/>
      <c r="H2" s="728"/>
      <c r="I2" s="728"/>
      <c r="J2" s="728"/>
      <c r="K2" s="728"/>
      <c r="L2" s="728"/>
      <c r="M2" s="728"/>
      <c r="N2" s="728"/>
      <c r="O2" s="728"/>
      <c r="P2" s="728"/>
      <c r="Q2" s="728"/>
      <c r="R2" s="728"/>
      <c r="S2" s="728"/>
      <c r="T2" s="728"/>
    </row>
    <row r="4" spans="1:20" x14ac:dyDescent="0.3">
      <c r="B4" s="406" t="s">
        <v>420</v>
      </c>
      <c r="C4" s="406"/>
      <c r="D4" s="406"/>
      <c r="F4" s="406" t="s">
        <v>423</v>
      </c>
      <c r="G4" s="406"/>
      <c r="H4" s="406"/>
      <c r="J4" s="406" t="s">
        <v>424</v>
      </c>
      <c r="K4" s="406"/>
      <c r="L4" s="406"/>
      <c r="N4" s="406" t="s">
        <v>425</v>
      </c>
      <c r="O4" s="406"/>
      <c r="P4" s="406"/>
      <c r="R4" s="406" t="s">
        <v>426</v>
      </c>
      <c r="S4" s="406"/>
      <c r="T4" s="406"/>
    </row>
    <row r="5" spans="1:20" x14ac:dyDescent="0.3">
      <c r="B5" s="14" t="s">
        <v>30</v>
      </c>
      <c r="C5" s="14" t="s">
        <v>418</v>
      </c>
      <c r="D5" s="134" t="s">
        <v>419</v>
      </c>
      <c r="F5" s="14" t="s">
        <v>30</v>
      </c>
      <c r="G5" s="14" t="s">
        <v>418</v>
      </c>
      <c r="H5" s="134" t="s">
        <v>419</v>
      </c>
      <c r="J5" s="14" t="s">
        <v>30</v>
      </c>
      <c r="K5" s="16" t="s">
        <v>418</v>
      </c>
      <c r="L5" s="138" t="s">
        <v>419</v>
      </c>
      <c r="N5" s="14" t="s">
        <v>30</v>
      </c>
      <c r="O5" s="16" t="s">
        <v>418</v>
      </c>
      <c r="P5" s="138" t="s">
        <v>419</v>
      </c>
      <c r="R5" s="14" t="s">
        <v>30</v>
      </c>
      <c r="S5" s="16" t="s">
        <v>418</v>
      </c>
      <c r="T5" s="138" t="s">
        <v>419</v>
      </c>
    </row>
    <row r="6" spans="1:20" x14ac:dyDescent="0.3">
      <c r="B6" s="1">
        <v>20</v>
      </c>
      <c r="C6" s="106">
        <v>1</v>
      </c>
      <c r="D6" s="135">
        <v>0.65</v>
      </c>
      <c r="F6" s="1">
        <v>50</v>
      </c>
      <c r="G6" s="105">
        <v>2</v>
      </c>
      <c r="H6" s="136">
        <v>0.85</v>
      </c>
      <c r="J6" s="1">
        <v>100</v>
      </c>
      <c r="K6" s="106">
        <v>3</v>
      </c>
      <c r="L6" s="139">
        <v>0.85</v>
      </c>
      <c r="N6" s="1">
        <v>130</v>
      </c>
      <c r="O6" s="106">
        <v>3</v>
      </c>
      <c r="P6" s="139">
        <v>0.75</v>
      </c>
      <c r="R6" s="1">
        <v>160</v>
      </c>
      <c r="S6" s="106">
        <v>3</v>
      </c>
      <c r="T6" s="139">
        <v>0.7</v>
      </c>
    </row>
    <row r="7" spans="1:20" x14ac:dyDescent="0.3">
      <c r="C7" s="105">
        <v>2</v>
      </c>
      <c r="D7" s="136">
        <v>0.25</v>
      </c>
      <c r="F7" s="1"/>
      <c r="G7" s="104">
        <v>3</v>
      </c>
      <c r="H7" s="137">
        <v>0.15</v>
      </c>
      <c r="J7" s="1"/>
      <c r="K7" s="105">
        <v>4</v>
      </c>
      <c r="L7" s="142">
        <v>0.125</v>
      </c>
      <c r="N7" s="1"/>
      <c r="O7" s="105">
        <v>4</v>
      </c>
      <c r="P7" s="140">
        <v>0.15</v>
      </c>
      <c r="R7" s="1"/>
      <c r="S7" s="105">
        <v>4</v>
      </c>
      <c r="T7" s="140">
        <v>0.12</v>
      </c>
    </row>
    <row r="8" spans="1:20" x14ac:dyDescent="0.3">
      <c r="C8" s="104">
        <v>3</v>
      </c>
      <c r="D8" s="137">
        <v>0.1</v>
      </c>
      <c r="F8" s="1"/>
      <c r="G8" s="9" t="s">
        <v>421</v>
      </c>
      <c r="H8" s="124">
        <f>G6*H6+G7*H7</f>
        <v>2.15</v>
      </c>
      <c r="J8" s="1"/>
      <c r="K8" s="105">
        <v>5</v>
      </c>
      <c r="L8" s="140">
        <v>0.02</v>
      </c>
      <c r="N8" s="1"/>
      <c r="O8" s="105">
        <v>5</v>
      </c>
      <c r="P8" s="140">
        <v>0.05</v>
      </c>
      <c r="R8" s="1"/>
      <c r="S8" s="105">
        <v>5</v>
      </c>
      <c r="T8" s="140">
        <v>0.09</v>
      </c>
    </row>
    <row r="9" spans="1:20" x14ac:dyDescent="0.3">
      <c r="C9" s="9" t="s">
        <v>421</v>
      </c>
      <c r="D9" s="124">
        <f>C6*D6+C7*D7+C8*D8</f>
        <v>1.45</v>
      </c>
      <c r="F9" s="1"/>
      <c r="G9" s="9" t="s">
        <v>422</v>
      </c>
      <c r="H9" s="124">
        <f>H8/F6</f>
        <v>4.2999999999999997E-2</v>
      </c>
      <c r="J9" s="1"/>
      <c r="K9" s="104">
        <v>6</v>
      </c>
      <c r="L9" s="141">
        <v>5.0000000000000001E-3</v>
      </c>
      <c r="N9" s="1"/>
      <c r="O9" s="105">
        <v>6</v>
      </c>
      <c r="P9" s="140">
        <v>0.03</v>
      </c>
      <c r="R9" s="1"/>
      <c r="S9" s="105">
        <v>6</v>
      </c>
      <c r="T9" s="140">
        <v>0.04</v>
      </c>
    </row>
    <row r="10" spans="1:20" x14ac:dyDescent="0.3">
      <c r="C10" s="9" t="s">
        <v>422</v>
      </c>
      <c r="D10" s="124">
        <f>D9/B6</f>
        <v>7.2499999999999995E-2</v>
      </c>
      <c r="G10" s="9" t="s">
        <v>449</v>
      </c>
      <c r="H10" s="124">
        <f>H8*20</f>
        <v>43</v>
      </c>
      <c r="J10" s="1"/>
      <c r="K10" s="9" t="s">
        <v>421</v>
      </c>
      <c r="L10" s="104">
        <f>K6*L6+K7*L7+K8*L8+K9*L9</f>
        <v>3.1799999999999997</v>
      </c>
      <c r="N10" s="1"/>
      <c r="O10" s="105">
        <v>7</v>
      </c>
      <c r="P10" s="140">
        <v>0.01</v>
      </c>
      <c r="R10" s="1"/>
      <c r="S10" s="105">
        <v>7</v>
      </c>
      <c r="T10" s="142">
        <v>1.4999999999999999E-2</v>
      </c>
    </row>
    <row r="11" spans="1:20" x14ac:dyDescent="0.3">
      <c r="B11"/>
      <c r="C11" s="9" t="s">
        <v>449</v>
      </c>
      <c r="D11" s="124">
        <f>D9*20</f>
        <v>29</v>
      </c>
      <c r="J11" s="1"/>
      <c r="K11" s="9" t="s">
        <v>422</v>
      </c>
      <c r="L11" s="124">
        <f>L10/J6</f>
        <v>3.1799999999999995E-2</v>
      </c>
      <c r="O11" s="105">
        <v>8</v>
      </c>
      <c r="P11" s="142">
        <v>5.0000000000000001E-3</v>
      </c>
      <c r="S11" s="105">
        <v>8</v>
      </c>
      <c r="T11" s="140">
        <v>0.01</v>
      </c>
    </row>
    <row r="12" spans="1:20" x14ac:dyDescent="0.3">
      <c r="B12"/>
      <c r="C12"/>
      <c r="D12"/>
      <c r="J12" s="1"/>
      <c r="K12" s="9" t="s">
        <v>449</v>
      </c>
      <c r="L12" s="124">
        <f>L10*20</f>
        <v>63.599999999999994</v>
      </c>
      <c r="O12" s="104">
        <v>9</v>
      </c>
      <c r="P12" s="141">
        <v>5.0000000000000001E-3</v>
      </c>
      <c r="S12" s="105">
        <v>9</v>
      </c>
      <c r="T12" s="140">
        <v>0.01</v>
      </c>
    </row>
    <row r="13" spans="1:20" x14ac:dyDescent="0.3">
      <c r="B13"/>
      <c r="C13"/>
      <c r="D13"/>
      <c r="J13" s="1"/>
      <c r="K13" s="9"/>
      <c r="L13" s="1"/>
      <c r="O13" s="9" t="s">
        <v>421</v>
      </c>
      <c r="P13" s="104">
        <f>O6*P6+O7*P7+O8*P8+O9*P9+O10*P10+O11*P11+O12*P12</f>
        <v>3.4350000000000001</v>
      </c>
      <c r="S13" s="105">
        <v>10</v>
      </c>
      <c r="T13" s="142">
        <v>5.0000000000000001E-3</v>
      </c>
    </row>
    <row r="14" spans="1:20" x14ac:dyDescent="0.3">
      <c r="B14"/>
      <c r="C14"/>
      <c r="D14"/>
      <c r="J14" s="1"/>
      <c r="K14" s="9"/>
      <c r="L14" s="1"/>
      <c r="O14" s="9" t="s">
        <v>422</v>
      </c>
      <c r="P14" s="124">
        <f>P13/N6</f>
        <v>2.6423076923076924E-2</v>
      </c>
      <c r="S14" s="105">
        <v>11</v>
      </c>
      <c r="T14" s="142">
        <v>5.0000000000000001E-3</v>
      </c>
    </row>
    <row r="15" spans="1:20" x14ac:dyDescent="0.3">
      <c r="B15"/>
      <c r="C15"/>
      <c r="D15"/>
      <c r="J15" s="1"/>
      <c r="K15" s="9"/>
      <c r="L15" s="1"/>
      <c r="O15" s="9" t="s">
        <v>449</v>
      </c>
      <c r="P15" s="124">
        <f>P13*20</f>
        <v>68.7</v>
      </c>
      <c r="S15" s="104">
        <v>12</v>
      </c>
      <c r="T15" s="141">
        <v>5.0000000000000001E-3</v>
      </c>
    </row>
    <row r="16" spans="1:20" x14ac:dyDescent="0.3">
      <c r="B16"/>
      <c r="C16"/>
      <c r="D16"/>
      <c r="J16" s="1"/>
      <c r="K16" s="9"/>
      <c r="L16" s="1"/>
      <c r="S16" s="9" t="s">
        <v>421</v>
      </c>
      <c r="T16" s="104">
        <f>S6*T6+S7*T7+S8*T8+S9*T9+S10*T10+S11*T11+S12*T12+S13*T13+S14*T14+S15*T15</f>
        <v>3.7099999999999995</v>
      </c>
    </row>
    <row r="17" spans="2:20" x14ac:dyDescent="0.3">
      <c r="B17"/>
      <c r="C17"/>
      <c r="D17"/>
      <c r="J17" s="1"/>
      <c r="K17" s="9"/>
      <c r="L17" s="1"/>
      <c r="S17" s="9" t="s">
        <v>422</v>
      </c>
      <c r="T17" s="124">
        <f>T16/R6</f>
        <v>2.3187499999999996E-2</v>
      </c>
    </row>
    <row r="18" spans="2:20" x14ac:dyDescent="0.3">
      <c r="B18"/>
      <c r="C18"/>
      <c r="D18"/>
      <c r="S18" s="9" t="s">
        <v>449</v>
      </c>
      <c r="T18" s="124">
        <f>T16*20</f>
        <v>74.199999999999989</v>
      </c>
    </row>
    <row r="19" spans="2:20" x14ac:dyDescent="0.3">
      <c r="B19"/>
      <c r="C19"/>
      <c r="D19"/>
    </row>
    <row r="20" spans="2:20" x14ac:dyDescent="0.3">
      <c r="B20" s="402" t="s">
        <v>429</v>
      </c>
      <c r="C20" s="403"/>
      <c r="D20" s="510"/>
      <c r="F20" s="406" t="s">
        <v>438</v>
      </c>
      <c r="G20" s="406"/>
      <c r="H20" s="406"/>
      <c r="J20" s="406" t="s">
        <v>432</v>
      </c>
      <c r="K20" s="406"/>
      <c r="L20" s="406"/>
      <c r="N20" s="406" t="s">
        <v>434</v>
      </c>
      <c r="O20" s="406"/>
      <c r="P20" s="406"/>
      <c r="R20" s="406" t="s">
        <v>434</v>
      </c>
      <c r="S20" s="406"/>
      <c r="T20" s="406"/>
    </row>
    <row r="21" spans="2:20" x14ac:dyDescent="0.3">
      <c r="B21" s="777" t="s">
        <v>430</v>
      </c>
      <c r="C21" s="777"/>
      <c r="D21" s="777"/>
      <c r="F21" s="598" t="s">
        <v>431</v>
      </c>
      <c r="G21" s="598"/>
      <c r="H21" s="598"/>
      <c r="J21" s="598" t="s">
        <v>433</v>
      </c>
      <c r="K21" s="598"/>
      <c r="L21" s="598"/>
      <c r="N21" s="598" t="s">
        <v>435</v>
      </c>
      <c r="O21" s="598"/>
      <c r="P21" s="598"/>
      <c r="R21" s="598" t="s">
        <v>435</v>
      </c>
      <c r="S21" s="598"/>
      <c r="T21" s="598"/>
    </row>
    <row r="22" spans="2:20" x14ac:dyDescent="0.3">
      <c r="B22"/>
      <c r="C22" s="9" t="s">
        <v>428</v>
      </c>
      <c r="D22" s="104">
        <f>B6/2*7</f>
        <v>70</v>
      </c>
      <c r="G22" s="9" t="s">
        <v>428</v>
      </c>
      <c r="H22" s="124">
        <f>B6/2+B6*19+F6/2*6</f>
        <v>540</v>
      </c>
      <c r="K22" s="9" t="s">
        <v>428</v>
      </c>
      <c r="L22" s="94">
        <f>B6/2+19*B6+20*F6+J6/2*6</f>
        <v>1690</v>
      </c>
      <c r="O22" s="9" t="s">
        <v>428</v>
      </c>
      <c r="P22" s="94">
        <f>B6/2+19*B6+20*F6+20*J6+N6/2*6</f>
        <v>3780</v>
      </c>
      <c r="S22" s="9" t="s">
        <v>428</v>
      </c>
      <c r="T22" s="94">
        <f>B6/2+19*B6+20*F6+20*J6+20*N6+R6/2*6</f>
        <v>6470</v>
      </c>
    </row>
    <row r="23" spans="2:20" x14ac:dyDescent="0.3">
      <c r="B23"/>
      <c r="C23" s="9" t="s">
        <v>427</v>
      </c>
      <c r="D23" s="124">
        <f>D24/D22</f>
        <v>0.14500000000000002</v>
      </c>
      <c r="G23" s="9" t="s">
        <v>427</v>
      </c>
      <c r="H23" s="124">
        <f>H24/H22</f>
        <v>7.7592592592592588E-2</v>
      </c>
      <c r="K23" s="9" t="s">
        <v>427</v>
      </c>
      <c r="L23" s="94">
        <f>L24/L22</f>
        <v>5.3893491124260354E-2</v>
      </c>
      <c r="O23" s="9" t="s">
        <v>427</v>
      </c>
      <c r="P23" s="94">
        <f>P24/P22</f>
        <v>4.1325396825396821E-2</v>
      </c>
      <c r="S23" s="9" t="s">
        <v>427</v>
      </c>
      <c r="T23" s="94">
        <f>T24/T22</f>
        <v>3.5017001545595054E-2</v>
      </c>
    </row>
    <row r="24" spans="2:20" x14ac:dyDescent="0.3">
      <c r="B24"/>
      <c r="C24" s="9" t="s">
        <v>421</v>
      </c>
      <c r="D24" s="124">
        <f>D9*7</f>
        <v>10.15</v>
      </c>
      <c r="G24" s="9" t="s">
        <v>421</v>
      </c>
      <c r="H24" s="124">
        <f>20*D9+6*H8</f>
        <v>41.9</v>
      </c>
      <c r="K24" s="9" t="s">
        <v>421</v>
      </c>
      <c r="L24" s="94">
        <f>20*D9+20*H8+6*L10</f>
        <v>91.08</v>
      </c>
      <c r="O24" s="9" t="s">
        <v>421</v>
      </c>
      <c r="P24" s="94">
        <f>20*D9+20*H8+20*L10+6*P13</f>
        <v>156.20999999999998</v>
      </c>
      <c r="S24" s="9" t="s">
        <v>421</v>
      </c>
      <c r="T24" s="94">
        <f>20*D9+20*H8+20*L10+20*P13+6*T16</f>
        <v>226.56</v>
      </c>
    </row>
    <row r="26" spans="2:20" x14ac:dyDescent="0.3">
      <c r="B26" s="402" t="s">
        <v>436</v>
      </c>
      <c r="C26" s="403"/>
      <c r="D26" s="510"/>
      <c r="F26" s="406" t="s">
        <v>437</v>
      </c>
      <c r="G26" s="406"/>
      <c r="H26" s="406"/>
      <c r="J26" s="406" t="s">
        <v>460</v>
      </c>
      <c r="K26" s="406"/>
      <c r="L26" s="406"/>
      <c r="N26" s="406" t="s">
        <v>461</v>
      </c>
      <c r="O26" s="406"/>
      <c r="P26" s="406"/>
      <c r="R26" s="406" t="s">
        <v>462</v>
      </c>
      <c r="S26" s="406"/>
      <c r="T26" s="406"/>
    </row>
    <row r="27" spans="2:20" x14ac:dyDescent="0.3">
      <c r="B27" s="777" t="s">
        <v>440</v>
      </c>
      <c r="C27" s="777"/>
      <c r="D27" s="777"/>
      <c r="F27" s="598" t="s">
        <v>444</v>
      </c>
      <c r="G27" s="598"/>
      <c r="H27" s="598"/>
      <c r="J27" s="598" t="s">
        <v>448</v>
      </c>
      <c r="K27" s="598"/>
      <c r="L27" s="598"/>
      <c r="N27" s="598" t="s">
        <v>445</v>
      </c>
      <c r="O27" s="598"/>
      <c r="P27" s="598"/>
      <c r="R27" s="598" t="s">
        <v>447</v>
      </c>
      <c r="S27" s="598"/>
      <c r="T27" s="598"/>
    </row>
    <row r="28" spans="2:20" x14ac:dyDescent="0.3">
      <c r="B28" s="598" t="s">
        <v>439</v>
      </c>
      <c r="C28" s="598"/>
      <c r="D28" s="598"/>
      <c r="F28" s="598" t="s">
        <v>441</v>
      </c>
      <c r="G28" s="598"/>
      <c r="H28" s="598"/>
      <c r="J28" s="598" t="s">
        <v>442</v>
      </c>
      <c r="K28" s="598"/>
      <c r="L28" s="598"/>
      <c r="N28" s="598" t="s">
        <v>443</v>
      </c>
      <c r="O28" s="598"/>
      <c r="P28" s="598"/>
      <c r="R28" s="598" t="s">
        <v>446</v>
      </c>
      <c r="S28" s="598"/>
      <c r="T28" s="598"/>
    </row>
    <row r="29" spans="2:20" x14ac:dyDescent="0.3">
      <c r="B29"/>
      <c r="C29" s="9" t="s">
        <v>428</v>
      </c>
      <c r="D29" s="104">
        <f>B6/2*7+B6*13</f>
        <v>330</v>
      </c>
      <c r="G29" s="9" t="s">
        <v>428</v>
      </c>
      <c r="H29" s="124">
        <f>B6/2+19*B6+14*F6+F6/2*6</f>
        <v>1240</v>
      </c>
      <c r="K29" s="9" t="s">
        <v>428</v>
      </c>
      <c r="L29" s="94">
        <f>B6/2+19*B6+20*F6+14*J6+J6/2*6</f>
        <v>3090</v>
      </c>
      <c r="O29" s="9" t="s">
        <v>428</v>
      </c>
      <c r="P29" s="94">
        <f>B6/2+19*B6+20*F6+20*J6+14*N6+N6/2*6</f>
        <v>5600</v>
      </c>
      <c r="S29" s="9" t="s">
        <v>428</v>
      </c>
      <c r="T29" s="94">
        <f>B6/2+B6*19+F6*20+J6*20+N6*20+R6*14+R6/2*6</f>
        <v>8710</v>
      </c>
    </row>
    <row r="30" spans="2:20" x14ac:dyDescent="0.3">
      <c r="B30"/>
      <c r="C30" s="9" t="s">
        <v>427</v>
      </c>
      <c r="D30" s="124">
        <f>D31/D29</f>
        <v>8.7878787878787876E-2</v>
      </c>
      <c r="G30" s="9" t="s">
        <v>427</v>
      </c>
      <c r="H30" s="124">
        <f>H31/H29</f>
        <v>5.8064516129032261E-2</v>
      </c>
      <c r="K30" s="9" t="s">
        <v>427</v>
      </c>
      <c r="L30" s="94">
        <f>L31/L29</f>
        <v>4.3883495145631064E-2</v>
      </c>
      <c r="O30" s="9" t="s">
        <v>427</v>
      </c>
      <c r="P30" s="94">
        <f>P31/P29</f>
        <v>3.6482142857142859E-2</v>
      </c>
      <c r="S30" s="9" t="s">
        <v>427</v>
      </c>
      <c r="T30" s="94">
        <f>T31/T29</f>
        <v>3.1974741676234215E-2</v>
      </c>
    </row>
    <row r="31" spans="2:20" x14ac:dyDescent="0.3">
      <c r="B31"/>
      <c r="C31" s="9" t="s">
        <v>421</v>
      </c>
      <c r="D31" s="124">
        <f>20*D9</f>
        <v>29</v>
      </c>
      <c r="G31" s="9" t="s">
        <v>421</v>
      </c>
      <c r="H31" s="124">
        <f>20*D9+20*H8</f>
        <v>72</v>
      </c>
      <c r="K31" s="9" t="s">
        <v>421</v>
      </c>
      <c r="L31" s="94">
        <f>20*D9+20*H8+20*L10</f>
        <v>135.6</v>
      </c>
      <c r="O31" s="9" t="s">
        <v>421</v>
      </c>
      <c r="P31" s="94">
        <f>20*D9+20*H8+20*L10+20*P13</f>
        <v>204.3</v>
      </c>
      <c r="S31" s="9" t="s">
        <v>421</v>
      </c>
      <c r="T31" s="94">
        <f>20*D9+20*H8+20*L10+20*P13+20*T16</f>
        <v>278.5</v>
      </c>
    </row>
  </sheetData>
  <sheetProtection sheet="1" objects="1" scenarios="1" formatColumns="0"/>
  <mergeCells count="31">
    <mergeCell ref="A1:T2"/>
    <mergeCell ref="B28:D28"/>
    <mergeCell ref="F28:H28"/>
    <mergeCell ref="J28:L28"/>
    <mergeCell ref="N28:P28"/>
    <mergeCell ref="R28:T28"/>
    <mergeCell ref="B27:D27"/>
    <mergeCell ref="F27:H27"/>
    <mergeCell ref="J27:L27"/>
    <mergeCell ref="N27:P27"/>
    <mergeCell ref="R27:T27"/>
    <mergeCell ref="N20:P20"/>
    <mergeCell ref="N21:P21"/>
    <mergeCell ref="R20:T20"/>
    <mergeCell ref="R21:T21"/>
    <mergeCell ref="B26:D26"/>
    <mergeCell ref="F26:H26"/>
    <mergeCell ref="J26:L26"/>
    <mergeCell ref="N26:P26"/>
    <mergeCell ref="R26:T26"/>
    <mergeCell ref="B20:D20"/>
    <mergeCell ref="B21:D21"/>
    <mergeCell ref="F20:H20"/>
    <mergeCell ref="F21:H21"/>
    <mergeCell ref="J20:L20"/>
    <mergeCell ref="J21:L21"/>
    <mergeCell ref="B4:D4"/>
    <mergeCell ref="F4:H4"/>
    <mergeCell ref="J4:L4"/>
    <mergeCell ref="N4:P4"/>
    <mergeCell ref="R4:T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7CF5-4242-42BD-B7E1-6FDC2BC2A80D}">
  <sheetPr codeName="Sheet30"/>
  <dimension ref="A1:AE46"/>
  <sheetViews>
    <sheetView workbookViewId="0">
      <selection activeCell="N44" sqref="N44"/>
    </sheetView>
  </sheetViews>
  <sheetFormatPr baseColWidth="10" defaultColWidth="8.88671875" defaultRowHeight="14.4" x14ac:dyDescent="0.3"/>
  <cols>
    <col min="12" max="13" width="11" customWidth="1"/>
    <col min="14" max="14" width="10.109375" bestFit="1" customWidth="1"/>
    <col min="15" max="15" width="11.109375" bestFit="1" customWidth="1"/>
    <col min="16" max="16" width="10.88671875" customWidth="1"/>
    <col min="21" max="21" width="9.5546875" bestFit="1" customWidth="1"/>
    <col min="22" max="22" width="11.5546875" bestFit="1" customWidth="1"/>
    <col min="23" max="23" width="13.33203125" bestFit="1" customWidth="1"/>
  </cols>
  <sheetData>
    <row r="1" spans="1:17" x14ac:dyDescent="0.3">
      <c r="A1" s="527" t="s">
        <v>74</v>
      </c>
      <c r="B1" s="528"/>
      <c r="C1" s="528"/>
      <c r="D1" s="528"/>
      <c r="E1" s="528"/>
      <c r="F1" s="528"/>
      <c r="G1" s="528"/>
      <c r="H1" s="528"/>
      <c r="I1" s="528"/>
      <c r="J1" s="528"/>
      <c r="K1" s="528"/>
      <c r="L1" s="528"/>
      <c r="M1" s="528"/>
      <c r="N1" s="528"/>
      <c r="O1" s="528"/>
      <c r="P1" s="528"/>
      <c r="Q1" s="529"/>
    </row>
    <row r="3" spans="1:17" x14ac:dyDescent="0.3">
      <c r="B3" s="579" t="s">
        <v>647</v>
      </c>
      <c r="C3" s="580"/>
      <c r="D3" s="580"/>
      <c r="E3" s="580"/>
      <c r="F3" s="580"/>
      <c r="G3" s="580"/>
      <c r="H3" s="581"/>
      <c r="I3" s="786" t="s">
        <v>669</v>
      </c>
      <c r="J3" s="787"/>
      <c r="K3" s="788"/>
      <c r="M3" s="23"/>
      <c r="N3" t="s">
        <v>677</v>
      </c>
    </row>
    <row r="4" spans="1:17" x14ac:dyDescent="0.3">
      <c r="B4" s="579" t="s">
        <v>648</v>
      </c>
      <c r="C4" s="580"/>
      <c r="D4" s="580"/>
      <c r="E4" s="580"/>
      <c r="F4" s="580"/>
      <c r="G4" s="580"/>
      <c r="H4" s="581"/>
      <c r="I4" s="786" t="s">
        <v>670</v>
      </c>
      <c r="J4" s="787"/>
      <c r="K4" s="788"/>
      <c r="M4" s="215"/>
      <c r="N4" t="s">
        <v>687</v>
      </c>
    </row>
    <row r="5" spans="1:17" x14ac:dyDescent="0.3">
      <c r="M5" s="214"/>
      <c r="N5" t="s">
        <v>676</v>
      </c>
    </row>
    <row r="7" spans="1:17" x14ac:dyDescent="0.3">
      <c r="L7" s="426" t="s">
        <v>672</v>
      </c>
      <c r="M7" s="426"/>
      <c r="N7" s="426"/>
      <c r="O7" s="426"/>
      <c r="P7" s="426"/>
    </row>
    <row r="8" spans="1:17" x14ac:dyDescent="0.3">
      <c r="B8" s="426" t="s">
        <v>646</v>
      </c>
      <c r="C8" s="426"/>
      <c r="D8" s="426"/>
      <c r="E8" s="426"/>
      <c r="F8" s="426"/>
      <c r="G8" s="426"/>
      <c r="H8" s="426"/>
      <c r="I8" s="426"/>
      <c r="J8" s="426" t="s">
        <v>355</v>
      </c>
      <c r="K8" s="784"/>
      <c r="L8" s="14" t="s">
        <v>669</v>
      </c>
      <c r="M8" s="14" t="s">
        <v>670</v>
      </c>
      <c r="N8" s="14" t="s">
        <v>551</v>
      </c>
      <c r="O8" s="14" t="s">
        <v>552</v>
      </c>
      <c r="P8" s="14" t="s">
        <v>671</v>
      </c>
      <c r="Q8" s="209" t="s">
        <v>673</v>
      </c>
    </row>
    <row r="9" spans="1:17" x14ac:dyDescent="0.3">
      <c r="B9" s="562" t="s">
        <v>621</v>
      </c>
      <c r="C9" s="785"/>
      <c r="D9" s="785"/>
      <c r="E9" s="785"/>
      <c r="F9" s="563"/>
      <c r="G9" s="559" t="s">
        <v>649</v>
      </c>
      <c r="H9" s="566"/>
      <c r="I9" s="457"/>
      <c r="J9" s="429">
        <f ca="1">IFERROR('Chief Gear &amp; Charms'!V39,0)</f>
        <v>20160000</v>
      </c>
      <c r="K9" s="781"/>
      <c r="L9" s="224" t="s">
        <v>686</v>
      </c>
      <c r="M9" s="212"/>
      <c r="N9" s="224" t="s">
        <v>686</v>
      </c>
      <c r="O9" s="224" t="s">
        <v>410</v>
      </c>
      <c r="P9" s="225"/>
    </row>
    <row r="10" spans="1:17" x14ac:dyDescent="0.3">
      <c r="B10" s="415" t="s">
        <v>622</v>
      </c>
      <c r="C10" s="416"/>
      <c r="D10" s="416"/>
      <c r="E10" s="416"/>
      <c r="F10" s="417"/>
      <c r="G10" s="561" t="s">
        <v>650</v>
      </c>
      <c r="H10" s="564"/>
      <c r="I10" s="459"/>
      <c r="J10" s="431">
        <f ca="1">IFERROR('Chief Gear &amp; Charms'!T39,0)</f>
        <v>8523000</v>
      </c>
      <c r="K10" s="780"/>
      <c r="L10" s="226"/>
      <c r="M10" s="3"/>
      <c r="N10" s="3"/>
      <c r="O10" s="3"/>
      <c r="P10" s="227"/>
    </row>
    <row r="11" spans="1:17" x14ac:dyDescent="0.3">
      <c r="B11" s="415" t="s">
        <v>623</v>
      </c>
      <c r="C11" s="416"/>
      <c r="D11" s="416"/>
      <c r="E11" s="416"/>
      <c r="F11" s="417"/>
      <c r="G11" s="561" t="s">
        <v>651</v>
      </c>
      <c r="H11" s="564"/>
      <c r="I11" s="459"/>
      <c r="J11" s="431">
        <f>IFERROR(Construction!AB45,0)</f>
        <v>7336000</v>
      </c>
      <c r="K11" s="780"/>
      <c r="L11" s="226"/>
      <c r="M11" s="3"/>
      <c r="N11" s="3"/>
      <c r="O11" s="3"/>
      <c r="P11" s="228"/>
    </row>
    <row r="12" spans="1:17" x14ac:dyDescent="0.3">
      <c r="B12" s="415" t="s">
        <v>624</v>
      </c>
      <c r="C12" s="416"/>
      <c r="D12" s="416"/>
      <c r="E12" s="416"/>
      <c r="F12" s="417"/>
      <c r="G12" s="561" t="s">
        <v>652</v>
      </c>
      <c r="H12" s="564"/>
      <c r="I12" s="459"/>
      <c r="J12" s="431">
        <f>IFERROR(Construction!AB46,0)</f>
        <v>14880000</v>
      </c>
      <c r="K12" s="780"/>
      <c r="L12" s="226"/>
      <c r="M12" s="3"/>
      <c r="N12" s="3"/>
      <c r="O12" s="3"/>
      <c r="P12" s="228"/>
    </row>
    <row r="13" spans="1:17" x14ac:dyDescent="0.3">
      <c r="B13" s="415" t="s">
        <v>625</v>
      </c>
      <c r="C13" s="416"/>
      <c r="D13" s="416"/>
      <c r="E13" s="416"/>
      <c r="F13" s="417"/>
      <c r="G13" s="561" t="s">
        <v>653</v>
      </c>
      <c r="H13" s="564"/>
      <c r="I13" s="459"/>
      <c r="J13" s="408"/>
      <c r="K13" s="753"/>
      <c r="L13" s="226"/>
      <c r="M13" s="3"/>
      <c r="N13" s="3"/>
      <c r="O13" s="3"/>
      <c r="P13" s="228"/>
      <c r="Q13" t="s">
        <v>703</v>
      </c>
    </row>
    <row r="14" spans="1:17" x14ac:dyDescent="0.3">
      <c r="B14" s="415" t="s">
        <v>627</v>
      </c>
      <c r="C14" s="416"/>
      <c r="D14" s="416"/>
      <c r="E14" s="416"/>
      <c r="F14" s="417"/>
      <c r="G14" s="561" t="s">
        <v>654</v>
      </c>
      <c r="H14" s="564"/>
      <c r="I14" s="459"/>
      <c r="J14" s="431">
        <f>IFERROR(Lists!A43/60,0)*30</f>
        <v>0</v>
      </c>
      <c r="K14" s="780"/>
      <c r="L14" s="226"/>
      <c r="M14" s="3"/>
      <c r="N14" s="3"/>
      <c r="O14" s="3"/>
      <c r="P14" s="228"/>
    </row>
    <row r="15" spans="1:17" x14ac:dyDescent="0.3">
      <c r="B15" s="415" t="s">
        <v>626</v>
      </c>
      <c r="C15" s="416"/>
      <c r="D15" s="416"/>
      <c r="E15" s="416"/>
      <c r="F15" s="417"/>
      <c r="G15" s="561" t="s">
        <v>654</v>
      </c>
      <c r="H15" s="564"/>
      <c r="I15" s="459"/>
      <c r="J15" s="408"/>
      <c r="K15" s="753"/>
      <c r="L15" s="226"/>
      <c r="M15" s="3"/>
      <c r="N15" s="3"/>
      <c r="O15" s="3"/>
      <c r="P15" s="228"/>
      <c r="Q15" t="s">
        <v>703</v>
      </c>
    </row>
    <row r="16" spans="1:17" x14ac:dyDescent="0.3">
      <c r="B16" s="415" t="s">
        <v>628</v>
      </c>
      <c r="C16" s="416"/>
      <c r="D16" s="416"/>
      <c r="E16" s="416"/>
      <c r="F16" s="417"/>
      <c r="G16" s="561" t="s">
        <v>654</v>
      </c>
      <c r="H16" s="564"/>
      <c r="I16" s="459"/>
      <c r="J16" s="782">
        <f>IFERROR('Troop Calculator'!L54+'Troop Calculator'!H30,0)</f>
        <v>5200000</v>
      </c>
      <c r="K16" s="783"/>
      <c r="L16" s="229"/>
      <c r="M16" s="229"/>
      <c r="N16" s="3"/>
      <c r="O16" s="3"/>
      <c r="P16" s="229"/>
      <c r="Q16" t="s">
        <v>750</v>
      </c>
    </row>
    <row r="17" spans="2:31" x14ac:dyDescent="0.3">
      <c r="B17" s="415" t="s">
        <v>951</v>
      </c>
      <c r="C17" s="416"/>
      <c r="D17" s="416"/>
      <c r="E17" s="416"/>
      <c r="F17" s="417"/>
      <c r="G17" s="561" t="s">
        <v>654</v>
      </c>
      <c r="H17" s="564"/>
      <c r="I17" s="459"/>
      <c r="J17" s="780">
        <f>'Dawn Academy'!P29</f>
        <v>4785300</v>
      </c>
      <c r="K17" s="564"/>
      <c r="L17" s="224" t="s">
        <v>686</v>
      </c>
      <c r="M17" s="224" t="s">
        <v>410</v>
      </c>
      <c r="P17" s="224" t="s">
        <v>686</v>
      </c>
      <c r="Q17" t="s">
        <v>949</v>
      </c>
    </row>
    <row r="18" spans="2:31" x14ac:dyDescent="0.3">
      <c r="B18" s="415" t="s">
        <v>629</v>
      </c>
      <c r="C18" s="416"/>
      <c r="D18" s="416"/>
      <c r="E18" s="416"/>
      <c r="F18" s="417"/>
      <c r="G18" s="561" t="s">
        <v>655</v>
      </c>
      <c r="H18" s="564"/>
      <c r="I18" s="459"/>
      <c r="J18" s="408">
        <v>150</v>
      </c>
      <c r="K18" s="753"/>
      <c r="L18" s="226"/>
      <c r="M18" s="227"/>
      <c r="N18" s="227"/>
      <c r="O18" s="3"/>
      <c r="P18" s="228"/>
      <c r="Q18" t="s">
        <v>688</v>
      </c>
    </row>
    <row r="19" spans="2:31" x14ac:dyDescent="0.3">
      <c r="B19" s="415" t="s">
        <v>630</v>
      </c>
      <c r="C19" s="416"/>
      <c r="D19" s="416"/>
      <c r="E19" s="416"/>
      <c r="F19" s="417"/>
      <c r="G19" s="561" t="s">
        <v>656</v>
      </c>
      <c r="H19" s="564"/>
      <c r="I19" s="459"/>
      <c r="J19" s="431">
        <f>IFERROR((Heroes!F61+Heroes!H61)*350,0)</f>
        <v>0</v>
      </c>
      <c r="K19" s="780"/>
      <c r="L19" s="226"/>
      <c r="M19" s="224" t="s">
        <v>686</v>
      </c>
      <c r="N19" s="224" t="s">
        <v>410</v>
      </c>
      <c r="O19" s="3"/>
      <c r="P19" s="228"/>
    </row>
    <row r="20" spans="2:31" x14ac:dyDescent="0.3">
      <c r="B20" s="415" t="s">
        <v>631</v>
      </c>
      <c r="C20" s="416"/>
      <c r="D20" s="416"/>
      <c r="E20" s="416"/>
      <c r="F20" s="417"/>
      <c r="G20" s="561" t="s">
        <v>657</v>
      </c>
      <c r="H20" s="564"/>
      <c r="I20" s="459"/>
      <c r="J20" s="431">
        <f>IFERROR((Heroes!F60+Heroes!H60)*1220,0)</f>
        <v>0</v>
      </c>
      <c r="K20" s="780"/>
      <c r="L20" s="226"/>
      <c r="M20" s="224" t="s">
        <v>686</v>
      </c>
      <c r="N20" s="224" t="s">
        <v>410</v>
      </c>
      <c r="O20" s="3"/>
      <c r="P20" s="228"/>
    </row>
    <row r="21" spans="2:31" x14ac:dyDescent="0.3">
      <c r="B21" s="415" t="s">
        <v>632</v>
      </c>
      <c r="C21" s="416"/>
      <c r="D21" s="416"/>
      <c r="E21" s="416"/>
      <c r="F21" s="417"/>
      <c r="G21" s="561" t="s">
        <v>658</v>
      </c>
      <c r="H21" s="564"/>
      <c r="I21" s="459"/>
      <c r="J21" s="431">
        <f>IFERROR((Heroes!F59+Heroes!H59)*3040,)</f>
        <v>18236960</v>
      </c>
      <c r="K21" s="780"/>
      <c r="L21" s="226"/>
      <c r="M21" s="224" t="s">
        <v>686</v>
      </c>
      <c r="N21" s="224" t="s">
        <v>410</v>
      </c>
      <c r="O21" s="3"/>
      <c r="P21" s="228"/>
      <c r="Q21" t="s">
        <v>702</v>
      </c>
    </row>
    <row r="22" spans="2:31" x14ac:dyDescent="0.3">
      <c r="B22" s="415" t="s">
        <v>633</v>
      </c>
      <c r="C22" s="416"/>
      <c r="D22" s="416"/>
      <c r="E22" s="416"/>
      <c r="F22" s="417"/>
      <c r="G22" s="561" t="s">
        <v>683</v>
      </c>
      <c r="H22" s="564"/>
      <c r="I22" s="459"/>
      <c r="J22" s="431"/>
      <c r="K22" s="780"/>
      <c r="L22" s="226"/>
      <c r="M22" s="227"/>
      <c r="N22" s="3"/>
      <c r="O22" s="3"/>
      <c r="P22" s="228"/>
      <c r="Q22" t="s">
        <v>702</v>
      </c>
    </row>
    <row r="23" spans="2:31" x14ac:dyDescent="0.3">
      <c r="B23" s="415" t="s">
        <v>634</v>
      </c>
      <c r="C23" s="416"/>
      <c r="D23" s="416"/>
      <c r="E23" s="416"/>
      <c r="F23" s="417"/>
      <c r="G23" s="561" t="s">
        <v>683</v>
      </c>
      <c r="H23" s="564"/>
      <c r="I23" s="459"/>
      <c r="J23" s="431"/>
      <c r="K23" s="780"/>
      <c r="L23" s="226"/>
      <c r="M23" s="227"/>
      <c r="N23" s="3"/>
      <c r="O23" s="3"/>
      <c r="P23" s="228"/>
      <c r="Q23" t="s">
        <v>702</v>
      </c>
    </row>
    <row r="24" spans="2:31" x14ac:dyDescent="0.3">
      <c r="B24" s="415" t="s">
        <v>635</v>
      </c>
      <c r="C24" s="416"/>
      <c r="D24" s="416"/>
      <c r="E24" s="416"/>
      <c r="F24" s="417"/>
      <c r="G24" s="561" t="s">
        <v>684</v>
      </c>
      <c r="H24" s="564"/>
      <c r="I24" s="459"/>
      <c r="J24" s="431"/>
      <c r="K24" s="780"/>
      <c r="L24" s="226"/>
      <c r="M24" s="227"/>
      <c r="N24" s="3"/>
      <c r="O24" s="3"/>
      <c r="P24" s="228"/>
      <c r="Q24" t="s">
        <v>702</v>
      </c>
    </row>
    <row r="25" spans="2:31" x14ac:dyDescent="0.3">
      <c r="B25" s="415" t="s">
        <v>636</v>
      </c>
      <c r="C25" s="416"/>
      <c r="D25" s="416"/>
      <c r="E25" s="416"/>
      <c r="F25" s="417"/>
      <c r="G25" s="561" t="s">
        <v>685</v>
      </c>
      <c r="H25" s="564"/>
      <c r="I25" s="459"/>
      <c r="J25" s="431"/>
      <c r="K25" s="780"/>
      <c r="L25" s="226"/>
      <c r="M25" s="227"/>
      <c r="N25" s="3"/>
      <c r="O25" s="3"/>
      <c r="P25" s="228"/>
    </row>
    <row r="26" spans="2:31" x14ac:dyDescent="0.3">
      <c r="B26" s="415" t="s">
        <v>637</v>
      </c>
      <c r="C26" s="416"/>
      <c r="D26" s="416"/>
      <c r="E26" s="416"/>
      <c r="F26" s="417"/>
      <c r="G26" s="561" t="s">
        <v>659</v>
      </c>
      <c r="H26" s="564"/>
      <c r="I26" s="459"/>
      <c r="J26" s="431">
        <f>IFERROR(Pets!M24,0)</f>
        <v>0</v>
      </c>
      <c r="K26" s="780"/>
      <c r="L26" s="226"/>
      <c r="M26" s="3"/>
      <c r="N26" s="224" t="s">
        <v>686</v>
      </c>
      <c r="O26" s="3"/>
      <c r="P26" s="224" t="s">
        <v>410</v>
      </c>
    </row>
    <row r="27" spans="2:31" x14ac:dyDescent="0.3">
      <c r="B27" s="415" t="s">
        <v>638</v>
      </c>
      <c r="C27" s="416"/>
      <c r="D27" s="416"/>
      <c r="E27" s="416"/>
      <c r="F27" s="417"/>
      <c r="G27" s="561" t="s">
        <v>660</v>
      </c>
      <c r="H27" s="564"/>
      <c r="I27" s="459"/>
      <c r="J27" s="431">
        <f>IFERROR(Pets!M25,0)</f>
        <v>0</v>
      </c>
      <c r="K27" s="780"/>
      <c r="L27" s="226"/>
      <c r="M27" s="3"/>
      <c r="N27" s="224" t="s">
        <v>686</v>
      </c>
      <c r="O27" s="3"/>
      <c r="P27" s="224" t="s">
        <v>410</v>
      </c>
    </row>
    <row r="28" spans="2:31" x14ac:dyDescent="0.3">
      <c r="B28" s="415" t="s">
        <v>639</v>
      </c>
      <c r="C28" s="416"/>
      <c r="D28" s="416"/>
      <c r="E28" s="416"/>
      <c r="F28" s="417"/>
      <c r="G28" s="561" t="s">
        <v>661</v>
      </c>
      <c r="H28" s="564"/>
      <c r="I28" s="459"/>
      <c r="J28" s="431">
        <f>IFERROR(Pets!M26,0)</f>
        <v>0</v>
      </c>
      <c r="K28" s="780"/>
      <c r="L28" s="226"/>
      <c r="M28" s="3"/>
      <c r="N28" s="224" t="s">
        <v>686</v>
      </c>
      <c r="O28" s="3"/>
      <c r="P28" s="224" t="s">
        <v>410</v>
      </c>
      <c r="Q28" t="s">
        <v>702</v>
      </c>
    </row>
    <row r="29" spans="2:31" x14ac:dyDescent="0.3">
      <c r="B29" s="415" t="s">
        <v>640</v>
      </c>
      <c r="C29" s="416"/>
      <c r="D29" s="416"/>
      <c r="E29" s="416"/>
      <c r="F29" s="417"/>
      <c r="G29" s="561" t="s">
        <v>662</v>
      </c>
      <c r="H29" s="564"/>
      <c r="I29" s="459"/>
      <c r="J29" s="431"/>
      <c r="K29" s="780"/>
      <c r="L29" s="226"/>
      <c r="M29" s="3"/>
      <c r="N29" s="227"/>
      <c r="O29" s="3"/>
      <c r="P29" s="228"/>
      <c r="Q29" t="s">
        <v>702</v>
      </c>
      <c r="AE29" s="38"/>
    </row>
    <row r="30" spans="2:31" x14ac:dyDescent="0.3">
      <c r="B30" s="415" t="s">
        <v>641</v>
      </c>
      <c r="C30" s="416"/>
      <c r="D30" s="416"/>
      <c r="E30" s="416"/>
      <c r="F30" s="417"/>
      <c r="G30" s="561" t="s">
        <v>663</v>
      </c>
      <c r="H30" s="564"/>
      <c r="I30" s="459"/>
      <c r="J30" s="431"/>
      <c r="K30" s="780"/>
      <c r="L30" s="226"/>
      <c r="M30" s="3"/>
      <c r="N30" s="227"/>
      <c r="O30" s="3"/>
      <c r="P30" s="228"/>
      <c r="Q30" t="s">
        <v>702</v>
      </c>
    </row>
    <row r="31" spans="2:31" x14ac:dyDescent="0.3">
      <c r="B31" s="415" t="s">
        <v>642</v>
      </c>
      <c r="C31" s="416"/>
      <c r="D31" s="416"/>
      <c r="E31" s="416"/>
      <c r="F31" s="417"/>
      <c r="G31" s="561" t="s">
        <v>664</v>
      </c>
      <c r="H31" s="564"/>
      <c r="I31" s="459"/>
      <c r="J31" s="431"/>
      <c r="K31" s="780"/>
      <c r="L31" s="226"/>
      <c r="M31" s="3"/>
      <c r="N31" s="227"/>
      <c r="O31" s="3"/>
      <c r="P31" s="228"/>
    </row>
    <row r="32" spans="2:31" x14ac:dyDescent="0.3">
      <c r="B32" s="415" t="s">
        <v>643</v>
      </c>
      <c r="C32" s="416"/>
      <c r="D32" s="416"/>
      <c r="E32" s="416"/>
      <c r="F32" s="417"/>
      <c r="G32" s="561" t="s">
        <v>665</v>
      </c>
      <c r="H32" s="564"/>
      <c r="I32" s="459"/>
      <c r="J32" s="431">
        <f>IFERROR('Hero Gear'!I45,0)</f>
        <v>3840000</v>
      </c>
      <c r="K32" s="780"/>
      <c r="L32" s="226"/>
      <c r="M32" s="3"/>
      <c r="N32" s="3"/>
      <c r="O32" s="224" t="s">
        <v>686</v>
      </c>
      <c r="P32" s="224" t="s">
        <v>410</v>
      </c>
    </row>
    <row r="33" spans="2:31" x14ac:dyDescent="0.3">
      <c r="B33" s="415" t="s">
        <v>644</v>
      </c>
      <c r="C33" s="416"/>
      <c r="D33" s="416"/>
      <c r="E33" s="416"/>
      <c r="F33" s="417"/>
      <c r="G33" s="561" t="s">
        <v>666</v>
      </c>
      <c r="H33" s="564"/>
      <c r="I33" s="459"/>
      <c r="J33" s="431">
        <f>IFERROR(Heroes!O54,0)</f>
        <v>0</v>
      </c>
      <c r="K33" s="780"/>
      <c r="L33" s="226"/>
      <c r="M33" s="3"/>
      <c r="N33" s="3"/>
      <c r="O33" s="224" t="s">
        <v>686</v>
      </c>
      <c r="P33" s="224" t="s">
        <v>410</v>
      </c>
      <c r="AE33" s="38"/>
    </row>
    <row r="34" spans="2:31" x14ac:dyDescent="0.3">
      <c r="B34" s="415" t="s">
        <v>674</v>
      </c>
      <c r="C34" s="416"/>
      <c r="D34" s="416"/>
      <c r="E34" s="416"/>
      <c r="F34" s="417"/>
      <c r="G34" s="561" t="s">
        <v>993</v>
      </c>
      <c r="H34" s="564"/>
      <c r="I34" s="459"/>
      <c r="J34" s="431" t="str">
        <f>IFERROR('Hero Gear'!M37,0)</f>
        <v>-</v>
      </c>
      <c r="K34" s="780"/>
      <c r="L34" s="226"/>
      <c r="M34" s="3"/>
      <c r="N34" s="3"/>
      <c r="O34" s="224" t="s">
        <v>686</v>
      </c>
      <c r="P34" s="224" t="s">
        <v>410</v>
      </c>
    </row>
    <row r="35" spans="2:31" x14ac:dyDescent="0.3">
      <c r="B35" s="415" t="s">
        <v>858</v>
      </c>
      <c r="C35" s="416"/>
      <c r="D35" s="416"/>
      <c r="E35" s="416"/>
      <c r="F35" s="417"/>
      <c r="G35" s="561" t="s">
        <v>880</v>
      </c>
      <c r="H35" s="564"/>
      <c r="I35" s="459"/>
      <c r="J35" s="431">
        <f>'Dawn Academy'!O29</f>
        <v>2832000</v>
      </c>
      <c r="K35" s="780"/>
      <c r="L35" s="226"/>
      <c r="M35" s="224" t="s">
        <v>410</v>
      </c>
      <c r="N35" s="224" t="s">
        <v>686</v>
      </c>
      <c r="P35" s="19"/>
      <c r="Q35" t="s">
        <v>950</v>
      </c>
    </row>
    <row r="36" spans="2:31" ht="15" customHeight="1" x14ac:dyDescent="0.3">
      <c r="B36" s="415" t="s">
        <v>859</v>
      </c>
      <c r="C36" s="416"/>
      <c r="D36" s="416"/>
      <c r="E36" s="416"/>
      <c r="F36" s="417"/>
      <c r="G36" s="561" t="s">
        <v>881</v>
      </c>
      <c r="H36" s="564"/>
      <c r="I36" s="459"/>
      <c r="J36" s="431">
        <f>'Dawn Academy'!L29+'Dawn Academy'!M29</f>
        <v>2370000</v>
      </c>
      <c r="K36" s="780"/>
      <c r="L36" s="226"/>
      <c r="M36" s="224" t="s">
        <v>410</v>
      </c>
      <c r="N36" s="224" t="s">
        <v>686</v>
      </c>
      <c r="P36" s="19"/>
      <c r="Q36" t="s">
        <v>992</v>
      </c>
      <c r="R36" s="326"/>
      <c r="S36" s="326"/>
      <c r="T36" s="326"/>
      <c r="U36" s="326"/>
      <c r="V36" s="326"/>
      <c r="W36" s="326"/>
      <c r="X36" s="326"/>
    </row>
    <row r="37" spans="2:31" x14ac:dyDescent="0.3">
      <c r="B37" s="386" t="s">
        <v>645</v>
      </c>
      <c r="C37" s="387"/>
      <c r="D37" s="387"/>
      <c r="E37" s="387"/>
      <c r="F37" s="388"/>
      <c r="G37" s="560" t="s">
        <v>667</v>
      </c>
      <c r="H37" s="565"/>
      <c r="I37" s="460"/>
      <c r="J37" s="778">
        <f>IFERROR('Troop Calculator'!J54+'Troop Calculator'!L30,0)</f>
        <v>12150000</v>
      </c>
      <c r="K37" s="779"/>
      <c r="L37" s="230"/>
      <c r="M37" s="231"/>
      <c r="N37" s="231"/>
      <c r="O37" s="227"/>
      <c r="P37" s="232"/>
      <c r="Q37" s="327" t="s">
        <v>675</v>
      </c>
      <c r="R37" s="326"/>
      <c r="S37" s="326"/>
      <c r="T37" s="326"/>
      <c r="U37" s="326"/>
      <c r="V37" s="326"/>
      <c r="W37" s="326"/>
      <c r="X37" s="326"/>
    </row>
    <row r="38" spans="2:31" x14ac:dyDescent="0.3">
      <c r="J38" s="500">
        <f ca="1">SUM(J9:J37)-J16-J18+(J18*8000)*2</f>
        <v>97513260</v>
      </c>
      <c r="K38" s="394"/>
      <c r="L38" s="216">
        <f>SUMIF(L$9:L$37,"Yes",$J$9:$K$37)+IF(I3="Monday",J11,0)+IF(I3="Monday",J12,0)+IF(I3="Monday",J14,0)+IF(I4="Monday",J13,0)+IF(I4="Monday",J15,0)</f>
        <v>22216000</v>
      </c>
      <c r="M38" s="216">
        <f>SUMIF(M$9:M$37,"Yes",$J$9:$K$37)+(J18*8000)+IF(I3="Tuesday",J11,0)+IF(I3="Tuesday",J12,0)+IF(I3="Tuesday",J14,0)+IF(I4="Tuesday",J13*1000,0)+IF(I4="Tuesday",J15,0)</f>
        <v>11187300</v>
      </c>
      <c r="N38" s="216">
        <f>SUMIF(N$9:N$37,"Yes",$J$9:$K$37)+J18*8000</f>
        <v>19436960</v>
      </c>
      <c r="O38" s="216">
        <f ca="1">SUMIF(O$9:O$37,"Yes",$J$9:$K$37)+J37</f>
        <v>32310000</v>
      </c>
      <c r="P38" s="216">
        <f ca="1">SUMIF(P$9:P$37,"Yes",$J$9:$K$37)+J10+IF(I3="Friday",J11,0)+IF(I3="Friday",J12,0)+IF(I3="Friday",J14,0)+IF(I4="Friday",J13,0)+IF(I4="Friday",J15,0)</f>
        <v>12363000</v>
      </c>
    </row>
    <row r="40" spans="2:31" x14ac:dyDescent="0.3">
      <c r="L40" s="1" t="s">
        <v>219</v>
      </c>
      <c r="M40" s="1" t="s">
        <v>816</v>
      </c>
      <c r="N40" s="1" t="s">
        <v>816</v>
      </c>
      <c r="O40" s="88" t="s">
        <v>394</v>
      </c>
      <c r="P40" s="1" t="s">
        <v>93</v>
      </c>
    </row>
    <row r="41" spans="2:31" x14ac:dyDescent="0.3">
      <c r="L41" s="1"/>
      <c r="M41" s="1" t="s">
        <v>814</v>
      </c>
      <c r="N41" s="1" t="s">
        <v>817</v>
      </c>
      <c r="O41" s="1" t="s">
        <v>819</v>
      </c>
      <c r="P41" s="1" t="s">
        <v>820</v>
      </c>
    </row>
    <row r="42" spans="2:31" x14ac:dyDescent="0.3">
      <c r="L42" s="1"/>
      <c r="M42" s="1" t="s">
        <v>815</v>
      </c>
      <c r="N42" s="1" t="s">
        <v>818</v>
      </c>
      <c r="O42" s="1"/>
      <c r="P42" s="1" t="s">
        <v>564</v>
      </c>
      <c r="U42" s="282"/>
      <c r="V42" s="282"/>
      <c r="W42" s="282"/>
    </row>
    <row r="43" spans="2:31" x14ac:dyDescent="0.3">
      <c r="L43" s="1"/>
      <c r="M43" s="1" t="s">
        <v>991</v>
      </c>
      <c r="N43" s="1"/>
      <c r="O43" s="1"/>
      <c r="P43" s="1"/>
      <c r="U43" s="282"/>
      <c r="V43" s="282"/>
      <c r="W43" s="282"/>
    </row>
    <row r="44" spans="2:31" x14ac:dyDescent="0.3">
      <c r="U44" s="282"/>
      <c r="V44" s="282"/>
      <c r="W44" s="282"/>
    </row>
    <row r="45" spans="2:31" x14ac:dyDescent="0.3">
      <c r="M45" s="38"/>
      <c r="U45" s="282"/>
      <c r="V45" s="282"/>
      <c r="W45" s="282"/>
    </row>
    <row r="46" spans="2:31" x14ac:dyDescent="0.3">
      <c r="U46" s="282"/>
      <c r="V46" s="282"/>
      <c r="W46" s="282"/>
    </row>
  </sheetData>
  <sheetProtection sheet="1" formatColumns="0"/>
  <mergeCells count="96">
    <mergeCell ref="G35:I35"/>
    <mergeCell ref="G36:I36"/>
    <mergeCell ref="B35:F35"/>
    <mergeCell ref="B36:F36"/>
    <mergeCell ref="J36:K36"/>
    <mergeCell ref="J35:K35"/>
    <mergeCell ref="G14:I14"/>
    <mergeCell ref="B13:F13"/>
    <mergeCell ref="B12:F12"/>
    <mergeCell ref="B11:F11"/>
    <mergeCell ref="G11:I11"/>
    <mergeCell ref="G12:I12"/>
    <mergeCell ref="G13:I13"/>
    <mergeCell ref="A1:Q1"/>
    <mergeCell ref="G9:I9"/>
    <mergeCell ref="G10:I10"/>
    <mergeCell ref="B10:F10"/>
    <mergeCell ref="B9:F9"/>
    <mergeCell ref="L7:P7"/>
    <mergeCell ref="B8:I8"/>
    <mergeCell ref="I3:K3"/>
    <mergeCell ref="I4:K4"/>
    <mergeCell ref="B33:F33"/>
    <mergeCell ref="B37:F37"/>
    <mergeCell ref="B25:F25"/>
    <mergeCell ref="B26:F26"/>
    <mergeCell ref="B27:F27"/>
    <mergeCell ref="B28:F28"/>
    <mergeCell ref="B29:F29"/>
    <mergeCell ref="B30:F30"/>
    <mergeCell ref="B31:F31"/>
    <mergeCell ref="B32:F32"/>
    <mergeCell ref="B34:F34"/>
    <mergeCell ref="B22:F22"/>
    <mergeCell ref="B23:F23"/>
    <mergeCell ref="B24:F24"/>
    <mergeCell ref="B15:F15"/>
    <mergeCell ref="B14:F14"/>
    <mergeCell ref="B21:F21"/>
    <mergeCell ref="B20:F20"/>
    <mergeCell ref="B19:F19"/>
    <mergeCell ref="B18:F18"/>
    <mergeCell ref="B16:F16"/>
    <mergeCell ref="B17:F17"/>
    <mergeCell ref="G15:I15"/>
    <mergeCell ref="G16:I16"/>
    <mergeCell ref="G18:I18"/>
    <mergeCell ref="G19:I19"/>
    <mergeCell ref="G20:I20"/>
    <mergeCell ref="G17:I17"/>
    <mergeCell ref="G21:I21"/>
    <mergeCell ref="G22:I22"/>
    <mergeCell ref="G23:I23"/>
    <mergeCell ref="J32:K32"/>
    <mergeCell ref="J33:K33"/>
    <mergeCell ref="G24:I24"/>
    <mergeCell ref="G25:I25"/>
    <mergeCell ref="J31:K31"/>
    <mergeCell ref="G32:I32"/>
    <mergeCell ref="G33:I33"/>
    <mergeCell ref="G27:I27"/>
    <mergeCell ref="G28:I28"/>
    <mergeCell ref="G29:I29"/>
    <mergeCell ref="G30:I30"/>
    <mergeCell ref="G31:I31"/>
    <mergeCell ref="G37:I37"/>
    <mergeCell ref="B3:H3"/>
    <mergeCell ref="B4:H4"/>
    <mergeCell ref="J21:K21"/>
    <mergeCell ref="J22:K22"/>
    <mergeCell ref="J23:K23"/>
    <mergeCell ref="J24:K24"/>
    <mergeCell ref="J25:K25"/>
    <mergeCell ref="J26:K26"/>
    <mergeCell ref="J27:K27"/>
    <mergeCell ref="J28:K28"/>
    <mergeCell ref="J29:K29"/>
    <mergeCell ref="J8:K8"/>
    <mergeCell ref="G34:I34"/>
    <mergeCell ref="G26:I26"/>
    <mergeCell ref="J34:K34"/>
    <mergeCell ref="J38:K38"/>
    <mergeCell ref="J37:K37"/>
    <mergeCell ref="J17:K17"/>
    <mergeCell ref="J9:K9"/>
    <mergeCell ref="J10:K10"/>
    <mergeCell ref="J11:K11"/>
    <mergeCell ref="J12:K12"/>
    <mergeCell ref="J13:K13"/>
    <mergeCell ref="J14:K14"/>
    <mergeCell ref="J15:K15"/>
    <mergeCell ref="J16:K16"/>
    <mergeCell ref="J18:K18"/>
    <mergeCell ref="J19:K19"/>
    <mergeCell ref="J20:K20"/>
    <mergeCell ref="J30:K30"/>
  </mergeCells>
  <conditionalFormatting sqref="L9 N9:O9">
    <cfRule type="expression" dxfId="61" priority="16">
      <formula>COUNTIF($L$9:$O$9,"Yes")&gt;1</formula>
    </cfRule>
  </conditionalFormatting>
  <conditionalFormatting sqref="L11:M12 P11:P12 L14:M14 P14">
    <cfRule type="expression" dxfId="60" priority="88">
      <formula>L$8&lt;&gt;$I$3</formula>
    </cfRule>
    <cfRule type="expression" dxfId="59" priority="89">
      <formula>L$8=$I$3</formula>
    </cfRule>
  </conditionalFormatting>
  <conditionalFormatting sqref="L13:M13 P13 L15:M15 P15">
    <cfRule type="expression" dxfId="58" priority="96">
      <formula>L$8&lt;&gt;$I$4</formula>
    </cfRule>
    <cfRule type="expression" dxfId="57" priority="97">
      <formula>L$8=$I$4</formula>
    </cfRule>
  </conditionalFormatting>
  <conditionalFormatting sqref="L17:M17 P17">
    <cfRule type="expression" dxfId="56" priority="3" stopIfTrue="1">
      <formula>COUNTIF($L$17:$P$17,"Yes")&gt;1</formula>
    </cfRule>
  </conditionalFormatting>
  <conditionalFormatting sqref="L38:P38">
    <cfRule type="expression" dxfId="55" priority="104">
      <formula>AND($I$3=L$8,$I$4=L$8)</formula>
    </cfRule>
  </conditionalFormatting>
  <conditionalFormatting sqref="M19:N19">
    <cfRule type="expression" dxfId="54" priority="19">
      <formula>COUNTIF($M$19:$N$19,"Yes")&gt;1</formula>
    </cfRule>
  </conditionalFormatting>
  <conditionalFormatting sqref="M19:N21 L9 N9:O9 N26:N28 P26:P28 O32:P36 L17:N17 P17 M35:N36">
    <cfRule type="cellIs" dxfId="53" priority="20" operator="equal">
      <formula>"Yes"</formula>
    </cfRule>
  </conditionalFormatting>
  <conditionalFormatting sqref="M20:N20">
    <cfRule type="expression" dxfId="52" priority="18">
      <formula>COUNTIF($M$20:$N$20,"Yes")&gt;1</formula>
    </cfRule>
  </conditionalFormatting>
  <conditionalFormatting sqref="M21:N21">
    <cfRule type="expression" dxfId="51" priority="17">
      <formula>COUNTIF($M$21:$N$21,"Yes")&gt;1</formula>
    </cfRule>
  </conditionalFormatting>
  <conditionalFormatting sqref="M35:N35">
    <cfRule type="expression" dxfId="50" priority="2">
      <formula>COUNTIF($M$35:$N$35,"Yes")&gt;1</formula>
    </cfRule>
  </conditionalFormatting>
  <conditionalFormatting sqref="M36:N36">
    <cfRule type="expression" dxfId="49" priority="1">
      <formula>COUNTIF($M$36:$N$36,"Yes")&gt;1</formula>
    </cfRule>
  </conditionalFormatting>
  <conditionalFormatting sqref="N26 P26">
    <cfRule type="expression" dxfId="48" priority="4">
      <formula>COUNTIF($N$26:$P$26,"Yes")&gt;1</formula>
    </cfRule>
  </conditionalFormatting>
  <conditionalFormatting sqref="N27 P27">
    <cfRule type="expression" dxfId="47" priority="15">
      <formula>COUNTIF($N$27:$P$27,"Yes")&gt;1</formula>
    </cfRule>
  </conditionalFormatting>
  <conditionalFormatting sqref="N28 P28">
    <cfRule type="expression" dxfId="46" priority="14">
      <formula>COUNTIF($N$28:$P$28,"Yes")&gt;1</formula>
    </cfRule>
  </conditionalFormatting>
  <conditionalFormatting sqref="O32:P32">
    <cfRule type="expression" dxfId="45" priority="13">
      <formula>COUNTIF($O$32:$P$32,"Yes")&gt;1</formula>
    </cfRule>
  </conditionalFormatting>
  <conditionalFormatting sqref="O33:P33">
    <cfRule type="expression" dxfId="44" priority="12">
      <formula>COUNTIF($O$33:$P$33,"Yes")&gt;1</formula>
    </cfRule>
  </conditionalFormatting>
  <conditionalFormatting sqref="O34:P36">
    <cfRule type="expression" dxfId="43" priority="11">
      <formula>COUNTIF($O$34:$P$34,"Yes")&gt;1</formula>
    </cfRule>
  </conditionalFormatting>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75E3C039-6D88-4797-BDF4-4819B2219763}">
          <x14:formula1>
            <xm:f>Lists!$A$162:$A$165</xm:f>
          </x14:formula1>
          <xm:sqref>I3:I4</xm:sqref>
        </x14:dataValidation>
        <x14:dataValidation type="list" allowBlank="1" showInputMessage="1" showErrorMessage="1" xr:uid="{87456A1E-3AE4-469A-80D2-335C1359A019}">
          <x14:formula1>
            <xm:f>Lists!$A$167:$A$169</xm:f>
          </x14:formula1>
          <xm:sqref>L9 N9:O9 M19:N21 N26:N28 P26:P28 O32:P34 M35:N36 P17 L17:M17</xm:sqref>
        </x14:dataValidation>
        <x14:dataValidation type="list" allowBlank="1" showInputMessage="1" showErrorMessage="1" xr:uid="{749DFAEF-03D6-4EAD-A461-443E2E603802}">
          <x14:formula1>
            <xm:f>Lists!$A$171:$A$321</xm:f>
          </x14:formula1>
          <xm:sqref>J18:K18</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E3C0-DE87-47FD-A3BC-4E62EE5947AE}">
  <sheetPr codeName="Sheet31"/>
  <dimension ref="A1:AC72"/>
  <sheetViews>
    <sheetView workbookViewId="0">
      <selection sqref="A1:X2"/>
    </sheetView>
  </sheetViews>
  <sheetFormatPr baseColWidth="10" defaultColWidth="8.88671875" defaultRowHeight="14.4" x14ac:dyDescent="0.3"/>
  <cols>
    <col min="2" max="2" width="10.6640625" bestFit="1" customWidth="1"/>
    <col min="6" max="6" width="9.109375" style="1"/>
    <col min="7" max="7" width="10.88671875" style="1" customWidth="1"/>
    <col min="9" max="9" width="9.109375" style="1"/>
    <col min="10" max="10" width="10.88671875" style="1" customWidth="1"/>
    <col min="12" max="12" width="9.109375" style="1"/>
    <col min="13" max="13" width="10.88671875" style="1" customWidth="1"/>
  </cols>
  <sheetData>
    <row r="1" spans="1:24" ht="15" customHeight="1" x14ac:dyDescent="0.3">
      <c r="A1" s="728" t="s">
        <v>720</v>
      </c>
      <c r="B1" s="728"/>
      <c r="C1" s="728"/>
      <c r="D1" s="728"/>
      <c r="E1" s="728"/>
      <c r="F1" s="728"/>
      <c r="G1" s="728"/>
      <c r="H1" s="728"/>
      <c r="I1" s="728"/>
      <c r="J1" s="728"/>
      <c r="K1" s="728"/>
      <c r="L1" s="728"/>
      <c r="M1" s="728"/>
      <c r="N1" s="728"/>
      <c r="O1" s="728"/>
      <c r="P1" s="728"/>
      <c r="Q1" s="728"/>
      <c r="R1" s="728"/>
      <c r="S1" s="728"/>
      <c r="T1" s="728"/>
      <c r="U1" s="728"/>
      <c r="V1" s="728"/>
      <c r="W1" s="728"/>
      <c r="X1" s="728"/>
    </row>
    <row r="2" spans="1:24" ht="15" customHeight="1" x14ac:dyDescent="0.3">
      <c r="A2" s="728"/>
      <c r="B2" s="728"/>
      <c r="C2" s="728"/>
      <c r="D2" s="728"/>
      <c r="E2" s="728"/>
      <c r="F2" s="728"/>
      <c r="G2" s="728"/>
      <c r="H2" s="728"/>
      <c r="I2" s="728"/>
      <c r="J2" s="728"/>
      <c r="K2" s="728"/>
      <c r="L2" s="728"/>
      <c r="M2" s="728"/>
      <c r="N2" s="728"/>
      <c r="O2" s="728"/>
      <c r="P2" s="728"/>
      <c r="Q2" s="728"/>
      <c r="R2" s="728"/>
      <c r="S2" s="728"/>
      <c r="T2" s="728"/>
      <c r="U2" s="728"/>
      <c r="V2" s="728"/>
      <c r="W2" s="728"/>
      <c r="X2" s="728"/>
    </row>
    <row r="4" spans="1:24" x14ac:dyDescent="0.3">
      <c r="B4" s="402" t="s">
        <v>732</v>
      </c>
      <c r="C4" s="403"/>
      <c r="D4" s="510"/>
      <c r="F4" s="527" t="s">
        <v>162</v>
      </c>
      <c r="G4" s="529"/>
      <c r="I4" s="527" t="s">
        <v>163</v>
      </c>
      <c r="J4" s="529"/>
      <c r="L4" s="527" t="s">
        <v>164</v>
      </c>
      <c r="M4" s="529"/>
    </row>
    <row r="5" spans="1:24" ht="15" customHeight="1" x14ac:dyDescent="0.3">
      <c r="B5" s="14" t="s">
        <v>162</v>
      </c>
      <c r="C5" s="233" t="s">
        <v>163</v>
      </c>
      <c r="D5" s="204" t="s">
        <v>164</v>
      </c>
      <c r="F5" s="14" t="s">
        <v>718</v>
      </c>
      <c r="G5" s="14" t="s">
        <v>696</v>
      </c>
      <c r="I5" s="14" t="s">
        <v>693</v>
      </c>
      <c r="J5" s="14" t="s">
        <v>696</v>
      </c>
      <c r="L5" s="14" t="s">
        <v>693</v>
      </c>
      <c r="M5" s="14" t="s">
        <v>696</v>
      </c>
      <c r="T5" s="241"/>
      <c r="U5" s="241"/>
    </row>
    <row r="6" spans="1:24" ht="15" customHeight="1" x14ac:dyDescent="0.3">
      <c r="A6" s="576" t="s">
        <v>337</v>
      </c>
      <c r="B6" s="220" t="str">
        <f>IF(AND(Heroes!$D6&lt;&gt;"Locked",Heroes!$B6=B$5),Heroes!$C6,"-")</f>
        <v>Jeronimo</v>
      </c>
      <c r="C6" s="220" t="str">
        <f>IF(AND(Heroes!$D6&lt;&gt;"Locked",Heroes!$B6=C$5),Heroes!$C6,"-")</f>
        <v>-</v>
      </c>
      <c r="D6" s="220" t="str">
        <f>IF(AND(Heroes!$D6&lt;&gt;"Locked",Heroes!$B6=D$5),Heroes!$C6,"-")</f>
        <v>-</v>
      </c>
      <c r="F6" s="20" t="str">
        <f>IF(AND(Heroes!$B6=$F$4,Heroes!$D6&lt;&gt;"Locked",Heroes!$K6="Attack"),Heroes!$C6,"-")</f>
        <v>Jeronimo</v>
      </c>
      <c r="G6" s="144" t="str">
        <f>IF(AND(Heroes!$B6="Infantry",Heroes!$D6&lt;&gt;"Locked",Heroes!$K6="Defense"),Heroes!$C6,"-")</f>
        <v>-</v>
      </c>
      <c r="H6" s="1"/>
      <c r="I6" s="20" t="str">
        <f>IF(AND(Heroes!$B6=$I$4,Heroes!$D6&lt;&gt;"Locked",Heroes!$K6="Attack"),Heroes!$C6,"-")</f>
        <v>-</v>
      </c>
      <c r="J6" s="144" t="str">
        <f>IF(AND(Heroes!$B6=$I$4,Heroes!$D6&lt;&gt;"Locked",Heroes!$K6="Defense"),Heroes!$C6,"-")</f>
        <v>-</v>
      </c>
      <c r="K6" s="1"/>
      <c r="L6" s="20" t="str">
        <f>IF(AND(Heroes!$B6=$L$4,Heroes!$D6&lt;&gt;"Locked",Heroes!$K6="Attack"),Heroes!$C6,"-")</f>
        <v>-</v>
      </c>
      <c r="M6" s="144" t="str">
        <f>IF(AND(Heroes!$B6=$L$4,Heroes!$D6&lt;&gt;"Locked",Heroes!$K6="Defense"),Heroes!$C6,"-")</f>
        <v>-</v>
      </c>
      <c r="S6" s="241"/>
      <c r="T6" s="241"/>
      <c r="U6" s="241"/>
    </row>
    <row r="7" spans="1:24" ht="15" customHeight="1" x14ac:dyDescent="0.3">
      <c r="A7" s="577"/>
      <c r="B7" s="221" t="str">
        <f>IF(AND(Heroes!$D7&lt;&gt;"Locked",Heroes!$B7=B$5),Heroes!$C7,"-")</f>
        <v>Natalia</v>
      </c>
      <c r="C7" s="221" t="str">
        <f>IF(AND(Heroes!$D7&lt;&gt;"Locked",Heroes!$B7=C$5),Heroes!$C7,"-")</f>
        <v>-</v>
      </c>
      <c r="D7" s="221" t="str">
        <f>IF(AND(Heroes!$D7&lt;&gt;"Locked",Heroes!$B7=D$5),Heroes!$C7,"-")</f>
        <v>-</v>
      </c>
      <c r="F7" s="15" t="str">
        <f>IF(AND(Heroes!$B7=$F$4,Heroes!$D7&lt;&gt;"Locked",Heroes!$K7="Attack"),Heroes!$C7,"-")</f>
        <v>Natalia</v>
      </c>
      <c r="G7" s="21" t="str">
        <f>IF(AND(Heroes!$B7="Infantry",Heroes!$D7&lt;&gt;"Locked",Heroes!$K7="Defense"),Heroes!$C7,"-")</f>
        <v>-</v>
      </c>
      <c r="H7" s="1"/>
      <c r="I7" s="15" t="str">
        <f>IF(AND(Heroes!$B7=$I$4,Heroes!$D7&lt;&gt;"Locked",Heroes!$K7="Attack"),Heroes!$C7,"-")</f>
        <v>-</v>
      </c>
      <c r="J7" s="21" t="str">
        <f>IF(AND(Heroes!$B7=$I$4,Heroes!$D7&lt;&gt;"Locked",Heroes!$K7="Defense"),Heroes!$C7,"-")</f>
        <v>-</v>
      </c>
      <c r="K7" s="1"/>
      <c r="L7" s="15" t="str">
        <f>IF(AND(Heroes!$B7=$L$4,Heroes!$D7&lt;&gt;"Locked",Heroes!$K7="Attack"),Heroes!$C7,"-")</f>
        <v>-</v>
      </c>
      <c r="M7" s="21" t="str">
        <f>IF(AND(Heroes!$B7=$L$4,Heroes!$D7&lt;&gt;"Locked",Heroes!$K7="Defense"),Heroes!$C7,"-")</f>
        <v>-</v>
      </c>
      <c r="P7" s="810" t="s">
        <v>810</v>
      </c>
      <c r="Q7" s="810"/>
      <c r="R7" s="810"/>
      <c r="S7" s="241"/>
      <c r="T7" s="241"/>
    </row>
    <row r="8" spans="1:24" ht="15" customHeight="1" x14ac:dyDescent="0.3">
      <c r="A8" s="577"/>
      <c r="B8" s="221" t="str">
        <f>IF(AND(Heroes!$D8&lt;&gt;"Locked",Heroes!$B8=B$5),Heroes!$C8,"-")</f>
        <v>-</v>
      </c>
      <c r="C8" s="221" t="str">
        <f>IF(AND(Heroes!$D8&lt;&gt;"Locked",Heroes!$B8=C$5),Heroes!$C8,"-")</f>
        <v>Molly</v>
      </c>
      <c r="D8" s="221" t="str">
        <f>IF(AND(Heroes!$D8&lt;&gt;"Locked",Heroes!$B8=D$5),Heroes!$C8,"-")</f>
        <v>-</v>
      </c>
      <c r="F8" s="15" t="str">
        <f>IF(AND(Heroes!$B8=$F$4,Heroes!$D8&lt;&gt;"Locked",Heroes!$K8="Attack"),Heroes!$C8,"-")</f>
        <v>-</v>
      </c>
      <c r="G8" s="21" t="str">
        <f>IF(AND(Heroes!$B8="Infantry",Heroes!$D8&lt;&gt;"Locked",Heroes!$K8="Defense"),Heroes!$C8,"-")</f>
        <v>-</v>
      </c>
      <c r="H8" s="1"/>
      <c r="I8" s="15" t="str">
        <f>IF(AND(Heroes!$B8=$I$4,Heroes!$D8&lt;&gt;"Locked",Heroes!$K8="Attack"),Heroes!$C8,"-")</f>
        <v>-</v>
      </c>
      <c r="J8" s="21" t="str">
        <f>IF(AND(Heroes!$B8=$I$4,Heroes!$D8&lt;&gt;"Locked",Heroes!$K8="Defense"),Heroes!$C8,"-")</f>
        <v>Molly</v>
      </c>
      <c r="K8" s="1"/>
      <c r="L8" s="15" t="str">
        <f>IF(AND(Heroes!$B8=$L$4,Heroes!$D8&lt;&gt;"Locked",Heroes!$K8="Attack"),Heroes!$C8,"-")</f>
        <v>-</v>
      </c>
      <c r="M8" s="21" t="str">
        <f>IF(AND(Heroes!$B8=$L$4,Heroes!$D8&lt;&gt;"Locked",Heroes!$K8="Defense"),Heroes!$C8,"-")</f>
        <v>-</v>
      </c>
      <c r="P8" s="11" t="s">
        <v>162</v>
      </c>
      <c r="Q8" s="628" t="s">
        <v>543</v>
      </c>
      <c r="R8" s="628"/>
      <c r="S8" s="241"/>
      <c r="T8" s="241"/>
    </row>
    <row r="9" spans="1:24" ht="15" customHeight="1" x14ac:dyDescent="0.3">
      <c r="A9" s="578"/>
      <c r="B9" s="219" t="str">
        <f>IF(AND(Heroes!$D9&lt;&gt;"Locked",Heroes!$B9=B$5),Heroes!$C9,"-")</f>
        <v>-</v>
      </c>
      <c r="C9" s="219" t="str">
        <f>IF(AND(Heroes!$D9&lt;&gt;"Locked",Heroes!$B9=C$5),Heroes!$C9,"-")</f>
        <v>-</v>
      </c>
      <c r="D9" s="219" t="str">
        <f>IF(AND(Heroes!$D9&lt;&gt;"Locked",Heroes!$B9=D$5),Heroes!$C9,"-")</f>
        <v>Zinman</v>
      </c>
      <c r="F9" s="17" t="str">
        <f>IF(AND(Heroes!$B9=$F$4,Heroes!$D9&lt;&gt;"Locked",Heroes!$K9="Attack"),Heroes!$C9,"-")</f>
        <v>-</v>
      </c>
      <c r="G9" s="22" t="str">
        <f>IF(AND(Heroes!$B9="Infantry",Heroes!$D9&lt;&gt;"Locked",Heroes!$K9="Defense"),Heroes!$C9,"-")</f>
        <v>-</v>
      </c>
      <c r="H9" s="1"/>
      <c r="I9" s="17" t="str">
        <f>IF(AND(Heroes!$B9=$I$4,Heroes!$D9&lt;&gt;"Locked",Heroes!$K9="Attack"),Heroes!$C9,"-")</f>
        <v>-</v>
      </c>
      <c r="J9" s="22" t="str">
        <f>IF(AND(Heroes!$B9=$I$4,Heroes!$D9&lt;&gt;"Locked",Heroes!$K9="Defense"),Heroes!$C9,"-")</f>
        <v>-</v>
      </c>
      <c r="K9" s="1"/>
      <c r="L9" s="17" t="str">
        <f>IF(AND(Heroes!$B9=$L$4,Heroes!$D9&lt;&gt;"Locked",Heroes!$K9="Attack"),Heroes!$C9,"-")</f>
        <v>-</v>
      </c>
      <c r="M9" s="22" t="str">
        <f>IF(AND(Heroes!$B9=$L$4,Heroes!$D9&lt;&gt;"Locked",Heroes!$K9="Defense"),Heroes!$C9,"-")</f>
        <v>Zinman</v>
      </c>
      <c r="P9" s="11" t="s">
        <v>163</v>
      </c>
      <c r="Q9" s="628" t="s">
        <v>544</v>
      </c>
      <c r="R9" s="628"/>
      <c r="S9" s="241"/>
      <c r="T9" s="241"/>
    </row>
    <row r="10" spans="1:24" ht="15" customHeight="1" x14ac:dyDescent="0.3">
      <c r="A10" s="576" t="s">
        <v>338</v>
      </c>
      <c r="B10" s="220" t="str">
        <f>IF(AND(Heroes!$D10&lt;&gt;"Locked",Heroes!$B10=B$5),Heroes!$C10,"-")</f>
        <v>Flint</v>
      </c>
      <c r="C10" s="220" t="str">
        <f>IF(AND(Heroes!$D10&lt;&gt;"Locked",Heroes!$B10=C$5),Heroes!$C10,"-")</f>
        <v>-</v>
      </c>
      <c r="D10" s="220" t="str">
        <f>IF(AND(Heroes!$D10&lt;&gt;"Locked",Heroes!$B10=D$5),Heroes!$C10,"-")</f>
        <v>-</v>
      </c>
      <c r="F10" s="20" t="str">
        <f>IF(AND(Heroes!$B10=$F$4,Heroes!$D10&lt;&gt;"Locked",Heroes!$K10="Attack"),Heroes!$C10,"-")</f>
        <v>-</v>
      </c>
      <c r="G10" s="144" t="str">
        <f>IF(AND(Heroes!$B10="Infantry",Heroes!$D10&lt;&gt;"Locked",Heroes!$K10="Defense"),Heroes!$C10,"-")</f>
        <v>Flint</v>
      </c>
      <c r="H10" s="1"/>
      <c r="I10" s="20" t="str">
        <f>IF(AND(Heroes!$B10=$I$4,Heroes!$D10&lt;&gt;"Locked",Heroes!$K10="Attack"),Heroes!$C10,"-")</f>
        <v>-</v>
      </c>
      <c r="J10" s="144" t="str">
        <f>IF(AND(Heroes!$B10=$I$4,Heroes!$D10&lt;&gt;"Locked",Heroes!$K10="Defense"),Heroes!$C10,"-")</f>
        <v>-</v>
      </c>
      <c r="K10" s="1"/>
      <c r="L10" s="20" t="str">
        <f>IF(AND(Heroes!$B10=$L$4,Heroes!$D10&lt;&gt;"Locked",Heroes!$K10="Attack"),Heroes!$C10,"-")</f>
        <v>-</v>
      </c>
      <c r="M10" s="144" t="str">
        <f>IF(AND(Heroes!$B10=$L$4,Heroes!$D10&lt;&gt;"Locked",Heroes!$K10="Defense"),Heroes!$C10,"-")</f>
        <v>-</v>
      </c>
      <c r="P10" s="11" t="s">
        <v>164</v>
      </c>
      <c r="Q10" s="628" t="s">
        <v>542</v>
      </c>
      <c r="R10" s="628"/>
      <c r="S10" s="241"/>
      <c r="T10" s="241"/>
    </row>
    <row r="11" spans="1:24" ht="15" customHeight="1" x14ac:dyDescent="0.3">
      <c r="A11" s="577"/>
      <c r="B11" s="221" t="str">
        <f>IF(AND(Heroes!$D11&lt;&gt;"Locked",Heroes!$B11=B$5),Heroes!$C11,"-")</f>
        <v>-</v>
      </c>
      <c r="C11" s="221" t="str">
        <f>IF(AND(Heroes!$D11&lt;&gt;"Locked",Heroes!$B11=C$5),Heroes!$C11,"-")</f>
        <v>Philly</v>
      </c>
      <c r="D11" s="221" t="str">
        <f>IF(AND(Heroes!$D11&lt;&gt;"Locked",Heroes!$B11=D$5),Heroes!$C11,"-")</f>
        <v>-</v>
      </c>
      <c r="F11" s="15" t="str">
        <f>IF(AND(Heroes!$B11=$F$4,Heroes!$D11&lt;&gt;"Locked",Heroes!$K11="Attack"),Heroes!$C11,"-")</f>
        <v>-</v>
      </c>
      <c r="G11" s="21" t="str">
        <f>IF(AND(Heroes!$B11="Infantry",Heroes!$D11&lt;&gt;"Locked",Heroes!$K11="Defense"),Heroes!$C11,"-")</f>
        <v>-</v>
      </c>
      <c r="H11" s="1"/>
      <c r="I11" s="15" t="str">
        <f>IF(AND(Heroes!$B11=$I$4,Heroes!$D11&lt;&gt;"Locked",Heroes!$K11="Attack"),Heroes!$C11,"-")</f>
        <v>-</v>
      </c>
      <c r="J11" s="21" t="str">
        <f>IF(AND(Heroes!$B11=$I$4,Heroes!$D11&lt;&gt;"Locked",Heroes!$K11="Defense"),Heroes!$C11,"-")</f>
        <v>Philly</v>
      </c>
      <c r="K11" s="1"/>
      <c r="L11" s="15" t="str">
        <f>IF(AND(Heroes!$B11=$L$4,Heroes!$D11&lt;&gt;"Locked",Heroes!$K11="Attack"),Heroes!$C11,"-")</f>
        <v>-</v>
      </c>
      <c r="M11" s="21" t="str">
        <f>IF(AND(Heroes!$B11=$L$4,Heroes!$D11&lt;&gt;"Locked",Heroes!$K11="Defense"),Heroes!$C11,"-")</f>
        <v>-</v>
      </c>
      <c r="S11" s="241"/>
      <c r="T11" s="241"/>
    </row>
    <row r="12" spans="1:24" ht="15" customHeight="1" x14ac:dyDescent="0.3">
      <c r="A12" s="578"/>
      <c r="B12" s="219" t="str">
        <f>IF(AND(Heroes!$D12&lt;&gt;"Locked",Heroes!$B12=B$5),Heroes!$C12,"-")</f>
        <v>-</v>
      </c>
      <c r="C12" s="219" t="str">
        <f>IF(AND(Heroes!$D12&lt;&gt;"Locked",Heroes!$B12=C$5),Heroes!$C12,"-")</f>
        <v>-</v>
      </c>
      <c r="D12" s="219" t="str">
        <f>IF(AND(Heroes!$D12&lt;&gt;"Locked",Heroes!$B12=D$5),Heroes!$C12,"-")</f>
        <v>Alonso</v>
      </c>
      <c r="F12" s="17" t="str">
        <f>IF(AND(Heroes!$B12=$F$4,Heroes!$D12&lt;&gt;"Locked",Heroes!$K12="Attack"),Heroes!$C12,"-")</f>
        <v>-</v>
      </c>
      <c r="G12" s="22" t="str">
        <f>IF(AND(Heroes!$B12="Infantry",Heroes!$D12&lt;&gt;"Locked",Heroes!$K12="Defense"),Heroes!$C12,"-")</f>
        <v>-</v>
      </c>
      <c r="H12" s="1"/>
      <c r="I12" s="17" t="str">
        <f>IF(AND(Heroes!$B12=$I$4,Heroes!$D12&lt;&gt;"Locked",Heroes!$K12="Attack"),Heroes!$C12,"-")</f>
        <v>-</v>
      </c>
      <c r="J12" s="22" t="str">
        <f>IF(AND(Heroes!$B12=$I$4,Heroes!$D12&lt;&gt;"Locked",Heroes!$K12="Defense"),Heroes!$C12,"-")</f>
        <v>-</v>
      </c>
      <c r="K12" s="1"/>
      <c r="L12" s="17" t="str">
        <f>IF(AND(Heroes!$B12=$L$4,Heroes!$D12&lt;&gt;"Locked",Heroes!$K12="Attack"),Heroes!$C12,"-")</f>
        <v>Alonso</v>
      </c>
      <c r="M12" s="22" t="str">
        <f>IF(AND(Heroes!$B12=$L$4,Heroes!$D12&lt;&gt;"Locked",Heroes!$K12="Defense"),Heroes!$C12,"-")</f>
        <v>-</v>
      </c>
      <c r="S12" s="241"/>
      <c r="T12" s="241"/>
    </row>
    <row r="13" spans="1:24" ht="15" customHeight="1" x14ac:dyDescent="0.3">
      <c r="A13" s="576" t="s">
        <v>339</v>
      </c>
      <c r="B13" s="220" t="str">
        <f>IF(AND(Heroes!$D13&lt;&gt;"Locked",Heroes!$B13=B$5),Heroes!$C13,"-")</f>
        <v>Logan</v>
      </c>
      <c r="C13" s="220" t="str">
        <f>IF(AND(Heroes!$D13&lt;&gt;"Locked",Heroes!$B13=C$5),Heroes!$C13,"-")</f>
        <v>-</v>
      </c>
      <c r="D13" s="220" t="str">
        <f>IF(AND(Heroes!$D13&lt;&gt;"Locked",Heroes!$B13=D$5),Heroes!$C13,"-")</f>
        <v>-</v>
      </c>
      <c r="F13" s="20" t="str">
        <f>IF(AND(Heroes!$B13=$F$4,Heroes!$D13&lt;&gt;"Locked",Heroes!$K13="Attack"),Heroes!$C13,"-")</f>
        <v>-</v>
      </c>
      <c r="G13" s="144" t="str">
        <f>IF(AND(Heroes!$B13="Infantry",Heroes!$D13&lt;&gt;"Locked",Heroes!$K13="Defense"),Heroes!$C13,"-")</f>
        <v>Logan</v>
      </c>
      <c r="H13" s="1"/>
      <c r="I13" s="20" t="str">
        <f>IF(AND(Heroes!$B13=$I$4,Heroes!$D13&lt;&gt;"Locked",Heroes!$K13="Attack"),Heroes!$C13,"-")</f>
        <v>-</v>
      </c>
      <c r="J13" s="144" t="str">
        <f>IF(AND(Heroes!$B13=$I$4,Heroes!$D13&lt;&gt;"Locked",Heroes!$K13="Defense"),Heroes!$C13,"-")</f>
        <v>-</v>
      </c>
      <c r="K13" s="1"/>
      <c r="L13" s="20" t="str">
        <f>IF(AND(Heroes!$B13=$L$4,Heroes!$D13&lt;&gt;"Locked",Heroes!$K13="Attack"),Heroes!$C13,"-")</f>
        <v>-</v>
      </c>
      <c r="M13" s="144" t="str">
        <f>IF(AND(Heroes!$B13=$L$4,Heroes!$D13&lt;&gt;"Locked",Heroes!$K13="Defense"),Heroes!$C13,"-")</f>
        <v>-</v>
      </c>
      <c r="S13" s="241"/>
      <c r="T13" s="241"/>
    </row>
    <row r="14" spans="1:24" ht="15" customHeight="1" x14ac:dyDescent="0.3">
      <c r="A14" s="577"/>
      <c r="B14" s="221" t="str">
        <f>IF(AND(Heroes!$D14&lt;&gt;"Locked",Heroes!$B14=B$5),Heroes!$C14,"-")</f>
        <v>-</v>
      </c>
      <c r="C14" s="221" t="str">
        <f>IF(AND(Heroes!$D14&lt;&gt;"Locked",Heroes!$B14=C$5),Heroes!$C14,"-")</f>
        <v>Mia</v>
      </c>
      <c r="D14" s="221" t="str">
        <f>IF(AND(Heroes!$D14&lt;&gt;"Locked",Heroes!$B14=D$5),Heroes!$C14,"-")</f>
        <v>-</v>
      </c>
      <c r="F14" s="15" t="str">
        <f>IF(AND(Heroes!$B14=$F$4,Heroes!$D14&lt;&gt;"Locked",Heroes!$K14="Attack"),Heroes!$C14,"-")</f>
        <v>-</v>
      </c>
      <c r="G14" s="21" t="str">
        <f>IF(AND(Heroes!$B14="Infantry",Heroes!$D14&lt;&gt;"Locked",Heroes!$K14="Defense"),Heroes!$C14,"-")</f>
        <v>-</v>
      </c>
      <c r="H14" s="1"/>
      <c r="I14" s="15" t="str">
        <f>IF(AND(Heroes!$B14=$I$4,Heroes!$D14&lt;&gt;"Locked",Heroes!$K14="Attack"),Heroes!$C14,"-")</f>
        <v>Mia</v>
      </c>
      <c r="J14" s="21" t="str">
        <f>IF(AND(Heroes!$B14=$I$4,Heroes!$D14&lt;&gt;"Locked",Heroes!$K14="Defense"),Heroes!$C14,"-")</f>
        <v>-</v>
      </c>
      <c r="K14" s="1"/>
      <c r="L14" s="15" t="str">
        <f>IF(AND(Heroes!$B14=$L$4,Heroes!$D14&lt;&gt;"Locked",Heroes!$K14="Attack"),Heroes!$C14,"-")</f>
        <v>-</v>
      </c>
      <c r="M14" s="21" t="str">
        <f>IF(AND(Heroes!$B14=$L$4,Heroes!$D14&lt;&gt;"Locked",Heroes!$K14="Defense"),Heroes!$C14,"-")</f>
        <v>-</v>
      </c>
      <c r="P14" s="406" t="s">
        <v>689</v>
      </c>
      <c r="Q14" s="406"/>
      <c r="R14" s="406"/>
      <c r="S14" s="241"/>
      <c r="T14" s="241"/>
      <c r="U14" s="798" t="s">
        <v>735</v>
      </c>
      <c r="V14" s="799"/>
      <c r="W14" s="799"/>
      <c r="X14" s="800"/>
    </row>
    <row r="15" spans="1:24" ht="15" customHeight="1" x14ac:dyDescent="0.3">
      <c r="A15" s="578"/>
      <c r="B15" s="219" t="str">
        <f>IF(AND(Heroes!$D15&lt;&gt;"Locked",Heroes!$B15=B$5),Heroes!$C15,"-")</f>
        <v>-</v>
      </c>
      <c r="C15" s="219" t="str">
        <f>IF(AND(Heroes!$D15&lt;&gt;"Locked",Heroes!$B15=C$5),Heroes!$C15,"-")</f>
        <v>-</v>
      </c>
      <c r="D15" s="219" t="str">
        <f>IF(AND(Heroes!$D15&lt;&gt;"Locked",Heroes!$B15=D$5),Heroes!$C15,"-")</f>
        <v>Greg</v>
      </c>
      <c r="F15" s="17" t="str">
        <f>IF(AND(Heroes!$B15=$F$4,Heroes!$D15&lt;&gt;"Locked",Heroes!$K15="Attack"),Heroes!$C15,"-")</f>
        <v>-</v>
      </c>
      <c r="G15" s="22" t="str">
        <f>IF(AND(Heroes!$B15="Infantry",Heroes!$D15&lt;&gt;"Locked",Heroes!$K15="Defense"),Heroes!$C15,"-")</f>
        <v>-</v>
      </c>
      <c r="H15" s="1"/>
      <c r="I15" s="17" t="str">
        <f>IF(AND(Heroes!$B15=$I$4,Heroes!$D15&lt;&gt;"Locked",Heroes!$K15="Attack"),Heroes!$C15,"-")</f>
        <v>-</v>
      </c>
      <c r="J15" s="22" t="str">
        <f>IF(AND(Heroes!$B15=$I$4,Heroes!$D15&lt;&gt;"Locked",Heroes!$K15="Defense"),Heroes!$C15,"-")</f>
        <v>-</v>
      </c>
      <c r="K15" s="1"/>
      <c r="L15" s="17" t="str">
        <f>IF(AND(Heroes!$B15=$L$4,Heroes!$D15&lt;&gt;"Locked",Heroes!$K15="Attack"),Heroes!$C15,"-")</f>
        <v>Greg</v>
      </c>
      <c r="M15" s="22" t="str">
        <f>IF(AND(Heroes!$B15=$L$4,Heroes!$D15&lt;&gt;"Locked",Heroes!$K15="Defense"),Heroes!$C15,"-")</f>
        <v>-</v>
      </c>
      <c r="P15" s="11" t="s">
        <v>162</v>
      </c>
      <c r="Q15" s="628" t="s">
        <v>543</v>
      </c>
      <c r="R15" s="628"/>
      <c r="S15" s="241"/>
      <c r="T15" s="241"/>
      <c r="U15" s="801"/>
      <c r="V15" s="802"/>
      <c r="W15" s="802"/>
      <c r="X15" s="803"/>
    </row>
    <row r="16" spans="1:24" ht="15" customHeight="1" x14ac:dyDescent="0.3">
      <c r="A16" s="576" t="s">
        <v>340</v>
      </c>
      <c r="B16" s="220" t="str">
        <f>IF(AND(Heroes!$D16&lt;&gt;"Locked",Heroes!$B16=B$5),Heroes!$C16,"-")</f>
        <v>Ahmose</v>
      </c>
      <c r="C16" s="220" t="str">
        <f>IF(AND(Heroes!$D16&lt;&gt;"Locked",Heroes!$B16=C$5),Heroes!$C16,"-")</f>
        <v>-</v>
      </c>
      <c r="D16" s="220" t="str">
        <f>IF(AND(Heroes!$D16&lt;&gt;"Locked",Heroes!$B16=D$5),Heroes!$C16,"-")</f>
        <v>-</v>
      </c>
      <c r="F16" s="20" t="str">
        <f>IF(AND(Heroes!$B16=$F$4,Heroes!$D16&lt;&gt;"Locked",Heroes!$K16="Attack"),Heroes!$C16,"-")</f>
        <v>-</v>
      </c>
      <c r="G16" s="144" t="str">
        <f>IF(AND(Heroes!$B16="Infantry",Heroes!$D16&lt;&gt;"Locked",Heroes!$K16="Defense"),Heroes!$C16,"-")</f>
        <v>Ahmose</v>
      </c>
      <c r="H16" s="1"/>
      <c r="I16" s="20" t="str">
        <f>IF(AND(Heroes!$B16=$I$4,Heroes!$D16&lt;&gt;"Locked",Heroes!$K16="Attack"),Heroes!$C16,"-")</f>
        <v>-</v>
      </c>
      <c r="J16" s="144" t="str">
        <f>IF(AND(Heroes!$B16=$I$4,Heroes!$D16&lt;&gt;"Locked",Heroes!$K16="Defense"),Heroes!$C16,"-")</f>
        <v>-</v>
      </c>
      <c r="K16" s="1"/>
      <c r="L16" s="20" t="str">
        <f>IF(AND(Heroes!$B16=$L$4,Heroes!$D16&lt;&gt;"Locked",Heroes!$K16="Attack"),Heroes!$C16,"-")</f>
        <v>-</v>
      </c>
      <c r="M16" s="144" t="str">
        <f>IF(AND(Heroes!$B16=$L$4,Heroes!$D16&lt;&gt;"Locked",Heroes!$K16="Defense"),Heroes!$C16,"-")</f>
        <v>-</v>
      </c>
      <c r="P16" s="11" t="s">
        <v>163</v>
      </c>
      <c r="Q16" s="628" t="s">
        <v>541</v>
      </c>
      <c r="R16" s="628"/>
      <c r="S16" s="241"/>
      <c r="T16" s="241"/>
      <c r="U16" s="801"/>
      <c r="V16" s="802"/>
      <c r="W16" s="802"/>
      <c r="X16" s="803"/>
    </row>
    <row r="17" spans="1:29" ht="15" customHeight="1" x14ac:dyDescent="0.3">
      <c r="A17" s="577"/>
      <c r="B17" s="221" t="str">
        <f>IF(AND(Heroes!$D17&lt;&gt;"Locked",Heroes!$B17=B$5),Heroes!$C17,"-")</f>
        <v>-</v>
      </c>
      <c r="C17" s="221" t="str">
        <f>IF(AND(Heroes!$D17&lt;&gt;"Locked",Heroes!$B17=C$5),Heroes!$C17,"-")</f>
        <v>Reina</v>
      </c>
      <c r="D17" s="221" t="str">
        <f>IF(AND(Heroes!$D17&lt;&gt;"Locked",Heroes!$B17=D$5),Heroes!$C17,"-")</f>
        <v>-</v>
      </c>
      <c r="F17" s="15" t="str">
        <f>IF(AND(Heroes!$B17=$F$4,Heroes!$D17&lt;&gt;"Locked",Heroes!$K17="Attack"),Heroes!$C17,"-")</f>
        <v>-</v>
      </c>
      <c r="G17" s="21" t="str">
        <f>IF(AND(Heroes!$B17="Infantry",Heroes!$D17&lt;&gt;"Locked",Heroes!$K17="Defense"),Heroes!$C17,"-")</f>
        <v>-</v>
      </c>
      <c r="H17" s="1"/>
      <c r="I17" s="15" t="str">
        <f>IF(AND(Heroes!$B17=$I$4,Heroes!$D17&lt;&gt;"Locked",Heroes!$K17="Attack"),Heroes!$C17,"-")</f>
        <v>Reina</v>
      </c>
      <c r="J17" s="21" t="str">
        <f>IF(AND(Heroes!$B17=$I$4,Heroes!$D17&lt;&gt;"Locked",Heroes!$K17="Defense"),Heroes!$C17,"-")</f>
        <v>-</v>
      </c>
      <c r="K17" s="1"/>
      <c r="L17" s="15" t="str">
        <f>IF(AND(Heroes!$B17=$L$4,Heroes!$D17&lt;&gt;"Locked",Heroes!$K17="Attack"),Heroes!$C17,"-")</f>
        <v>-</v>
      </c>
      <c r="M17" s="21" t="str">
        <f>IF(AND(Heroes!$B17=$L$4,Heroes!$D17&lt;&gt;"Locked",Heroes!$K17="Defense"),Heroes!$C17,"-")</f>
        <v>-</v>
      </c>
      <c r="P17" s="11" t="s">
        <v>164</v>
      </c>
      <c r="Q17" s="628" t="s">
        <v>539</v>
      </c>
      <c r="R17" s="628"/>
      <c r="S17" s="241"/>
      <c r="T17" s="241"/>
      <c r="U17" s="801"/>
      <c r="V17" s="802"/>
      <c r="W17" s="802"/>
      <c r="X17" s="803"/>
    </row>
    <row r="18" spans="1:29" ht="15" customHeight="1" x14ac:dyDescent="0.3">
      <c r="A18" s="578"/>
      <c r="B18" s="219" t="str">
        <f>IF(AND(Heroes!$D18&lt;&gt;"Locked",Heroes!$B18=B$5),Heroes!$C18,"-")</f>
        <v>-</v>
      </c>
      <c r="C18" s="219" t="str">
        <f>IF(AND(Heroes!$D18&lt;&gt;"Locked",Heroes!$B18=C$5),Heroes!$C18,"-")</f>
        <v>-</v>
      </c>
      <c r="D18" s="219" t="str">
        <f>IF(AND(Heroes!$D18&lt;&gt;"Locked",Heroes!$B18=D$5),Heroes!$C18,"-")</f>
        <v>Lynn</v>
      </c>
      <c r="F18" s="17" t="str">
        <f>IF(AND(Heroes!$B18=$F$4,Heroes!$D18&lt;&gt;"Locked",Heroes!$K18="Attack"),Heroes!$C18,"-")</f>
        <v>-</v>
      </c>
      <c r="G18" s="22" t="str">
        <f>IF(AND(Heroes!$B18="Infantry",Heroes!$D18&lt;&gt;"Locked",Heroes!$K18="Defense"),Heroes!$C18,"-")</f>
        <v>-</v>
      </c>
      <c r="H18" s="1"/>
      <c r="I18" s="17" t="str">
        <f>IF(AND(Heroes!$B18=$I$4,Heroes!$D18&lt;&gt;"Locked",Heroes!$K18="Attack"),Heroes!$C18,"-")</f>
        <v>-</v>
      </c>
      <c r="J18" s="22" t="str">
        <f>IF(AND(Heroes!$B18=$I$4,Heroes!$D18&lt;&gt;"Locked",Heroes!$K18="Defense"),Heroes!$C18,"-")</f>
        <v>-</v>
      </c>
      <c r="K18" s="1"/>
      <c r="L18" s="17" t="str">
        <f>IF(AND(Heroes!$B18=$L$4,Heroes!$D18&lt;&gt;"Locked",Heroes!$K18="Attack"),Heroes!$C18,"-")</f>
        <v>-</v>
      </c>
      <c r="M18" s="22" t="str">
        <f>IF(AND(Heroes!$B18=$L$4,Heroes!$D18&lt;&gt;"Locked",Heroes!$K18="Defense"),Heroes!$C18,"-")</f>
        <v>Lynn</v>
      </c>
      <c r="S18" s="241"/>
      <c r="T18" s="241"/>
      <c r="U18" s="801"/>
      <c r="V18" s="802"/>
      <c r="W18" s="802"/>
      <c r="X18" s="803"/>
    </row>
    <row r="19" spans="1:29" ht="15" customHeight="1" x14ac:dyDescent="0.3">
      <c r="A19" s="576" t="s">
        <v>341</v>
      </c>
      <c r="B19" s="220" t="str">
        <f>IF(AND(Heroes!$D19&lt;&gt;"Locked",Heroes!$B19=B$5),Heroes!$C19,"-")</f>
        <v>Hector</v>
      </c>
      <c r="C19" s="220" t="str">
        <f>IF(AND(Heroes!$D19&lt;&gt;"Locked",Heroes!$B19=C$5),Heroes!$C19,"-")</f>
        <v>-</v>
      </c>
      <c r="D19" s="220" t="str">
        <f>IF(AND(Heroes!$D19&lt;&gt;"Locked",Heroes!$B19=D$5),Heroes!$C19,"-")</f>
        <v>-</v>
      </c>
      <c r="F19" s="20" t="str">
        <f>IF(AND(Heroes!$B19=$F$4,Heroes!$D19&lt;&gt;"Locked",Heroes!$K19="Attack"),Heroes!$C19,"-")</f>
        <v>-</v>
      </c>
      <c r="G19" s="144" t="str">
        <f>IF(AND(Heroes!$B19="Infantry",Heroes!$D19&lt;&gt;"Locked",Heroes!$K19="Defense"),Heroes!$C19,"-")</f>
        <v>Hector</v>
      </c>
      <c r="H19" s="1"/>
      <c r="I19" s="20" t="str">
        <f>IF(AND(Heroes!$B19=$I$4,Heroes!$D19&lt;&gt;"Locked",Heroes!$K19="Attack"),Heroes!$C19,"-")</f>
        <v>-</v>
      </c>
      <c r="J19" s="144" t="str">
        <f>IF(AND(Heroes!$B19=$I$4,Heroes!$D19&lt;&gt;"Locked",Heroes!$K19="Defense"),Heroes!$C19,"-")</f>
        <v>-</v>
      </c>
      <c r="K19" s="1"/>
      <c r="L19" s="20" t="str">
        <f>IF(AND(Heroes!$B19=$L$4,Heroes!$D19&lt;&gt;"Locked",Heroes!$K19="Attack"),Heroes!$C19,"-")</f>
        <v>-</v>
      </c>
      <c r="M19" s="144" t="str">
        <f>IF(AND(Heroes!$B19=$L$4,Heroes!$D19&lt;&gt;"Locked",Heroes!$K19="Defense"),Heroes!$C19,"-")</f>
        <v>-</v>
      </c>
      <c r="S19" s="241"/>
      <c r="T19" s="241"/>
      <c r="U19" s="801"/>
      <c r="V19" s="802"/>
      <c r="W19" s="802"/>
      <c r="X19" s="803"/>
    </row>
    <row r="20" spans="1:29" ht="15" customHeight="1" x14ac:dyDescent="0.3">
      <c r="A20" s="577"/>
      <c r="B20" s="221" t="str">
        <f>IF(AND(Heroes!$D20&lt;&gt;"Locked",Heroes!$B20=B$5),Heroes!$C20,"-")</f>
        <v>-</v>
      </c>
      <c r="C20" s="221" t="str">
        <f>IF(AND(Heroes!$D20&lt;&gt;"Locked",Heroes!$B20=C$5),Heroes!$C20,"-")</f>
        <v>Norah</v>
      </c>
      <c r="D20" s="221" t="str">
        <f>IF(AND(Heroes!$D20&lt;&gt;"Locked",Heroes!$B20=D$5),Heroes!$C20,"-")</f>
        <v>-</v>
      </c>
      <c r="F20" s="15" t="str">
        <f>IF(AND(Heroes!$B20=$F$4,Heroes!$D20&lt;&gt;"Locked",Heroes!$K20="Attack"),Heroes!$C20,"-")</f>
        <v>-</v>
      </c>
      <c r="G20" s="21" t="str">
        <f>IF(AND(Heroes!$B20="Infantry",Heroes!$D20&lt;&gt;"Locked",Heroes!$K20="Defense"),Heroes!$C20,"-")</f>
        <v>-</v>
      </c>
      <c r="H20" s="1"/>
      <c r="I20" s="15" t="str">
        <f>IF(AND(Heroes!$B20=$I$4,Heroes!$D20&lt;&gt;"Locked",Heroes!$K20="Attack"),Heroes!$C20,"-")</f>
        <v>-</v>
      </c>
      <c r="J20" s="21" t="str">
        <f>IF(AND(Heroes!$B20=$I$4,Heroes!$D20&lt;&gt;"Locked",Heroes!$K20="Defense"),Heroes!$C20,"-")</f>
        <v>Norah</v>
      </c>
      <c r="K20" s="1"/>
      <c r="L20" s="15" t="str">
        <f>IF(AND(Heroes!$B20=$L$4,Heroes!$D20&lt;&gt;"Locked",Heroes!$K20="Attack"),Heroes!$C20,"-")</f>
        <v>-</v>
      </c>
      <c r="M20" s="21" t="str">
        <f>IF(AND(Heroes!$B20=$L$4,Heroes!$D20&lt;&gt;"Locked",Heroes!$K20="Defense"),Heroes!$C20,"-")</f>
        <v>-</v>
      </c>
      <c r="S20" s="241"/>
      <c r="T20" s="241"/>
      <c r="U20" s="801"/>
      <c r="V20" s="802"/>
      <c r="W20" s="802"/>
      <c r="X20" s="803"/>
    </row>
    <row r="21" spans="1:29" ht="15" customHeight="1" x14ac:dyDescent="0.3">
      <c r="A21" s="578"/>
      <c r="B21" s="219" t="str">
        <f>IF(AND(Heroes!$D21&lt;&gt;"Locked",Heroes!$B21=B$5),Heroes!$C21,"-")</f>
        <v>-</v>
      </c>
      <c r="C21" s="219" t="str">
        <f>IF(AND(Heroes!$D21&lt;&gt;"Locked",Heroes!$B21=C$5),Heroes!$C21,"-")</f>
        <v>-</v>
      </c>
      <c r="D21" s="219" t="str">
        <f>IF(AND(Heroes!$D21&lt;&gt;"Locked",Heroes!$B21=D$5),Heroes!$C21,"-")</f>
        <v>Gwen</v>
      </c>
      <c r="F21" s="17" t="str">
        <f>IF(AND(Heroes!$B21=$F$4,Heroes!$D21&lt;&gt;"Locked",Heroes!$K21="Attack"),Heroes!$C21,"-")</f>
        <v>-</v>
      </c>
      <c r="G21" s="22" t="str">
        <f>IF(AND(Heroes!$B21="Infantry",Heroes!$D21&lt;&gt;"Locked",Heroes!$K21="Defense"),Heroes!$C21,"-")</f>
        <v>-</v>
      </c>
      <c r="H21" s="1"/>
      <c r="I21" s="17" t="str">
        <f>IF(AND(Heroes!$B21=$I$4,Heroes!$D21&lt;&gt;"Locked",Heroes!$K21="Attack"),Heroes!$C21,"-")</f>
        <v>-</v>
      </c>
      <c r="J21" s="22" t="str">
        <f>IF(AND(Heroes!$B21=$I$4,Heroes!$D21&lt;&gt;"Locked",Heroes!$K21="Defense"),Heroes!$C21,"-")</f>
        <v>-</v>
      </c>
      <c r="K21" s="1"/>
      <c r="L21" s="17" t="str">
        <f>IF(AND(Heroes!$B21=$L$4,Heroes!$D21&lt;&gt;"Locked",Heroes!$K21="Attack"),Heroes!$C21,"-")</f>
        <v>Gwen</v>
      </c>
      <c r="M21" s="22" t="str">
        <f>IF(AND(Heroes!$B21=$L$4,Heroes!$D21&lt;&gt;"Locked",Heroes!$K21="Defense"),Heroes!$C21,"-")</f>
        <v>-</v>
      </c>
      <c r="P21" s="406" t="s">
        <v>690</v>
      </c>
      <c r="Q21" s="406"/>
      <c r="R21" s="406"/>
      <c r="S21" s="241"/>
      <c r="T21" s="241"/>
      <c r="U21" s="801"/>
      <c r="V21" s="802"/>
      <c r="W21" s="802"/>
      <c r="X21" s="803"/>
      <c r="AC21" s="50"/>
    </row>
    <row r="22" spans="1:29" ht="15" customHeight="1" x14ac:dyDescent="0.3">
      <c r="A22" s="576" t="s">
        <v>548</v>
      </c>
      <c r="B22" s="220" t="str">
        <f>IF(AND(Heroes!$D22&lt;&gt;"Locked",Heroes!$B22=B$5),Heroes!$C22,"-")</f>
        <v>Wu Ming</v>
      </c>
      <c r="C22" s="220" t="str">
        <f>IF(AND(Heroes!$D22&lt;&gt;"Locked",Heroes!$B22=C$5),Heroes!$C22,"-")</f>
        <v>-</v>
      </c>
      <c r="D22" s="220" t="str">
        <f>IF(AND(Heroes!$D22&lt;&gt;"Locked",Heroes!$B22=D$5),Heroes!$C22,"-")</f>
        <v>-</v>
      </c>
      <c r="F22" s="20" t="str">
        <f>IF(AND(Heroes!$B22=$F$4,Heroes!$D22&lt;&gt;"Locked",Heroes!$K22="Attack"),Heroes!$C22,"-")</f>
        <v>-</v>
      </c>
      <c r="G22" s="144" t="str">
        <f>IF(AND(Heroes!$B22="Infantry",Heroes!$D22&lt;&gt;"Locked",Heroes!$K22="Defense"),Heroes!$C22,"-")</f>
        <v>Wu Ming</v>
      </c>
      <c r="H22" s="1"/>
      <c r="I22" s="20" t="str">
        <f>IF(AND(Heroes!$B22=$I$4,Heroes!$D22&lt;&gt;"Locked",Heroes!$K22="Attack"),Heroes!$C22,"-")</f>
        <v>-</v>
      </c>
      <c r="J22" s="144" t="str">
        <f>IF(AND(Heroes!$B22=$I$4,Heroes!$D22&lt;&gt;"Locked",Heroes!$K22="Defense"),Heroes!$C22,"-")</f>
        <v>-</v>
      </c>
      <c r="K22" s="1"/>
      <c r="L22" s="20" t="str">
        <f>IF(AND(Heroes!$B22=$L$4,Heroes!$D22&lt;&gt;"Locked",Heroes!$K22="Attack"),Heroes!$C22,"-")</f>
        <v>-</v>
      </c>
      <c r="M22" s="144" t="str">
        <f>IF(AND(Heroes!$B22=$L$4,Heroes!$D22&lt;&gt;"Locked",Heroes!$K22="Defense"),Heroes!$C22,"-")</f>
        <v>-</v>
      </c>
      <c r="P22" s="11" t="s">
        <v>162</v>
      </c>
      <c r="Q22" s="628" t="s">
        <v>313</v>
      </c>
      <c r="R22" s="628"/>
      <c r="S22" s="241"/>
      <c r="T22" s="241"/>
      <c r="U22" s="801"/>
      <c r="V22" s="802"/>
      <c r="W22" s="802"/>
      <c r="X22" s="803"/>
    </row>
    <row r="23" spans="1:29" ht="15" customHeight="1" x14ac:dyDescent="0.3">
      <c r="A23" s="577"/>
      <c r="B23" s="221" t="str">
        <f>IF(AND(Heroes!$D23&lt;&gt;"Locked",Heroes!$B23=B$5),Heroes!$C23,"-")</f>
        <v>-</v>
      </c>
      <c r="C23" s="221" t="str">
        <f>IF(AND(Heroes!$D23&lt;&gt;"Locked",Heroes!$B23=C$5),Heroes!$C23,"-")</f>
        <v>Renee</v>
      </c>
      <c r="D23" s="221" t="str">
        <f>IF(AND(Heroes!$D23&lt;&gt;"Locked",Heroes!$B23=D$5),Heroes!$C23,"-")</f>
        <v>-</v>
      </c>
      <c r="F23" s="15" t="str">
        <f>IF(AND(Heroes!$B23=$F$4,Heroes!$D23&lt;&gt;"Locked",Heroes!$K23="Attack"),Heroes!$C23,"-")</f>
        <v>-</v>
      </c>
      <c r="G23" s="21" t="str">
        <f>IF(AND(Heroes!$B23="Infantry",Heroes!$D23&lt;&gt;"Locked",Heroes!$K23="Defense"),Heroes!$C23,"-")</f>
        <v>-</v>
      </c>
      <c r="H23" s="1"/>
      <c r="I23" s="15" t="str">
        <f>IF(AND(Heroes!$B23=$I$4,Heroes!$D23&lt;&gt;"Locked",Heroes!$K23="Attack"),Heroes!$C23,"-")</f>
        <v>Renee</v>
      </c>
      <c r="J23" s="21" t="str">
        <f>IF(AND(Heroes!$B23=$I$4,Heroes!$D23&lt;&gt;"Locked",Heroes!$K23="Defense"),Heroes!$C23,"-")</f>
        <v>-</v>
      </c>
      <c r="K23" s="1"/>
      <c r="L23" s="15" t="str">
        <f>IF(AND(Heroes!$B23=$L$4,Heroes!$D23&lt;&gt;"Locked",Heroes!$K23="Attack"),Heroes!$C23,"-")</f>
        <v>-</v>
      </c>
      <c r="M23" s="21" t="str">
        <f>IF(AND(Heroes!$B23=$L$4,Heroes!$D23&lt;&gt;"Locked",Heroes!$K23="Defense"),Heroes!$C23,"-")</f>
        <v>-</v>
      </c>
      <c r="P23" s="11" t="s">
        <v>163</v>
      </c>
      <c r="Q23" s="628" t="s">
        <v>321</v>
      </c>
      <c r="R23" s="628"/>
      <c r="S23" s="241"/>
      <c r="T23" s="241"/>
      <c r="U23" s="801"/>
      <c r="V23" s="802"/>
      <c r="W23" s="802"/>
      <c r="X23" s="803"/>
    </row>
    <row r="24" spans="1:29" ht="15" customHeight="1" x14ac:dyDescent="0.3">
      <c r="A24" s="578"/>
      <c r="B24" s="219" t="str">
        <f>IF(AND(Heroes!$D24&lt;&gt;"Locked",Heroes!$B24=B$5),Heroes!$C24,"-")</f>
        <v>-</v>
      </c>
      <c r="C24" s="219" t="str">
        <f>IF(AND(Heroes!$D24&lt;&gt;"Locked",Heroes!$B24=C$5),Heroes!$C24,"-")</f>
        <v>-</v>
      </c>
      <c r="D24" s="219" t="str">
        <f>IF(AND(Heroes!$D24&lt;&gt;"Locked",Heroes!$B24=D$5),Heroes!$C24,"-")</f>
        <v>Wayne</v>
      </c>
      <c r="F24" s="17" t="str">
        <f>IF(AND(Heroes!$B24=$F$4,Heroes!$D24&lt;&gt;"Locked",Heroes!$K24="Attack"),Heroes!$C24,"-")</f>
        <v>-</v>
      </c>
      <c r="G24" s="22" t="str">
        <f>IF(AND(Heroes!$B24="Infantry",Heroes!$D24&lt;&gt;"Locked",Heroes!$K24="Defense"),Heroes!$C24,"-")</f>
        <v>-</v>
      </c>
      <c r="H24" s="1"/>
      <c r="I24" s="17" t="str">
        <f>IF(AND(Heroes!$B24=$I$4,Heroes!$D24&lt;&gt;"Locked",Heroes!$K24="Attack"),Heroes!$C24,"-")</f>
        <v>-</v>
      </c>
      <c r="J24" s="22" t="str">
        <f>IF(AND(Heroes!$B24=$I$4,Heroes!$D24&lt;&gt;"Locked",Heroes!$K24="Defense"),Heroes!$C24,"-")</f>
        <v>-</v>
      </c>
      <c r="K24" s="1"/>
      <c r="L24" s="17" t="str">
        <f>IF(AND(Heroes!$B24=$L$4,Heroes!$D24&lt;&gt;"Locked",Heroes!$K24="Attack"),Heroes!$C24,"-")</f>
        <v>-</v>
      </c>
      <c r="M24" s="22" t="str">
        <f>IF(AND(Heroes!$B24=$L$4,Heroes!$D24&lt;&gt;"Locked",Heroes!$K24="Defense"),Heroes!$C24,"-")</f>
        <v>Wayne</v>
      </c>
      <c r="P24" s="11" t="s">
        <v>164</v>
      </c>
      <c r="Q24" s="628" t="s">
        <v>539</v>
      </c>
      <c r="R24" s="628"/>
      <c r="S24" s="241"/>
      <c r="T24" s="241"/>
      <c r="U24" s="801"/>
      <c r="V24" s="802"/>
      <c r="W24" s="802"/>
      <c r="X24" s="803"/>
    </row>
    <row r="25" spans="1:29" ht="15" customHeight="1" x14ac:dyDescent="0.3">
      <c r="A25" s="576" t="s">
        <v>534</v>
      </c>
      <c r="B25" s="220" t="str">
        <f>IF(AND(Heroes!$D25&lt;&gt;"Locked",Heroes!$B25=B$5),Heroes!$C25,"-")</f>
        <v>Edith</v>
      </c>
      <c r="C25" s="220" t="str">
        <f>IF(AND(Heroes!$D25&lt;&gt;"Locked",Heroes!$B25=C$5),Heroes!$C25,"-")</f>
        <v>-</v>
      </c>
      <c r="D25" s="220" t="str">
        <f>IF(AND(Heroes!$D25&lt;&gt;"Locked",Heroes!$B25=D$5),Heroes!$C25,"-")</f>
        <v>-</v>
      </c>
      <c r="F25" s="20" t="str">
        <f>IF(AND(Heroes!$B25=$F$4,Heroes!$D25&lt;&gt;"Locked",Heroes!$K25="Attack"),Heroes!$C25,"-")</f>
        <v>-</v>
      </c>
      <c r="G25" s="144" t="str">
        <f>IF(AND(Heroes!$B25="Infantry",Heroes!$D25&lt;&gt;"Locked",Heroes!$K25="Defense"),Heroes!$C25,"-")</f>
        <v>Edith</v>
      </c>
      <c r="H25" s="1"/>
      <c r="I25" s="20" t="str">
        <f>IF(AND(Heroes!$B25=$I$4,Heroes!$D25&lt;&gt;"Locked",Heroes!$K25="Attack"),Heroes!$C25,"-")</f>
        <v>-</v>
      </c>
      <c r="J25" s="144" t="str">
        <f>IF(AND(Heroes!$B25=$I$4,Heroes!$D25&lt;&gt;"Locked",Heroes!$K25="Defense"),Heroes!$C25,"-")</f>
        <v>-</v>
      </c>
      <c r="K25" s="1"/>
      <c r="L25" s="20" t="str">
        <f>IF(AND(Heroes!$B25=$L$4,Heroes!$D25&lt;&gt;"Locked",Heroes!$K25="Attack"),Heroes!$C25,"-")</f>
        <v>-</v>
      </c>
      <c r="M25" s="144" t="str">
        <f>IF(AND(Heroes!$B25=$L$4,Heroes!$D25&lt;&gt;"Locked",Heroes!$K25="Defense"),Heroes!$C25,"-")</f>
        <v>-</v>
      </c>
      <c r="S25" s="241"/>
      <c r="T25" s="241"/>
      <c r="U25" s="801"/>
      <c r="V25" s="802"/>
      <c r="W25" s="802"/>
      <c r="X25" s="803"/>
    </row>
    <row r="26" spans="1:29" ht="15" customHeight="1" x14ac:dyDescent="0.3">
      <c r="A26" s="577"/>
      <c r="B26" s="221" t="str">
        <f>IF(AND(Heroes!$D26&lt;&gt;"Locked",Heroes!$B26=B$5),Heroes!$C26,"-")</f>
        <v>-</v>
      </c>
      <c r="C26" s="221" t="str">
        <f>IF(AND(Heroes!$D26&lt;&gt;"Locked",Heroes!$B26=C$5),Heroes!$C26,"-")</f>
        <v>Gordon</v>
      </c>
      <c r="D26" s="221" t="str">
        <f>IF(AND(Heroes!$D26&lt;&gt;"Locked",Heroes!$B26=D$5),Heroes!$C26,"-")</f>
        <v>-</v>
      </c>
      <c r="F26" s="15" t="str">
        <f>IF(AND(Heroes!$B26=$F$4,Heroes!$D26&lt;&gt;"Locked",Heroes!$K26="Attack"),Heroes!$C26,"-")</f>
        <v>-</v>
      </c>
      <c r="G26" s="21" t="str">
        <f>IF(AND(Heroes!$B26="Infantry",Heroes!$D26&lt;&gt;"Locked",Heroes!$K26="Defense"),Heroes!$C26,"-")</f>
        <v>-</v>
      </c>
      <c r="H26" s="1"/>
      <c r="I26" s="15" t="str">
        <f>IF(AND(Heroes!$B26=$I$4,Heroes!$D26&lt;&gt;"Locked",Heroes!$K26="Attack"),Heroes!$C26,"-")</f>
        <v>Gordon</v>
      </c>
      <c r="J26" s="21" t="str">
        <f>IF(AND(Heroes!$B26=$I$4,Heroes!$D26&lt;&gt;"Locked",Heroes!$K26="Defense"),Heroes!$C26,"-")</f>
        <v>-</v>
      </c>
      <c r="K26" s="1"/>
      <c r="L26" s="15" t="str">
        <f>IF(AND(Heroes!$B26=$L$4,Heroes!$D26&lt;&gt;"Locked",Heroes!$K26="Attack"),Heroes!$C26,"-")</f>
        <v>-</v>
      </c>
      <c r="M26" s="21" t="str">
        <f>IF(AND(Heroes!$B26=$L$4,Heroes!$D26&lt;&gt;"Locked",Heroes!$K26="Defense"),Heroes!$C26,"-")</f>
        <v>-</v>
      </c>
      <c r="S26" s="241"/>
      <c r="T26" s="241"/>
      <c r="U26" s="801"/>
      <c r="V26" s="802"/>
      <c r="W26" s="802"/>
      <c r="X26" s="803"/>
    </row>
    <row r="27" spans="1:29" ht="15" customHeight="1" x14ac:dyDescent="0.3">
      <c r="A27" s="578"/>
      <c r="B27" s="219" t="str">
        <f>IF(AND(Heroes!$D27&lt;&gt;"Locked",Heroes!$B27=B$5),Heroes!$C27,"-")</f>
        <v>-</v>
      </c>
      <c r="C27" s="219" t="str">
        <f>IF(AND(Heroes!$D27&lt;&gt;"Locked",Heroes!$B27=C$5),Heroes!$C27,"-")</f>
        <v>-</v>
      </c>
      <c r="D27" s="219" t="str">
        <f>IF(AND(Heroes!$D27&lt;&gt;"Locked",Heroes!$B27=D$5),Heroes!$C27,"-")</f>
        <v>Bradley</v>
      </c>
      <c r="F27" s="17" t="str">
        <f>IF(AND(Heroes!$B27=$F$4,Heroes!$D27&lt;&gt;"Locked",Heroes!$K27="Attack"),Heroes!$C27,"-")</f>
        <v>-</v>
      </c>
      <c r="G27" s="22" t="str">
        <f>IF(AND(Heroes!$B27="Infantry",Heroes!$D27&lt;&gt;"Locked",Heroes!$K27="Defense"),Heroes!$C27,"-")</f>
        <v>-</v>
      </c>
      <c r="H27" s="1"/>
      <c r="I27" s="17" t="str">
        <f>IF(AND(Heroes!$B27=$I$4,Heroes!$D27&lt;&gt;"Locked",Heroes!$K27="Attack"),Heroes!$C27,"-")</f>
        <v>-</v>
      </c>
      <c r="J27" s="22" t="str">
        <f>IF(AND(Heroes!$B27=$I$4,Heroes!$D27&lt;&gt;"Locked",Heroes!$K27="Defense"),Heroes!$C27,"-")</f>
        <v>-</v>
      </c>
      <c r="K27" s="1"/>
      <c r="L27" s="17" t="str">
        <f>IF(AND(Heroes!$B27=$L$4,Heroes!$D27&lt;&gt;"Locked",Heroes!$K27="Attack"),Heroes!$C27,"-")</f>
        <v>-</v>
      </c>
      <c r="M27" s="22" t="str">
        <f>IF(AND(Heroes!$B27=$L$4,Heroes!$D27&lt;&gt;"Locked",Heroes!$K27="Defense"),Heroes!$C27,"-")</f>
        <v>Bradley</v>
      </c>
      <c r="S27" s="241"/>
      <c r="T27" s="241"/>
      <c r="U27" s="801"/>
      <c r="V27" s="802"/>
      <c r="W27" s="802"/>
      <c r="X27" s="803"/>
    </row>
    <row r="28" spans="1:29" ht="15" customHeight="1" x14ac:dyDescent="0.3">
      <c r="A28" s="576" t="s">
        <v>535</v>
      </c>
      <c r="B28" s="220" t="str">
        <f>IF(AND(Heroes!$D28&lt;&gt;"Locked",Heroes!$B28=B$5),Heroes!$C28,"-")</f>
        <v>Gatot</v>
      </c>
      <c r="C28" s="220" t="str">
        <f>IF(AND(Heroes!$D28&lt;&gt;"Locked",Heroes!$B28=C$5),Heroes!$C28,"-")</f>
        <v>-</v>
      </c>
      <c r="D28" s="220" t="str">
        <f>IF(AND(Heroes!$D28&lt;&gt;"Locked",Heroes!$B28=D$5),Heroes!$C28,"-")</f>
        <v>-</v>
      </c>
      <c r="F28" s="20" t="str">
        <f>IF(AND(Heroes!$B28=$F$4,Heroes!$D28&lt;&gt;"Locked",Heroes!$K28="Attack"),Heroes!$C28,"-")</f>
        <v>-</v>
      </c>
      <c r="G28" s="144" t="str">
        <f>IF(AND(Heroes!$B28="Infantry",Heroes!$D28&lt;&gt;"Locked",Heroes!$K28="Defense"),Heroes!$C28,"-")</f>
        <v>Gatot</v>
      </c>
      <c r="H28" s="1"/>
      <c r="I28" s="20" t="str">
        <f>IF(AND(Heroes!$B28=$I$4,Heroes!$D28&lt;&gt;"Locked",Heroes!$K28="Attack"),Heroes!$C28,"-")</f>
        <v>-</v>
      </c>
      <c r="J28" s="144" t="str">
        <f>IF(AND(Heroes!$B28=$I$4,Heroes!$D28&lt;&gt;"Locked",Heroes!$K28="Defense"),Heroes!$C28,"-")</f>
        <v>-</v>
      </c>
      <c r="K28" s="1"/>
      <c r="L28" s="20" t="str">
        <f>IF(AND(Heroes!$B28=$L$4,Heroes!$D28&lt;&gt;"Locked",Heroes!$K28="Attack"),Heroes!$C28,"-")</f>
        <v>-</v>
      </c>
      <c r="M28" s="144" t="str">
        <f>IF(AND(Heroes!$B28=$L$4,Heroes!$D28&lt;&gt;"Locked",Heroes!$K28="Defense"),Heroes!$C28,"-")</f>
        <v>-</v>
      </c>
      <c r="P28" s="406" t="s">
        <v>733</v>
      </c>
      <c r="Q28" s="406"/>
      <c r="R28" s="406"/>
      <c r="S28" s="241"/>
      <c r="T28" s="241"/>
      <c r="U28" s="801"/>
      <c r="V28" s="802"/>
      <c r="W28" s="802"/>
      <c r="X28" s="803"/>
    </row>
    <row r="29" spans="1:29" ht="15" customHeight="1" x14ac:dyDescent="0.3">
      <c r="A29" s="577"/>
      <c r="B29" s="221" t="str">
        <f>IF(AND(Heroes!$D29&lt;&gt;"Locked",Heroes!$B29=B$5),Heroes!$C29,"-")</f>
        <v>-</v>
      </c>
      <c r="C29" s="221" t="str">
        <f>IF(AND(Heroes!$D29&lt;&gt;"Locked",Heroes!$B29=C$5),Heroes!$C29,"-")</f>
        <v>Sonya</v>
      </c>
      <c r="D29" s="221" t="str">
        <f>IF(AND(Heroes!$D29&lt;&gt;"Locked",Heroes!$B29=D$5),Heroes!$C29,"-")</f>
        <v>-</v>
      </c>
      <c r="F29" s="15" t="str">
        <f>IF(AND(Heroes!$B29=$F$4,Heroes!$D29&lt;&gt;"Locked",Heroes!$K29="Attack"),Heroes!$C29,"-")</f>
        <v>-</v>
      </c>
      <c r="G29" s="21" t="str">
        <f>IF(AND(Heroes!$B29="Infantry",Heroes!$D29&lt;&gt;"Locked",Heroes!$K29="Defense"),Heroes!$C29,"-")</f>
        <v>-</v>
      </c>
      <c r="H29" s="1"/>
      <c r="I29" s="15" t="str">
        <f>IF(AND(Heroes!$B29=$I$4,Heroes!$D29&lt;&gt;"Locked",Heroes!$K29="Attack"),Heroes!$C29,"-")</f>
        <v>-</v>
      </c>
      <c r="J29" s="21" t="str">
        <f>IF(AND(Heroes!$B29=$I$4,Heroes!$D29&lt;&gt;"Locked",Heroes!$K29="Defense"),Heroes!$C29,"-")</f>
        <v>Sonya</v>
      </c>
      <c r="K29" s="1"/>
      <c r="L29" s="15" t="str">
        <f>IF(AND(Heroes!$B29=$L$4,Heroes!$D29&lt;&gt;"Locked",Heroes!$K29="Attack"),Heroes!$C29,"-")</f>
        <v>-</v>
      </c>
      <c r="M29" s="21" t="str">
        <f>IF(AND(Heroes!$B29=$L$4,Heroes!$D29&lt;&gt;"Locked",Heroes!$K29="Defense"),Heroes!$C29,"-")</f>
        <v>-</v>
      </c>
      <c r="P29" s="11" t="str" cm="1">
        <f t="array" ref="P29">IF(ISBLANK(Q29)=FALSE,_xlfn.CONCAT(REPT($B$5:$D$5,N($Q29=$B$6:$D$58))),"-")</f>
        <v>Infantry</v>
      </c>
      <c r="Q29" s="628" t="s">
        <v>543</v>
      </c>
      <c r="R29" s="628"/>
      <c r="S29" s="241"/>
      <c r="T29" s="241"/>
      <c r="U29" s="801"/>
      <c r="V29" s="802"/>
      <c r="W29" s="802"/>
      <c r="X29" s="803"/>
    </row>
    <row r="30" spans="1:29" ht="15" customHeight="1" x14ac:dyDescent="0.3">
      <c r="A30" s="578"/>
      <c r="B30" s="219" t="str">
        <f>IF(AND(Heroes!$D30&lt;&gt;"Locked",Heroes!$B30=B$5),Heroes!$C30,"-")</f>
        <v>-</v>
      </c>
      <c r="C30" s="219" t="str">
        <f>IF(AND(Heroes!$D30&lt;&gt;"Locked",Heroes!$B30=C$5),Heroes!$C30,"-")</f>
        <v>-</v>
      </c>
      <c r="D30" s="219" t="str">
        <f>IF(AND(Heroes!$D30&lt;&gt;"Locked",Heroes!$B30=D$5),Heroes!$C30,"-")</f>
        <v>Hendrik</v>
      </c>
      <c r="F30" s="17" t="str">
        <f>IF(AND(Heroes!$B30=$F$4,Heroes!$D30&lt;&gt;"Locked",Heroes!$K30="Attack"),Heroes!$C30,"-")</f>
        <v>-</v>
      </c>
      <c r="G30" s="22" t="str">
        <f>IF(AND(Heroes!$B30="Infantry",Heroes!$D30&lt;&gt;"Locked",Heroes!$K30="Defense"),Heroes!$C30,"-")</f>
        <v>-</v>
      </c>
      <c r="H30" s="1"/>
      <c r="I30" s="17" t="str">
        <f>IF(AND(Heroes!$B30=$I$4,Heroes!$D30&lt;&gt;"Locked",Heroes!$K30="Attack"),Heroes!$C30,"-")</f>
        <v>-</v>
      </c>
      <c r="J30" s="22" t="str">
        <f>IF(AND(Heroes!$B30=$I$4,Heroes!$D30&lt;&gt;"Locked",Heroes!$K30="Defense"),Heroes!$C30,"-")</f>
        <v>-</v>
      </c>
      <c r="K30" s="1"/>
      <c r="L30" s="17" t="str">
        <f>IF(AND(Heroes!$B30=$L$4,Heroes!$D30&lt;&gt;"Locked",Heroes!$K30="Attack"),Heroes!$C30,"-")</f>
        <v>Hendrik</v>
      </c>
      <c r="M30" s="22" t="str">
        <f>IF(AND(Heroes!$B30=$L$4,Heroes!$D30&lt;&gt;"Locked",Heroes!$K30="Defense"),Heroes!$C30,"-")</f>
        <v>-</v>
      </c>
      <c r="P30" s="11" t="str" cm="1">
        <f t="array" ref="P30">IF(ISBLANK(Q30)=FALSE,_xlfn.CONCAT(REPT($B$5:$D$5,N($Q30=$B$6:$D$58))),"-")</f>
        <v>Lancer</v>
      </c>
      <c r="Q30" s="628" t="s">
        <v>544</v>
      </c>
      <c r="R30" s="628"/>
      <c r="S30" s="241"/>
      <c r="T30" s="241"/>
      <c r="U30" s="801"/>
      <c r="V30" s="802"/>
      <c r="W30" s="802"/>
      <c r="X30" s="803"/>
    </row>
    <row r="31" spans="1:29" ht="15" customHeight="1" x14ac:dyDescent="0.3">
      <c r="A31" s="576" t="s">
        <v>536</v>
      </c>
      <c r="B31" s="220" t="str">
        <f>IF(AND(Heroes!$D31&lt;&gt;"Locked",Heroes!$B31=B$5),Heroes!$C31,"-")</f>
        <v>Magnus</v>
      </c>
      <c r="C31" s="220" t="str">
        <f>IF(AND(Heroes!$D31&lt;&gt;"Locked",Heroes!$B31=C$5),Heroes!$C31,"-")</f>
        <v>-</v>
      </c>
      <c r="D31" s="220" t="str">
        <f>IF(AND(Heroes!$D31&lt;&gt;"Locked",Heroes!$B31=D$5),Heroes!$C31,"-")</f>
        <v>-</v>
      </c>
      <c r="F31" s="20" t="str">
        <f>IF(AND(Heroes!$B31=$F$4,Heroes!$D31&lt;&gt;"Locked",Heroes!$K31="Attack"),Heroes!$C31,"-")</f>
        <v>-</v>
      </c>
      <c r="G31" s="144" t="str">
        <f>IF(AND(Heroes!$B31="Infantry",Heroes!$D31&lt;&gt;"Locked",Heroes!$K31="Defense"),Heroes!$C31,"-")</f>
        <v>Magnus</v>
      </c>
      <c r="H31" s="1"/>
      <c r="I31" s="20" t="str">
        <f>IF(AND(Heroes!$B31=$I$4,Heroes!$D31&lt;&gt;"Locked",Heroes!$K31="Attack"),Heroes!$C31,"-")</f>
        <v>-</v>
      </c>
      <c r="J31" s="144" t="str">
        <f>IF(AND(Heroes!$B31=$I$4,Heroes!$D31&lt;&gt;"Locked",Heroes!$K31="Defense"),Heroes!$C31,"-")</f>
        <v>-</v>
      </c>
      <c r="K31" s="1"/>
      <c r="L31" s="20" t="str">
        <f>IF(AND(Heroes!$B31=$L$4,Heroes!$D31&lt;&gt;"Locked",Heroes!$K31="Attack"),Heroes!$C31,"-")</f>
        <v>-</v>
      </c>
      <c r="M31" s="144" t="str">
        <f>IF(AND(Heroes!$B31=$L$4,Heroes!$D31&lt;&gt;"Locked",Heroes!$K31="Defense"),Heroes!$C31,"-")</f>
        <v>-</v>
      </c>
      <c r="P31" s="11" t="str" cm="1">
        <f t="array" ref="P31">IF(ISBLANK(Q31)=FALSE,_xlfn.CONCAT(REPT($B$5:$D$5,N($Q31=$B$6:$D$58))),"-")</f>
        <v>Marksman</v>
      </c>
      <c r="Q31" s="628" t="s">
        <v>539</v>
      </c>
      <c r="R31" s="628"/>
      <c r="S31" s="241"/>
      <c r="T31" s="241"/>
      <c r="U31" s="804"/>
      <c r="V31" s="805"/>
      <c r="W31" s="805"/>
      <c r="X31" s="806"/>
    </row>
    <row r="32" spans="1:29" x14ac:dyDescent="0.3">
      <c r="A32" s="577"/>
      <c r="B32" s="221" t="str">
        <f>IF(AND(Heroes!$D32&lt;&gt;"Locked",Heroes!$B32=B$5),Heroes!$C32,"-")</f>
        <v>-</v>
      </c>
      <c r="C32" s="221" t="str">
        <f>IF(AND(Heroes!$D32&lt;&gt;"Locked",Heroes!$B32=C$5),Heroes!$C32,"-")</f>
        <v>Fred</v>
      </c>
      <c r="D32" s="221" t="str">
        <f>IF(AND(Heroes!$D32&lt;&gt;"Locked",Heroes!$B32=D$5),Heroes!$C32,"-")</f>
        <v>-</v>
      </c>
      <c r="F32" s="15" t="str">
        <f>IF(AND(Heroes!$B32=$F$4,Heroes!$D32&lt;&gt;"Locked",Heroes!$K32="Attack"),Heroes!$C32,"-")</f>
        <v>-</v>
      </c>
      <c r="G32" s="21" t="str">
        <f>IF(AND(Heroes!$B32="Infantry",Heroes!$D32&lt;&gt;"Locked",Heroes!$K32="Defense"),Heroes!$C32,"-")</f>
        <v>-</v>
      </c>
      <c r="H32" s="1"/>
      <c r="I32" s="15" t="str">
        <f>IF(AND(Heroes!$B32=$I$4,Heroes!$D32&lt;&gt;"Locked",Heroes!$K32="Attack"),Heroes!$C32,"-")</f>
        <v>Fred</v>
      </c>
      <c r="J32" s="21" t="str">
        <f>IF(AND(Heroes!$B32=$I$4,Heroes!$D32&lt;&gt;"Locked",Heroes!$K32="Defense"),Heroes!$C32,"-")</f>
        <v>-</v>
      </c>
      <c r="K32" s="1"/>
      <c r="L32" s="15" t="str">
        <f>IF(AND(Heroes!$B32=$L$4,Heroes!$D32&lt;&gt;"Locked",Heroes!$K32="Attack"),Heroes!$C32,"-")</f>
        <v>-</v>
      </c>
      <c r="M32" s="21" t="str">
        <f>IF(AND(Heroes!$B32=$L$4,Heroes!$D32&lt;&gt;"Locked",Heroes!$K32="Defense"),Heroes!$C32,"-")</f>
        <v>-</v>
      </c>
      <c r="P32" s="11" t="str" cm="1">
        <f t="array" ref="P32">IF(ISBLANK(Q32)=FALSE,_xlfn.CONCAT(REPT($B$5:$D$5,N($Q32=$B$6:$D$58))),"-")</f>
        <v>Marksman</v>
      </c>
      <c r="Q32" s="628" t="s">
        <v>545</v>
      </c>
      <c r="R32" s="628"/>
    </row>
    <row r="33" spans="1:24" x14ac:dyDescent="0.3">
      <c r="A33" s="578"/>
      <c r="B33" s="219" t="str">
        <f>IF(AND(Heroes!$D33&lt;&gt;"Locked",Heroes!$B33=B$5),Heroes!$C33,"-")</f>
        <v>-</v>
      </c>
      <c r="C33" s="219" t="str">
        <f>IF(AND(Heroes!$D33&lt;&gt;"Locked",Heroes!$B33=C$5),Heroes!$C33,"-")</f>
        <v>-</v>
      </c>
      <c r="D33" s="219" t="str">
        <f>IF(AND(Heroes!$D33&lt;&gt;"Locked",Heroes!$B33=D$5),Heroes!$C33,"-")</f>
        <v>Xura</v>
      </c>
      <c r="F33" s="17" t="str">
        <f>IF(AND(Heroes!$B33=$F$4,Heroes!$D33&lt;&gt;"Locked",Heroes!$K33="Attack"),Heroes!$C33,"-")</f>
        <v>-</v>
      </c>
      <c r="G33" s="22" t="str">
        <f>IF(AND(Heroes!$B33="Infantry",Heroes!$D33&lt;&gt;"Locked",Heroes!$K33="Defense"),Heroes!$C33,"-")</f>
        <v>-</v>
      </c>
      <c r="H33" s="1"/>
      <c r="I33" s="17" t="str">
        <f>IF(AND(Heroes!$B33=$I$4,Heroes!$D33&lt;&gt;"Locked",Heroes!$K33="Attack"),Heroes!$C33,"-")</f>
        <v>-</v>
      </c>
      <c r="J33" s="22" t="str">
        <f>IF(AND(Heroes!$B33=$I$4,Heroes!$D33&lt;&gt;"Locked",Heroes!$K33="Defense"),Heroes!$C33,"-")</f>
        <v>-</v>
      </c>
      <c r="K33" s="1"/>
      <c r="L33" s="17" t="str">
        <f>IF(AND(Heroes!$B33=$L$4,Heroes!$D33&lt;&gt;"Locked",Heroes!$K33="Attack"),Heroes!$C33,"-")</f>
        <v>-</v>
      </c>
      <c r="M33" s="22" t="str">
        <f>IF(AND(Heroes!$B33=$L$4,Heroes!$D33&lt;&gt;"Locked",Heroes!$K33="Defense"),Heroes!$C33,"-")</f>
        <v>Xura</v>
      </c>
      <c r="P33" s="11" t="str" cm="1">
        <f t="array" ref="P33">IF(ISBLANK(Q33)=FALSE,_xlfn.CONCAT(REPT($B$5:$D$5,N($Q33=$B$6:$D$58))),"-")</f>
        <v>Marksman</v>
      </c>
      <c r="Q33" s="628" t="s">
        <v>542</v>
      </c>
      <c r="R33" s="628"/>
    </row>
    <row r="34" spans="1:24" x14ac:dyDescent="0.3">
      <c r="A34" s="576" t="s">
        <v>697</v>
      </c>
      <c r="B34" s="220" t="str">
        <f>IF(AND(Heroes!$D34&lt;&gt;"Locked",Heroes!$B34=B$5),Heroes!$C34,"-")</f>
        <v>Gregory</v>
      </c>
      <c r="C34" s="220" t="str">
        <f>IF(AND(Heroes!$D34&lt;&gt;"Locked",Heroes!$B34=C$5),Heroes!$C34,"-")</f>
        <v>-</v>
      </c>
      <c r="D34" s="220" t="str">
        <f>IF(AND(Heroes!$D34&lt;&gt;"Locked",Heroes!$B34=D$5),Heroes!$C34,"-")</f>
        <v>-</v>
      </c>
      <c r="F34" s="20" t="str">
        <f>IF(AND(Heroes!$B34=$F$4,Heroes!$D34&lt;&gt;"Locked",Heroes!$K34="Attack"),Heroes!$C34,"-")</f>
        <v>-</v>
      </c>
      <c r="G34" s="144" t="str">
        <f>IF(AND(Heroes!$B34="Infantry",Heroes!$D34&lt;&gt;"Locked",Heroes!$K34="Defense"),Heroes!$C34,"-")</f>
        <v>Gregory</v>
      </c>
      <c r="H34" s="1"/>
      <c r="I34" s="20" t="str">
        <f>IF(AND(Heroes!$B34=$I$4,Heroes!$D34&lt;&gt;"Locked",Heroes!$K34="Attack"),Heroes!$C34,"-")</f>
        <v>-</v>
      </c>
      <c r="J34" s="144" t="str">
        <f>IF(AND(Heroes!$B34=$I$4,Heroes!$D34&lt;&gt;"Locked",Heroes!$K34="Defense"),Heroes!$C34,"-")</f>
        <v>-</v>
      </c>
      <c r="K34" s="1"/>
      <c r="L34" s="20" t="str">
        <f>IF(AND(Heroes!$B34=$L$4,Heroes!$D34&lt;&gt;"Locked",Heroes!$K34="Attack"),Heroes!$C34,"-")</f>
        <v>-</v>
      </c>
      <c r="M34" s="144" t="str">
        <f>IF(AND(Heroes!$B34=$L$4,Heroes!$D34&lt;&gt;"Locked",Heroes!$K34="Defense"),Heroes!$C34,"-")</f>
        <v>-</v>
      </c>
    </row>
    <row r="35" spans="1:24" x14ac:dyDescent="0.3">
      <c r="A35" s="577"/>
      <c r="B35" s="221" t="str">
        <f>IF(AND(Heroes!$D35&lt;&gt;"Locked",Heroes!$B35=B$5),Heroes!$C35,"-")</f>
        <v>-</v>
      </c>
      <c r="C35" s="221" t="str">
        <f>IF(AND(Heroes!$D35&lt;&gt;"Locked",Heroes!$B35=C$5),Heroes!$C35,"-")</f>
        <v>Freya</v>
      </c>
      <c r="D35" s="221" t="str">
        <f>IF(AND(Heroes!$D35&lt;&gt;"Locked",Heroes!$B35=D$5),Heroes!$C35,"-")</f>
        <v>-</v>
      </c>
      <c r="F35" s="15" t="str">
        <f>IF(AND(Heroes!$B35=$F$4,Heroes!$D35&lt;&gt;"Locked",Heroes!$K35="Attack"),Heroes!$C35,"-")</f>
        <v>-</v>
      </c>
      <c r="G35" s="21" t="str">
        <f>IF(AND(Heroes!$B35="Infantry",Heroes!$D35&lt;&gt;"Locked",Heroes!$K35="Defense"),Heroes!$C35,"-")</f>
        <v>-</v>
      </c>
      <c r="H35" s="1"/>
      <c r="I35" s="15" t="str">
        <f>IF(AND(Heroes!$B35=$I$4,Heroes!$D35&lt;&gt;"Locked",Heroes!$K35="Attack"),Heroes!$C35,"-")</f>
        <v>-</v>
      </c>
      <c r="J35" s="21" t="str">
        <f>IF(AND(Heroes!$B35=$I$4,Heroes!$D35&lt;&gt;"Locked",Heroes!$K35="Defense"),Heroes!$C35,"-")</f>
        <v>Freya</v>
      </c>
      <c r="K35" s="1"/>
      <c r="L35" s="15" t="str">
        <f>IF(AND(Heroes!$B35=$L$4,Heroes!$D35&lt;&gt;"Locked",Heroes!$K35="Attack"),Heroes!$C35,"-")</f>
        <v>-</v>
      </c>
      <c r="M35" s="21" t="str">
        <f>IF(AND(Heroes!$B35=$L$4,Heroes!$D35&lt;&gt;"Locked",Heroes!$K35="Defense"),Heroes!$C35,"-")</f>
        <v>-</v>
      </c>
    </row>
    <row r="36" spans="1:24" x14ac:dyDescent="0.3">
      <c r="A36" s="578"/>
      <c r="B36" s="219" t="str">
        <f>IF(AND(Heroes!$D36&lt;&gt;"Locked",Heroes!$B36=B$5),Heroes!$C36,"-")</f>
        <v>-</v>
      </c>
      <c r="C36" s="219" t="str">
        <f>IF(AND(Heroes!$D36&lt;&gt;"Locked",Heroes!$B36=C$5),Heroes!$C36,"-")</f>
        <v>-</v>
      </c>
      <c r="D36" s="222" t="str">
        <f>IF(AND(Heroes!$D36&lt;&gt;"Locked",Heroes!$B36=D$5),Heroes!$C36,"-")</f>
        <v>Blanchette</v>
      </c>
      <c r="F36" s="17" t="str">
        <f>IF(AND(Heroes!$B36=$F$4,Heroes!$D36&lt;&gt;"Locked",Heroes!$K36="Attack"),Heroes!$C36,"-")</f>
        <v>-</v>
      </c>
      <c r="G36" s="22" t="str">
        <f>IF(AND(Heroes!$B36="Infantry",Heroes!$D36&lt;&gt;"Locked",Heroes!$K36="Defense"),Heroes!$C36,"-")</f>
        <v>-</v>
      </c>
      <c r="H36" s="1"/>
      <c r="I36" s="17" t="str">
        <f>IF(AND(Heroes!$B36=$I$4,Heroes!$D36&lt;&gt;"Locked",Heroes!$K36="Attack"),Heroes!$C36,"-")</f>
        <v>-</v>
      </c>
      <c r="J36" s="22" t="str">
        <f>IF(AND(Heroes!$B36=$I$4,Heroes!$D36&lt;&gt;"Locked",Heroes!$K36="Defense"),Heroes!$C36,"-")</f>
        <v>-</v>
      </c>
      <c r="K36" s="1"/>
      <c r="L36" s="243" t="str">
        <f>IF(AND(Heroes!$B36=$L$4,Heroes!$D36&lt;&gt;"Locked",Heroes!$K36="Attack"),Heroes!$C36,"-")</f>
        <v>Blanchette</v>
      </c>
      <c r="M36" s="22" t="str">
        <f>IF(AND(Heroes!$B36=$L$4,Heroes!$D36&lt;&gt;"Locked",Heroes!$K36="Defense"),Heroes!$C36,"-")</f>
        <v>-</v>
      </c>
    </row>
    <row r="37" spans="1:24" x14ac:dyDescent="0.3">
      <c r="A37" s="576" t="s">
        <v>916</v>
      </c>
      <c r="B37" s="220" t="str">
        <f>IF(AND(Heroes!$D37&lt;&gt;"Locked",Heroes!$B37=B$5),Heroes!$C37,"-")</f>
        <v>-</v>
      </c>
      <c r="C37" s="220" t="str">
        <f>IF(AND(Heroes!$D37&lt;&gt;"Locked",Heroes!$B37=C$5),Heroes!$C37,"-")</f>
        <v>-</v>
      </c>
      <c r="D37" s="324" t="str">
        <f>IF(AND(Heroes!$D37&lt;&gt;"Locked",Heroes!$B37=D$5),Heroes!$C37,"-")</f>
        <v>-</v>
      </c>
      <c r="F37" s="20" t="str">
        <f>IF(AND(Heroes!$B37=$F$4,Heroes!$D37&lt;&gt;"Locked",Heroes!$K37="Attack"),Heroes!$C37,"-")</f>
        <v>-</v>
      </c>
      <c r="G37" s="144" t="str">
        <f>IF(AND(Heroes!$B37="Infantry",Heroes!$D37&lt;&gt;"Locked",Heroes!$K37="Defense"),Heroes!$C37,"-")</f>
        <v>-</v>
      </c>
      <c r="H37" s="1"/>
      <c r="I37" s="20" t="str">
        <f>IF(AND(Heroes!$B37=$I$4,Heroes!$D37&lt;&gt;"Locked",Heroes!$K37="Attack"),Heroes!$C37,"-")</f>
        <v>-</v>
      </c>
      <c r="J37" s="144" t="str">
        <f>IF(AND(Heroes!$B37=$I$4,Heroes!$D37&lt;&gt;"Locked",Heroes!$K37="Defense"),Heroes!$C37,"-")</f>
        <v>-</v>
      </c>
      <c r="K37" s="1"/>
      <c r="L37" s="20" t="str">
        <f>IF(AND(Heroes!$B37=$L$4,Heroes!$D37&lt;&gt;"Locked",Heroes!$K37="Attack"),Heroes!$C37,"-")</f>
        <v>-</v>
      </c>
      <c r="M37" s="144" t="str">
        <f>IF(AND(Heroes!$B37=$L$4,Heroes!$D37&lt;&gt;"Locked",Heroes!$K37="Defense"),Heroes!$C37,"-")</f>
        <v>-</v>
      </c>
    </row>
    <row r="38" spans="1:24" x14ac:dyDescent="0.3">
      <c r="A38" s="577"/>
      <c r="B38" s="221" t="str">
        <f>IF(AND(Heroes!$D38&lt;&gt;"Locked",Heroes!$B38=B$5),Heroes!$C38,"-")</f>
        <v>-</v>
      </c>
      <c r="C38" s="221" t="str">
        <f>IF(AND(Heroes!$D38&lt;&gt;"Locked",Heroes!$B38=C$5),Heroes!$C38,"-")</f>
        <v>-</v>
      </c>
      <c r="D38" s="223" t="str">
        <f>IF(AND(Heroes!$D38&lt;&gt;"Locked",Heroes!$B38=D$5),Heroes!$C38,"-")</f>
        <v>-</v>
      </c>
      <c r="F38" s="15" t="str">
        <f>IF(AND(Heroes!$B38=$F$4,Heroes!$D38&lt;&gt;"Locked",Heroes!$K38="Attack"),Heroes!$C38,"-")</f>
        <v>-</v>
      </c>
      <c r="G38" s="21" t="str">
        <f>IF(AND(Heroes!$B38="Infantry",Heroes!$D38&lt;&gt;"Locked",Heroes!$K38="Defense"),Heroes!$C38,"-")</f>
        <v>-</v>
      </c>
      <c r="H38" s="1"/>
      <c r="I38" s="15" t="str">
        <f>IF(AND(Heroes!$B38=$I$4,Heroes!$D38&lt;&gt;"Locked",Heroes!$K38="Attack"),Heroes!$C38,"-")</f>
        <v>-</v>
      </c>
      <c r="J38" s="21" t="str">
        <f>IF(AND(Heroes!$B38=$I$4,Heroes!$D38&lt;&gt;"Locked",Heroes!$K38="Defense"),Heroes!$C38,"-")</f>
        <v>-</v>
      </c>
      <c r="K38" s="1"/>
      <c r="L38" s="15" t="str">
        <f>IF(AND(Heroes!$B38=$L$4,Heroes!$D38&lt;&gt;"Locked",Heroes!$K38="Attack"),Heroes!$C38,"-")</f>
        <v>-</v>
      </c>
      <c r="M38" s="21" t="str">
        <f>IF(AND(Heroes!$B38=$L$4,Heroes!$D38&lt;&gt;"Locked",Heroes!$K38="Defense"),Heroes!$C38,"-")</f>
        <v>-</v>
      </c>
    </row>
    <row r="39" spans="1:24" x14ac:dyDescent="0.3">
      <c r="A39" s="578"/>
      <c r="B39" s="219" t="str">
        <f>IF(AND(Heroes!$D39&lt;&gt;"Locked",Heroes!$B39=B$5),Heroes!$C39,"-")</f>
        <v>-</v>
      </c>
      <c r="C39" s="219" t="str">
        <f>IF(AND(Heroes!$D39&lt;&gt;"Locked",Heroes!$B39=C$5),Heroes!$C39,"-")</f>
        <v>-</v>
      </c>
      <c r="D39" s="222" t="str">
        <f>IF(AND(Heroes!$D39&lt;&gt;"Locked",Heroes!$B39=D$5),Heroes!$C39,"-")</f>
        <v>-</v>
      </c>
      <c r="F39" s="17" t="str">
        <f>IF(AND(Heroes!$B39=$F$4,Heroes!$D39&lt;&gt;"Locked",Heroes!$K39="Attack"),Heroes!$C39,"-")</f>
        <v>-</v>
      </c>
      <c r="G39" s="22" t="str">
        <f>IF(AND(Heroes!$B39="Infantry",Heroes!$D39&lt;&gt;"Locked",Heroes!$K39="Defense"),Heroes!$C39,"-")</f>
        <v>-</v>
      </c>
      <c r="H39" s="1"/>
      <c r="I39" s="17" t="str">
        <f>IF(AND(Heroes!$B39=$I$4,Heroes!$D39&lt;&gt;"Locked",Heroes!$K39="Attack"),Heroes!$C39,"-")</f>
        <v>-</v>
      </c>
      <c r="J39" s="22" t="str">
        <f>IF(AND(Heroes!$B39=$I$4,Heroes!$D39&lt;&gt;"Locked",Heroes!$K39="Defense"),Heroes!$C39,"-")</f>
        <v>-</v>
      </c>
      <c r="K39" s="1"/>
      <c r="L39" s="243" t="str">
        <f>IF(AND(Heroes!$B39=$L$4,Heroes!$D39&lt;&gt;"Locked",Heroes!$K39="Attack"),Heroes!$C39,"-")</f>
        <v>-</v>
      </c>
      <c r="M39" s="22" t="str">
        <f>IF(AND(Heroes!$B39=$L$4,Heroes!$D39&lt;&gt;"Locked",Heroes!$K39="Defense"),Heroes!$C39,"-")</f>
        <v>-</v>
      </c>
    </row>
    <row r="40" spans="1:24" x14ac:dyDescent="0.3">
      <c r="A40" s="576" t="s">
        <v>917</v>
      </c>
      <c r="B40" s="220" t="str">
        <f>IF(AND(Heroes!$D40&lt;&gt;"Locked",Heroes!$B40=B$5),Heroes!$C40,"-")</f>
        <v>-</v>
      </c>
      <c r="C40" s="220" t="str">
        <f>IF(AND(Heroes!$D40&lt;&gt;"Locked",Heroes!$B40=C$5),Heroes!$C40,"-")</f>
        <v>-</v>
      </c>
      <c r="D40" s="324" t="str">
        <f>IF(AND(Heroes!$D40&lt;&gt;"Locked",Heroes!$B40=D$5),Heroes!$C40,"-")</f>
        <v>-</v>
      </c>
      <c r="F40" s="20" t="str">
        <f>IF(AND(Heroes!$B40=$F$4,Heroes!$D40&lt;&gt;"Locked",Heroes!$K40="Attack"),Heroes!$C40,"-")</f>
        <v>-</v>
      </c>
      <c r="G40" s="144" t="str">
        <f>IF(AND(Heroes!$B40="Infantry",Heroes!$D40&lt;&gt;"Locked",Heroes!$K40="Defense"),Heroes!$C40,"-")</f>
        <v>-</v>
      </c>
      <c r="H40" s="1"/>
      <c r="I40" s="20" t="str">
        <f>IF(AND(Heroes!$B40=$I$4,Heroes!$D40&lt;&gt;"Locked",Heroes!$K40="Attack"),Heroes!$C40,"-")</f>
        <v>-</v>
      </c>
      <c r="J40" s="144" t="str">
        <f>IF(AND(Heroes!$B40=$I$4,Heroes!$D40&lt;&gt;"Locked",Heroes!$K40="Defense"),Heroes!$C40,"-")</f>
        <v>-</v>
      </c>
      <c r="K40" s="1"/>
      <c r="L40" s="20" t="str">
        <f>IF(AND(Heroes!$B40=$L$4,Heroes!$D40&lt;&gt;"Locked",Heroes!$K40="Attack"),Heroes!$C40,"-")</f>
        <v>-</v>
      </c>
      <c r="M40" s="144" t="str">
        <f>IF(AND(Heroes!$B40=$L$4,Heroes!$D40&lt;&gt;"Locked",Heroes!$K40="Defense"),Heroes!$C40,"-")</f>
        <v>-</v>
      </c>
    </row>
    <row r="41" spans="1:24" x14ac:dyDescent="0.3">
      <c r="A41" s="577"/>
      <c r="B41" s="221" t="str">
        <f>IF(AND(Heroes!$D41&lt;&gt;"Locked",Heroes!$B41=B$5),Heroes!$C41,"-")</f>
        <v>-</v>
      </c>
      <c r="C41" s="221" t="str">
        <f>IF(AND(Heroes!$D41&lt;&gt;"Locked",Heroes!$B41=C$5),Heroes!$C41,"-")</f>
        <v>-</v>
      </c>
      <c r="D41" s="223" t="str">
        <f>IF(AND(Heroes!$D41&lt;&gt;"Locked",Heroes!$B41=D$5),Heroes!$C41,"-")</f>
        <v>-</v>
      </c>
      <c r="F41" s="15" t="str">
        <f>IF(AND(Heroes!$B41=$F$4,Heroes!$D41&lt;&gt;"Locked",Heroes!$K41="Attack"),Heroes!$C41,"-")</f>
        <v>-</v>
      </c>
      <c r="G41" s="21" t="str">
        <f>IF(AND(Heroes!$B41="Infantry",Heroes!$D41&lt;&gt;"Locked",Heroes!$K41="Defense"),Heroes!$C41,"-")</f>
        <v>-</v>
      </c>
      <c r="H41" s="1"/>
      <c r="I41" s="15" t="str">
        <f>IF(AND(Heroes!$B41=$I$4,Heroes!$D41&lt;&gt;"Locked",Heroes!$K41="Attack"),Heroes!$C41,"-")</f>
        <v>-</v>
      </c>
      <c r="J41" s="21" t="str">
        <f>IF(AND(Heroes!$B41=$I$4,Heroes!$D41&lt;&gt;"Locked",Heroes!$K41="Defense"),Heroes!$C41,"-")</f>
        <v>-</v>
      </c>
      <c r="K41" s="1"/>
      <c r="L41" s="15" t="str">
        <f>IF(AND(Heroes!$B41=$L$4,Heroes!$D41&lt;&gt;"Locked",Heroes!$K41="Attack"),Heroes!$C41,"-")</f>
        <v>-</v>
      </c>
      <c r="M41" s="21" t="str">
        <f>IF(AND(Heroes!$B41=$L$4,Heroes!$D41&lt;&gt;"Locked",Heroes!$K41="Defense"),Heroes!$C41,"-")</f>
        <v>-</v>
      </c>
    </row>
    <row r="42" spans="1:24" x14ac:dyDescent="0.3">
      <c r="A42" s="578"/>
      <c r="B42" s="219" t="str">
        <f>IF(AND(Heroes!$D42&lt;&gt;"Locked",Heroes!$B42=B$5),Heroes!$C42,"-")</f>
        <v>-</v>
      </c>
      <c r="C42" s="219" t="str">
        <f>IF(AND(Heroes!$D42&lt;&gt;"Locked",Heroes!$B42=C$5),Heroes!$C42,"-")</f>
        <v>-</v>
      </c>
      <c r="D42" s="222" t="str">
        <f>IF(AND(Heroes!$D42&lt;&gt;"Locked",Heroes!$B42=D$5),Heroes!$C42,"-")</f>
        <v>-</v>
      </c>
      <c r="F42" s="17" t="str">
        <f>IF(AND(Heroes!$B42=$F$4,Heroes!$D42&lt;&gt;"Locked",Heroes!$K42="Attack"),Heroes!$C42,"-")</f>
        <v>-</v>
      </c>
      <c r="G42" s="22" t="str">
        <f>IF(AND(Heroes!$B42="Infantry",Heroes!$D42&lt;&gt;"Locked",Heroes!$K42="Defense"),Heroes!$C42,"-")</f>
        <v>-</v>
      </c>
      <c r="H42" s="1"/>
      <c r="I42" s="17" t="str">
        <f>IF(AND(Heroes!$B42=$I$4,Heroes!$D42&lt;&gt;"Locked",Heroes!$K42="Attack"),Heroes!$C42,"-")</f>
        <v>-</v>
      </c>
      <c r="J42" s="22" t="str">
        <f>IF(AND(Heroes!$B42=$I$4,Heroes!$D42&lt;&gt;"Locked",Heroes!$K42="Defense"),Heroes!$C42,"-")</f>
        <v>-</v>
      </c>
      <c r="K42" s="1"/>
      <c r="L42" s="243" t="str">
        <f>IF(AND(Heroes!$B42=$L$4,Heroes!$D42&lt;&gt;"Locked",Heroes!$K42="Attack"),Heroes!$C42,"-")</f>
        <v>-</v>
      </c>
      <c r="M42" s="22" t="str">
        <f>IF(AND(Heroes!$B42=$L$4,Heroes!$D42&lt;&gt;"Locked",Heroes!$K42="Defense"),Heroes!$C42,"-")</f>
        <v>-</v>
      </c>
    </row>
    <row r="43" spans="1:24" x14ac:dyDescent="0.3">
      <c r="A43" s="576" t="s">
        <v>918</v>
      </c>
      <c r="B43" s="220" t="str">
        <f>IF(AND(Heroes!$D43&lt;&gt;"Locked",Heroes!$B43=B$5),Heroes!$C43,"-")</f>
        <v>-</v>
      </c>
      <c r="C43" s="220" t="str">
        <f>IF(AND(Heroes!$D43&lt;&gt;"Locked",Heroes!$B43=C$5),Heroes!$C43,"-")</f>
        <v>-</v>
      </c>
      <c r="D43" s="324" t="str">
        <f>IF(AND(Heroes!$D43&lt;&gt;"Locked",Heroes!$B43=D$5),Heroes!$C43,"-")</f>
        <v>-</v>
      </c>
      <c r="F43" s="20" t="str">
        <f>IF(AND(Heroes!$B43=$F$4,Heroes!$D43&lt;&gt;"Locked",Heroes!$K43="Attack"),Heroes!$C43,"-")</f>
        <v>-</v>
      </c>
      <c r="G43" s="144" t="str">
        <f>IF(AND(Heroes!$B43="Infantry",Heroes!$D43&lt;&gt;"Locked",Heroes!$K43="Defense"),Heroes!$C43,"-")</f>
        <v>-</v>
      </c>
      <c r="H43" s="1"/>
      <c r="I43" s="20" t="str">
        <f>IF(AND(Heroes!$B43=$I$4,Heroes!$D43&lt;&gt;"Locked",Heroes!$K43="Attack"),Heroes!$C43,"-")</f>
        <v>-</v>
      </c>
      <c r="J43" s="144" t="str">
        <f>IF(AND(Heroes!$B43=$I$4,Heroes!$D43&lt;&gt;"Locked",Heroes!$K43="Defense"),Heroes!$C43,"-")</f>
        <v>-</v>
      </c>
      <c r="K43" s="1"/>
      <c r="L43" s="20" t="str">
        <f>IF(AND(Heroes!$B43=$L$4,Heroes!$D43&lt;&gt;"Locked",Heroes!$K43="Attack"),Heroes!$C43,"-")</f>
        <v>-</v>
      </c>
      <c r="M43" s="144" t="str">
        <f>IF(AND(Heroes!$B43=$L$4,Heroes!$D43&lt;&gt;"Locked",Heroes!$K43="Defense"),Heroes!$C43,"-")</f>
        <v>-</v>
      </c>
    </row>
    <row r="44" spans="1:24" x14ac:dyDescent="0.3">
      <c r="A44" s="577"/>
      <c r="B44" s="221" t="str">
        <f>IF(AND(Heroes!$D44&lt;&gt;"Locked",Heroes!$B44=B$5),Heroes!$C44,"-")</f>
        <v>-</v>
      </c>
      <c r="C44" s="221" t="str">
        <f>IF(AND(Heroes!$D44&lt;&gt;"Locked",Heroes!$B44=C$5),Heroes!$C44,"-")</f>
        <v>-</v>
      </c>
      <c r="D44" s="223" t="str">
        <f>IF(AND(Heroes!$D44&lt;&gt;"Locked",Heroes!$B44=D$5),Heroes!$C44,"-")</f>
        <v>-</v>
      </c>
      <c r="F44" s="15" t="str">
        <f>IF(AND(Heroes!$B44=$F$4,Heroes!$D44&lt;&gt;"Locked",Heroes!$K44="Attack"),Heroes!$C44,"-")</f>
        <v>-</v>
      </c>
      <c r="G44" s="21" t="str">
        <f>IF(AND(Heroes!$B44="Infantry",Heroes!$D44&lt;&gt;"Locked",Heroes!$K44="Defense"),Heroes!$C44,"-")</f>
        <v>-</v>
      </c>
      <c r="H44" s="1"/>
      <c r="I44" s="15" t="str">
        <f>IF(AND(Heroes!$B44=$I$4,Heroes!$D44&lt;&gt;"Locked",Heroes!$K44="Attack"),Heroes!$C44,"-")</f>
        <v>-</v>
      </c>
      <c r="J44" s="21" t="str">
        <f>IF(AND(Heroes!$B44=$I$4,Heroes!$D44&lt;&gt;"Locked",Heroes!$K44="Defense"),Heroes!$C44,"-")</f>
        <v>-</v>
      </c>
      <c r="K44" s="1"/>
      <c r="L44" s="15" t="str">
        <f>IF(AND(Heroes!$B44=$L$4,Heroes!$D44&lt;&gt;"Locked",Heroes!$K44="Attack"),Heroes!$C44,"-")</f>
        <v>-</v>
      </c>
      <c r="M44" s="21" t="str">
        <f>IF(AND(Heroes!$B44=$L$4,Heroes!$D44&lt;&gt;"Locked",Heroes!$K44="Defense"),Heroes!$C44,"-")</f>
        <v>-</v>
      </c>
    </row>
    <row r="45" spans="1:24" x14ac:dyDescent="0.3">
      <c r="A45" s="578"/>
      <c r="B45" s="219" t="str">
        <f>IF(AND(Heroes!$D45&lt;&gt;"Locked",Heroes!$B45=B$5),Heroes!$C45,"-")</f>
        <v>-</v>
      </c>
      <c r="C45" s="219" t="str">
        <f>IF(AND(Heroes!$D45&lt;&gt;"Locked",Heroes!$B45=C$5),Heroes!$C45,"-")</f>
        <v>-</v>
      </c>
      <c r="D45" s="222" t="str">
        <f>IF(AND(Heroes!$D45&lt;&gt;"Locked",Heroes!$B45=D$5),Heroes!$C45,"-")</f>
        <v>-</v>
      </c>
      <c r="F45" s="17" t="str">
        <f>IF(AND(Heroes!$B45=$F$4,Heroes!$D45&lt;&gt;"Locked",Heroes!$K45="Attack"),Heroes!$C45,"-")</f>
        <v>-</v>
      </c>
      <c r="G45" s="22" t="str">
        <f>IF(AND(Heroes!$B45="Infantry",Heroes!$D45&lt;&gt;"Locked",Heroes!$K45="Defense"),Heroes!$C45,"-")</f>
        <v>-</v>
      </c>
      <c r="H45" s="1"/>
      <c r="I45" s="17" t="str">
        <f>IF(AND(Heroes!$B45=$I$4,Heroes!$D45&lt;&gt;"Locked",Heroes!$K45="Attack"),Heroes!$C45,"-")</f>
        <v>-</v>
      </c>
      <c r="J45" s="22" t="str">
        <f>IF(AND(Heroes!$B45=$I$4,Heroes!$D45&lt;&gt;"Locked",Heroes!$K45="Defense"),Heroes!$C45,"-")</f>
        <v>-</v>
      </c>
      <c r="K45" s="1"/>
      <c r="L45" s="243" t="str">
        <f>IF(AND(Heroes!$B45=$L$4,Heroes!$D45&lt;&gt;"Locked",Heroes!$K45="Attack"),Heroes!$C45,"-")</f>
        <v>-</v>
      </c>
      <c r="M45" s="22" t="str">
        <f>IF(AND(Heroes!$B45=$L$4,Heroes!$D45&lt;&gt;"Locked",Heroes!$K45="Defense"),Heroes!$C45,"-")</f>
        <v>-</v>
      </c>
    </row>
    <row r="46" spans="1:24" x14ac:dyDescent="0.3">
      <c r="A46" s="576" t="s">
        <v>691</v>
      </c>
      <c r="B46" s="220" t="str">
        <f>IF(AND(Heroes!$D46&lt;&gt;"Locked",Heroes!$B46=B$5),Heroes!$C46,"-")</f>
        <v>Sergey</v>
      </c>
      <c r="C46" s="220" t="str">
        <f>IF(AND(Heroes!$D46&lt;&gt;"Locked",Heroes!$B46=C$5),Heroes!$C46,"-")</f>
        <v>-</v>
      </c>
      <c r="D46" s="220" t="str">
        <f>IF(AND(Heroes!$D46&lt;&gt;"Locked",Heroes!$B46=D$5),Heroes!$C46,"-")</f>
        <v>-</v>
      </c>
      <c r="H46" s="1"/>
      <c r="K46" s="1"/>
    </row>
    <row r="47" spans="1:24" x14ac:dyDescent="0.3">
      <c r="A47" s="577"/>
      <c r="B47" s="221" t="str">
        <f>IF(AND(Heroes!$D47&lt;&gt;"Locked",Heroes!$B47=B$5),Heroes!$C47,"-")</f>
        <v>-</v>
      </c>
      <c r="C47" s="221" t="str">
        <f>IF(AND(Heroes!$D47&lt;&gt;"Locked",Heroes!$B47=C$5),Heroes!$C47,"-")</f>
        <v>Patrick</v>
      </c>
      <c r="D47" s="221" t="str">
        <f>IF(AND(Heroes!$D47&lt;&gt;"Locked",Heroes!$B47=D$5),Heroes!$C47,"-")</f>
        <v>-</v>
      </c>
      <c r="F47" s="509" t="s">
        <v>721</v>
      </c>
      <c r="G47" s="509"/>
      <c r="H47" s="509"/>
      <c r="I47" s="509"/>
      <c r="J47" s="509"/>
      <c r="K47" s="509"/>
      <c r="L47" s="509"/>
      <c r="M47" s="509"/>
      <c r="N47" s="509"/>
      <c r="O47" s="509"/>
      <c r="P47" s="509"/>
      <c r="Q47" s="509"/>
      <c r="R47" s="509"/>
      <c r="S47" s="509"/>
      <c r="T47" s="509"/>
      <c r="U47" s="509"/>
      <c r="V47" s="509"/>
      <c r="W47" s="509"/>
      <c r="X47" s="509"/>
    </row>
    <row r="48" spans="1:24" x14ac:dyDescent="0.3">
      <c r="A48" s="577"/>
      <c r="B48" s="221" t="str">
        <f>IF(AND(Heroes!$D48&lt;&gt;"Locked",Heroes!$B48=B$5),Heroes!$C48,"-")</f>
        <v>-</v>
      </c>
      <c r="C48" s="221" t="str">
        <f>IF(AND(Heroes!$D48&lt;&gt;"Locked",Heroes!$B48=C$5),Heroes!$C48,"-")</f>
        <v>Jessie</v>
      </c>
      <c r="D48" s="221" t="str">
        <f>IF(AND(Heroes!$D48&lt;&gt;"Locked",Heroes!$B48=D$5),Heroes!$C48,"-")</f>
        <v>-</v>
      </c>
      <c r="F48" s="509"/>
      <c r="G48" s="509"/>
      <c r="H48" s="509"/>
      <c r="I48" s="509"/>
      <c r="J48" s="509"/>
      <c r="K48" s="509"/>
      <c r="L48" s="509"/>
      <c r="M48" s="509"/>
      <c r="N48" s="509"/>
      <c r="O48" s="509"/>
      <c r="P48" s="509"/>
      <c r="Q48" s="509"/>
      <c r="R48" s="509"/>
      <c r="S48" s="509"/>
      <c r="T48" s="509"/>
      <c r="U48" s="509"/>
      <c r="V48" s="509"/>
      <c r="W48" s="509"/>
      <c r="X48" s="509"/>
    </row>
    <row r="49" spans="1:29" x14ac:dyDescent="0.3">
      <c r="A49" s="577"/>
      <c r="B49" s="221" t="str">
        <f>IF(AND(Heroes!$D49&lt;&gt;"Locked",Heroes!$B49=B$5),Heroes!$C49,"-")</f>
        <v>-</v>
      </c>
      <c r="C49" s="221" t="str">
        <f>IF(AND(Heroes!$D49&lt;&gt;"Locked",Heroes!$B49=C$5),Heroes!$C49,"-")</f>
        <v>-</v>
      </c>
      <c r="D49" s="221" t="str">
        <f>IF(AND(Heroes!$D49&lt;&gt;"Locked",Heroes!$B49=D$5),Heroes!$C49,"-")</f>
        <v>Bahiti</v>
      </c>
      <c r="H49" s="1"/>
      <c r="K49" s="1"/>
    </row>
    <row r="50" spans="1:29" x14ac:dyDescent="0.3">
      <c r="A50" s="577"/>
      <c r="B50" s="221" t="str">
        <f>IF(AND(Heroes!$D50&lt;&gt;"Locked",Heroes!$B50=B$5),Heroes!$C50,"-")</f>
        <v>-</v>
      </c>
      <c r="C50" s="221" t="str">
        <f>IF(AND(Heroes!$D50&lt;&gt;"Locked",Heroes!$B50=C$5),Heroes!$C50,"-")</f>
        <v>-</v>
      </c>
      <c r="D50" s="221" t="str">
        <f>IF(AND(Heroes!$D50&lt;&gt;"Locked",Heroes!$B50=D$5),Heroes!$C50,"-")</f>
        <v>Gina</v>
      </c>
      <c r="F50" s="807" t="s">
        <v>722</v>
      </c>
      <c r="G50" s="808"/>
      <c r="H50" s="809"/>
      <c r="I50" s="240" t="s">
        <v>723</v>
      </c>
      <c r="K50" s="807" t="s">
        <v>724</v>
      </c>
      <c r="L50" s="808"/>
      <c r="M50" s="809"/>
      <c r="N50" s="240" t="s">
        <v>723</v>
      </c>
      <c r="P50" s="807" t="s">
        <v>725</v>
      </c>
      <c r="Q50" s="808"/>
      <c r="R50" s="809"/>
      <c r="S50" s="240" t="s">
        <v>723</v>
      </c>
      <c r="U50" s="807" t="s">
        <v>726</v>
      </c>
      <c r="V50" s="808"/>
      <c r="W50" s="809"/>
      <c r="X50" s="240" t="s">
        <v>723</v>
      </c>
    </row>
    <row r="51" spans="1:29" x14ac:dyDescent="0.3">
      <c r="A51" s="577"/>
      <c r="B51" s="221" t="str">
        <f>IF(AND(Heroes!$D51&lt;&gt;"Locked",Heroes!$B51=B$5),Heroes!$C51,"-")</f>
        <v>-</v>
      </c>
      <c r="C51" s="223" t="str">
        <f>IF(AND(Heroes!$D51&lt;&gt;"Locked",Heroes!$B51=C$5),Heroes!$C51,"-")</f>
        <v>Walis Bokan</v>
      </c>
      <c r="D51" s="221" t="str">
        <f>IF(AND(Heroes!$D51&lt;&gt;"Locked",Heroes!$B51=D$5),Heroes!$C51,"-")</f>
        <v>-</v>
      </c>
      <c r="F51" s="9" t="str" cm="1">
        <f t="array" ref="F51">"Lead ("&amp;IF(G51="","Hero Type)",_xlfn.CONCAT(REPT($B$5:$D$5,N(G51=$B$5:$D$58)))&amp;")")</f>
        <v>Lead (Infantry)</v>
      </c>
      <c r="G51" s="628" t="s">
        <v>313</v>
      </c>
      <c r="H51" s="628"/>
      <c r="I51" s="242">
        <v>0.03</v>
      </c>
      <c r="K51" s="9" t="str" cm="1">
        <f t="array" ref="K51">"Lead ("&amp;IF(L51="","Hero Type)",_xlfn.CONCAT(REPT($B$5:$D$5,N(L51=$B$5:$D$58)))&amp;")")</f>
        <v>Lead (Lancer)</v>
      </c>
      <c r="L51" s="628" t="s">
        <v>307</v>
      </c>
      <c r="M51" s="628"/>
      <c r="N51" s="242">
        <v>0.17</v>
      </c>
      <c r="P51" s="9" t="str" cm="1">
        <f t="array" ref="P51">"Lead ("&amp;IF(Q51="","Hero Type)",_xlfn.CONCAT(REPT($B$5:$D$5,N(Q51=$B$5:$D$58)))&amp;")")</f>
        <v>Lead (Marksman)</v>
      </c>
      <c r="Q51" s="628" t="s">
        <v>311</v>
      </c>
      <c r="R51" s="628"/>
      <c r="S51" s="242">
        <v>0.8</v>
      </c>
      <c r="U51" s="9" t="str" cm="1">
        <f t="array" ref="U51">"Lead ("&amp;IF(V51="","Hero Type)",_xlfn.CONCAT(REPT($B$5:$D$5,N(V51=$B$5:$D$58)))&amp;")")</f>
        <v>Lead (Marksman)</v>
      </c>
      <c r="V51" s="628" t="s">
        <v>312</v>
      </c>
      <c r="W51" s="628"/>
      <c r="X51" s="242">
        <v>0.8</v>
      </c>
    </row>
    <row r="52" spans="1:29" x14ac:dyDescent="0.3">
      <c r="A52" s="577"/>
      <c r="B52" s="221" t="str">
        <f>IF(AND(Heroes!$D52&lt;&gt;"Locked",Heroes!$B52=B$5),Heroes!$C52,"-")</f>
        <v>-</v>
      </c>
      <c r="C52" s="221" t="str">
        <f>IF(AND(Heroes!$D52&lt;&gt;"Locked",Heroes!$B52=C$5),Heroes!$C52,"-")</f>
        <v>-</v>
      </c>
      <c r="D52" s="221" t="str">
        <f>IF(AND(Heroes!$D52&lt;&gt;"Locked",Heroes!$B52=D$5),Heroes!$C52,"-")</f>
        <v>Jasser</v>
      </c>
      <c r="F52" s="9" t="str" cm="1">
        <f t="array" ref="F52">IF(G51="","-",IF(_xlfn.CONCAT(REPT($B$5:$D$5,N(G51=$B$5:$D$58)))=$B$5,$C$5,$B$5))</f>
        <v>Lancer</v>
      </c>
      <c r="G52" s="628" t="s">
        <v>321</v>
      </c>
      <c r="H52" s="628"/>
      <c r="I52" s="242">
        <v>0.17</v>
      </c>
      <c r="K52" s="9" t="str" cm="1">
        <f t="array" ref="K52">IF(L51="","-",IF(_xlfn.CONCAT(REPT($B$5:$D$5,N(L51=$B$5:$D$58)))=$B$5,$C$5,$B$5))</f>
        <v>Infantry</v>
      </c>
      <c r="L52" s="628" t="s">
        <v>305</v>
      </c>
      <c r="M52" s="628"/>
      <c r="N52" s="242">
        <v>0.03</v>
      </c>
      <c r="P52" s="9" t="str" cm="1">
        <f t="array" ref="P52">IF(Q51="","-",IF(_xlfn.CONCAT(REPT($B$5:$D$5,N(Q51=$B$5:$D$58)))=$B$5,$C$5,$B$5))</f>
        <v>Infantry</v>
      </c>
      <c r="Q52" s="628" t="s">
        <v>314</v>
      </c>
      <c r="R52" s="628"/>
      <c r="S52" s="242">
        <v>0.03</v>
      </c>
      <c r="U52" s="9" t="str" cm="1">
        <f t="array" ref="U52">IF(V51="","-",IF(_xlfn.CONCAT(REPT($B$5:$D$5,N(V51=$B$5:$D$58)))=$B$5,$C$5,$B$5))</f>
        <v>Infantry</v>
      </c>
      <c r="V52" s="628" t="s">
        <v>317</v>
      </c>
      <c r="W52" s="628"/>
      <c r="X52" s="242">
        <v>0.03</v>
      </c>
      <c r="Z52" s="789" t="s">
        <v>734</v>
      </c>
      <c r="AA52" s="790"/>
      <c r="AB52" s="790"/>
      <c r="AC52" s="791"/>
    </row>
    <row r="53" spans="1:29" x14ac:dyDescent="0.3">
      <c r="A53" s="577"/>
      <c r="B53" s="221" t="str">
        <f>IF(AND(Heroes!$D53&lt;&gt;"Locked",Heroes!$B53=B$5),Heroes!$C53,"-")</f>
        <v>-</v>
      </c>
      <c r="C53" s="221" t="str">
        <f>IF(AND(Heroes!$D53&lt;&gt;"Locked",Heroes!$B53=C$5),Heroes!$C53,"-")</f>
        <v>-</v>
      </c>
      <c r="D53" s="221" t="str">
        <f>IF(AND(Heroes!$D53&lt;&gt;"Locked",Heroes!$B53=D$5),Heroes!$C53,"-")</f>
        <v>Seo Yoon</v>
      </c>
      <c r="F53" s="9" t="str" cm="1">
        <f t="array" ref="F53">IF(G51="","-",IF(_xlfn.CONCAT(REPT($B$5:$D$5,N(G51=$B$5:$D$58)))=$B$5,$D$5,IF(_xlfn.CONCAT(REPT($B$5:$D$5,N(G51=$B$5:$D$58)))=$C$5,$D$5,$C$5)))</f>
        <v>Marksman</v>
      </c>
      <c r="G53" s="628" t="s">
        <v>539</v>
      </c>
      <c r="H53" s="628"/>
      <c r="I53" s="242">
        <v>0.8</v>
      </c>
      <c r="K53" s="9" t="str" cm="1">
        <f t="array" ref="K53">IF(L51="","-",IF(_xlfn.CONCAT(REPT($B$5:$D$5,N(L51=$B$5:$D$58)))=$B$5,$D$5,IF(_xlfn.CONCAT(REPT($B$5:$D$5,N(L51=$B$5:$D$58)))=$C$5,$D$5,$C$5)))</f>
        <v>Marksman</v>
      </c>
      <c r="L53" s="628" t="s">
        <v>308</v>
      </c>
      <c r="M53" s="628"/>
      <c r="N53" s="242">
        <v>0.8</v>
      </c>
      <c r="P53" s="9" t="str" cm="1">
        <f t="array" ref="P53">IF(Q51="","-",IF(_xlfn.CONCAT(REPT($B$5:$D$5,N(Q51=$B$5:$D$58)))=$B$5,$D$5,IF(_xlfn.CONCAT(REPT($B$5:$D$5,N(Q51=$B$5:$D$58)))=$C$5,$D$5,$C$5)))</f>
        <v>Lancer</v>
      </c>
      <c r="Q53" s="628" t="s">
        <v>315</v>
      </c>
      <c r="R53" s="628"/>
      <c r="S53" s="242">
        <v>0.17</v>
      </c>
      <c r="U53" s="9" t="str" cm="1">
        <f t="array" ref="U53">IF(V51="","-",IF(_xlfn.CONCAT(REPT($B$5:$D$5,N(V51=$B$5:$D$58)))=$B$5,$D$5,IF(_xlfn.CONCAT(REPT($B$5:$D$5,N(V51=$B$5:$D$58)))=$C$5,$D$5,$C$5)))</f>
        <v>Lancer</v>
      </c>
      <c r="V53" s="628" t="s">
        <v>318</v>
      </c>
      <c r="W53" s="628"/>
      <c r="X53" s="242">
        <v>0.17</v>
      </c>
      <c r="Z53" s="792"/>
      <c r="AA53" s="793"/>
      <c r="AB53" s="793"/>
      <c r="AC53" s="794"/>
    </row>
    <row r="54" spans="1:29" x14ac:dyDescent="0.3">
      <c r="A54" s="578"/>
      <c r="B54" s="219" t="str">
        <f>IF(AND(Heroes!$D54&lt;&gt;"Locked",Heroes!$B54=B$5),Heroes!$C54,"-")</f>
        <v>-</v>
      </c>
      <c r="C54" s="219" t="str">
        <f>IF(AND(Heroes!$D54&lt;&gt;"Locked",Heroes!$B54=C$5),Heroes!$C54,"-")</f>
        <v>Ling Xue</v>
      </c>
      <c r="D54" s="219" t="str">
        <f>IF(AND(Heroes!$D54&lt;&gt;"Locked",Heroes!$B54=D$5),Heroes!$C54,"-")</f>
        <v>-</v>
      </c>
      <c r="H54" s="1"/>
      <c r="K54" s="1"/>
      <c r="Z54" s="792"/>
      <c r="AA54" s="793"/>
      <c r="AB54" s="793"/>
      <c r="AC54" s="794"/>
    </row>
    <row r="55" spans="1:29" x14ac:dyDescent="0.3">
      <c r="A55" s="576" t="s">
        <v>692</v>
      </c>
      <c r="B55" s="220" t="str">
        <f>IF(AND(Heroes!$D55&lt;&gt;"Locked",Heroes!$B55=B$5),Heroes!$C55,"-")</f>
        <v>Smith</v>
      </c>
      <c r="C55" s="220" t="str">
        <f>IF(AND(Heroes!$D55&lt;&gt;"Locked",Heroes!$B55=C$5),Heroes!$C55,"-")</f>
        <v>-</v>
      </c>
      <c r="D55" s="220" t="str">
        <f>IF(AND(Heroes!$D55&lt;&gt;"Locked",Heroes!$B55=D$5),Heroes!$C55,"-")</f>
        <v>-</v>
      </c>
      <c r="F55" s="807" t="s">
        <v>727</v>
      </c>
      <c r="G55" s="808"/>
      <c r="H55" s="809"/>
      <c r="I55" s="240" t="s">
        <v>723</v>
      </c>
      <c r="K55" s="807" t="s">
        <v>728</v>
      </c>
      <c r="L55" s="808"/>
      <c r="M55" s="809"/>
      <c r="N55" s="240" t="s">
        <v>723</v>
      </c>
      <c r="P55" s="807" t="s">
        <v>729</v>
      </c>
      <c r="Q55" s="808"/>
      <c r="R55" s="809"/>
      <c r="S55" s="240" t="s">
        <v>723</v>
      </c>
      <c r="U55" s="807" t="s">
        <v>730</v>
      </c>
      <c r="V55" s="808"/>
      <c r="W55" s="809"/>
      <c r="X55" s="240" t="s">
        <v>723</v>
      </c>
      <c r="Z55" s="792"/>
      <c r="AA55" s="793"/>
      <c r="AB55" s="793"/>
      <c r="AC55" s="794"/>
    </row>
    <row r="56" spans="1:29" x14ac:dyDescent="0.3">
      <c r="A56" s="577"/>
      <c r="B56" s="221" t="str">
        <f>IF(AND(Heroes!$D56&lt;&gt;"Locked",Heroes!$B56=B$5),Heroes!$C56,"-")</f>
        <v>Eugene</v>
      </c>
      <c r="C56" s="221" t="str">
        <f>IF(AND(Heroes!$D56&lt;&gt;"Locked",Heroes!$B56=C$5),Heroes!$C56,"-")</f>
        <v>-</v>
      </c>
      <c r="D56" s="221" t="str">
        <f>IF(AND(Heroes!$D56&lt;&gt;"Locked",Heroes!$B56=D$5),Heroes!$C56,"-")</f>
        <v>-</v>
      </c>
      <c r="F56" s="9" t="str" cm="1">
        <f t="array" ref="F56">"Lead ("&amp;IF(G56="","Hero Type)",_xlfn.CONCAT(REPT($B$5:$D$5,N(G56=$B$5:$D$58)))&amp;")")</f>
        <v>Lead (Marksman)</v>
      </c>
      <c r="G56" s="628" t="s">
        <v>325</v>
      </c>
      <c r="H56" s="628"/>
      <c r="I56" s="242">
        <v>0.8</v>
      </c>
      <c r="K56" s="9" t="str" cm="1">
        <f t="array" ref="K56">"Lead ("&amp;IF(L56="","Hero Type)",_xlfn.CONCAT(REPT($B$5:$D$5,N(L56=$B$5:$D$58)))&amp;")")</f>
        <v>Lead (Marksman)</v>
      </c>
      <c r="L56" s="628" t="s">
        <v>542</v>
      </c>
      <c r="M56" s="628"/>
      <c r="N56" s="242">
        <v>0.8</v>
      </c>
      <c r="P56" s="9" t="str" cm="1">
        <f t="array" ref="P56">"Lead ("&amp;IF(Q56="","Hero Type)",_xlfn.CONCAT(REPT($B$5:$D$5,N(Q56=$B$5:$D$58)))&amp;")")</f>
        <v>Lead (Lancer)</v>
      </c>
      <c r="Q56" s="628" t="s">
        <v>324</v>
      </c>
      <c r="R56" s="628"/>
      <c r="S56" s="242">
        <v>0.17</v>
      </c>
      <c r="U56" s="9" t="str" cm="1">
        <f t="array" ref="U56">"Lead ("&amp;IF(V56="","Hero Type)",_xlfn.CONCAT(REPT($B$5:$D$5,N(V56=$B$5:$D$58)))&amp;")")</f>
        <v>Lead (Marksman)</v>
      </c>
      <c r="V56" s="628" t="s">
        <v>309</v>
      </c>
      <c r="W56" s="628"/>
      <c r="X56" s="242">
        <v>0.33</v>
      </c>
      <c r="Z56" s="795"/>
      <c r="AA56" s="796"/>
      <c r="AB56" s="796"/>
      <c r="AC56" s="797"/>
    </row>
    <row r="57" spans="1:29" x14ac:dyDescent="0.3">
      <c r="A57" s="577"/>
      <c r="B57" s="221" t="str">
        <f>IF(AND(Heroes!$D57&lt;&gt;"Locked",Heroes!$B57=B$5),Heroes!$C57,"-")</f>
        <v>-</v>
      </c>
      <c r="C57" s="221" t="str">
        <f>IF(AND(Heroes!$D57&lt;&gt;"Locked",Heroes!$B57=C$5),Heroes!$C57,"-")</f>
        <v>Charlie</v>
      </c>
      <c r="D57" s="221" t="str">
        <f>IF(AND(Heroes!$D57&lt;&gt;"Locked",Heroes!$B57=D$5),Heroes!$C57,"-")</f>
        <v>-</v>
      </c>
      <c r="F57" s="9" t="str" cm="1">
        <f t="array" ref="F57">IF(G56="","-",IF(_xlfn.CONCAT(REPT($B$5:$D$5,N(G56=$B$5:$D$58)))=$B$5,$C$5,$B$5))</f>
        <v>Infantry</v>
      </c>
      <c r="G57" s="628" t="s">
        <v>320</v>
      </c>
      <c r="H57" s="628"/>
      <c r="I57" s="242">
        <v>0.03</v>
      </c>
      <c r="K57" s="9" t="str" cm="1">
        <f t="array" ref="K57">IF(L56="","-",IF(_xlfn.CONCAT(REPT($B$5:$D$5,N(L56=$B$5:$D$58)))=$B$5,$C$5,$B$5))</f>
        <v>Infantry</v>
      </c>
      <c r="L57" s="628" t="s">
        <v>323</v>
      </c>
      <c r="M57" s="628"/>
      <c r="N57" s="242">
        <v>0.03</v>
      </c>
      <c r="P57" s="9" t="str" cm="1">
        <f t="array" ref="P57">IF(Q56="","-",IF(_xlfn.CONCAT(REPT($B$5:$D$5,N(Q56=$B$5:$D$58)))=$B$5,$C$5,$B$5))</f>
        <v>Infantry</v>
      </c>
      <c r="Q57" s="628" t="s">
        <v>326</v>
      </c>
      <c r="R57" s="628"/>
      <c r="S57" s="242">
        <v>0.03</v>
      </c>
      <c r="U57" s="9" t="str" cm="1">
        <f t="array" ref="U57">IF(V56="","-",IF(_xlfn.CONCAT(REPT($B$5:$D$5,N(V56=$B$5:$D$58)))=$B$5,$C$5,$B$5))</f>
        <v>Infantry</v>
      </c>
      <c r="V57" s="628" t="s">
        <v>698</v>
      </c>
      <c r="W57" s="628"/>
      <c r="X57" s="242">
        <v>0.33</v>
      </c>
    </row>
    <row r="58" spans="1:29" x14ac:dyDescent="0.3">
      <c r="A58" s="578"/>
      <c r="B58" s="219" t="str">
        <f>IF(AND(Heroes!$D58&lt;&gt;"Locked",Heroes!$B58=B$5),Heroes!$C58,"-")</f>
        <v>-</v>
      </c>
      <c r="C58" s="219" t="str">
        <f>IF(AND(Heroes!$D58&lt;&gt;"Locked",Heroes!$B58=C$5),Heroes!$C58,"-")</f>
        <v>-</v>
      </c>
      <c r="D58" s="219" t="str">
        <f>IF(AND(Heroes!$D58&lt;&gt;"Locked",Heroes!$B58=D$5),Heroes!$C58,"-")</f>
        <v>Cloris</v>
      </c>
      <c r="F58" s="9" t="str" cm="1">
        <f t="array" ref="F58">IF(G56="","-",IF(_xlfn.CONCAT(REPT($B$5:$D$5,N(G56=$B$5:$D$58)))=$B$5,$D$5,IF(_xlfn.CONCAT(REPT($B$5:$D$5,N(G56=$B$5:$D$58)))=$C$5,$D$5,$C$5)))</f>
        <v>Lancer</v>
      </c>
      <c r="G58" s="628" t="s">
        <v>306</v>
      </c>
      <c r="H58" s="628"/>
      <c r="I58" s="242">
        <v>0.17</v>
      </c>
      <c r="K58" s="9" t="str" cm="1">
        <f t="array" ref="K58">IF(L56="","-",IF(_xlfn.CONCAT(REPT($B$5:$D$5,N(L56=$B$5:$D$58)))=$B$5,$D$5,IF(_xlfn.CONCAT(REPT($B$5:$D$5,N(L56=$B$5:$D$58)))=$C$5,$D$5,$C$5)))</f>
        <v>Lancer</v>
      </c>
      <c r="L58" s="628" t="s">
        <v>327</v>
      </c>
      <c r="M58" s="628"/>
      <c r="N58" s="242">
        <v>0.17</v>
      </c>
      <c r="P58" s="9" t="str" cm="1">
        <f t="array" ref="P58">IF(Q56="","-",IF(_xlfn.CONCAT(REPT($B$5:$D$5,N(Q56=$B$5:$D$58)))=$B$5,$D$5,IF(_xlfn.CONCAT(REPT($B$5:$D$5,N(Q56=$B$5:$D$58)))=$C$5,$D$5,$C$5)))</f>
        <v>Marksman</v>
      </c>
      <c r="Q58" s="628" t="s">
        <v>322</v>
      </c>
      <c r="R58" s="628"/>
      <c r="S58" s="242">
        <v>0.8</v>
      </c>
      <c r="U58" s="9" t="str" cm="1">
        <f t="array" ref="U58">IF(V56="","-",IF(_xlfn.CONCAT(REPT($B$5:$D$5,N(V56=$B$5:$D$58)))=$B$5,$D$5,IF(_xlfn.CONCAT(REPT($B$5:$D$5,N(V56=$B$5:$D$58)))=$C$5,$D$5,$C$5)))</f>
        <v>Lancer</v>
      </c>
      <c r="V58" s="628" t="s">
        <v>310</v>
      </c>
      <c r="W58" s="628"/>
      <c r="X58" s="242">
        <v>0.33</v>
      </c>
    </row>
    <row r="59" spans="1:29" x14ac:dyDescent="0.3">
      <c r="H59" s="1"/>
      <c r="K59" s="1"/>
    </row>
    <row r="61" spans="1:29" x14ac:dyDescent="0.3">
      <c r="F61" s="509" t="s">
        <v>731</v>
      </c>
      <c r="G61" s="509"/>
      <c r="H61" s="509"/>
      <c r="I61" s="509"/>
      <c r="J61" s="509"/>
      <c r="K61" s="509"/>
      <c r="L61" s="509"/>
      <c r="M61" s="509"/>
      <c r="N61" s="509"/>
      <c r="O61" s="509"/>
      <c r="P61" s="509"/>
      <c r="Q61" s="509"/>
      <c r="R61" s="509"/>
      <c r="S61" s="509"/>
      <c r="T61" s="509"/>
      <c r="U61" s="509"/>
      <c r="V61" s="509"/>
      <c r="W61" s="509"/>
      <c r="X61" s="509"/>
    </row>
    <row r="62" spans="1:29" x14ac:dyDescent="0.3">
      <c r="F62" s="509"/>
      <c r="G62" s="509"/>
      <c r="H62" s="509"/>
      <c r="I62" s="509"/>
      <c r="J62" s="509"/>
      <c r="K62" s="509"/>
      <c r="L62" s="509"/>
      <c r="M62" s="509"/>
      <c r="N62" s="509"/>
      <c r="O62" s="509"/>
      <c r="P62" s="509"/>
      <c r="Q62" s="509"/>
      <c r="R62" s="509"/>
      <c r="S62" s="509"/>
      <c r="T62" s="509"/>
      <c r="U62" s="509"/>
      <c r="V62" s="509"/>
      <c r="W62" s="509"/>
      <c r="X62" s="509"/>
    </row>
    <row r="63" spans="1:29" x14ac:dyDescent="0.3">
      <c r="H63" s="1"/>
      <c r="K63" s="1"/>
    </row>
    <row r="64" spans="1:29" x14ac:dyDescent="0.3">
      <c r="F64" s="807" t="s">
        <v>722</v>
      </c>
      <c r="G64" s="808"/>
      <c r="H64" s="809"/>
      <c r="I64" s="240" t="s">
        <v>723</v>
      </c>
      <c r="K64" s="807" t="s">
        <v>724</v>
      </c>
      <c r="L64" s="808"/>
      <c r="M64" s="809"/>
      <c r="N64" s="240" t="s">
        <v>723</v>
      </c>
      <c r="P64" s="807" t="s">
        <v>725</v>
      </c>
      <c r="Q64" s="808"/>
      <c r="R64" s="809"/>
      <c r="S64" s="240" t="s">
        <v>723</v>
      </c>
      <c r="U64" s="807" t="s">
        <v>726</v>
      </c>
      <c r="V64" s="808"/>
      <c r="W64" s="809"/>
      <c r="X64" s="240" t="s">
        <v>723</v>
      </c>
    </row>
    <row r="65" spans="6:24" x14ac:dyDescent="0.3">
      <c r="F65" s="9" t="str" cm="1">
        <f t="array" ref="F65">"Lead ("&amp;IF(G65="","Hero Type)",_xlfn.CONCAT(REPT($B$5:$D$5,N(G65=$B$5:$D$58)))&amp;")")</f>
        <v>Lead (Hero Type)</v>
      </c>
      <c r="G65" s="628"/>
      <c r="H65" s="628"/>
      <c r="I65" s="242"/>
      <c r="K65" s="9" t="str" cm="1">
        <f t="array" ref="K65">"Lead ("&amp;IF(L65="","Hero Type)",_xlfn.CONCAT(REPT($B$5:$D$5,N(L65=$B$5:$D$58)))&amp;")")</f>
        <v>Lead (Hero Type)</v>
      </c>
      <c r="L65" s="628"/>
      <c r="M65" s="628"/>
      <c r="N65" s="242"/>
      <c r="P65" s="9" t="str" cm="1">
        <f t="array" ref="P65">"Lead ("&amp;IF(Q65="","Hero Type)",_xlfn.CONCAT(REPT($B$5:$D$5,N(Q65=$B$5:$D$58)))&amp;")")</f>
        <v>Lead (Hero Type)</v>
      </c>
      <c r="Q65" s="628"/>
      <c r="R65" s="628"/>
      <c r="S65" s="242"/>
      <c r="U65" s="9" t="str" cm="1">
        <f t="array" ref="U65">"Lead ("&amp;IF(V65="","Hero Type)",_xlfn.CONCAT(REPT($B$5:$D$5,N(V65=$B$5:$D$58)))&amp;")")</f>
        <v>Lead (Hero Type)</v>
      </c>
      <c r="V65" s="628"/>
      <c r="W65" s="628"/>
      <c r="X65" s="242"/>
    </row>
    <row r="66" spans="6:24" x14ac:dyDescent="0.3">
      <c r="F66" s="9" t="str" cm="1">
        <f t="array" ref="F66">IF(G65="","-",IF(_xlfn.CONCAT(REPT($B$5:$D$5,N(G65=$B$5:$D$58)))=$B$5,$C$5,$B$5))</f>
        <v>-</v>
      </c>
      <c r="G66" s="628"/>
      <c r="H66" s="628"/>
      <c r="I66" s="242"/>
      <c r="K66" s="9" t="str" cm="1">
        <f t="array" ref="K66">IF(L65="","-",IF(_xlfn.CONCAT(REPT($B$5:$D$5,N(L65=$B$5:$D$58)))=$B$5,$C$5,$B$5))</f>
        <v>-</v>
      </c>
      <c r="L66" s="628"/>
      <c r="M66" s="628"/>
      <c r="N66" s="242"/>
      <c r="P66" s="9" t="str" cm="1">
        <f t="array" ref="P66">IF(Q65="","-",IF(_xlfn.CONCAT(REPT($B$5:$D$5,N(Q65=$B$5:$D$58)))=$B$5,$C$5,$B$5))</f>
        <v>-</v>
      </c>
      <c r="Q66" s="628"/>
      <c r="R66" s="628"/>
      <c r="S66" s="242"/>
      <c r="U66" s="9" t="str" cm="1">
        <f t="array" ref="U66">IF(V65="","-",IF(_xlfn.CONCAT(REPT($B$5:$D$5,N(V65=$B$5:$D$58)))=$B$5,$C$5,$B$5))</f>
        <v>-</v>
      </c>
      <c r="V66" s="628"/>
      <c r="W66" s="628"/>
      <c r="X66" s="242"/>
    </row>
    <row r="67" spans="6:24" x14ac:dyDescent="0.3">
      <c r="F67" s="9" t="str" cm="1">
        <f t="array" ref="F67">IF(G65="","-",IF(_xlfn.CONCAT(REPT($B$5:$D$5,N(G65=$B$5:$D$58)))=$B$5,$D$5,IF(_xlfn.CONCAT(REPT($B$5:$D$5,N(G65=$B$5:$D$58)))=$C$5,$D$5,$C$5)))</f>
        <v>-</v>
      </c>
      <c r="G67" s="628"/>
      <c r="H67" s="628"/>
      <c r="I67" s="242"/>
      <c r="K67" s="9" t="str" cm="1">
        <f t="array" ref="K67">IF(L65="","-",IF(_xlfn.CONCAT(REPT($B$5:$D$5,N(L65=$B$5:$D$58)))=$B$5,$D$5,IF(_xlfn.CONCAT(REPT($B$5:$D$5,N(L65=$B$5:$D$58)))=$C$5,$D$5,$C$5)))</f>
        <v>-</v>
      </c>
      <c r="L67" s="628"/>
      <c r="M67" s="628"/>
      <c r="N67" s="242"/>
      <c r="P67" s="9" t="str" cm="1">
        <f t="array" ref="P67">IF(Q65="","-",IF(_xlfn.CONCAT(REPT($B$5:$D$5,N(Q65=$B$5:$D$58)))=$B$5,$D$5,IF(_xlfn.CONCAT(REPT($B$5:$D$5,N(Q65=$B$5:$D$58)))=$C$5,$D$5,$C$5)))</f>
        <v>-</v>
      </c>
      <c r="Q67" s="628"/>
      <c r="R67" s="628"/>
      <c r="S67" s="242"/>
      <c r="U67" s="9" t="str" cm="1">
        <f t="array" ref="U67">IF(V65="","-",IF(_xlfn.CONCAT(REPT($B$5:$D$5,N(V65=$B$5:$D$58)))=$B$5,$D$5,IF(_xlfn.CONCAT(REPT($B$5:$D$5,N(V65=$B$5:$D$58)))=$C$5,$D$5,$C$5)))</f>
        <v>-</v>
      </c>
      <c r="V67" s="628"/>
      <c r="W67" s="628"/>
      <c r="X67" s="242"/>
    </row>
    <row r="68" spans="6:24" x14ac:dyDescent="0.3">
      <c r="H68" s="1"/>
      <c r="K68" s="1"/>
    </row>
    <row r="69" spans="6:24" x14ac:dyDescent="0.3">
      <c r="F69" s="807" t="s">
        <v>727</v>
      </c>
      <c r="G69" s="808"/>
      <c r="H69" s="809"/>
      <c r="I69" s="240" t="s">
        <v>723</v>
      </c>
      <c r="K69" s="807" t="s">
        <v>728</v>
      </c>
      <c r="L69" s="808"/>
      <c r="M69" s="809"/>
      <c r="N69" s="240" t="s">
        <v>723</v>
      </c>
      <c r="P69" s="807" t="s">
        <v>729</v>
      </c>
      <c r="Q69" s="808"/>
      <c r="R69" s="809"/>
      <c r="S69" s="240" t="s">
        <v>723</v>
      </c>
      <c r="U69" s="807" t="s">
        <v>730</v>
      </c>
      <c r="V69" s="808"/>
      <c r="W69" s="809"/>
      <c r="X69" s="240" t="s">
        <v>723</v>
      </c>
    </row>
    <row r="70" spans="6:24" x14ac:dyDescent="0.3">
      <c r="F70" s="9" t="str" cm="1">
        <f t="array" ref="F70">"Lead ("&amp;IF(G70="","Hero Type)",_xlfn.CONCAT(REPT($B$5:$D$5,N(G70=$B$5:$D$58)))&amp;")")</f>
        <v>Lead (Hero Type)</v>
      </c>
      <c r="G70" s="628"/>
      <c r="H70" s="628"/>
      <c r="I70" s="242"/>
      <c r="K70" s="9" t="str" cm="1">
        <f t="array" ref="K70">"Lead ("&amp;IF(L70="","Hero Type)",_xlfn.CONCAT(REPT($B$5:$D$5,N(L70=$B$5:$D$58)))&amp;")")</f>
        <v>Lead (Hero Type)</v>
      </c>
      <c r="L70" s="628"/>
      <c r="M70" s="628"/>
      <c r="N70" s="242"/>
      <c r="P70" s="9" t="str" cm="1">
        <f t="array" ref="P70">"Lead ("&amp;IF(Q70="","Hero Type)",_xlfn.CONCAT(REPT($B$5:$D$5,N(Q70=$B$5:$D$58)))&amp;")")</f>
        <v>Lead (Hero Type)</v>
      </c>
      <c r="Q70" s="628"/>
      <c r="R70" s="628"/>
      <c r="S70" s="242"/>
      <c r="U70" s="9" t="str" cm="1">
        <f t="array" ref="U70">"Lead ("&amp;IF(V70="","Hero Type)",_xlfn.CONCAT(REPT($B$5:$D$5,N(V70=$B$5:$D$58)))&amp;")")</f>
        <v>Lead (Hero Type)</v>
      </c>
      <c r="V70" s="628"/>
      <c r="W70" s="628"/>
      <c r="X70" s="242"/>
    </row>
    <row r="71" spans="6:24" x14ac:dyDescent="0.3">
      <c r="F71" s="9" t="str" cm="1">
        <f t="array" ref="F71">IF(G70="","-",IF(_xlfn.CONCAT(REPT($B$5:$D$5,N(G70=$B$5:$D$58)))=$B$5,$C$5,$B$5))</f>
        <v>-</v>
      </c>
      <c r="G71" s="628"/>
      <c r="H71" s="628"/>
      <c r="I71" s="242"/>
      <c r="K71" s="9" t="str" cm="1">
        <f t="array" ref="K71">IF(L70="","-",IF(_xlfn.CONCAT(REPT($B$5:$D$5,N(L70=$B$5:$D$58)))=$B$5,$C$5,$B$5))</f>
        <v>-</v>
      </c>
      <c r="L71" s="628"/>
      <c r="M71" s="628"/>
      <c r="N71" s="242"/>
      <c r="P71" s="9" t="str" cm="1">
        <f t="array" ref="P71">IF(Q70="","-",IF(_xlfn.CONCAT(REPT($B$5:$D$5,N(Q70=$B$5:$D$58)))=$B$5,$C$5,$B$5))</f>
        <v>-</v>
      </c>
      <c r="Q71" s="628"/>
      <c r="R71" s="628"/>
      <c r="S71" s="242"/>
      <c r="U71" s="9" t="str" cm="1">
        <f t="array" ref="U71">IF(V70="","-",IF(_xlfn.CONCAT(REPT($B$5:$D$5,N(V70=$B$5:$D$58)))=$B$5,$C$5,$B$5))</f>
        <v>-</v>
      </c>
      <c r="V71" s="628"/>
      <c r="W71" s="628"/>
      <c r="X71" s="242"/>
    </row>
    <row r="72" spans="6:24" x14ac:dyDescent="0.3">
      <c r="F72" s="9" t="str" cm="1">
        <f t="array" ref="F72">IF(G70="","-",IF(_xlfn.CONCAT(REPT($B$5:$D$5,N(G70=$B$5:$D$58)))=$B$5,$D$5,IF(_xlfn.CONCAT(REPT($B$5:$D$5,N(G70=$B$5:$D$58)))=$C$5,$D$5,$C$5)))</f>
        <v>-</v>
      </c>
      <c r="G72" s="628"/>
      <c r="H72" s="628"/>
      <c r="I72" s="242"/>
      <c r="K72" s="9" t="str" cm="1">
        <f t="array" ref="K72">IF(L70="","-",IF(_xlfn.CONCAT(REPT($B$5:$D$5,N(L70=$B$5:$D$58)))=$B$5,$D$5,IF(_xlfn.CONCAT(REPT($B$5:$D$5,N(L70=$B$5:$D$58)))=$C$5,$D$5,$C$5)))</f>
        <v>-</v>
      </c>
      <c r="L72" s="628"/>
      <c r="M72" s="628"/>
      <c r="N72" s="242"/>
      <c r="P72" s="9" t="str" cm="1">
        <f t="array" ref="P72">IF(Q70="","-",IF(_xlfn.CONCAT(REPT($B$5:$D$5,N(Q70=$B$5:$D$58)))=$B$5,$D$5,IF(_xlfn.CONCAT(REPT($B$5:$D$5,N(Q70=$B$5:$D$58)))=$C$5,$D$5,$C$5)))</f>
        <v>-</v>
      </c>
      <c r="Q72" s="628"/>
      <c r="R72" s="628"/>
      <c r="S72" s="242"/>
      <c r="U72" s="9" t="str" cm="1">
        <f t="array" ref="U72">IF(V70="","-",IF(_xlfn.CONCAT(REPT($B$5:$D$5,N(V70=$B$5:$D$58)))=$B$5,$D$5,IF(_xlfn.CONCAT(REPT($B$5:$D$5,N(V70=$B$5:$D$58)))=$C$5,$D$5,$C$5)))</f>
        <v>-</v>
      </c>
      <c r="V72" s="628"/>
      <c r="W72" s="628"/>
      <c r="X72" s="242"/>
    </row>
  </sheetData>
  <sheetProtection formatColumns="0"/>
  <mergeCells count="106">
    <mergeCell ref="I4:J4"/>
    <mergeCell ref="L4:M4"/>
    <mergeCell ref="F4:G4"/>
    <mergeCell ref="B4:D4"/>
    <mergeCell ref="P28:R28"/>
    <mergeCell ref="P7:R7"/>
    <mergeCell ref="Q22:R22"/>
    <mergeCell ref="Q23:R23"/>
    <mergeCell ref="Q24:R24"/>
    <mergeCell ref="P21:R21"/>
    <mergeCell ref="P14:R14"/>
    <mergeCell ref="Q8:R8"/>
    <mergeCell ref="Q9:R9"/>
    <mergeCell ref="Q10:R10"/>
    <mergeCell ref="Q17:R17"/>
    <mergeCell ref="Q16:R16"/>
    <mergeCell ref="Q15:R15"/>
    <mergeCell ref="A25:A27"/>
    <mergeCell ref="A28:A30"/>
    <mergeCell ref="A31:A33"/>
    <mergeCell ref="A34:A36"/>
    <mergeCell ref="A46:A54"/>
    <mergeCell ref="A55:A58"/>
    <mergeCell ref="A6:A9"/>
    <mergeCell ref="A10:A12"/>
    <mergeCell ref="A13:A15"/>
    <mergeCell ref="A16:A18"/>
    <mergeCell ref="A19:A21"/>
    <mergeCell ref="A22:A24"/>
    <mergeCell ref="A37:A39"/>
    <mergeCell ref="A40:A42"/>
    <mergeCell ref="A43:A45"/>
    <mergeCell ref="Q52:R52"/>
    <mergeCell ref="Q53:R53"/>
    <mergeCell ref="U50:W50"/>
    <mergeCell ref="V51:W51"/>
    <mergeCell ref="V52:W52"/>
    <mergeCell ref="V53:W53"/>
    <mergeCell ref="G51:H51"/>
    <mergeCell ref="G52:H52"/>
    <mergeCell ref="G53:H53"/>
    <mergeCell ref="F50:H50"/>
    <mergeCell ref="K50:M50"/>
    <mergeCell ref="L51:M51"/>
    <mergeCell ref="L52:M52"/>
    <mergeCell ref="L53:M53"/>
    <mergeCell ref="F47:X48"/>
    <mergeCell ref="F61:X62"/>
    <mergeCell ref="F64:H64"/>
    <mergeCell ref="K64:M64"/>
    <mergeCell ref="P64:R64"/>
    <mergeCell ref="U64:W64"/>
    <mergeCell ref="P55:R55"/>
    <mergeCell ref="Q56:R56"/>
    <mergeCell ref="Q57:R57"/>
    <mergeCell ref="Q58:R58"/>
    <mergeCell ref="U55:W55"/>
    <mergeCell ref="V56:W56"/>
    <mergeCell ref="V57:W57"/>
    <mergeCell ref="V58:W58"/>
    <mergeCell ref="F55:H55"/>
    <mergeCell ref="G56:H56"/>
    <mergeCell ref="G57:H57"/>
    <mergeCell ref="G58:H58"/>
    <mergeCell ref="K55:M55"/>
    <mergeCell ref="L56:M56"/>
    <mergeCell ref="L57:M57"/>
    <mergeCell ref="L58:M58"/>
    <mergeCell ref="P50:R50"/>
    <mergeCell ref="Q51:R51"/>
    <mergeCell ref="F69:H69"/>
    <mergeCell ref="K69:M69"/>
    <mergeCell ref="P69:R69"/>
    <mergeCell ref="U69:W69"/>
    <mergeCell ref="G65:H65"/>
    <mergeCell ref="L65:M65"/>
    <mergeCell ref="Q65:R65"/>
    <mergeCell ref="V65:W65"/>
    <mergeCell ref="G66:H66"/>
    <mergeCell ref="L66:M66"/>
    <mergeCell ref="Q66:R66"/>
    <mergeCell ref="V66:W66"/>
    <mergeCell ref="A1:X2"/>
    <mergeCell ref="Z52:AC56"/>
    <mergeCell ref="U14:X31"/>
    <mergeCell ref="G72:H72"/>
    <mergeCell ref="L72:M72"/>
    <mergeCell ref="Q72:R72"/>
    <mergeCell ref="V72:W72"/>
    <mergeCell ref="Q29:R29"/>
    <mergeCell ref="Q30:R30"/>
    <mergeCell ref="Q31:R31"/>
    <mergeCell ref="Q32:R32"/>
    <mergeCell ref="Q33:R33"/>
    <mergeCell ref="G70:H70"/>
    <mergeCell ref="L70:M70"/>
    <mergeCell ref="Q70:R70"/>
    <mergeCell ref="V70:W70"/>
    <mergeCell ref="G71:H71"/>
    <mergeCell ref="L71:M71"/>
    <mergeCell ref="Q71:R71"/>
    <mergeCell ref="V71:W71"/>
    <mergeCell ref="G67:H67"/>
    <mergeCell ref="L67:M67"/>
    <mergeCell ref="Q67:R67"/>
    <mergeCell ref="V67:W67"/>
  </mergeCells>
  <conditionalFormatting sqref="F52">
    <cfRule type="duplicateValues" dxfId="42" priority="54"/>
  </conditionalFormatting>
  <conditionalFormatting sqref="F53">
    <cfRule type="duplicateValues" dxfId="41" priority="53"/>
  </conditionalFormatting>
  <conditionalFormatting sqref="F57">
    <cfRule type="duplicateValues" dxfId="40" priority="8"/>
  </conditionalFormatting>
  <conditionalFormatting sqref="F58">
    <cfRule type="duplicateValues" dxfId="39" priority="7"/>
  </conditionalFormatting>
  <conditionalFormatting sqref="F66">
    <cfRule type="duplicateValues" dxfId="38" priority="34"/>
  </conditionalFormatting>
  <conditionalFormatting sqref="F67">
    <cfRule type="duplicateValues" dxfId="37" priority="33"/>
  </conditionalFormatting>
  <conditionalFormatting sqref="F71">
    <cfRule type="duplicateValues" dxfId="36" priority="26"/>
  </conditionalFormatting>
  <conditionalFormatting sqref="F72">
    <cfRule type="duplicateValues" dxfId="35" priority="25"/>
  </conditionalFormatting>
  <conditionalFormatting sqref="G51:H53 L51:M53 Q51:R53 V51:W53 G56:H58 L56:M58 Q56:R58 V56:W58">
    <cfRule type="duplicateValues" dxfId="34" priority="15"/>
  </conditionalFormatting>
  <conditionalFormatting sqref="K52">
    <cfRule type="duplicateValues" dxfId="33" priority="14"/>
  </conditionalFormatting>
  <conditionalFormatting sqref="K53">
    <cfRule type="duplicateValues" dxfId="32" priority="13"/>
  </conditionalFormatting>
  <conditionalFormatting sqref="K57">
    <cfRule type="duplicateValues" dxfId="31" priority="6"/>
  </conditionalFormatting>
  <conditionalFormatting sqref="K58">
    <cfRule type="duplicateValues" dxfId="30" priority="5"/>
  </conditionalFormatting>
  <conditionalFormatting sqref="K66">
    <cfRule type="duplicateValues" dxfId="29" priority="32"/>
  </conditionalFormatting>
  <conditionalFormatting sqref="K67">
    <cfRule type="duplicateValues" dxfId="28" priority="31"/>
  </conditionalFormatting>
  <conditionalFormatting sqref="K71">
    <cfRule type="duplicateValues" dxfId="27" priority="24"/>
  </conditionalFormatting>
  <conditionalFormatting sqref="K72">
    <cfRule type="duplicateValues" dxfId="26" priority="23"/>
  </conditionalFormatting>
  <conditionalFormatting sqref="P52">
    <cfRule type="duplicateValues" dxfId="25" priority="12"/>
  </conditionalFormatting>
  <conditionalFormatting sqref="P53">
    <cfRule type="duplicateValues" dxfId="24" priority="11"/>
  </conditionalFormatting>
  <conditionalFormatting sqref="P57">
    <cfRule type="duplicateValues" dxfId="23" priority="4"/>
  </conditionalFormatting>
  <conditionalFormatting sqref="P58">
    <cfRule type="duplicateValues" dxfId="22" priority="3"/>
  </conditionalFormatting>
  <conditionalFormatting sqref="P66">
    <cfRule type="duplicateValues" dxfId="21" priority="30"/>
  </conditionalFormatting>
  <conditionalFormatting sqref="P67">
    <cfRule type="duplicateValues" dxfId="20" priority="29"/>
  </conditionalFormatting>
  <conditionalFormatting sqref="P71">
    <cfRule type="duplicateValues" dxfId="19" priority="22"/>
  </conditionalFormatting>
  <conditionalFormatting sqref="P72">
    <cfRule type="duplicateValues" dxfId="18" priority="21"/>
  </conditionalFormatting>
  <conditionalFormatting sqref="U52">
    <cfRule type="duplicateValues" dxfId="17" priority="10"/>
  </conditionalFormatting>
  <conditionalFormatting sqref="U53">
    <cfRule type="duplicateValues" dxfId="16" priority="9"/>
  </conditionalFormatting>
  <conditionalFormatting sqref="U57">
    <cfRule type="duplicateValues" dxfId="15" priority="2"/>
  </conditionalFormatting>
  <conditionalFormatting sqref="U58">
    <cfRule type="duplicateValues" dxfId="14" priority="1"/>
  </conditionalFormatting>
  <conditionalFormatting sqref="U66">
    <cfRule type="duplicateValues" dxfId="13" priority="28"/>
  </conditionalFormatting>
  <conditionalFormatting sqref="U67">
    <cfRule type="duplicateValues" dxfId="12" priority="27"/>
  </conditionalFormatting>
  <conditionalFormatting sqref="U71">
    <cfRule type="duplicateValues" dxfId="11" priority="20"/>
  </conditionalFormatting>
  <conditionalFormatting sqref="U72">
    <cfRule type="duplicateValues" dxfId="10" priority="19"/>
  </conditionalFormatting>
  <dataValidations count="21">
    <dataValidation type="list" allowBlank="1" showInputMessage="1" showErrorMessage="1" sqref="Q24:R24 Q10:R10 Q17:R17" xr:uid="{17CBA06B-DCD8-4AA0-8282-F8F371B6D664}">
      <formula1>$D$6:$D$58</formula1>
    </dataValidation>
    <dataValidation type="list" allowBlank="1" showInputMessage="1" showErrorMessage="1" sqref="Q22:R22 Q8:R8 Q15:R15" xr:uid="{E603A6BD-E8B0-478E-A5B9-07868E6EF498}">
      <formula1>$B$6:$B$58</formula1>
    </dataValidation>
    <dataValidation type="list" allowBlank="1" showInputMessage="1" showErrorMessage="1" sqref="Q23:R23 Q9:R9 Q16:R16" xr:uid="{E1AAA2C7-A0D0-48A4-BD55-8AFB9EE69C06}">
      <formula1>$C$6:$C$58</formula1>
    </dataValidation>
    <dataValidation type="list" allowBlank="1" showInputMessage="1" showErrorMessage="1" sqref="Q72:R72 G67:H67 L67:M67 Q67:R67 V67:W67 G72:H72 L72:M72 V72:W72" xr:uid="{CF1CDCD2-4115-4177-A435-781AED44E1BC}">
      <formula1>IF(_xlfn.CONCAT(REPT($B$5:$D$5,N(G65=$B$6:$D$58)))=$D$5,$C$6:$C$58,$D$6:$D$58)</formula1>
    </dataValidation>
    <dataValidation type="list" allowBlank="1" showInputMessage="1" showErrorMessage="1" sqref="V71:W71 G66:H66 L66:M66 Q66:R66 V66:W66 G71:H71 L71:M71 Q71:R71" xr:uid="{951CFCF2-109C-4840-ABAE-9DBF3B195608}">
      <formula1>IF(_xlfn.CONCAT(REPT($B$5:$D$5,N(G65=$B$5:$D$58)))=$B$5,$C$6:$C$58,IF(_xlfn.CONCAT(REPT($B$5:$D$5,N(G65=$B$5:$D$58)))=$C$5,$B$6:$B$58,$B$6:$B$58))</formula1>
    </dataValidation>
    <dataValidation type="list" allowBlank="1" showInputMessage="1" showErrorMessage="1" sqref="G52:H52" xr:uid="{2379BA60-A8DF-45E6-993C-3B4AE6332B6E}">
      <formula1>IF($F$52=$C$5,$C$6:$C$58,IF($F$52=$D$5,$D$6:$D$58,$B$6:$B$58))</formula1>
    </dataValidation>
    <dataValidation type="list" allowBlank="1" showInputMessage="1" showErrorMessage="1" sqref="G53:H53" xr:uid="{CCFC52A5-E2DB-45A8-99C0-A78D9FC30830}">
      <formula1>IF($F$53=$C$5,$C$6:$C$58,IF($F$53=$D$5,$D$6:$D$58,$B$6:$B$58))</formula1>
    </dataValidation>
    <dataValidation type="list" allowBlank="1" showInputMessage="1" showErrorMessage="1" sqref="L52:M52" xr:uid="{9CA67E7D-B63F-4877-8AFD-047CD2CF8FAF}">
      <formula1>IF($K$52=$C$5,$C$6:$C$58,IF($K$52=$D$5,$D$6:$D$58,$B$6:$B$58))</formula1>
    </dataValidation>
    <dataValidation type="list" allowBlank="1" showInputMessage="1" showErrorMessage="1" sqref="L53:M53" xr:uid="{43DA5917-830E-4502-900F-68B76E62D508}">
      <formula1>IF($K$53=$C$5,$C$6:$C$58,IF($K$53=$D$5,$D$6:$D$58,$B$6:$B$58))</formula1>
    </dataValidation>
    <dataValidation type="list" allowBlank="1" showInputMessage="1" showErrorMessage="1" sqref="Q52:R52" xr:uid="{9F487881-DCB9-4F1A-B22E-6B0150378464}">
      <formula1>IF($P$52=$C$5,$C$6:$C$58,IF($P$52=$D$5,$D$6:$D$58,$B$6:$B$58))</formula1>
    </dataValidation>
    <dataValidation type="list" allowBlank="1" showInputMessage="1" showErrorMessage="1" sqref="Q53:R53" xr:uid="{2DFADADD-9FEE-4DE8-A15A-15007E88839B}">
      <formula1>IF($P$53=$C$5,$C$6:$C$58,IF($P$53=$D$5,$D$6:$D$58,$B$6:$B$58))</formula1>
    </dataValidation>
    <dataValidation type="list" allowBlank="1" showInputMessage="1" showErrorMessage="1" sqref="G57:H57" xr:uid="{AC84FB37-6F48-4BB4-BD99-2035AAECCA99}">
      <formula1>IF($F$57=$C$5,$C$6:$C$58,IF($F$57=$D$5,$D$6:$D$58,$B$6:$B$58))</formula1>
    </dataValidation>
    <dataValidation type="list" allowBlank="1" showInputMessage="1" showErrorMessage="1" sqref="G58:H58" xr:uid="{BA83D397-1BB5-44E3-8C51-375294E6C8AC}">
      <formula1>IF($F$58=$C$5,$C$6:$C$58,IF($F$58=$D$5,$D$6:$D$58,$B$6:$B$58))</formula1>
    </dataValidation>
    <dataValidation type="list" allowBlank="1" showInputMessage="1" showErrorMessage="1" sqref="L57:M57" xr:uid="{31E7F078-C26E-4753-8D05-1077CBCFF6E4}">
      <formula1>IF($K$57=$C$5,$C$6:$C$58,IF($K$57=$D$5,$D$6:$D$58,$B$6:$B$58))</formula1>
    </dataValidation>
    <dataValidation type="list" allowBlank="1" showInputMessage="1" showErrorMessage="1" sqref="L58:M58" xr:uid="{F809B9C8-B497-4FFC-9616-17EFE5DDBBB0}">
      <formula1>IF($K$58=$C$5,$C$6:$C$58,IF($K$58=$D$5,$D$6:$D$58,$B$6:$B$58))</formula1>
    </dataValidation>
    <dataValidation type="list" allowBlank="1" showInputMessage="1" showErrorMessage="1" sqref="Q57:R57" xr:uid="{FD169FC5-66A8-4C26-B4E9-CD553ABFD039}">
      <formula1>IF($P$57=$C$5,$C$6:$C$58,IF($P$57=$D$5,$D$6:$D$58,$B$6:$B$58))</formula1>
    </dataValidation>
    <dataValidation type="list" allowBlank="1" showInputMessage="1" showErrorMessage="1" sqref="Q58:R58" xr:uid="{926BBEB5-C1B7-4D2F-BBEB-449B8B522258}">
      <formula1>IF($P$58=$C$5,$C$6:$C$58,IF($P$58=$D$5,$D$6:$D$58,$B$6:$B$58))</formula1>
    </dataValidation>
    <dataValidation type="list" allowBlank="1" showInputMessage="1" showErrorMessage="1" sqref="V52:W52" xr:uid="{87200318-8D22-4A90-8EE2-CC54A6826A36}">
      <formula1>IF($U$52=$C$5,$C$6:$C$58,IF($U$52=$D$5,$D$6:$D$58,$B$6:$B$58))</formula1>
    </dataValidation>
    <dataValidation type="list" allowBlank="1" showInputMessage="1" showErrorMessage="1" sqref="V53:W53" xr:uid="{7069AA3E-194B-408F-9F18-406293B2F58C}">
      <formula1>IF($U$53=$C$5,$C$6:$C$58,IF($U$53=$D$5,$D$6:$D$58,$B$6:$B$58))</formula1>
    </dataValidation>
    <dataValidation type="list" allowBlank="1" showInputMessage="1" showErrorMessage="1" sqref="V57:W57" xr:uid="{106FE117-4829-4BEA-9FFD-A72D2364EBB2}">
      <formula1>IF($U$57=$C$5,$C$6:$C$58,IF($U$57=$D$5,$D$6:$D$58,$B$6:$B$58))</formula1>
    </dataValidation>
    <dataValidation type="list" allowBlank="1" showInputMessage="1" showErrorMessage="1" sqref="V58:W58" xr:uid="{99D2A4D2-36F5-41B2-95C5-C27AEA3301A2}">
      <formula1>IF($U$58=$C$5,$C$6:$C$58,IF($U$58=$D$5,$D$6:$D$58,$B$6:$B$58))</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3C70457-3D90-480B-ABFC-CBED6F84E5E7}">
          <x14:formula1>
            <xm:f>Heroes!$C$6:$C$58</xm:f>
          </x14:formula1>
          <xm:sqref>Q29:R33 V56:W56 L70:M70 G70:H70 V65:W65 Q65:R65 L65:M65 G65:H65 Q56:R56 L56:M56 G56:H56 V51:W51 Q51:R51 L51:M51 V70:W70 G51:H51 Q70:R70</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A52F2-448F-40B9-9278-2B519A5FECA2}">
  <dimension ref="A1:AH213"/>
  <sheetViews>
    <sheetView workbookViewId="0">
      <selection activeCell="B16" sqref="B16:C16"/>
    </sheetView>
  </sheetViews>
  <sheetFormatPr baseColWidth="10" defaultColWidth="8.88671875" defaultRowHeight="14.4" x14ac:dyDescent="0.3"/>
  <cols>
    <col min="2" max="3" width="9.109375" style="9"/>
    <col min="7" max="7" width="9.109375" style="288"/>
    <col min="8" max="8" width="10.109375" bestFit="1" customWidth="1"/>
    <col min="10" max="10" width="9.109375" style="289"/>
    <col min="11" max="11" width="10.109375" style="289" bestFit="1" customWidth="1"/>
    <col min="12" max="12" width="11.33203125" style="38" bestFit="1" customWidth="1"/>
    <col min="13" max="14" width="9.109375" style="289"/>
    <col min="17" max="17" width="9.109375" style="288"/>
    <col min="18" max="18" width="11.33203125" style="289" bestFit="1" customWidth="1"/>
    <col min="21" max="21" width="10.109375" bestFit="1" customWidth="1"/>
    <col min="22" max="22" width="9.88671875" style="38" bestFit="1" customWidth="1"/>
    <col min="23" max="23" width="10.109375" bestFit="1" customWidth="1"/>
    <col min="24" max="24" width="11.109375" bestFit="1" customWidth="1"/>
    <col min="25" max="25" width="10.109375" bestFit="1" customWidth="1"/>
    <col min="27" max="28" width="11.33203125" bestFit="1" customWidth="1"/>
    <col min="30" max="30" width="11.33203125" bestFit="1" customWidth="1"/>
    <col min="32" max="32" width="11.33203125" bestFit="1" customWidth="1"/>
    <col min="34" max="34" width="11.33203125" bestFit="1" customWidth="1"/>
  </cols>
  <sheetData>
    <row r="1" spans="1:29" x14ac:dyDescent="0.3">
      <c r="A1" s="728" t="s">
        <v>821</v>
      </c>
      <c r="B1" s="728"/>
      <c r="C1" s="728"/>
      <c r="D1" s="728"/>
      <c r="E1" s="728"/>
      <c r="F1" s="728"/>
      <c r="G1" s="728"/>
      <c r="H1" s="728"/>
      <c r="I1" s="728"/>
      <c r="J1" s="728"/>
      <c r="K1" s="728"/>
      <c r="L1" s="728"/>
      <c r="M1" s="728"/>
      <c r="N1" s="728"/>
      <c r="O1" s="728"/>
      <c r="P1" s="728"/>
      <c r="Q1" s="728"/>
      <c r="R1" s="728"/>
      <c r="S1" s="728"/>
      <c r="T1" s="728"/>
      <c r="U1" s="728"/>
    </row>
    <row r="2" spans="1:29" x14ac:dyDescent="0.3">
      <c r="A2" s="728"/>
      <c r="B2" s="728"/>
      <c r="C2" s="728"/>
      <c r="D2" s="728"/>
      <c r="E2" s="728"/>
      <c r="F2" s="728"/>
      <c r="G2" s="728"/>
      <c r="H2" s="728"/>
      <c r="I2" s="728"/>
      <c r="J2" s="728"/>
      <c r="K2" s="728"/>
      <c r="L2" s="728"/>
      <c r="M2" s="728"/>
      <c r="N2" s="728"/>
      <c r="O2" s="728"/>
      <c r="P2" s="728"/>
      <c r="Q2" s="728"/>
      <c r="R2" s="728"/>
      <c r="S2" s="728"/>
      <c r="T2" s="728"/>
      <c r="U2" s="728"/>
    </row>
    <row r="3" spans="1:29" x14ac:dyDescent="0.3">
      <c r="V3"/>
      <c r="W3" s="406" t="s">
        <v>938</v>
      </c>
      <c r="X3" s="406"/>
      <c r="Y3" s="406"/>
      <c r="Z3" s="406"/>
      <c r="AA3" s="406"/>
      <c r="AB3" s="406"/>
      <c r="AC3" s="406"/>
    </row>
    <row r="4" spans="1:29" x14ac:dyDescent="0.3">
      <c r="B4" s="406" t="s">
        <v>867</v>
      </c>
      <c r="C4" s="406"/>
      <c r="D4" s="406"/>
      <c r="E4" s="406"/>
      <c r="F4" s="406"/>
      <c r="G4" s="406"/>
      <c r="H4" s="406"/>
      <c r="I4" s="406"/>
      <c r="J4" s="406"/>
      <c r="K4" s="406"/>
      <c r="L4" s="406"/>
      <c r="M4" s="406"/>
      <c r="N4" s="406"/>
      <c r="O4" s="406"/>
      <c r="P4" s="406"/>
      <c r="Q4" s="406"/>
      <c r="R4" s="406"/>
      <c r="S4" s="406"/>
      <c r="T4" s="406"/>
      <c r="V4"/>
      <c r="W4" s="389" t="s">
        <v>934</v>
      </c>
      <c r="X4" s="450"/>
      <c r="Y4" s="390"/>
      <c r="Z4" s="127"/>
      <c r="AA4" s="634" t="s">
        <v>935</v>
      </c>
      <c r="AB4" s="635"/>
      <c r="AC4" s="635"/>
    </row>
    <row r="5" spans="1:29" x14ac:dyDescent="0.3">
      <c r="B5" s="635" t="s">
        <v>839</v>
      </c>
      <c r="C5" s="635"/>
      <c r="D5" s="635"/>
      <c r="E5" s="635"/>
      <c r="F5" s="635"/>
      <c r="G5" s="389" t="s">
        <v>939</v>
      </c>
      <c r="H5" s="450"/>
      <c r="I5" s="450"/>
      <c r="J5" s="450"/>
      <c r="K5" s="450"/>
      <c r="L5" s="390"/>
      <c r="M5" s="389" t="s">
        <v>944</v>
      </c>
      <c r="N5" s="450"/>
      <c r="O5" s="450"/>
      <c r="P5" s="450"/>
      <c r="Q5" s="450"/>
      <c r="R5" s="450"/>
      <c r="S5" s="450"/>
      <c r="T5" s="390"/>
      <c r="V5"/>
      <c r="W5" s="730" t="s">
        <v>838</v>
      </c>
      <c r="X5" s="732" t="s">
        <v>886</v>
      </c>
      <c r="Y5" s="732" t="s">
        <v>887</v>
      </c>
      <c r="Z5" s="127"/>
      <c r="AA5" s="730" t="s">
        <v>856</v>
      </c>
      <c r="AB5" s="732" t="s">
        <v>932</v>
      </c>
      <c r="AC5" s="732" t="s">
        <v>885</v>
      </c>
    </row>
    <row r="6" spans="1:29" x14ac:dyDescent="0.3">
      <c r="B6" s="291" t="s">
        <v>506</v>
      </c>
      <c r="C6" s="291" t="s">
        <v>822</v>
      </c>
      <c r="D6" s="291" t="s">
        <v>823</v>
      </c>
      <c r="E6" s="291" t="s">
        <v>825</v>
      </c>
      <c r="F6" s="291" t="s">
        <v>824</v>
      </c>
      <c r="G6" s="515" t="s">
        <v>868</v>
      </c>
      <c r="H6" s="516"/>
      <c r="I6" s="515" t="s">
        <v>869</v>
      </c>
      <c r="J6" s="516"/>
      <c r="K6" s="515" t="s">
        <v>870</v>
      </c>
      <c r="L6" s="516"/>
      <c r="M6" s="515" t="s">
        <v>871</v>
      </c>
      <c r="N6" s="516"/>
      <c r="O6" s="515" t="s">
        <v>940</v>
      </c>
      <c r="P6" s="516"/>
      <c r="Q6" s="515" t="s">
        <v>941</v>
      </c>
      <c r="R6" s="516"/>
      <c r="S6" s="515" t="s">
        <v>942</v>
      </c>
      <c r="T6" s="516"/>
      <c r="V6"/>
      <c r="W6" s="731"/>
      <c r="X6" s="733"/>
      <c r="Y6" s="734"/>
      <c r="Z6" s="127"/>
      <c r="AA6" s="731"/>
      <c r="AB6" s="733"/>
      <c r="AC6" s="733"/>
    </row>
    <row r="7" spans="1:29" x14ac:dyDescent="0.3">
      <c r="B7" s="121">
        <v>1275</v>
      </c>
      <c r="C7" s="121">
        <v>22</v>
      </c>
      <c r="D7" s="121">
        <v>19</v>
      </c>
      <c r="E7" s="121">
        <v>32</v>
      </c>
      <c r="F7" s="121">
        <v>82</v>
      </c>
      <c r="G7" s="750">
        <v>7015</v>
      </c>
      <c r="H7" s="751"/>
      <c r="I7" s="408">
        <v>1532</v>
      </c>
      <c r="J7" s="753"/>
      <c r="K7" s="407">
        <v>510</v>
      </c>
      <c r="L7" s="811"/>
      <c r="M7" s="408">
        <v>95240</v>
      </c>
      <c r="N7" s="408"/>
      <c r="O7" s="408">
        <v>41</v>
      </c>
      <c r="P7" s="753"/>
      <c r="Q7" s="408">
        <v>736</v>
      </c>
      <c r="R7" s="753"/>
      <c r="S7" s="407">
        <v>20</v>
      </c>
      <c r="T7" s="811"/>
      <c r="V7" s="9" t="s">
        <v>30</v>
      </c>
      <c r="W7" s="81">
        <f>H63+H70+H84+H77-IF(CyrilleLevelCurrent/10=0,VLOOKUP(CyrilleLevelCurrent,C93:O202,2,FALSE),0)</f>
        <v>873300</v>
      </c>
      <c r="X7" s="81">
        <f>I65+I72+I86+I79</f>
        <v>1651</v>
      </c>
      <c r="Y7" s="287">
        <f>IF(I63&gt;0,IF((I64&gt;I63),I63,I64),0)+IF(I70&gt;0,IF((I71&gt;I70),I70,I71),0)+IF(I84&gt;0,IF((I85&gt;I84),I84,I85),0)+IF(I77&gt;0,IF((I78&gt;I77),I77,I78),0)</f>
        <v>155</v>
      </c>
      <c r="Z7" s="127"/>
      <c r="AA7" s="81">
        <f>K63+K70+K84+K77</f>
        <v>164380</v>
      </c>
      <c r="AB7" s="81">
        <f>L63+L70+L84+L77</f>
        <v>27103200</v>
      </c>
      <c r="AC7" s="220" t="str">
        <f>INT(AB7/60/(24*60))&amp;"d "&amp;INT(MOD(AB7/60,(24*60))/60)&amp;" h"</f>
        <v>313d 16 h</v>
      </c>
    </row>
    <row r="8" spans="1:29" x14ac:dyDescent="0.3">
      <c r="B8"/>
      <c r="C8"/>
      <c r="G8"/>
      <c r="J8" s="11" t="s">
        <v>879</v>
      </c>
      <c r="K8" s="500">
        <f>G7*10+I7*100+K7*1000</f>
        <v>733350</v>
      </c>
      <c r="L8" s="502"/>
      <c r="M8"/>
      <c r="N8"/>
      <c r="Q8"/>
      <c r="R8" s="11" t="s">
        <v>945</v>
      </c>
      <c r="S8" s="393" t="str">
        <f>INT(((S7*60*3)+(Q7*60)+(O7))/(24*60))&amp;"d "&amp;INT(MOD(((S7*60*3)+(Q7*60)+(O7)),(24*60))/60)&amp;"h"</f>
        <v>33d 4h</v>
      </c>
      <c r="T8" s="394"/>
      <c r="V8" s="9" t="s">
        <v>31</v>
      </c>
      <c r="W8" s="82">
        <f>Z57+Z59+Z61+SMALL(H63:H64,1)+SMALL(H70:H71,1)+SMALL(H84:H85,1)+SMALL(H77:H78,1)</f>
        <v>742420</v>
      </c>
      <c r="X8" s="82">
        <f>X54</f>
        <v>1275</v>
      </c>
      <c r="Y8" s="290"/>
      <c r="Z8" s="127"/>
      <c r="AA8" s="82">
        <f>X65</f>
        <v>95240</v>
      </c>
      <c r="AB8" s="82">
        <f>L64+L71+L85+L78</f>
        <v>1488600</v>
      </c>
      <c r="AC8" s="221" t="str">
        <f>INT(AB8/60/(24*60))&amp;"d "&amp;INT(MOD(AB8/60,(24*60))/60)&amp;" h"</f>
        <v>17d 5 h</v>
      </c>
    </row>
    <row r="9" spans="1:29" x14ac:dyDescent="0.3">
      <c r="V9" s="9" t="s">
        <v>931</v>
      </c>
      <c r="W9" s="84">
        <f>AE77+AE78</f>
        <v>0</v>
      </c>
      <c r="X9" s="84">
        <f>AE81</f>
        <v>0</v>
      </c>
      <c r="Y9" s="290"/>
      <c r="Z9" s="127"/>
      <c r="AA9" s="84">
        <f>AE82+AE85</f>
        <v>0</v>
      </c>
      <c r="AB9" s="84">
        <f>AE86*60*60+X68*60+X70*60*60+X72*3*60*60</f>
        <v>2868060</v>
      </c>
      <c r="AC9" s="219" t="str">
        <f>INT(AB9/60/(24*60))&amp;"d "&amp;INT(MOD(AB9/60,(24*60))/60)&amp;" h"</f>
        <v>33d 4 h</v>
      </c>
    </row>
    <row r="10" spans="1:29" ht="15" customHeight="1" x14ac:dyDescent="0.3">
      <c r="I10" s="552" t="s">
        <v>904</v>
      </c>
      <c r="J10" s="552"/>
      <c r="K10" s="552"/>
      <c r="L10" s="552"/>
      <c r="M10" s="552"/>
      <c r="N10" s="552"/>
      <c r="O10" s="552"/>
      <c r="P10" s="552"/>
      <c r="V10" s="9" t="s">
        <v>32</v>
      </c>
      <c r="W10" s="299">
        <f>IF(W7&lt;(W8+W9),,W7-W8-W9)</f>
        <v>130880</v>
      </c>
      <c r="X10" s="299">
        <f>IF(X7&lt;(X8+X9),,X7-X8-X9)</f>
        <v>376</v>
      </c>
      <c r="Y10" s="300"/>
      <c r="Z10" s="127"/>
      <c r="AA10" s="299">
        <f>IF(AA7&lt;(AA8+AA9),,AA7-AA8-AA9)</f>
        <v>69140</v>
      </c>
      <c r="AB10" s="301">
        <f>IF(AB7&lt;(AB8+AB9),,AB7-AB8-AB9)</f>
        <v>22746540</v>
      </c>
      <c r="AC10" s="219" t="str">
        <f>INT(AB10/60/(24*60))&amp;"d "&amp;INT(MOD(AB10/60,(24*60))/60)&amp;" h"</f>
        <v>263d 6 h</v>
      </c>
    </row>
    <row r="11" spans="1:29" ht="15" customHeight="1" x14ac:dyDescent="0.3">
      <c r="I11" s="552"/>
      <c r="J11" s="552"/>
      <c r="K11" s="552"/>
      <c r="L11" s="552"/>
      <c r="M11" s="552"/>
      <c r="N11" s="552"/>
      <c r="O11" s="552"/>
      <c r="P11" s="552"/>
      <c r="V11" s="564" t="s">
        <v>355</v>
      </c>
      <c r="W11" s="564"/>
      <c r="X11" s="302">
        <f>X7*6000</f>
        <v>9906000</v>
      </c>
      <c r="Y11" s="303">
        <f>Y7*6000</f>
        <v>930000</v>
      </c>
      <c r="Z11" s="127"/>
      <c r="AA11" s="303">
        <f>AA7*60</f>
        <v>9862800</v>
      </c>
      <c r="AB11" s="302">
        <f>AB10*30/60+(AE86*60*30)+X68*60+X70*60*60+X72*3*60*30</f>
        <v>14133330</v>
      </c>
    </row>
    <row r="12" spans="1:29" ht="15" customHeight="1" x14ac:dyDescent="0.3">
      <c r="I12" s="552"/>
      <c r="J12" s="552"/>
      <c r="K12" s="552"/>
      <c r="L12" s="552"/>
      <c r="M12" s="552"/>
      <c r="N12" s="552"/>
      <c r="O12" s="552"/>
      <c r="P12" s="552"/>
      <c r="V12"/>
      <c r="W12" s="259" t="s">
        <v>547</v>
      </c>
      <c r="X12" s="500">
        <f>SUM(X11:AB11)</f>
        <v>34832130</v>
      </c>
      <c r="Y12" s="501"/>
      <c r="Z12" s="501"/>
      <c r="AA12" s="501"/>
      <c r="AB12" s="502"/>
      <c r="AC12" s="213"/>
    </row>
    <row r="13" spans="1:29" ht="15" customHeight="1" x14ac:dyDescent="0.3">
      <c r="B13" s="402" t="s">
        <v>822</v>
      </c>
      <c r="C13" s="403"/>
      <c r="D13" s="403"/>
      <c r="E13" s="510"/>
      <c r="G13"/>
      <c r="J13"/>
      <c r="K13"/>
      <c r="L13"/>
      <c r="M13"/>
      <c r="N13"/>
      <c r="Q13"/>
      <c r="R13"/>
      <c r="V13"/>
      <c r="W13" s="38"/>
    </row>
    <row r="14" spans="1:29" x14ac:dyDescent="0.3">
      <c r="B14" s="389" t="s">
        <v>174</v>
      </c>
      <c r="C14" s="450"/>
      <c r="D14" s="450"/>
      <c r="E14" s="390"/>
      <c r="F14" s="389" t="s">
        <v>875</v>
      </c>
      <c r="G14" s="450"/>
      <c r="H14" s="450"/>
      <c r="I14" s="450"/>
      <c r="J14" s="450"/>
      <c r="K14" s="450"/>
      <c r="L14" s="450"/>
      <c r="M14" s="450"/>
      <c r="N14" s="450"/>
      <c r="O14" s="450"/>
      <c r="P14" s="450"/>
      <c r="Q14" s="450"/>
      <c r="R14" s="450"/>
      <c r="S14" s="450"/>
      <c r="T14" s="450"/>
      <c r="U14" s="390"/>
      <c r="V14"/>
      <c r="W14" s="426" t="s">
        <v>866</v>
      </c>
      <c r="X14" s="426"/>
      <c r="Y14" s="426"/>
      <c r="Z14" s="426"/>
      <c r="AA14" s="426"/>
    </row>
    <row r="15" spans="1:29" x14ac:dyDescent="0.3">
      <c r="B15" s="720" t="str">
        <f>IFERROR(F91&amp;" From "&amp;VLOOKUP('Dawn Academy Alternate Layout'!CyrilleLevelCurrent,C93:O202,4,FALSE)*100&amp;"% to "&amp;VLOOKUP('Dawn Academy Alternate Layout'!CyrilleLevelDesired,C93:O202,4,FALSE)*100&amp;"%","Attack Bonus")</f>
        <v>Attack From 4.8% to 6.9%</v>
      </c>
      <c r="C15" s="720"/>
      <c r="D15" s="720"/>
      <c r="E15" s="516"/>
      <c r="F15" s="515" t="s">
        <v>840</v>
      </c>
      <c r="G15" s="720"/>
      <c r="H15" s="720"/>
      <c r="I15" s="516"/>
      <c r="J15" s="515" t="s">
        <v>841</v>
      </c>
      <c r="K15" s="720"/>
      <c r="L15" s="720"/>
      <c r="M15" s="516"/>
      <c r="N15" s="515" t="s">
        <v>842</v>
      </c>
      <c r="O15" s="720"/>
      <c r="P15" s="720"/>
      <c r="Q15" s="516"/>
      <c r="R15" s="515" t="s">
        <v>843</v>
      </c>
      <c r="S15" s="720"/>
      <c r="T15" s="720"/>
      <c r="U15" s="516"/>
      <c r="V15"/>
      <c r="W15" s="14" t="s">
        <v>838</v>
      </c>
      <c r="X15" s="14" t="s">
        <v>839</v>
      </c>
      <c r="Y15" s="209"/>
      <c r="Z15" s="14" t="s">
        <v>856</v>
      </c>
      <c r="AA15" s="14" t="s">
        <v>570</v>
      </c>
    </row>
    <row r="16" spans="1:29" x14ac:dyDescent="0.3">
      <c r="B16" s="812" t="s">
        <v>98</v>
      </c>
      <c r="C16" s="813"/>
      <c r="D16" s="812" t="s">
        <v>882</v>
      </c>
      <c r="E16" s="813"/>
      <c r="F16" s="812" t="s">
        <v>98</v>
      </c>
      <c r="G16" s="813"/>
      <c r="H16" s="812" t="s">
        <v>888</v>
      </c>
      <c r="I16" s="813"/>
      <c r="J16" s="812" t="s">
        <v>98</v>
      </c>
      <c r="K16" s="813"/>
      <c r="L16" s="812" t="s">
        <v>888</v>
      </c>
      <c r="M16" s="813"/>
      <c r="N16" s="812" t="s">
        <v>98</v>
      </c>
      <c r="O16" s="813"/>
      <c r="P16" s="812" t="s">
        <v>888</v>
      </c>
      <c r="Q16" s="813"/>
      <c r="R16" s="812" t="s">
        <v>98</v>
      </c>
      <c r="S16" s="813"/>
      <c r="T16" s="812" t="s">
        <v>888</v>
      </c>
      <c r="U16" s="813"/>
      <c r="V16" s="9" t="s">
        <v>30</v>
      </c>
      <c r="W16" s="87">
        <f>SUMIFS($D$93:$D$202,$C$93:$C$202,"&gt;"&amp;CyrilleLevelCurrent,$C$93:$C$202,"&lt;="&amp;CyrilleLevelDesired)</f>
        <v>10390</v>
      </c>
      <c r="X16" s="87">
        <f>SUMIFS($E$93:$E$202,$C$93:$C$202,"&gt;"&amp;CyrilleLevelCurrent,$C$93:$C$202,"&lt;="&amp;CyrilleLevelDesired)</f>
        <v>35</v>
      </c>
      <c r="Y16" s="290"/>
      <c r="Z16" s="87">
        <f>SUMIFS($R$95:$R$104,$Q$95:$Q$104,"&gt;"&amp;EntrapmentCurrent,$Q$95:$Q$104,"&lt;="&amp;EntrapmentDesired)+SUMIFS($T$95:$T$104,$Q$95:$Q$104,"&gt;"&amp;ScavengingCurrent,$Q$95:$Q$104,"&lt;="&amp;ScavengingDesired)+SUMIFS($V$95:$V$104,$Q$95:$Q$104,"&gt;"&amp;WeaponMasterCurrent,$Q$95:$Q$104,"&lt;="&amp;WeaponMasterDesired)+SUMIFS($X$95:$X$104,$Q$95:$Q$104,"&gt;"&amp;UrsasBaneCurrent,$Q$95:$Q$104,"&lt;="&amp;UrsasBaneDesired)</f>
        <v>9080</v>
      </c>
      <c r="AA16" s="87">
        <f>SUMIFS($S$95:$S$104,$Q$95:$Q$104,"&gt;"&amp;EntrapmentCurrent,$Q$95:$Q$104,"&lt;="&amp;EntrapmentDesired)+SUMIFS($U$95:$U$104,$Q$95:$Q$104,"&gt;"&amp;ScavengingCurrent,$Q$95:$Q$104,"&lt;="&amp;ScavengingDesired)+SUMIFS($W$95:$W$104,$Q$95:$Q$104,"&gt;"&amp;WeaponMasterCurrent,$Q$95:$Q$104,"&lt;="&amp;WeaponMasterDesired)+SUMIFS($Y$95:$Y$104,$Q$95:$Q$104,"&gt;"&amp;UrsasBaneCurrent,$Q$95:$Q$104,"&lt;="&amp;UrsasBaneDesired)</f>
        <v>752400</v>
      </c>
      <c r="AB16" t="s">
        <v>30</v>
      </c>
    </row>
    <row r="17" spans="2:28" x14ac:dyDescent="0.3">
      <c r="B17" s="711">
        <v>28</v>
      </c>
      <c r="C17" s="712"/>
      <c r="D17" s="814">
        <v>70</v>
      </c>
      <c r="E17" s="815"/>
      <c r="F17" s="711">
        <v>2</v>
      </c>
      <c r="G17" s="712"/>
      <c r="H17" s="816">
        <v>158400</v>
      </c>
      <c r="I17" s="817"/>
      <c r="J17" s="711">
        <v>1</v>
      </c>
      <c r="K17" s="712"/>
      <c r="L17" s="814">
        <v>0</v>
      </c>
      <c r="M17" s="815"/>
      <c r="N17" s="711">
        <v>0</v>
      </c>
      <c r="O17" s="712"/>
      <c r="P17" s="814"/>
      <c r="Q17" s="815"/>
      <c r="R17" s="711">
        <v>0</v>
      </c>
      <c r="S17" s="712"/>
      <c r="T17" s="814"/>
      <c r="U17" s="815"/>
      <c r="V17" s="292" t="s">
        <v>98</v>
      </c>
      <c r="W17" s="87">
        <f>IF(W16&gt;0,D17-IF(MOD(CyrilleLevelCurrent,10)=0,VLOOKUP(CyrilleLevelCurrent,$C$93:$O$202,2,FALSE),0),)</f>
        <v>70</v>
      </c>
      <c r="X17" s="87">
        <f>C7</f>
        <v>22</v>
      </c>
      <c r="Y17" s="293"/>
      <c r="Z17" s="294"/>
      <c r="AA17" s="87">
        <f>H17+L17+P17+T17</f>
        <v>158400</v>
      </c>
      <c r="AB17" t="s">
        <v>98</v>
      </c>
    </row>
    <row r="18" spans="2:28" x14ac:dyDescent="0.3">
      <c r="B18" s="812" t="s">
        <v>99</v>
      </c>
      <c r="C18" s="813"/>
      <c r="D18" s="812" t="s">
        <v>883</v>
      </c>
      <c r="E18" s="813"/>
      <c r="F18" s="812" t="s">
        <v>99</v>
      </c>
      <c r="G18" s="813"/>
      <c r="H18" s="812" t="s">
        <v>884</v>
      </c>
      <c r="I18" s="813"/>
      <c r="J18" s="812" t="s">
        <v>99</v>
      </c>
      <c r="K18" s="813"/>
      <c r="L18" s="812" t="s">
        <v>884</v>
      </c>
      <c r="M18" s="813"/>
      <c r="N18" s="812" t="s">
        <v>99</v>
      </c>
      <c r="O18" s="813"/>
      <c r="P18" s="812" t="s">
        <v>884</v>
      </c>
      <c r="Q18" s="813"/>
      <c r="R18" s="812" t="s">
        <v>99</v>
      </c>
      <c r="S18" s="813"/>
      <c r="T18" s="812" t="s">
        <v>884</v>
      </c>
      <c r="U18" s="813"/>
      <c r="V18" s="729" t="s">
        <v>877</v>
      </c>
      <c r="W18" s="729"/>
      <c r="X18" s="84">
        <f>IF(X16&gt;X17,X16-X17,)</f>
        <v>13</v>
      </c>
      <c r="Y18" s="296"/>
      <c r="Z18" s="297"/>
      <c r="AA18" s="87">
        <f>IF(AA16&gt;AA17,AA16-AA17,)</f>
        <v>594000</v>
      </c>
      <c r="AB18" s="295" t="s">
        <v>878</v>
      </c>
    </row>
    <row r="19" spans="2:28" x14ac:dyDescent="0.3">
      <c r="B19" s="711">
        <v>40.1</v>
      </c>
      <c r="C19" s="712"/>
      <c r="D19" s="494">
        <f>SUMIFS($D$93:$D$202,$C$93:$C$202,"&gt;"&amp;CyrilleLevelCurrent,$C$93:$C$202,"&lt;="&amp;CyrilleLevelDesired)</f>
        <v>10390</v>
      </c>
      <c r="E19" s="496"/>
      <c r="F19" s="711">
        <v>10</v>
      </c>
      <c r="G19" s="712"/>
      <c r="H19" s="494">
        <f>SUMIFS($S$95:$S$104,$Q$95:$Q$104,"&gt;"&amp;EntrapmentCurrent,$Q$95:$Q$104,"&lt;="&amp;EntrapmentDesired)</f>
        <v>158400</v>
      </c>
      <c r="I19" s="496"/>
      <c r="J19" s="711"/>
      <c r="K19" s="712"/>
      <c r="L19" s="494">
        <f>SUMIFS($U$95:$U$104,$Q$95:$Q$104,"&gt;"&amp;ScavengingCurrent,$Q$95:$Q$104,"&lt;="&amp;ScavengingDesired)</f>
        <v>0</v>
      </c>
      <c r="M19" s="496"/>
      <c r="N19" s="818">
        <v>3</v>
      </c>
      <c r="O19" s="819"/>
      <c r="P19" s="494">
        <f>SUMIFS($W$95:$W$104,$Q$95:$Q$104,"&gt;"&amp;WeaponMasterCurrent,$Q$95:$Q$104,"&lt;="&amp;WeaponMasterDesired)</f>
        <v>129600</v>
      </c>
      <c r="Q19" s="496"/>
      <c r="R19" s="711">
        <v>10</v>
      </c>
      <c r="S19" s="712"/>
      <c r="T19" s="494">
        <f>SUMIFS($Y$95:$Y$104,$Q$95:$Q$104,"&gt;"&amp;UrsasBaneCurrent,$Q$95:$Q$104,"&lt;="&amp;UrsasBaneDesired)</f>
        <v>464400</v>
      </c>
      <c r="U19" s="496"/>
      <c r="V19"/>
      <c r="W19" s="38"/>
    </row>
    <row r="20" spans="2:28" x14ac:dyDescent="0.3">
      <c r="V20"/>
      <c r="W20" s="38"/>
    </row>
    <row r="21" spans="2:28" x14ac:dyDescent="0.3">
      <c r="B21" s="402" t="s">
        <v>823</v>
      </c>
      <c r="C21" s="403"/>
      <c r="D21" s="403"/>
      <c r="E21" s="510"/>
      <c r="G21"/>
      <c r="J21"/>
      <c r="K21"/>
      <c r="L21"/>
      <c r="M21"/>
      <c r="N21"/>
      <c r="Q21"/>
      <c r="R21"/>
      <c r="V21"/>
      <c r="W21" s="38"/>
    </row>
    <row r="22" spans="2:28" x14ac:dyDescent="0.3">
      <c r="B22" s="389" t="s">
        <v>174</v>
      </c>
      <c r="C22" s="450"/>
      <c r="D22" s="450"/>
      <c r="E22" s="390"/>
      <c r="F22" s="389" t="s">
        <v>875</v>
      </c>
      <c r="G22" s="450"/>
      <c r="H22" s="450"/>
      <c r="I22" s="450"/>
      <c r="J22" s="450"/>
      <c r="K22" s="450"/>
      <c r="L22" s="450"/>
      <c r="M22" s="450"/>
      <c r="N22" s="450"/>
      <c r="O22" s="450"/>
      <c r="P22" s="450"/>
      <c r="Q22" s="450"/>
      <c r="R22" s="450"/>
      <c r="S22" s="450"/>
      <c r="T22" s="450"/>
      <c r="U22" s="390"/>
      <c r="V22"/>
      <c r="W22" s="426" t="s">
        <v>865</v>
      </c>
      <c r="X22" s="426"/>
      <c r="Y22" s="426"/>
      <c r="Z22" s="426"/>
      <c r="AA22" s="426"/>
    </row>
    <row r="23" spans="2:28" x14ac:dyDescent="0.3">
      <c r="B23" s="720" t="str">
        <f>IFERROR(F99&amp;" From "&amp;VLOOKUP(B25,C101:O210,4,FALSE)*100&amp;"% to "&amp;VLOOKUP(B27,C101:O210,4,FALSE)*100&amp;"%","Attack Bonus")</f>
        <v>0.0203 From 4.8% to 6.9%</v>
      </c>
      <c r="C23" s="720"/>
      <c r="D23" s="720"/>
      <c r="E23" s="516"/>
      <c r="F23" s="515" t="s">
        <v>844</v>
      </c>
      <c r="G23" s="720"/>
      <c r="H23" s="720"/>
      <c r="I23" s="516"/>
      <c r="J23" s="515" t="s">
        <v>845</v>
      </c>
      <c r="K23" s="720"/>
      <c r="L23" s="720"/>
      <c r="M23" s="516"/>
      <c r="N23" s="515" t="s">
        <v>947</v>
      </c>
      <c r="O23" s="720"/>
      <c r="P23" s="720"/>
      <c r="Q23" s="516"/>
      <c r="R23" s="515" t="s">
        <v>846</v>
      </c>
      <c r="S23" s="720"/>
      <c r="T23" s="720"/>
      <c r="U23" s="516"/>
      <c r="V23"/>
      <c r="W23" s="14" t="s">
        <v>838</v>
      </c>
      <c r="X23" s="14" t="s">
        <v>839</v>
      </c>
      <c r="Y23" s="209"/>
      <c r="Z23" s="14" t="s">
        <v>856</v>
      </c>
      <c r="AA23" s="14" t="s">
        <v>570</v>
      </c>
    </row>
    <row r="24" spans="2:28" x14ac:dyDescent="0.3">
      <c r="B24" s="812" t="s">
        <v>98</v>
      </c>
      <c r="C24" s="813"/>
      <c r="D24" s="812" t="s">
        <v>882</v>
      </c>
      <c r="E24" s="813"/>
      <c r="F24" s="812" t="s">
        <v>98</v>
      </c>
      <c r="G24" s="813"/>
      <c r="H24" s="812" t="s">
        <v>888</v>
      </c>
      <c r="I24" s="813"/>
      <c r="J24" s="812" t="s">
        <v>98</v>
      </c>
      <c r="K24" s="813"/>
      <c r="L24" s="812" t="s">
        <v>888</v>
      </c>
      <c r="M24" s="813"/>
      <c r="N24" s="812" t="s">
        <v>98</v>
      </c>
      <c r="O24" s="813"/>
      <c r="P24" s="812" t="s">
        <v>888</v>
      </c>
      <c r="Q24" s="813"/>
      <c r="R24" s="812" t="s">
        <v>98</v>
      </c>
      <c r="S24" s="813"/>
      <c r="T24" s="812" t="s">
        <v>888</v>
      </c>
      <c r="U24" s="813"/>
      <c r="V24" s="9" t="s">
        <v>30</v>
      </c>
      <c r="W24" s="87">
        <f>SUMIFS($G$93:$G$202,$C$93:$C$202,"&gt;"&amp;AgnesLevelCurrent,$C$93:$C$202,"&lt;="&amp;AgnesLevelDesired)</f>
        <v>10800</v>
      </c>
      <c r="X24" s="87">
        <f>SUMIFS($H$93:$H$202,$C$93:$C$202,"&gt;"&amp;AgnesLevelCurrent,$C$93:$C$202,"&lt;="&amp;AgnesLevelDesired)</f>
        <v>35</v>
      </c>
      <c r="Y24" s="290"/>
      <c r="Z24" s="87">
        <f>SUMIFS($AA$95:$AA$104,$Z$95:$Z$104,"&gt;"&amp;EfficientReconCurrent,$Z$95:$Z$104,"&lt;="&amp;EfficientReconDesired)+SUMIFS($AC$95:$AC$104,$Z$95:$Z$104,"&gt;"&amp;OptimizationCurrent,$Z$95:$Z$104,"&lt;="&amp;OptimizationDesired)+SUMIFS($AE$95:$AE$104,$Z$95:$Z$104,"&gt;"&amp;ProjectMgmtCurrent,$Z$95:$Z$104,"&lt;="&amp;ProjectMgmtDesired)+SUMIFS($AG$95:$AG$104,$Z$95:$Z$104,"&gt;"&amp;CovertKnowledgeCurrent,$Z$95:$Z$104,"&lt;="&amp;CovertKnowledgeDesired)</f>
        <v>2700</v>
      </c>
      <c r="AA24" s="87">
        <f>SUMIFS($AB$95:$AB$104,$Z$95:$Z$104,"&gt;"&amp;EfficientReconCurrent,$Z$95:$Z$104,"&lt;="&amp;EfficientReconDesired)+SUMIFS($AD$95:$AD$104,$Z$95:$Z$104,"&gt;"&amp;OptimizationCurrent,$Z$95:$Z$104,"&lt;="&amp;OptimizationDesired)+SUMIFS($AF$95:$AF$104,$Z$95:$Z$104,"&gt;"&amp;ProjectMgmtCurrent,$Z$95:$Z$104,"&lt;="&amp;ProjectMgmtDesired)+SUMIFS($AH$95:$AH$104,$Z$95:$Z$104,"&gt;"&amp;CovertKnowledgeCurrent,$Z$95:$Z$104,"&lt;="&amp;CovertKnowledgeDesired)</f>
        <v>232800</v>
      </c>
      <c r="AB24" t="s">
        <v>30</v>
      </c>
    </row>
    <row r="25" spans="2:28" x14ac:dyDescent="0.3">
      <c r="B25" s="511">
        <v>28</v>
      </c>
      <c r="C25" s="512"/>
      <c r="D25" s="814">
        <v>70</v>
      </c>
      <c r="E25" s="815"/>
      <c r="F25" s="511"/>
      <c r="G25" s="512"/>
      <c r="H25" s="814"/>
      <c r="I25" s="815"/>
      <c r="J25" s="511"/>
      <c r="K25" s="512"/>
      <c r="L25" s="814"/>
      <c r="M25" s="815"/>
      <c r="N25" s="511"/>
      <c r="O25" s="512"/>
      <c r="P25" s="814"/>
      <c r="Q25" s="815"/>
      <c r="R25" s="511"/>
      <c r="S25" s="512"/>
      <c r="T25" s="814"/>
      <c r="U25" s="815"/>
      <c r="V25" s="292" t="s">
        <v>98</v>
      </c>
      <c r="W25" s="87">
        <f>IF(W24&gt;0,D25-IF(MOD(AgnesLevelCurrent,10)=0,VLOOKUP(AgnesLevelCurrent,$C$93:$O$202,5,FALSE),0),)</f>
        <v>-810</v>
      </c>
      <c r="X25" s="87">
        <f>AO5</f>
        <v>0</v>
      </c>
      <c r="Y25" s="293"/>
      <c r="Z25" s="294"/>
      <c r="AA25" s="87">
        <f>SUM(AD17:AK17)</f>
        <v>0</v>
      </c>
      <c r="AB25" t="s">
        <v>98</v>
      </c>
    </row>
    <row r="26" spans="2:28" x14ac:dyDescent="0.3">
      <c r="B26" s="812" t="s">
        <v>99</v>
      </c>
      <c r="C26" s="813"/>
      <c r="D26" s="812" t="s">
        <v>883</v>
      </c>
      <c r="E26" s="813"/>
      <c r="F26" s="812" t="s">
        <v>99</v>
      </c>
      <c r="G26" s="813"/>
      <c r="H26" s="812" t="s">
        <v>884</v>
      </c>
      <c r="I26" s="813"/>
      <c r="J26" s="812" t="s">
        <v>99</v>
      </c>
      <c r="K26" s="813"/>
      <c r="L26" s="812" t="s">
        <v>884</v>
      </c>
      <c r="M26" s="813"/>
      <c r="N26" s="812" t="s">
        <v>99</v>
      </c>
      <c r="O26" s="813"/>
      <c r="P26" s="812" t="s">
        <v>884</v>
      </c>
      <c r="Q26" s="813"/>
      <c r="R26" s="812" t="s">
        <v>99</v>
      </c>
      <c r="S26" s="813"/>
      <c r="T26" s="812" t="s">
        <v>884</v>
      </c>
      <c r="U26" s="813"/>
      <c r="V26" s="729" t="s">
        <v>877</v>
      </c>
      <c r="W26" s="729"/>
      <c r="X26" s="84">
        <f>IF(X24&gt;X25,X24-X25,)</f>
        <v>35</v>
      </c>
      <c r="Y26" s="296"/>
      <c r="Z26" s="297"/>
      <c r="AA26" s="87">
        <f>IF(AA24&gt;AA25,AA24-AA25,)</f>
        <v>232800</v>
      </c>
      <c r="AB26" s="295" t="s">
        <v>878</v>
      </c>
    </row>
    <row r="27" spans="2:28" x14ac:dyDescent="0.3">
      <c r="B27" s="511">
        <v>40.1</v>
      </c>
      <c r="C27" s="512"/>
      <c r="D27" s="494">
        <f>SUMIFS($D$93:$D$202,$C$93:$C$202,"&gt;"&amp;CyrilleLevelCurrent,$C$93:$C$202,"&lt;="&amp;CyrilleLevelDesired)</f>
        <v>10390</v>
      </c>
      <c r="E27" s="496"/>
      <c r="F27" s="511"/>
      <c r="G27" s="512"/>
      <c r="H27" s="494"/>
      <c r="I27" s="496"/>
      <c r="J27" s="511"/>
      <c r="K27" s="512"/>
      <c r="L27" s="494"/>
      <c r="M27" s="496"/>
      <c r="N27" s="511"/>
      <c r="O27" s="512"/>
      <c r="P27" s="494"/>
      <c r="Q27" s="496"/>
      <c r="R27" s="511"/>
      <c r="S27" s="512"/>
      <c r="T27" s="494"/>
      <c r="U27" s="496"/>
      <c r="V27" s="288"/>
      <c r="Y27" s="289"/>
      <c r="Z27" s="289"/>
      <c r="AA27" s="38"/>
    </row>
    <row r="28" spans="2:28" x14ac:dyDescent="0.3">
      <c r="V28" s="288"/>
      <c r="Y28" s="289"/>
      <c r="Z28" s="289"/>
      <c r="AA28" s="38"/>
    </row>
    <row r="29" spans="2:28" x14ac:dyDescent="0.3">
      <c r="B29" s="402" t="s">
        <v>825</v>
      </c>
      <c r="C29" s="403"/>
      <c r="D29" s="403"/>
      <c r="E29" s="510"/>
      <c r="G29"/>
      <c r="J29"/>
      <c r="K29"/>
      <c r="L29"/>
      <c r="M29"/>
      <c r="N29"/>
      <c r="Q29"/>
      <c r="R29"/>
    </row>
    <row r="30" spans="2:28" x14ac:dyDescent="0.3">
      <c r="B30" s="389" t="s">
        <v>174</v>
      </c>
      <c r="C30" s="450"/>
      <c r="D30" s="450"/>
      <c r="E30" s="390"/>
      <c r="F30" s="389" t="s">
        <v>875</v>
      </c>
      <c r="G30" s="450"/>
      <c r="H30" s="450"/>
      <c r="I30" s="450"/>
      <c r="J30" s="450"/>
      <c r="K30" s="450"/>
      <c r="L30" s="450"/>
      <c r="M30" s="450"/>
      <c r="N30" s="450"/>
      <c r="O30" s="450"/>
      <c r="P30" s="450"/>
      <c r="Q30" s="450"/>
      <c r="R30" s="450"/>
      <c r="S30" s="450"/>
      <c r="T30" s="450"/>
      <c r="U30" s="390"/>
      <c r="V30"/>
      <c r="W30" s="426" t="s">
        <v>863</v>
      </c>
      <c r="X30" s="426"/>
      <c r="Y30" s="426"/>
      <c r="Z30" s="426"/>
      <c r="AA30" s="426"/>
    </row>
    <row r="31" spans="2:28" x14ac:dyDescent="0.3">
      <c r="B31" s="720" t="str">
        <f>IFERROR(F107&amp;" From "&amp;VLOOKUP(B33,C109:O218,4,FALSE)*100&amp;"% to "&amp;VLOOKUP(B35,C109:O218,4,FALSE)*100&amp;"%","Attack Bonus")</f>
        <v>0.0315 From 4.8% to 6.9%</v>
      </c>
      <c r="C31" s="720"/>
      <c r="D31" s="720"/>
      <c r="E31" s="516"/>
      <c r="F31" s="515" t="s">
        <v>851</v>
      </c>
      <c r="G31" s="720"/>
      <c r="H31" s="720"/>
      <c r="I31" s="516"/>
      <c r="J31" s="515" t="s">
        <v>852</v>
      </c>
      <c r="K31" s="720"/>
      <c r="L31" s="720"/>
      <c r="M31" s="516"/>
      <c r="N31" s="515" t="s">
        <v>853</v>
      </c>
      <c r="O31" s="720"/>
      <c r="P31" s="720"/>
      <c r="Q31" s="516"/>
      <c r="R31" s="515" t="s">
        <v>854</v>
      </c>
      <c r="S31" s="720"/>
      <c r="T31" s="720"/>
      <c r="U31" s="516"/>
      <c r="V31" s="1"/>
      <c r="W31" s="14" t="s">
        <v>838</v>
      </c>
      <c r="X31" s="14" t="s">
        <v>839</v>
      </c>
      <c r="Y31" s="209"/>
      <c r="Z31" s="14" t="s">
        <v>856</v>
      </c>
      <c r="AA31" s="14" t="s">
        <v>570</v>
      </c>
    </row>
    <row r="32" spans="2:28" x14ac:dyDescent="0.3">
      <c r="B32" s="812" t="s">
        <v>98</v>
      </c>
      <c r="C32" s="813"/>
      <c r="D32" s="812" t="s">
        <v>882</v>
      </c>
      <c r="E32" s="813"/>
      <c r="F32" s="812" t="s">
        <v>98</v>
      </c>
      <c r="G32" s="813"/>
      <c r="H32" s="812" t="s">
        <v>888</v>
      </c>
      <c r="I32" s="813"/>
      <c r="J32" s="812" t="s">
        <v>98</v>
      </c>
      <c r="K32" s="813"/>
      <c r="L32" s="812" t="s">
        <v>888</v>
      </c>
      <c r="M32" s="813"/>
      <c r="N32" s="812" t="s">
        <v>98</v>
      </c>
      <c r="O32" s="813"/>
      <c r="P32" s="812" t="s">
        <v>888</v>
      </c>
      <c r="Q32" s="813"/>
      <c r="R32" s="812" t="s">
        <v>98</v>
      </c>
      <c r="S32" s="813"/>
      <c r="T32" s="812" t="s">
        <v>888</v>
      </c>
      <c r="U32" s="813"/>
      <c r="V32" s="9" t="s">
        <v>30</v>
      </c>
      <c r="W32" s="87">
        <f>SUMIFS($J$93:$J$202,$C$93:$C$202,"&gt;"&amp;HolgerLevelCurrent,$C$93:$C$202,"&lt;="&amp;HolgerLevelDesired)</f>
        <v>33210</v>
      </c>
      <c r="X32" s="87">
        <f>SUMIFS($K$93:$K$202,$C$93:$C$202,"&gt;"&amp;HolgerLevelCurrent,$C$93:$C$202,"&lt;="&amp;HolgerLevelDesired)</f>
        <v>56</v>
      </c>
      <c r="Y32" s="290"/>
      <c r="Z32" s="87">
        <f>SUMIFS($R$112:$R$121,$Q$112:$Q$121,"&gt;"&amp;ArenaEliteCurrent,$Q$112:$Q$121,"&lt;="&amp;ArenaEliteDesired)+SUMIFS($T$112:$T$121,$Q$112:$Q$121,"&gt;"&amp;CrowdPleaserCurrent,$Q$112:$Q$121,"&lt;="&amp;CrowdPleaserDesired)+SUMIFS($V$112:$V$121,$Q$112:$Q$121,"&gt;"&amp;ArenaStarCurrent,$Q$112:$Q$121,"&lt;="&amp;ArenaStarDesired)+SUMIFS($X$112:$X$121,$Q$112:$Q$121,"&gt;"&amp;LegacyCurrent,$Q$112:$Q$121,"&lt;="&amp;LegacyDesired)</f>
        <v>55800</v>
      </c>
      <c r="AA32" s="87">
        <f>SUMIFS($S$112:$S$121,$Q$112:$Q$121,"&gt;"&amp;ArenaEliteCurrent,$Q$112:$Q$121,"&lt;="&amp;ArenaEliteDesired)+SUMIFS($U$112:$U$121,$Q$112:$Q$121,"&gt;"&amp;CrowdPleaserCurrent,$Q$112:$Q$121,"&lt;="&amp;CrowdPleaserDesired)+SUMIFS($W$112:$W$121,$Q$112:$Q$121,"&gt;"&amp;ArenaStarCurrent,$Q$112:$Q$121,"&lt;="&amp;ArenaStarDesired)+SUMIFS($Y$112:$Y$121,$Q$112:$Q$121,"&gt;"&amp;LegacyCurrent,$Q$112:$Q$121,"&lt;="&amp;LegacyDesired)</f>
        <v>7646400</v>
      </c>
      <c r="AB32" t="s">
        <v>30</v>
      </c>
    </row>
    <row r="33" spans="2:28" x14ac:dyDescent="0.3">
      <c r="B33" s="511">
        <v>28</v>
      </c>
      <c r="C33" s="512"/>
      <c r="D33" s="814">
        <v>70</v>
      </c>
      <c r="E33" s="815"/>
      <c r="F33" s="511"/>
      <c r="G33" s="512"/>
      <c r="H33" s="814"/>
      <c r="I33" s="815"/>
      <c r="J33" s="511"/>
      <c r="K33" s="512"/>
      <c r="L33" s="814"/>
      <c r="M33" s="815"/>
      <c r="N33" s="511"/>
      <c r="O33" s="512"/>
      <c r="P33" s="814"/>
      <c r="Q33" s="815"/>
      <c r="R33" s="511"/>
      <c r="S33" s="512"/>
      <c r="T33" s="814"/>
      <c r="U33" s="815"/>
      <c r="V33" s="292" t="s">
        <v>98</v>
      </c>
      <c r="W33" s="87">
        <f>IF(W32&gt;0,S32-IF(MOD(HolgerLevelCurrent,10)=0,VLOOKUP(HolgerLevelCurrent,$C$93:$O$202,8,FALSE),0),)</f>
        <v>0</v>
      </c>
      <c r="X33" s="87">
        <f>AP5</f>
        <v>0</v>
      </c>
      <c r="Y33" s="293"/>
      <c r="Z33" s="294"/>
      <c r="AA33" s="87">
        <f>SUM(AD28:AK28)</f>
        <v>0</v>
      </c>
      <c r="AB33" t="s">
        <v>98</v>
      </c>
    </row>
    <row r="34" spans="2:28" x14ac:dyDescent="0.3">
      <c r="B34" s="812" t="s">
        <v>99</v>
      </c>
      <c r="C34" s="813"/>
      <c r="D34" s="812" t="s">
        <v>883</v>
      </c>
      <c r="E34" s="813"/>
      <c r="F34" s="812" t="s">
        <v>99</v>
      </c>
      <c r="G34" s="813"/>
      <c r="H34" s="812" t="s">
        <v>884</v>
      </c>
      <c r="I34" s="813"/>
      <c r="J34" s="812" t="s">
        <v>99</v>
      </c>
      <c r="K34" s="813"/>
      <c r="L34" s="812" t="s">
        <v>884</v>
      </c>
      <c r="M34" s="813"/>
      <c r="N34" s="812" t="s">
        <v>99</v>
      </c>
      <c r="O34" s="813"/>
      <c r="P34" s="812" t="s">
        <v>884</v>
      </c>
      <c r="Q34" s="813"/>
      <c r="R34" s="812" t="s">
        <v>99</v>
      </c>
      <c r="S34" s="813"/>
      <c r="T34" s="812" t="s">
        <v>884</v>
      </c>
      <c r="U34" s="813"/>
      <c r="V34" s="729" t="s">
        <v>877</v>
      </c>
      <c r="W34" s="729"/>
      <c r="X34" s="84">
        <f>IF(X32&gt;X33,X32-X33,)</f>
        <v>56</v>
      </c>
      <c r="Y34" s="296"/>
      <c r="Z34" s="297"/>
      <c r="AA34" s="87">
        <f>IF(AA32&gt;AA33,AA32-AA33,)</f>
        <v>7646400</v>
      </c>
      <c r="AB34" s="295" t="s">
        <v>878</v>
      </c>
    </row>
    <row r="35" spans="2:28" x14ac:dyDescent="0.3">
      <c r="B35" s="511">
        <v>40.1</v>
      </c>
      <c r="C35" s="512"/>
      <c r="D35" s="494">
        <f>SUMIFS($D$93:$D$202,$C$93:$C$202,"&gt;"&amp;CyrilleLevelCurrent,$C$93:$C$202,"&lt;="&amp;CyrilleLevelDesired)</f>
        <v>10390</v>
      </c>
      <c r="E35" s="496"/>
      <c r="F35" s="511"/>
      <c r="G35" s="512"/>
      <c r="H35" s="494"/>
      <c r="I35" s="496"/>
      <c r="J35" s="511"/>
      <c r="K35" s="512"/>
      <c r="L35" s="494"/>
      <c r="M35" s="496"/>
      <c r="N35" s="511"/>
      <c r="O35" s="512"/>
      <c r="P35" s="494"/>
      <c r="Q35" s="496"/>
      <c r="R35" s="511"/>
      <c r="S35" s="512"/>
      <c r="T35" s="494"/>
      <c r="U35" s="496"/>
      <c r="V35" s="288"/>
      <c r="Y35" s="289"/>
      <c r="Z35" s="289"/>
      <c r="AA35" s="38"/>
      <c r="AB35" s="289"/>
    </row>
    <row r="37" spans="2:28" x14ac:dyDescent="0.3">
      <c r="B37" s="402" t="s">
        <v>824</v>
      </c>
      <c r="C37" s="403"/>
      <c r="D37" s="403"/>
      <c r="E37" s="510"/>
      <c r="G37"/>
      <c r="J37"/>
      <c r="K37"/>
      <c r="L37"/>
      <c r="M37"/>
      <c r="N37"/>
      <c r="Q37"/>
      <c r="R37"/>
    </row>
    <row r="38" spans="2:28" x14ac:dyDescent="0.3">
      <c r="B38" s="389" t="s">
        <v>174</v>
      </c>
      <c r="C38" s="450"/>
      <c r="D38" s="450"/>
      <c r="E38" s="390"/>
      <c r="F38" s="389" t="s">
        <v>875</v>
      </c>
      <c r="G38" s="450"/>
      <c r="H38" s="450"/>
      <c r="I38" s="450"/>
      <c r="J38" s="450"/>
      <c r="K38" s="450"/>
      <c r="L38" s="450"/>
      <c r="M38" s="450"/>
      <c r="N38" s="450"/>
      <c r="O38" s="450"/>
      <c r="P38" s="450"/>
      <c r="Q38" s="450"/>
      <c r="R38" s="450"/>
      <c r="S38" s="450"/>
      <c r="T38" s="450"/>
      <c r="U38" s="390"/>
      <c r="V38"/>
      <c r="W38" s="426" t="s">
        <v>864</v>
      </c>
      <c r="X38" s="426"/>
      <c r="Y38" s="426"/>
      <c r="Z38" s="426"/>
      <c r="AA38" s="426"/>
    </row>
    <row r="39" spans="2:28" x14ac:dyDescent="0.3">
      <c r="B39" s="720" t="str">
        <f>IFERROR(F115&amp;" From "&amp;VLOOKUP(B41,C117:O226,4,FALSE)*100&amp;"% to "&amp;VLOOKUP(B43,C117:O226,4,FALSE)*100&amp;"%","Attack Bonus")</f>
        <v>0.0428 From 4.8% to 6.9%</v>
      </c>
      <c r="C39" s="720"/>
      <c r="D39" s="720"/>
      <c r="E39" s="516"/>
      <c r="F39" s="515" t="s">
        <v>847</v>
      </c>
      <c r="G39" s="720"/>
      <c r="H39" s="720"/>
      <c r="I39" s="516"/>
      <c r="J39" s="515" t="s">
        <v>848</v>
      </c>
      <c r="K39" s="720"/>
      <c r="L39" s="720"/>
      <c r="M39" s="516"/>
      <c r="N39" s="515" t="s">
        <v>948</v>
      </c>
      <c r="O39" s="720"/>
      <c r="P39" s="720"/>
      <c r="Q39" s="516"/>
      <c r="R39" s="515" t="s">
        <v>850</v>
      </c>
      <c r="S39" s="720"/>
      <c r="T39" s="720"/>
      <c r="U39" s="516"/>
      <c r="V39"/>
      <c r="W39" s="14" t="s">
        <v>838</v>
      </c>
      <c r="X39" s="14" t="s">
        <v>839</v>
      </c>
      <c r="Y39" s="209"/>
      <c r="Z39" s="14" t="s">
        <v>856</v>
      </c>
      <c r="AA39" s="14" t="s">
        <v>570</v>
      </c>
    </row>
    <row r="40" spans="2:28" x14ac:dyDescent="0.3">
      <c r="B40" s="812" t="s">
        <v>98</v>
      </c>
      <c r="C40" s="813"/>
      <c r="D40" s="812" t="s">
        <v>882</v>
      </c>
      <c r="E40" s="813"/>
      <c r="F40" s="812" t="s">
        <v>98</v>
      </c>
      <c r="G40" s="813"/>
      <c r="H40" s="812" t="s">
        <v>888</v>
      </c>
      <c r="I40" s="813"/>
      <c r="J40" s="812" t="s">
        <v>98</v>
      </c>
      <c r="K40" s="813"/>
      <c r="L40" s="812" t="s">
        <v>888</v>
      </c>
      <c r="M40" s="813"/>
      <c r="N40" s="812" t="s">
        <v>98</v>
      </c>
      <c r="O40" s="813"/>
      <c r="P40" s="812" t="s">
        <v>888</v>
      </c>
      <c r="Q40" s="813"/>
      <c r="R40" s="812" t="s">
        <v>98</v>
      </c>
      <c r="S40" s="813"/>
      <c r="T40" s="812" t="s">
        <v>888</v>
      </c>
      <c r="U40" s="813"/>
      <c r="V40" s="9" t="s">
        <v>30</v>
      </c>
      <c r="W40" s="87">
        <f>SUMIFS($M$93:$M$202,$C$93:$C$202,"&gt;"&amp;RomulusLevelCurrent,$C$93:$C$202,"&lt;="&amp;RomulusLevelDesired)</f>
        <v>818900</v>
      </c>
      <c r="X40" s="87">
        <f>SUMIFS($N$93:$N$202,$C$93:$C$202,"&gt;"&amp;RomulusLevelCurrent,$C$93:$C$202,"&lt;="&amp;RomulusLevelDesired)</f>
        <v>1680</v>
      </c>
      <c r="Y40" s="290"/>
      <c r="Z40" s="87">
        <f>SUMIFS($AA$112:$AA$131,$Z$112:$Z$131,"&gt;"&amp;CallOfWarCurrent,$Z$112:$Z$131,"&lt;="&amp;CallOfWarDesired)+SUMIFS($AC$112:$AC$131,$Z$112:$Z$131,"&gt;"&amp;LastLineCurrent,$Z$112:$Z$131,"&lt;="&amp;LastLineDesired)+SUMIFS($AE$112:$AE$131,$Z$112:$Z$131,"&gt;"&amp;SpiritOfAeetesCurrent,$Z$112:$Z$131,"&lt;="&amp;SpiritOfAeetesDesired)+SUMIFS($AG$112:$AG$131,$Z$112:$Z$131,"&gt;"&amp;OneHeartCurrent,$Z$112:$Z$131,"&lt;="&amp;OneHeartDesired)</f>
        <v>96800</v>
      </c>
      <c r="AA40" s="87">
        <f>SUMIFS($AB$112:$AB$131,$Z$112:$Z$131,"&gt;"&amp;CallOfWarCurrent,$Z$112:$Z$131,"&lt;="&amp;CallOfWarDesired)+SUMIFS($AD$112:$AD$131,$Z$112:$Z$131,"&gt;"&amp;LastLineCurrent,$Z$112:$Z$131,"&lt;="&amp;LastLineDesired)+SUMIFS($AF$112:$AF$131,$Z$112:$Z$131,"&gt;"&amp;SpiritOfAeetesCurrent,$Z$112:$Z$131,"&lt;="&amp;SpiritOfAeetesDesired)+SUMIFS($AH$112:$AH$131,$Z$112:$Z$131,"&gt;"&amp;OneHeartCurrent,$Z$112:$Z$131,"&lt;="&amp;OneHeartDesired)</f>
        <v>18471600</v>
      </c>
      <c r="AB40" t="s">
        <v>30</v>
      </c>
    </row>
    <row r="41" spans="2:28" x14ac:dyDescent="0.3">
      <c r="B41" s="511">
        <v>28</v>
      </c>
      <c r="C41" s="512"/>
      <c r="D41" s="814">
        <v>70</v>
      </c>
      <c r="E41" s="815"/>
      <c r="F41" s="511"/>
      <c r="G41" s="512"/>
      <c r="H41" s="814"/>
      <c r="I41" s="815"/>
      <c r="J41" s="511"/>
      <c r="K41" s="512"/>
      <c r="L41" s="814"/>
      <c r="M41" s="815"/>
      <c r="N41" s="511"/>
      <c r="O41" s="512"/>
      <c r="P41" s="814"/>
      <c r="Q41" s="815"/>
      <c r="R41" s="511"/>
      <c r="S41" s="512"/>
      <c r="T41" s="814"/>
      <c r="U41" s="815"/>
      <c r="V41" s="292" t="s">
        <v>98</v>
      </c>
      <c r="W41" s="87">
        <f>IF(W40&gt;0,S39-IF(MOD(RomulusLevelCurrent,10)=0,VLOOKUP(RomulusLevelCurrent,$C$93:$O$202,11,FALSE),0),)</f>
        <v>-5720</v>
      </c>
      <c r="X41" s="87">
        <f>AQ5</f>
        <v>0</v>
      </c>
      <c r="Y41" s="293"/>
      <c r="Z41" s="294"/>
      <c r="AA41" s="87">
        <f>SUM(AD39:AK39)</f>
        <v>0</v>
      </c>
      <c r="AB41" t="s">
        <v>98</v>
      </c>
    </row>
    <row r="42" spans="2:28" x14ac:dyDescent="0.3">
      <c r="B42" s="812" t="s">
        <v>99</v>
      </c>
      <c r="C42" s="813"/>
      <c r="D42" s="812" t="s">
        <v>883</v>
      </c>
      <c r="E42" s="813"/>
      <c r="F42" s="812" t="s">
        <v>99</v>
      </c>
      <c r="G42" s="813"/>
      <c r="H42" s="812" t="s">
        <v>884</v>
      </c>
      <c r="I42" s="813"/>
      <c r="J42" s="812" t="s">
        <v>99</v>
      </c>
      <c r="K42" s="813"/>
      <c r="L42" s="812" t="s">
        <v>884</v>
      </c>
      <c r="M42" s="813"/>
      <c r="N42" s="812" t="s">
        <v>99</v>
      </c>
      <c r="O42" s="813"/>
      <c r="P42" s="812" t="s">
        <v>884</v>
      </c>
      <c r="Q42" s="813"/>
      <c r="R42" s="812" t="s">
        <v>99</v>
      </c>
      <c r="S42" s="813"/>
      <c r="T42" s="812" t="s">
        <v>884</v>
      </c>
      <c r="U42" s="813"/>
      <c r="V42" s="729" t="s">
        <v>877</v>
      </c>
      <c r="W42" s="729"/>
      <c r="X42" s="84">
        <f>IF(X40&gt;X41,X40-X41,)</f>
        <v>1680</v>
      </c>
      <c r="Y42" s="296"/>
      <c r="Z42" s="297"/>
      <c r="AA42" s="87">
        <f>IF(AA40&gt;AA41,AA40-AA41,)</f>
        <v>18471600</v>
      </c>
      <c r="AB42" s="295" t="s">
        <v>878</v>
      </c>
    </row>
    <row r="43" spans="2:28" x14ac:dyDescent="0.3">
      <c r="B43" s="511">
        <v>40.1</v>
      </c>
      <c r="C43" s="512"/>
      <c r="D43" s="494">
        <f>SUMIFS($D$93:$D$202,$C$93:$C$202,"&gt;"&amp;CyrilleLevelCurrent,$C$93:$C$202,"&lt;="&amp;CyrilleLevelDesired)</f>
        <v>10390</v>
      </c>
      <c r="E43" s="496"/>
      <c r="F43" s="511"/>
      <c r="G43" s="512"/>
      <c r="H43" s="494"/>
      <c r="I43" s="496"/>
      <c r="J43" s="511"/>
      <c r="K43" s="512"/>
      <c r="L43" s="494"/>
      <c r="M43" s="496"/>
      <c r="N43" s="511"/>
      <c r="O43" s="512"/>
      <c r="P43" s="494"/>
      <c r="Q43" s="496"/>
      <c r="R43" s="511"/>
      <c r="S43" s="512"/>
      <c r="T43" s="494"/>
      <c r="U43" s="496"/>
      <c r="V43"/>
      <c r="W43" s="38"/>
    </row>
    <row r="44" spans="2:28" x14ac:dyDescent="0.3">
      <c r="V44"/>
      <c r="W44" s="38"/>
    </row>
    <row r="45" spans="2:28" x14ac:dyDescent="0.3">
      <c r="N45"/>
      <c r="O45" s="721" t="s">
        <v>905</v>
      </c>
      <c r="P45" s="721"/>
      <c r="Q45" s="721"/>
      <c r="R45" s="721"/>
      <c r="S45" s="721"/>
      <c r="T45" s="721"/>
      <c r="U45" s="721"/>
      <c r="V45" s="721"/>
    </row>
    <row r="46" spans="2:28" ht="15" customHeight="1" x14ac:dyDescent="0.3">
      <c r="N46"/>
      <c r="O46" s="389" t="str">
        <f>R91</f>
        <v>Entrapment</v>
      </c>
      <c r="P46" s="390"/>
      <c r="Q46" s="389" t="str">
        <f>T91</f>
        <v>Scavenging</v>
      </c>
      <c r="R46" s="390"/>
      <c r="S46" s="713" t="str">
        <f>V91</f>
        <v>Weapon Master</v>
      </c>
      <c r="T46" s="714"/>
      <c r="U46" s="389" t="str">
        <f>X91</f>
        <v>Ursa's Bane</v>
      </c>
      <c r="V46" s="390"/>
    </row>
    <row r="47" spans="2:28" ht="15" customHeight="1" x14ac:dyDescent="0.3">
      <c r="N47"/>
      <c r="O47" s="715" t="s">
        <v>98</v>
      </c>
      <c r="P47" s="717"/>
      <c r="Q47" s="715" t="s">
        <v>98</v>
      </c>
      <c r="R47" s="717"/>
      <c r="S47" s="715" t="s">
        <v>98</v>
      </c>
      <c r="T47" s="717"/>
      <c r="U47" s="715" t="s">
        <v>98</v>
      </c>
      <c r="V47" s="717"/>
    </row>
    <row r="48" spans="2:28" x14ac:dyDescent="0.3">
      <c r="N48"/>
    </row>
    <row r="49" spans="2:28" x14ac:dyDescent="0.3">
      <c r="N49"/>
      <c r="O49" s="715" t="s">
        <v>909</v>
      </c>
      <c r="P49" s="717"/>
      <c r="Q49" s="715" t="s">
        <v>910</v>
      </c>
      <c r="R49" s="717"/>
      <c r="S49" s="715" t="s">
        <v>910</v>
      </c>
      <c r="T49" s="717"/>
      <c r="U49" s="715" t="s">
        <v>909</v>
      </c>
      <c r="V49" s="717"/>
      <c r="Y49" s="38"/>
    </row>
    <row r="50" spans="2:28" x14ac:dyDescent="0.3">
      <c r="N50"/>
    </row>
    <row r="51" spans="2:28" x14ac:dyDescent="0.3">
      <c r="N51"/>
      <c r="O51" s="515" t="s">
        <v>888</v>
      </c>
      <c r="P51" s="516"/>
      <c r="Q51" s="515" t="s">
        <v>888</v>
      </c>
      <c r="R51" s="516"/>
      <c r="S51" s="515" t="s">
        <v>888</v>
      </c>
      <c r="T51" s="516"/>
      <c r="U51" s="515" t="s">
        <v>888</v>
      </c>
      <c r="V51" s="516"/>
      <c r="X51" s="406" t="s">
        <v>867</v>
      </c>
      <c r="Y51" s="406"/>
      <c r="Z51" s="406"/>
      <c r="AA51" s="406"/>
      <c r="AB51" s="406"/>
    </row>
    <row r="52" spans="2:28" x14ac:dyDescent="0.3">
      <c r="N52"/>
      <c r="O52" s="695">
        <v>158400</v>
      </c>
      <c r="P52" s="697"/>
      <c r="Q52" s="820"/>
      <c r="R52" s="753"/>
      <c r="S52" s="695"/>
      <c r="T52" s="697"/>
      <c r="U52" s="695"/>
      <c r="V52" s="697"/>
      <c r="X52" s="635" t="s">
        <v>839</v>
      </c>
      <c r="Y52" s="635"/>
      <c r="Z52" s="635"/>
      <c r="AA52" s="635"/>
      <c r="AB52" s="635"/>
    </row>
    <row r="53" spans="2:28" x14ac:dyDescent="0.3">
      <c r="N53"/>
      <c r="O53" s="515" t="s">
        <v>884</v>
      </c>
      <c r="P53" s="516"/>
      <c r="Q53" s="515" t="s">
        <v>884</v>
      </c>
      <c r="R53" s="516"/>
      <c r="S53" s="515" t="s">
        <v>884</v>
      </c>
      <c r="T53" s="516"/>
      <c r="U53" s="515" t="s">
        <v>884</v>
      </c>
      <c r="V53" s="516"/>
      <c r="X53" s="291" t="s">
        <v>506</v>
      </c>
      <c r="Y53" s="291" t="s">
        <v>822</v>
      </c>
      <c r="Z53" s="291" t="s">
        <v>823</v>
      </c>
      <c r="AA53" s="291" t="s">
        <v>825</v>
      </c>
      <c r="AB53" s="291" t="s">
        <v>824</v>
      </c>
    </row>
    <row r="54" spans="2:28" x14ac:dyDescent="0.3">
      <c r="N54"/>
      <c r="O54" s="494">
        <f>SUMIFS($S$95:$S$104,$Q$95:$Q$104,"&gt;"&amp;EntrapmentCurrent,$Q$95:$Q$104,"&lt;="&amp;EntrapmentDesired)</f>
        <v>158400</v>
      </c>
      <c r="P54" s="496"/>
      <c r="Q54" s="735">
        <f>SUMIFS($U$95:$U$104,$Q$95:$Q$104,"&gt;"&amp;ScavengingCurrent,$Q$95:$Q$104,"&lt;="&amp;ScavengingDesired)</f>
        <v>0</v>
      </c>
      <c r="R54" s="736"/>
      <c r="S54" s="494">
        <f>SUMIFS($W$95:$W$104,$Q$95:$Q$104,"&gt;"&amp;WeaponMasterCurrent,$Q$95:$Q$104,"&lt;="&amp;WeaponMasterDesired)</f>
        <v>129600</v>
      </c>
      <c r="T54" s="496"/>
      <c r="U54" s="735">
        <f>SUMIFS($Y$95:$Y$104,$Q$95:$Q$104,"&gt;"&amp;UrsasBaneCurrent,$Q$95:$Q$104,"&lt;="&amp;UrsasBaneDesired)</f>
        <v>464400</v>
      </c>
      <c r="V54" s="736"/>
      <c r="X54" s="121">
        <v>1275</v>
      </c>
      <c r="Y54" s="121">
        <v>22</v>
      </c>
      <c r="Z54" s="121">
        <v>19</v>
      </c>
      <c r="AA54" s="121">
        <v>32</v>
      </c>
      <c r="AB54" s="121">
        <v>82</v>
      </c>
    </row>
    <row r="55" spans="2:28" x14ac:dyDescent="0.3">
      <c r="N55"/>
      <c r="R55"/>
      <c r="T55" s="289"/>
      <c r="U55" s="289"/>
    </row>
    <row r="56" spans="2:28" x14ac:dyDescent="0.3">
      <c r="N56"/>
      <c r="O56" s="721" t="s">
        <v>906</v>
      </c>
      <c r="P56" s="721"/>
      <c r="Q56" s="721"/>
      <c r="R56" s="721"/>
      <c r="S56" s="721"/>
      <c r="T56" s="721"/>
      <c r="U56" s="721"/>
      <c r="V56" s="721"/>
      <c r="X56" s="515" t="s">
        <v>868</v>
      </c>
      <c r="Y56" s="516"/>
      <c r="Z56" s="515" t="s">
        <v>838</v>
      </c>
      <c r="AA56" s="516"/>
    </row>
    <row r="57" spans="2:28" x14ac:dyDescent="0.3">
      <c r="N57"/>
      <c r="O57" s="389" t="str">
        <f>AA91</f>
        <v>Efficient Recon</v>
      </c>
      <c r="P57" s="390"/>
      <c r="Q57" s="389" t="str">
        <f>AC91</f>
        <v>Optimization</v>
      </c>
      <c r="R57" s="390"/>
      <c r="S57" s="713" t="str">
        <f>AE91</f>
        <v>Project Mgmt.</v>
      </c>
      <c r="T57" s="714"/>
      <c r="U57" s="389" t="str">
        <f>AG91</f>
        <v>Covert Knowledge</v>
      </c>
      <c r="V57" s="390"/>
      <c r="X57" s="750">
        <v>7015</v>
      </c>
      <c r="Y57" s="751"/>
      <c r="Z57" s="494">
        <f>X57*10</f>
        <v>70150</v>
      </c>
      <c r="AA57" s="496"/>
    </row>
    <row r="58" spans="2:28" x14ac:dyDescent="0.3">
      <c r="N58"/>
      <c r="O58" s="715" t="s">
        <v>98</v>
      </c>
      <c r="P58" s="717"/>
      <c r="Q58" s="715" t="s">
        <v>98</v>
      </c>
      <c r="R58" s="717"/>
      <c r="S58" s="715" t="s">
        <v>98</v>
      </c>
      <c r="T58" s="717"/>
      <c r="U58" s="715" t="s">
        <v>98</v>
      </c>
      <c r="V58" s="717"/>
      <c r="X58" s="515" t="s">
        <v>869</v>
      </c>
      <c r="Y58" s="516"/>
      <c r="Z58" s="515" t="s">
        <v>838</v>
      </c>
      <c r="AA58" s="516"/>
    </row>
    <row r="59" spans="2:28" x14ac:dyDescent="0.3">
      <c r="N59"/>
      <c r="O59" s="711">
        <v>1</v>
      </c>
      <c r="P59" s="712"/>
      <c r="Q59" s="711">
        <v>1</v>
      </c>
      <c r="R59" s="712"/>
      <c r="S59" s="711">
        <v>0</v>
      </c>
      <c r="T59" s="712"/>
      <c r="U59" s="711">
        <v>0</v>
      </c>
      <c r="V59" s="712"/>
      <c r="X59" s="408">
        <v>1532</v>
      </c>
      <c r="Y59" s="753"/>
      <c r="Z59" s="494">
        <f>X59*100</f>
        <v>153200</v>
      </c>
      <c r="AA59" s="496"/>
    </row>
    <row r="60" spans="2:28" x14ac:dyDescent="0.3">
      <c r="N60"/>
      <c r="O60" s="715" t="s">
        <v>910</v>
      </c>
      <c r="P60" s="717"/>
      <c r="Q60" s="715" t="s">
        <v>910</v>
      </c>
      <c r="R60" s="717"/>
      <c r="S60" s="715" t="s">
        <v>910</v>
      </c>
      <c r="T60" s="717"/>
      <c r="U60" s="715" t="s">
        <v>909</v>
      </c>
      <c r="V60" s="717"/>
      <c r="X60" s="515" t="s">
        <v>870</v>
      </c>
      <c r="Y60" s="516"/>
      <c r="Z60" s="515" t="s">
        <v>838</v>
      </c>
      <c r="AA60" s="516"/>
    </row>
    <row r="61" spans="2:28" x14ac:dyDescent="0.3">
      <c r="B61" s="743" t="s">
        <v>822</v>
      </c>
      <c r="C61" s="743"/>
      <c r="D61" s="743"/>
      <c r="E61" s="743"/>
      <c r="G61"/>
      <c r="H61" s="426" t="s">
        <v>866</v>
      </c>
      <c r="I61" s="426"/>
      <c r="J61" s="426"/>
      <c r="K61" s="426"/>
      <c r="L61" s="426"/>
      <c r="M61"/>
      <c r="N61"/>
      <c r="O61" s="711">
        <v>3</v>
      </c>
      <c r="P61" s="712"/>
      <c r="Q61" s="818">
        <v>3</v>
      </c>
      <c r="R61" s="819"/>
      <c r="S61" s="711"/>
      <c r="T61" s="712"/>
      <c r="U61" s="711"/>
      <c r="V61" s="712"/>
      <c r="X61" s="408">
        <v>510</v>
      </c>
      <c r="Y61" s="753"/>
      <c r="Z61" s="494">
        <f>X61*1000</f>
        <v>510000</v>
      </c>
      <c r="AA61" s="496"/>
    </row>
    <row r="62" spans="2:28" ht="15" customHeight="1" x14ac:dyDescent="0.3">
      <c r="B62" s="754" t="s">
        <v>174</v>
      </c>
      <c r="C62" s="755"/>
      <c r="D62" s="755"/>
      <c r="E62" s="755"/>
      <c r="G62"/>
      <c r="H62" s="14" t="s">
        <v>838</v>
      </c>
      <c r="I62" s="14" t="s">
        <v>839</v>
      </c>
      <c r="J62" s="209"/>
      <c r="K62" s="14" t="s">
        <v>856</v>
      </c>
      <c r="L62" s="14" t="s">
        <v>570</v>
      </c>
      <c r="M62"/>
      <c r="N62"/>
      <c r="O62" s="515" t="s">
        <v>888</v>
      </c>
      <c r="P62" s="516"/>
      <c r="Q62" s="515" t="s">
        <v>888</v>
      </c>
      <c r="R62" s="516"/>
      <c r="S62" s="515" t="s">
        <v>888</v>
      </c>
      <c r="T62" s="516"/>
      <c r="U62" s="515" t="s">
        <v>888</v>
      </c>
      <c r="V62" s="516"/>
      <c r="Y62" s="11" t="s">
        <v>879</v>
      </c>
      <c r="Z62" s="500">
        <f>Z57+Z59+Z61</f>
        <v>733350</v>
      </c>
      <c r="AA62" s="502"/>
    </row>
    <row r="63" spans="2:28" x14ac:dyDescent="0.3">
      <c r="B63" s="715" t="s">
        <v>98</v>
      </c>
      <c r="C63" s="717"/>
      <c r="D63" s="715" t="s">
        <v>882</v>
      </c>
      <c r="E63" s="717"/>
      <c r="G63" s="9" t="s">
        <v>30</v>
      </c>
      <c r="H63" s="87">
        <f>SUMIFS($D$93:$D$202,$C$93:$C$202,"&gt;"&amp;CyrilleLevelCurrent,$C$93:$C$202,"&lt;="&amp;CyrilleLevelDesired)</f>
        <v>10390</v>
      </c>
      <c r="I63" s="87">
        <f>SUMIFS($E$93:$E$202,$C$93:$C$202,"&gt;"&amp;CyrilleLevelCurrent,$C$93:$C$202,"&lt;="&amp;CyrilleLevelDesired)</f>
        <v>35</v>
      </c>
      <c r="J63" s="290"/>
      <c r="K63" s="87">
        <f>SUMIFS($R$95:$R$104,$Q$95:$Q$104,"&gt;"&amp;EntrapmentCurrent,$Q$95:$Q$104,"&lt;="&amp;EntrapmentDesired)+SUMIFS($T$95:$T$104,$Q$95:$Q$104,"&gt;"&amp;ScavengingCurrent,$Q$95:$Q$104,"&lt;="&amp;ScavengingDesired)+SUMIFS($V$95:$V$104,$Q$95:$Q$104,"&gt;"&amp;WeaponMasterCurrent,$Q$95:$Q$104,"&lt;="&amp;WeaponMasterDesired)+SUMIFS($X$95:$X$104,$Q$95:$Q$104,"&gt;"&amp;UrsasBaneCurrent,$Q$95:$Q$104,"&lt;="&amp;UrsasBaneDesired)</f>
        <v>9080</v>
      </c>
      <c r="L63" s="87">
        <f>SUMIFS($S$95:$S$104,$Q$95:$Q$104,"&gt;"&amp;EntrapmentCurrent,$Q$95:$Q$104,"&lt;="&amp;EntrapmentDesired)+SUMIFS($U$95:$U$104,$Q$95:$Q$104,"&gt;"&amp;ScavengingCurrent,$Q$95:$Q$104,"&lt;="&amp;ScavengingDesired)+SUMIFS($W$95:$W$104,$Q$95:$Q$104,"&gt;"&amp;WeaponMasterCurrent,$Q$95:$Q$104,"&lt;="&amp;WeaponMasterDesired)+SUMIFS($Y$95:$Y$104,$Q$95:$Q$104,"&gt;"&amp;UrsasBaneCurrent,$Q$95:$Q$104,"&lt;="&amp;UrsasBaneDesired)</f>
        <v>752400</v>
      </c>
      <c r="M63" t="s">
        <v>30</v>
      </c>
      <c r="N63"/>
      <c r="O63" s="695">
        <v>165600</v>
      </c>
      <c r="P63" s="697"/>
      <c r="Q63" s="820">
        <v>0</v>
      </c>
      <c r="R63" s="753"/>
      <c r="S63" s="695"/>
      <c r="T63" s="697"/>
      <c r="U63" s="695"/>
      <c r="V63" s="697"/>
    </row>
    <row r="64" spans="2:28" x14ac:dyDescent="0.3">
      <c r="D64" s="695">
        <v>70</v>
      </c>
      <c r="E64" s="697"/>
      <c r="G64" s="292" t="s">
        <v>98</v>
      </c>
      <c r="H64" s="87">
        <f>IF(H63&gt;0,D64-IF(MOD(CyrilleLevelCurrent,10)=0,VLOOKUP(CyrilleLevelCurrent,$C$93:$O$202,2,FALSE),0),)</f>
        <v>70</v>
      </c>
      <c r="I64" s="87">
        <f>Y54</f>
        <v>22</v>
      </c>
      <c r="J64" s="293"/>
      <c r="K64" s="294"/>
      <c r="L64" s="87">
        <f>SUM(O52:V52)</f>
        <v>158400</v>
      </c>
      <c r="M64" t="s">
        <v>98</v>
      </c>
      <c r="N64"/>
      <c r="O64" s="515" t="s">
        <v>884</v>
      </c>
      <c r="P64" s="516"/>
      <c r="Q64" s="515" t="s">
        <v>884</v>
      </c>
      <c r="R64" s="516"/>
      <c r="S64" s="515" t="s">
        <v>884</v>
      </c>
      <c r="T64" s="516"/>
      <c r="U64" s="515" t="s">
        <v>884</v>
      </c>
      <c r="V64" s="516"/>
      <c r="X64" s="515" t="s">
        <v>871</v>
      </c>
      <c r="Y64" s="516"/>
    </row>
    <row r="65" spans="2:31" x14ac:dyDescent="0.3">
      <c r="B65" s="715" t="s">
        <v>99</v>
      </c>
      <c r="C65" s="717"/>
      <c r="D65" s="715" t="s">
        <v>883</v>
      </c>
      <c r="E65" s="717"/>
      <c r="G65" s="729" t="s">
        <v>877</v>
      </c>
      <c r="H65" s="729"/>
      <c r="I65" s="84">
        <f>IF(I63&gt;I64,I63-I64,)</f>
        <v>13</v>
      </c>
      <c r="J65" s="296"/>
      <c r="K65" s="297"/>
      <c r="L65" s="87">
        <f>IF(L63&gt;L64,L63-L64,)</f>
        <v>594000</v>
      </c>
      <c r="M65" s="295" t="s">
        <v>878</v>
      </c>
      <c r="N65"/>
      <c r="O65" s="494">
        <f>SUMIFS($AB$95:$AB$104,$Z$95:$Z$104,"&gt;"&amp;EfficientReconCurrent,$Z$95:$Z$104,"&lt;="&amp;EfficientReconDesired)</f>
        <v>129600</v>
      </c>
      <c r="P65" s="496"/>
      <c r="Q65" s="735">
        <f>SUMIFS($AD$95:$AD$104,$Z$95:$Z$104,"&gt;"&amp;OptimizationCurrent,$Z$95:$Z$104,"&lt;="&amp;OptimizationDesired)</f>
        <v>103200</v>
      </c>
      <c r="R65" s="736"/>
      <c r="S65" s="494">
        <f>SUMIFS($AF$95:$AF$104,$Z$95:$Z$104,"&gt;"&amp;ProjectMgmtCurrent,$Z$95:$Z$104,"&lt;="&amp;ProjectMgmtDesired)</f>
        <v>0</v>
      </c>
      <c r="T65" s="496"/>
      <c r="U65" s="735">
        <f>SUMIFS($AH$95:$AH$104,$Z$95:$Z$104,"&gt;"&amp;CovertKnowledgeCurrent,$Z$95:$Z$104,"&lt;="&amp;CovertKnowledgeDesired)</f>
        <v>0</v>
      </c>
      <c r="V65" s="736"/>
      <c r="X65" s="408">
        <v>95240</v>
      </c>
      <c r="Y65" s="408"/>
      <c r="AE65" s="38"/>
    </row>
    <row r="66" spans="2:31" x14ac:dyDescent="0.3">
      <c r="D66" s="494">
        <f>SUMIFS($D$93:$D$202,$C$93:$C$202,"&gt;"&amp;CyrilleLevelCurrent,$C$93:$C$202,"&lt;="&amp;CyrilleLevelDesired)</f>
        <v>10390</v>
      </c>
      <c r="E66" s="496"/>
      <c r="G66" s="289"/>
      <c r="J66"/>
      <c r="K66" s="288"/>
      <c r="L66" s="289"/>
      <c r="M66"/>
      <c r="N66"/>
      <c r="R66"/>
      <c r="T66" s="289"/>
      <c r="U66" s="289"/>
      <c r="AE66" s="38"/>
    </row>
    <row r="67" spans="2:31" x14ac:dyDescent="0.3">
      <c r="B67" s="288"/>
      <c r="M67"/>
      <c r="N67"/>
      <c r="O67" s="721" t="s">
        <v>908</v>
      </c>
      <c r="P67" s="721"/>
      <c r="Q67" s="721"/>
      <c r="R67" s="721"/>
      <c r="S67" s="721"/>
      <c r="T67" s="721"/>
      <c r="U67" s="721"/>
      <c r="V67" s="721"/>
      <c r="X67" s="515" t="s">
        <v>929</v>
      </c>
      <c r="Y67" s="516"/>
      <c r="Z67" s="515" t="s">
        <v>33</v>
      </c>
      <c r="AA67" s="516"/>
      <c r="AE67" s="38"/>
    </row>
    <row r="68" spans="2:31" x14ac:dyDescent="0.3">
      <c r="B68" s="743" t="s">
        <v>823</v>
      </c>
      <c r="C68" s="743"/>
      <c r="D68" s="743"/>
      <c r="E68" s="743"/>
      <c r="G68"/>
      <c r="H68" s="426" t="s">
        <v>865</v>
      </c>
      <c r="I68" s="426"/>
      <c r="J68" s="426"/>
      <c r="K68" s="426"/>
      <c r="L68" s="426"/>
      <c r="M68"/>
      <c r="N68"/>
      <c r="O68" s="389" t="str">
        <f>R108</f>
        <v>Arena Elite</v>
      </c>
      <c r="P68" s="390"/>
      <c r="Q68" s="389" t="str">
        <f>T108</f>
        <v>Crowd Pleaser</v>
      </c>
      <c r="R68" s="390"/>
      <c r="S68" s="713" t="str">
        <f>V108</f>
        <v>Arena Star</v>
      </c>
      <c r="T68" s="714"/>
      <c r="U68" s="389" t="str">
        <f>X108</f>
        <v>Legacy</v>
      </c>
      <c r="V68" s="390"/>
      <c r="X68" s="408">
        <v>41</v>
      </c>
      <c r="Y68" s="753"/>
      <c r="Z68" s="404" t="str">
        <f>INT(X68/(24*60))&amp;"d "&amp;INT(MOD(X68,(24*60))/60)&amp;" h"</f>
        <v>0d 0 h</v>
      </c>
      <c r="AA68" s="405"/>
    </row>
    <row r="69" spans="2:31" ht="15" customHeight="1" x14ac:dyDescent="0.3">
      <c r="B69" s="754" t="s">
        <v>174</v>
      </c>
      <c r="C69" s="755"/>
      <c r="D69" s="755"/>
      <c r="E69" s="755"/>
      <c r="G69"/>
      <c r="H69" s="14" t="s">
        <v>838</v>
      </c>
      <c r="I69" s="14" t="s">
        <v>839</v>
      </c>
      <c r="J69" s="209"/>
      <c r="K69" s="14" t="s">
        <v>856</v>
      </c>
      <c r="L69" s="14" t="s">
        <v>570</v>
      </c>
      <c r="M69"/>
      <c r="N69"/>
      <c r="O69" s="715" t="s">
        <v>98</v>
      </c>
      <c r="P69" s="717"/>
      <c r="Q69" s="715" t="s">
        <v>98</v>
      </c>
      <c r="R69" s="717"/>
      <c r="S69" s="715" t="s">
        <v>98</v>
      </c>
      <c r="T69" s="717"/>
      <c r="U69" s="715" t="s">
        <v>98</v>
      </c>
      <c r="V69" s="717"/>
      <c r="X69" s="515" t="s">
        <v>913</v>
      </c>
      <c r="Y69" s="516"/>
      <c r="Z69" s="515" t="s">
        <v>33</v>
      </c>
      <c r="AA69" s="516"/>
    </row>
    <row r="70" spans="2:31" x14ac:dyDescent="0.3">
      <c r="B70" s="715" t="s">
        <v>98</v>
      </c>
      <c r="C70" s="717"/>
      <c r="D70" s="715" t="s">
        <v>882</v>
      </c>
      <c r="E70" s="717"/>
      <c r="G70" s="9" t="s">
        <v>30</v>
      </c>
      <c r="H70" s="87">
        <f>SUMIFS($G$93:$G$202,$C$93:$C$202,"&gt;"&amp;AgnesLevelCurrent,$C$93:$C$202,"&lt;="&amp;AgnesLevelDesired)</f>
        <v>10800</v>
      </c>
      <c r="I70" s="87">
        <f>SUMIFS($H$93:$H$202,$C$93:$C$202,"&gt;"&amp;AgnesLevelCurrent,$C$93:$C$202,"&lt;="&amp;AgnesLevelDesired)</f>
        <v>35</v>
      </c>
      <c r="J70" s="290"/>
      <c r="K70" s="87">
        <f>SUMIFS($AA$95:$AA$104,$Z$95:$Z$104,"&gt;"&amp;EfficientReconCurrent,$Z$95:$Z$104,"&lt;="&amp;EfficientReconDesired)+SUMIFS($AC$95:$AC$104,$Z$95:$Z$104,"&gt;"&amp;OptimizationCurrent,$Z$95:$Z$104,"&lt;="&amp;OptimizationDesired)+SUMIFS($AE$95:$AE$104,$Z$95:$Z$104,"&gt;"&amp;ProjectMgmtCurrent,$Z$95:$Z$104,"&lt;="&amp;ProjectMgmtDesired)+SUMIFS($AG$95:$AG$104,$Z$95:$Z$104,"&gt;"&amp;CovertKnowledgeCurrent,$Z$95:$Z$104,"&lt;="&amp;CovertKnowledgeDesired)</f>
        <v>2700</v>
      </c>
      <c r="L70" s="87">
        <f>SUMIFS($AB$95:$AB$104,$Z$95:$Z$104,"&gt;"&amp;EfficientReconCurrent,$Z$95:$Z$104,"&lt;="&amp;EfficientReconDesired)+SUMIFS($AD$95:$AD$104,$Z$95:$Z$104,"&gt;"&amp;OptimizationCurrent,$Z$95:$Z$104,"&lt;="&amp;OptimizationDesired)+SUMIFS($AF$95:$AF$104,$Z$95:$Z$104,"&gt;"&amp;ProjectMgmtCurrent,$Z$95:$Z$104,"&lt;="&amp;ProjectMgmtDesired)+SUMIFS($AH$95:$AH$104,$Z$95:$Z$104,"&gt;"&amp;CovertKnowledgeCurrent,$Z$95:$Z$104,"&lt;="&amp;CovertKnowledgeDesired)</f>
        <v>232800</v>
      </c>
      <c r="M70" t="s">
        <v>30</v>
      </c>
      <c r="N70"/>
      <c r="O70" s="711">
        <v>1</v>
      </c>
      <c r="P70" s="712"/>
      <c r="Q70" s="711">
        <v>1</v>
      </c>
      <c r="R70" s="712"/>
      <c r="S70" s="711">
        <v>0</v>
      </c>
      <c r="T70" s="712"/>
      <c r="U70" s="711">
        <v>0</v>
      </c>
      <c r="V70" s="712"/>
      <c r="X70" s="408">
        <v>736</v>
      </c>
      <c r="Y70" s="753"/>
      <c r="Z70" s="404" t="str">
        <f>INT(X70*60/(24*60))&amp;"d "&amp;INT(MOD(X70*60,(24*60))/60)&amp;" h"</f>
        <v>30d 16 h</v>
      </c>
      <c r="AA70" s="405"/>
    </row>
    <row r="71" spans="2:31" x14ac:dyDescent="0.3">
      <c r="B71" s="711">
        <v>30</v>
      </c>
      <c r="C71" s="712"/>
      <c r="D71" s="695">
        <v>1080</v>
      </c>
      <c r="E71" s="697"/>
      <c r="G71" s="292" t="s">
        <v>98</v>
      </c>
      <c r="H71" s="87">
        <f>IF(H70&gt;0,D71-IF(MOD(AgnesLevelCurrent,10)=0,VLOOKUP(AgnesLevelCurrent,$C$93:$O$202,5,FALSE),0),)</f>
        <v>200</v>
      </c>
      <c r="I71" s="87">
        <f>Z54</f>
        <v>19</v>
      </c>
      <c r="J71" s="293"/>
      <c r="K71" s="294"/>
      <c r="L71" s="87">
        <f>SUM(O63:V63)</f>
        <v>165600</v>
      </c>
      <c r="M71" t="s">
        <v>98</v>
      </c>
      <c r="N71"/>
      <c r="O71" s="715" t="s">
        <v>909</v>
      </c>
      <c r="P71" s="717"/>
      <c r="Q71" s="715" t="s">
        <v>909</v>
      </c>
      <c r="R71" s="717"/>
      <c r="S71" s="715" t="s">
        <v>909</v>
      </c>
      <c r="T71" s="717"/>
      <c r="U71" s="715" t="s">
        <v>909</v>
      </c>
      <c r="V71" s="717"/>
      <c r="X71" s="515" t="s">
        <v>928</v>
      </c>
      <c r="Y71" s="516"/>
      <c r="Z71" s="515" t="s">
        <v>33</v>
      </c>
      <c r="AA71" s="516"/>
    </row>
    <row r="72" spans="2:31" ht="15" customHeight="1" x14ac:dyDescent="0.3">
      <c r="B72" s="715" t="s">
        <v>99</v>
      </c>
      <c r="C72" s="717"/>
      <c r="D72" s="715" t="s">
        <v>883</v>
      </c>
      <c r="E72" s="717"/>
      <c r="G72" s="729" t="s">
        <v>877</v>
      </c>
      <c r="H72" s="729"/>
      <c r="I72" s="84">
        <f>IF(I70&gt;I71,I70-I71,)</f>
        <v>16</v>
      </c>
      <c r="J72" s="296"/>
      <c r="K72" s="297"/>
      <c r="L72" s="87">
        <f>IF(L70&gt;L71,L70-L71,)</f>
        <v>67200</v>
      </c>
      <c r="M72" s="295" t="s">
        <v>878</v>
      </c>
      <c r="N72"/>
      <c r="O72" s="711">
        <v>10</v>
      </c>
      <c r="P72" s="712"/>
      <c r="Q72" s="711">
        <v>3</v>
      </c>
      <c r="R72" s="712"/>
      <c r="S72" s="711">
        <v>3</v>
      </c>
      <c r="T72" s="712"/>
      <c r="U72" s="711">
        <v>10</v>
      </c>
      <c r="V72" s="712"/>
      <c r="X72" s="408">
        <v>20</v>
      </c>
      <c r="Y72" s="753"/>
      <c r="Z72" s="404" t="str">
        <f>INT(X72*60*3/(24*60))&amp;"d "&amp;INT(MOD(X72*60*3,(24*60))/60)&amp;" h"</f>
        <v>2d 12 h</v>
      </c>
      <c r="AA72" s="405"/>
    </row>
    <row r="73" spans="2:31" ht="15" customHeight="1" x14ac:dyDescent="0.3">
      <c r="B73" s="756">
        <v>40.1</v>
      </c>
      <c r="C73" s="756"/>
      <c r="D73" s="494">
        <f>SUMIFS($G$93:$G$202,$C$93:$C$202,"&gt;"&amp;AgnesLevelCurrent,$C$93:$C$202,"&lt;="&amp;AgnesLevelDesired)</f>
        <v>10800</v>
      </c>
      <c r="E73" s="496"/>
      <c r="M73"/>
      <c r="N73"/>
      <c r="O73" s="515" t="s">
        <v>888</v>
      </c>
      <c r="P73" s="516"/>
      <c r="Q73" s="515" t="s">
        <v>888</v>
      </c>
      <c r="R73" s="516"/>
      <c r="S73" s="515" t="s">
        <v>888</v>
      </c>
      <c r="T73" s="516"/>
      <c r="U73" s="515" t="s">
        <v>888</v>
      </c>
      <c r="V73" s="516"/>
    </row>
    <row r="74" spans="2:31" ht="15" customHeight="1" x14ac:dyDescent="0.3">
      <c r="B74" s="288" t="str">
        <f>IFERROR(IF(VLOOKUP(AgnesLevelDesired,$C$93:$K$202,5,FALSE)+VLOOKUP(AgnesLevelDesired,$C$93:$K$202,6,FALSE)&lt;1,"Missing Data For Level",""),"")</f>
        <v/>
      </c>
      <c r="M74"/>
      <c r="N74"/>
      <c r="O74" s="695">
        <v>284400</v>
      </c>
      <c r="P74" s="697"/>
      <c r="Q74" s="695"/>
      <c r="R74" s="697"/>
      <c r="S74" s="695"/>
      <c r="T74" s="697"/>
      <c r="U74" s="695"/>
      <c r="V74" s="697"/>
      <c r="Z74" s="527" t="s">
        <v>872</v>
      </c>
      <c r="AA74" s="528"/>
      <c r="AB74" s="528"/>
      <c r="AC74" s="528"/>
      <c r="AD74" s="528"/>
      <c r="AE74" s="529"/>
    </row>
    <row r="75" spans="2:31" ht="15" customHeight="1" x14ac:dyDescent="0.3">
      <c r="B75" s="743" t="s">
        <v>825</v>
      </c>
      <c r="C75" s="743"/>
      <c r="D75" s="743"/>
      <c r="E75" s="743"/>
      <c r="G75"/>
      <c r="H75" s="426" t="s">
        <v>863</v>
      </c>
      <c r="I75" s="426"/>
      <c r="J75" s="426"/>
      <c r="K75" s="426"/>
      <c r="L75" s="426"/>
      <c r="M75"/>
      <c r="N75"/>
      <c r="O75" s="515" t="s">
        <v>884</v>
      </c>
      <c r="P75" s="516"/>
      <c r="Q75" s="515" t="s">
        <v>884</v>
      </c>
      <c r="R75" s="516"/>
      <c r="S75" s="515" t="s">
        <v>884</v>
      </c>
      <c r="T75" s="516"/>
      <c r="U75" s="515" t="s">
        <v>884</v>
      </c>
      <c r="V75" s="516"/>
      <c r="Z75" s="530" t="s">
        <v>838</v>
      </c>
      <c r="AA75" s="531"/>
      <c r="AB75" s="531"/>
      <c r="AC75" s="531"/>
      <c r="AD75" s="531"/>
      <c r="AE75" s="532"/>
    </row>
    <row r="76" spans="2:31" x14ac:dyDescent="0.3">
      <c r="B76" s="754" t="s">
        <v>174</v>
      </c>
      <c r="C76" s="755"/>
      <c r="D76" s="755"/>
      <c r="E76" s="755"/>
      <c r="G76" s="1"/>
      <c r="H76" s="14" t="s">
        <v>838</v>
      </c>
      <c r="I76" s="14" t="s">
        <v>839</v>
      </c>
      <c r="J76" s="209"/>
      <c r="K76" s="14" t="s">
        <v>856</v>
      </c>
      <c r="L76" s="14" t="s">
        <v>570</v>
      </c>
      <c r="M76"/>
      <c r="N76"/>
      <c r="O76" s="494">
        <f>SUMIFS($S$112:$S$121,$Q$112:$Q$121,"&gt;"&amp;ArenaEliteCurrent,$Q$112:$Q$121,"&lt;="&amp;ArenaEliteDesired)</f>
        <v>3730800</v>
      </c>
      <c r="P76" s="496"/>
      <c r="Q76" s="735">
        <f>SUMIFS($U$112:$U$121,$Q$112:$Q$121,"&gt;"&amp;CrowdPleaserCurrent,$Q$112:$Q$121,"&lt;="&amp;CrowdPleaserDesired)</f>
        <v>92400</v>
      </c>
      <c r="R76" s="736"/>
      <c r="S76" s="494">
        <f>SUMIFS($W$112:$W$121,$Q$112:$Q$121,"&gt;"&amp;ArenaStarCurrent,$Q$112:$Q$121,"&lt;="&amp;ArenaStarDesired)</f>
        <v>92400</v>
      </c>
      <c r="T76" s="496"/>
      <c r="U76" s="735">
        <f>SUMIFS($Y$112:$Y$121,$Q$112:$Q$121,"&gt;"&amp;LegacyCurrent,$Q$112:$Q$121,"&lt;="&amp;LegacyDesired)</f>
        <v>3730800</v>
      </c>
      <c r="V76" s="736"/>
      <c r="Z76" s="163" t="b">
        <v>0</v>
      </c>
      <c r="AA76" s="163" t="b">
        <v>0</v>
      </c>
      <c r="AB76" s="163" t="b">
        <v>0</v>
      </c>
      <c r="AC76" s="163" t="b">
        <v>0</v>
      </c>
      <c r="AD76" s="163" t="b">
        <v>0</v>
      </c>
      <c r="AE76" s="14" t="s">
        <v>25</v>
      </c>
    </row>
    <row r="77" spans="2:31" ht="15" customHeight="1" x14ac:dyDescent="0.3">
      <c r="B77" s="715" t="s">
        <v>98</v>
      </c>
      <c r="C77" s="717"/>
      <c r="D77" s="715" t="s">
        <v>882</v>
      </c>
      <c r="E77" s="717"/>
      <c r="G77" s="9" t="s">
        <v>30</v>
      </c>
      <c r="H77" s="87">
        <f>SUMIFS($J$93:$J$202,$C$93:$C$202,"&gt;"&amp;HolgerLevelCurrent,$C$93:$C$202,"&lt;="&amp;HolgerLevelDesired)</f>
        <v>33210</v>
      </c>
      <c r="I77" s="87">
        <f>SUMIFS($K$93:$K$202,$C$93:$C$202,"&gt;"&amp;HolgerLevelCurrent,$C$93:$C$202,"&lt;="&amp;HolgerLevelDesired)</f>
        <v>56</v>
      </c>
      <c r="J77" s="290"/>
      <c r="K77" s="87">
        <f>SUMIFS($R$112:$R$121,$Q$112:$Q$121,"&gt;"&amp;ArenaEliteCurrent,$Q$112:$Q$121,"&lt;="&amp;ArenaEliteDesired)+SUMIFS($T$112:$T$121,$Q$112:$Q$121,"&gt;"&amp;CrowdPleaserCurrent,$Q$112:$Q$121,"&lt;="&amp;CrowdPleaserDesired)+SUMIFS($V$112:$V$121,$Q$112:$Q$121,"&gt;"&amp;ArenaStarCurrent,$Q$112:$Q$121,"&lt;="&amp;ArenaStarDesired)+SUMIFS($X$112:$X$121,$Q$112:$Q$121,"&gt;"&amp;LegacyCurrent,$Q$112:$Q$121,"&lt;="&amp;LegacyDesired)</f>
        <v>55800</v>
      </c>
      <c r="L77" s="87">
        <f>SUMIFS($S$112:$S$121,$Q$112:$Q$121,"&gt;"&amp;ArenaEliteCurrent,$Q$112:$Q$121,"&lt;="&amp;ArenaEliteDesired)+SUMIFS($U$112:$U$121,$Q$112:$Q$121,"&gt;"&amp;CrowdPleaserCurrent,$Q$112:$Q$121,"&lt;="&amp;CrowdPleaserDesired)+SUMIFS($W$112:$W$121,$Q$112:$Q$121,"&gt;"&amp;ArenaStarCurrent,$Q$112:$Q$121,"&lt;="&amp;ArenaStarDesired)+SUMIFS($Y$112:$Y$121,$Q$112:$Q$121,"&gt;"&amp;LegacyCurrent,$Q$112:$Q$121,"&lt;="&amp;LegacyDesired)</f>
        <v>7646400</v>
      </c>
      <c r="M77" t="s">
        <v>30</v>
      </c>
      <c r="N77"/>
      <c r="Y77" s="11" t="s">
        <v>870</v>
      </c>
      <c r="Z77" s="235">
        <v>12</v>
      </c>
      <c r="AA77" s="80">
        <f>Z77*2</f>
        <v>24</v>
      </c>
      <c r="AB77" s="80">
        <f>Z77*4</f>
        <v>48</v>
      </c>
      <c r="AC77" s="80">
        <f>Z77*10</f>
        <v>120</v>
      </c>
      <c r="AD77" s="66">
        <f>Z77*20</f>
        <v>240</v>
      </c>
      <c r="AE77" s="81">
        <f>(IF(Z76=TRUE,Z77,0)+IF(AA76=TRUE,AA77,0)+IF(AB76=TRUE,AB77,0)+IF(AC76=TRUE,AC77,0)+IF(AD76=TRUE,AD77,0))*1000</f>
        <v>0</v>
      </c>
    </row>
    <row r="78" spans="2:31" x14ac:dyDescent="0.3">
      <c r="B78" s="711">
        <v>27</v>
      </c>
      <c r="C78" s="712"/>
      <c r="D78" s="695">
        <v>1300</v>
      </c>
      <c r="E78" s="697"/>
      <c r="G78" s="292" t="s">
        <v>98</v>
      </c>
      <c r="H78" s="87">
        <f>IF(H77&gt;0,D78-IF(MOD(HolgerLevelCurrent,10)=0,VLOOKUP(HolgerLevelCurrent,$C$93:$O$202,8,FALSE),0),)</f>
        <v>1300</v>
      </c>
      <c r="I78" s="87">
        <f>AA54</f>
        <v>32</v>
      </c>
      <c r="J78" s="293"/>
      <c r="K78" s="294"/>
      <c r="L78" s="87">
        <f>SUM(O74:V74)</f>
        <v>284400</v>
      </c>
      <c r="M78" t="s">
        <v>98</v>
      </c>
      <c r="N78"/>
      <c r="O78" s="721" t="s">
        <v>907</v>
      </c>
      <c r="P78" s="721"/>
      <c r="Q78" s="721"/>
      <c r="R78" s="721"/>
      <c r="S78" s="721"/>
      <c r="T78" s="721"/>
      <c r="U78" s="721"/>
      <c r="V78" s="721"/>
      <c r="Y78" s="11" t="s">
        <v>869</v>
      </c>
      <c r="Z78" s="235">
        <v>12</v>
      </c>
      <c r="AA78" s="88">
        <f>Z78*2</f>
        <v>24</v>
      </c>
      <c r="AB78" s="88">
        <f>Z78*4</f>
        <v>48</v>
      </c>
      <c r="AC78" s="88">
        <f>Z78*10</f>
        <v>120</v>
      </c>
      <c r="AD78" s="68">
        <f>Z78*20</f>
        <v>240</v>
      </c>
      <c r="AE78" s="82">
        <f>(IF(Z76=TRUE,Z78,0)+IF(AA76=TRUE,AA78,0)+IF(AB76=TRUE,AB78,0)+IF(AC76=TRUE,AC78,0)+IF(AD76=TRUE,AD78,0))*100</f>
        <v>0</v>
      </c>
    </row>
    <row r="79" spans="2:31" ht="15" customHeight="1" x14ac:dyDescent="0.3">
      <c r="B79" s="715" t="s">
        <v>99</v>
      </c>
      <c r="C79" s="717"/>
      <c r="D79" s="715" t="s">
        <v>883</v>
      </c>
      <c r="E79" s="717"/>
      <c r="G79" s="729" t="s">
        <v>877</v>
      </c>
      <c r="H79" s="729"/>
      <c r="I79" s="84">
        <f>IF(I77&gt;I78,I77-I78,)</f>
        <v>24</v>
      </c>
      <c r="J79" s="296"/>
      <c r="K79" s="297"/>
      <c r="L79" s="87">
        <f>IF(L77&gt;L78,L77-L78,)</f>
        <v>7362000</v>
      </c>
      <c r="M79" s="295" t="s">
        <v>878</v>
      </c>
      <c r="N79"/>
      <c r="O79" s="389" t="str">
        <f>AA108</f>
        <v>Call of War</v>
      </c>
      <c r="P79" s="390"/>
      <c r="Q79" s="389" t="str">
        <f>AC108</f>
        <v>Last Line</v>
      </c>
      <c r="R79" s="390"/>
      <c r="S79" s="713" t="str">
        <f>AE108</f>
        <v>Spirit of Aeetes</v>
      </c>
      <c r="T79" s="714"/>
      <c r="U79" s="389" t="str">
        <f>AG108</f>
        <v>One Heart</v>
      </c>
      <c r="V79" s="390"/>
      <c r="Y79" s="8"/>
      <c r="Z79" s="533" t="s">
        <v>874</v>
      </c>
      <c r="AA79" s="534"/>
      <c r="AB79" s="534"/>
      <c r="AC79" s="534"/>
      <c r="AD79" s="534"/>
      <c r="AE79" s="535"/>
    </row>
    <row r="80" spans="2:31" ht="15" customHeight="1" x14ac:dyDescent="0.3">
      <c r="B80" s="711">
        <v>40.1</v>
      </c>
      <c r="C80" s="712"/>
      <c r="D80" s="494">
        <f>SUMIFS($J$93:$J$202,$C$93:$C$202,"&gt;"&amp;HolgerLevelCurrent,$C$93:$C$202,"&lt;="&amp;HolgerLevelDesired)</f>
        <v>33210</v>
      </c>
      <c r="E80" s="496"/>
      <c r="N80"/>
      <c r="O80" s="715" t="s">
        <v>98</v>
      </c>
      <c r="P80" s="717"/>
      <c r="Q80" s="715" t="s">
        <v>98</v>
      </c>
      <c r="R80" s="717"/>
      <c r="S80" s="715" t="s">
        <v>98</v>
      </c>
      <c r="T80" s="717"/>
      <c r="U80" s="715" t="s">
        <v>98</v>
      </c>
      <c r="V80" s="717"/>
      <c r="Y80" s="8"/>
      <c r="Z80" s="164" t="b">
        <v>0</v>
      </c>
      <c r="AA80" s="164" t="b">
        <v>0</v>
      </c>
      <c r="AB80" s="164" t="b">
        <v>0</v>
      </c>
      <c r="AC80" s="164" t="b">
        <v>0</v>
      </c>
      <c r="AD80" s="164" t="b">
        <v>0</v>
      </c>
      <c r="AE80" s="85" t="s">
        <v>25</v>
      </c>
    </row>
    <row r="81" spans="1:34" ht="15" customHeight="1" x14ac:dyDescent="0.3">
      <c r="N81"/>
      <c r="O81" s="711">
        <v>2</v>
      </c>
      <c r="P81" s="712"/>
      <c r="Q81" s="711">
        <v>1</v>
      </c>
      <c r="R81" s="712"/>
      <c r="S81" s="711">
        <v>1</v>
      </c>
      <c r="T81" s="712"/>
      <c r="U81" s="711">
        <v>0</v>
      </c>
      <c r="V81" s="712"/>
      <c r="Y81" s="11" t="s">
        <v>873</v>
      </c>
      <c r="Z81" s="235">
        <v>10</v>
      </c>
      <c r="AA81" s="80">
        <f>Z81*2</f>
        <v>20</v>
      </c>
      <c r="AB81" s="80">
        <f>Z81*4</f>
        <v>40</v>
      </c>
      <c r="AC81" s="80">
        <f>Z81*10</f>
        <v>100</v>
      </c>
      <c r="AD81" s="66">
        <f>Z81*20</f>
        <v>200</v>
      </c>
      <c r="AE81" s="87">
        <f>IF(Z$80=TRUE,Z81,0)+IF(AA$80=TRUE,AA81,0)+IF(AB$80=TRUE,AB81,0)+IF(AC$80=TRUE,AC81,0)+IF(AD$80=TRUE,AD81,0)</f>
        <v>0</v>
      </c>
    </row>
    <row r="82" spans="1:34" x14ac:dyDescent="0.3">
      <c r="B82" s="743" t="s">
        <v>824</v>
      </c>
      <c r="C82" s="743"/>
      <c r="D82" s="743"/>
      <c r="E82" s="743"/>
      <c r="G82"/>
      <c r="H82" s="426" t="s">
        <v>864</v>
      </c>
      <c r="I82" s="426"/>
      <c r="J82" s="426"/>
      <c r="K82" s="426"/>
      <c r="L82" s="426"/>
      <c r="M82"/>
      <c r="N82"/>
      <c r="O82" s="715" t="s">
        <v>909</v>
      </c>
      <c r="P82" s="717"/>
      <c r="Q82" s="715" t="s">
        <v>911</v>
      </c>
      <c r="R82" s="717"/>
      <c r="S82" s="715" t="s">
        <v>911</v>
      </c>
      <c r="T82" s="717"/>
      <c r="U82" s="715" t="s">
        <v>911</v>
      </c>
      <c r="V82" s="717"/>
      <c r="Y82" s="11" t="s">
        <v>871</v>
      </c>
      <c r="Z82" s="235">
        <v>100</v>
      </c>
      <c r="AA82" s="83">
        <f>Z82*2</f>
        <v>200</v>
      </c>
      <c r="AB82" s="83">
        <f>Z82*4</f>
        <v>400</v>
      </c>
      <c r="AC82" s="83">
        <f>Z82*10</f>
        <v>1000</v>
      </c>
      <c r="AD82" s="70">
        <f>Z82*20</f>
        <v>2000</v>
      </c>
      <c r="AE82" s="87">
        <f>IF(Z$80=TRUE,Z82,0)+IF(AA$80=TRUE,AA82,0)+IF(AB$80=TRUE,AB82,0)+IF(AC$80=TRUE,AC82,0)+IF(AD$80=TRUE,AD82,0)</f>
        <v>0</v>
      </c>
    </row>
    <row r="83" spans="1:34" x14ac:dyDescent="0.3">
      <c r="B83" s="754" t="s">
        <v>174</v>
      </c>
      <c r="C83" s="755"/>
      <c r="D83" s="755"/>
      <c r="E83" s="755"/>
      <c r="G83"/>
      <c r="H83" s="14" t="s">
        <v>838</v>
      </c>
      <c r="I83" s="14" t="s">
        <v>839</v>
      </c>
      <c r="J83" s="209"/>
      <c r="K83" s="14" t="s">
        <v>856</v>
      </c>
      <c r="L83" s="14" t="s">
        <v>570</v>
      </c>
      <c r="M83"/>
      <c r="N83"/>
      <c r="O83" s="711">
        <v>5</v>
      </c>
      <c r="P83" s="712"/>
      <c r="Q83" s="711">
        <v>10</v>
      </c>
      <c r="R83" s="712"/>
      <c r="S83" s="711">
        <v>10</v>
      </c>
      <c r="T83" s="712"/>
      <c r="U83" s="711">
        <v>10</v>
      </c>
      <c r="V83" s="712"/>
      <c r="Y83" s="8"/>
      <c r="Z83" s="536" t="s">
        <v>875</v>
      </c>
      <c r="AA83" s="537"/>
      <c r="AB83" s="537"/>
      <c r="AC83" s="537"/>
      <c r="AD83" s="537"/>
      <c r="AE83" s="538"/>
    </row>
    <row r="84" spans="1:34" x14ac:dyDescent="0.3">
      <c r="B84" s="715" t="s">
        <v>98</v>
      </c>
      <c r="C84" s="717"/>
      <c r="D84" s="715" t="s">
        <v>882</v>
      </c>
      <c r="E84" s="717"/>
      <c r="G84" s="9" t="s">
        <v>30</v>
      </c>
      <c r="H84" s="87">
        <f>SUMIFS($M$93:$M$202,$C$93:$C$202,"&gt;"&amp;RomulusLevelCurrent,$C$93:$C$202,"&lt;="&amp;RomulusLevelDesired)</f>
        <v>818900</v>
      </c>
      <c r="I84" s="87">
        <f>SUMIFS($N$93:$N$202,$C$93:$C$202,"&gt;"&amp;RomulusLevelCurrent,$C$93:$C$202,"&lt;="&amp;RomulusLevelDesired)</f>
        <v>1680</v>
      </c>
      <c r="J84" s="290"/>
      <c r="K84" s="87">
        <f>SUMIFS($AA$112:$AA$131,$Z$112:$Z$131,"&gt;"&amp;CallOfWarCurrent,$Z$112:$Z$131,"&lt;="&amp;CallOfWarDesired)+SUMIFS($AC$112:$AC$131,$Z$112:$Z$131,"&gt;"&amp;LastLineCurrent,$Z$112:$Z$131,"&lt;="&amp;LastLineDesired)+SUMIFS($AE$112:$AE$131,$Z$112:$Z$131,"&gt;"&amp;SpiritOfAeetesCurrent,$Z$112:$Z$131,"&lt;="&amp;SpiritOfAeetesDesired)+SUMIFS($AG$112:$AG$131,$Z$112:$Z$131,"&gt;"&amp;OneHeartCurrent,$Z$112:$Z$131,"&lt;="&amp;OneHeartDesired)</f>
        <v>96800</v>
      </c>
      <c r="L84" s="87">
        <f>SUMIFS($AB$112:$AB$131,$Z$112:$Z$131,"&gt;"&amp;CallOfWarCurrent,$Z$112:$Z$131,"&lt;="&amp;CallOfWarDesired)+SUMIFS($AD$112:$AD$131,$Z$112:$Z$131,"&gt;"&amp;LastLineCurrent,$Z$112:$Z$131,"&lt;="&amp;LastLineDesired)+SUMIFS($AF$112:$AF$131,$Z$112:$Z$131,"&gt;"&amp;SpiritOfAeetesCurrent,$Z$112:$Z$131,"&lt;="&amp;SpiritOfAeetesDesired)+SUMIFS($AH$112:$AH$131,$Z$112:$Z$131,"&gt;"&amp;OneHeartCurrent,$Z$112:$Z$131,"&lt;="&amp;OneHeartDesired)</f>
        <v>18471600</v>
      </c>
      <c r="M84" t="s">
        <v>30</v>
      </c>
      <c r="N84"/>
      <c r="O84" s="515" t="s">
        <v>888</v>
      </c>
      <c r="P84" s="516"/>
      <c r="Q84" s="515" t="s">
        <v>888</v>
      </c>
      <c r="R84" s="516"/>
      <c r="S84" s="515" t="s">
        <v>888</v>
      </c>
      <c r="T84" s="516"/>
      <c r="U84" s="515" t="s">
        <v>888</v>
      </c>
      <c r="V84" s="516"/>
      <c r="Y84" s="8"/>
      <c r="Z84" s="164" t="b">
        <v>0</v>
      </c>
      <c r="AA84" s="164" t="b">
        <v>0</v>
      </c>
      <c r="AB84" s="164" t="b">
        <v>0</v>
      </c>
      <c r="AC84" s="164" t="b">
        <v>0</v>
      </c>
      <c r="AD84" s="164" t="b">
        <v>0</v>
      </c>
      <c r="AE84" s="85" t="s">
        <v>25</v>
      </c>
    </row>
    <row r="85" spans="1:34" x14ac:dyDescent="0.3">
      <c r="B85" s="711">
        <v>40</v>
      </c>
      <c r="C85" s="712"/>
      <c r="D85" s="695">
        <v>13220</v>
      </c>
      <c r="E85" s="697"/>
      <c r="G85" s="292" t="s">
        <v>98</v>
      </c>
      <c r="H85" s="87">
        <f>IF(H84&gt;0,D85-IF(MOD(RomulusLevelCurrent,10)=0,VLOOKUP(RomulusLevelCurrent,$C$93:$O$202,11,FALSE),0),)</f>
        <v>7500</v>
      </c>
      <c r="I85" s="87">
        <f>AB54</f>
        <v>82</v>
      </c>
      <c r="J85" s="293"/>
      <c r="K85" s="294"/>
      <c r="L85" s="87">
        <f>SUM(O85:V85)</f>
        <v>880200</v>
      </c>
      <c r="M85" t="s">
        <v>98</v>
      </c>
      <c r="N85"/>
      <c r="O85" s="695">
        <v>397800</v>
      </c>
      <c r="P85" s="697"/>
      <c r="Q85" s="695">
        <v>316800</v>
      </c>
      <c r="R85" s="697"/>
      <c r="S85" s="695">
        <v>165600</v>
      </c>
      <c r="T85" s="697"/>
      <c r="U85" s="695"/>
      <c r="V85" s="697"/>
      <c r="Y85" s="11" t="s">
        <v>871</v>
      </c>
      <c r="Z85" s="235">
        <v>800</v>
      </c>
      <c r="AA85" s="65">
        <f>Z85*2</f>
        <v>1600</v>
      </c>
      <c r="AB85" s="80">
        <f>Z85*4</f>
        <v>3200</v>
      </c>
      <c r="AC85" s="80">
        <f>Z85*10</f>
        <v>8000</v>
      </c>
      <c r="AD85" s="66">
        <f>Z85*20</f>
        <v>16000</v>
      </c>
      <c r="AE85" s="87">
        <f>IF(Z$84=TRUE,Z85,0)+IF(AA$84=TRUE,AA85,0)+IF(AB$84=TRUE,AB85,0)+IF(AC$84=TRUE,AC85,0)+IF(AD$84=TRUE,AD85,0)</f>
        <v>0</v>
      </c>
    </row>
    <row r="86" spans="1:34" ht="15" customHeight="1" x14ac:dyDescent="0.3">
      <c r="B86" s="715" t="s">
        <v>99</v>
      </c>
      <c r="C86" s="717"/>
      <c r="D86" s="715" t="s">
        <v>883</v>
      </c>
      <c r="E86" s="717"/>
      <c r="G86" s="729" t="s">
        <v>877</v>
      </c>
      <c r="H86" s="729"/>
      <c r="I86" s="84">
        <f>IF(I84&gt;I85,I84-I85,)</f>
        <v>1598</v>
      </c>
      <c r="J86" s="296"/>
      <c r="K86" s="297"/>
      <c r="L86" s="87">
        <f>IF(L84&gt;L85,L84-L85,)</f>
        <v>17591400</v>
      </c>
      <c r="M86" s="295" t="s">
        <v>878</v>
      </c>
      <c r="N86"/>
      <c r="O86" s="515" t="s">
        <v>884</v>
      </c>
      <c r="P86" s="516"/>
      <c r="Q86" s="515" t="s">
        <v>884</v>
      </c>
      <c r="R86" s="516"/>
      <c r="S86" s="515" t="s">
        <v>884</v>
      </c>
      <c r="T86" s="516"/>
      <c r="U86" s="515" t="s">
        <v>884</v>
      </c>
      <c r="V86" s="516"/>
      <c r="Y86" s="11" t="s">
        <v>876</v>
      </c>
      <c r="Z86" s="235">
        <v>10</v>
      </c>
      <c r="AA86" s="69">
        <f>Z86*2</f>
        <v>20</v>
      </c>
      <c r="AB86" s="83">
        <f>Z86*4</f>
        <v>40</v>
      </c>
      <c r="AC86" s="83">
        <f>Z86*10</f>
        <v>100</v>
      </c>
      <c r="AD86" s="70">
        <f>Z86*20</f>
        <v>200</v>
      </c>
      <c r="AE86" s="87">
        <f>IF(Z$84=TRUE,Z86,0)+IF(AA$84=TRUE,AA86,0)+IF(AB$84=TRUE,AB86,0)+IF(AC$84=TRUE,AC86,0)+IF(AD$84=TRUE,AD86,0)</f>
        <v>0</v>
      </c>
    </row>
    <row r="87" spans="1:34" ht="15" customHeight="1" x14ac:dyDescent="0.3">
      <c r="B87" s="711">
        <v>100.1</v>
      </c>
      <c r="C87" s="712"/>
      <c r="D87" s="494">
        <f>SUMIFS($M$93:$M$202,$C$93:$C$202,"&gt;"&amp;RomulusLevelCurrent,$C$93:$C$202,"&lt;="&amp;RomulusLevelDesired)</f>
        <v>818900</v>
      </c>
      <c r="E87" s="496"/>
      <c r="G87"/>
      <c r="J87"/>
      <c r="K87"/>
      <c r="L87"/>
      <c r="M87"/>
      <c r="N87"/>
      <c r="O87" s="494">
        <f>SUMIFS($AB$112:$AB$131,$Z$112:$Z$131,"&gt;"&amp;CallOfWarCurrent,$Z$112:$Z$131,"&lt;="&amp;CallOfWarDesired)</f>
        <v>279000</v>
      </c>
      <c r="P87" s="496"/>
      <c r="Q87" s="735">
        <f>SUMIFS($AD$112:$AD$131,$Z$112:$Z$131,"&gt;"&amp;LastLineCurrent,$Z$112:$Z$131,"&lt;="&amp;LastLineDesired)</f>
        <v>3888000</v>
      </c>
      <c r="R87" s="736"/>
      <c r="S87" s="494">
        <f>SUMIFS($AF$112:$AF$131,$Z$112:$Z$131,"&gt;"&amp;SpiritOfAeetesCurrent,$Z$112:$Z$131,"&lt;="&amp;SpiritOfAeetesDesired)</f>
        <v>6714600</v>
      </c>
      <c r="T87" s="496"/>
      <c r="U87" s="735">
        <f>SUMIFS($AH$112:$AH$131,$Z$112:$Z$131,"&gt;"&amp;OneHeartCurrent,$Z$112:$Z$131,"&lt;="&amp;OneHeartDesired)</f>
        <v>7590000</v>
      </c>
      <c r="V87" s="736"/>
      <c r="Z87" s="298" t="str" cm="1">
        <f t="array" aca="1" ref="Z87" ca="1">IF(SUM(COUNTIF(INDIRECT({"Aa7","Aa11","Aa15"}),TRUE))&gt;1,"Too Many","")</f>
        <v/>
      </c>
      <c r="AA87" s="298" t="str" cm="1">
        <f t="array" aca="1" ref="AA87" ca="1">IF(SUM(COUNTIF(INDIRECT({"AB7","AB11","AB15"}),TRUE))&gt;1,"Too Many","")</f>
        <v/>
      </c>
      <c r="AB87" s="298" t="str" cm="1">
        <f t="array" aca="1" ref="AB87" ca="1">IF(SUM(COUNTIF(INDIRECT({"Ac7","Ac11","Ac15"}),TRUE))&gt;1,"Too Many","")</f>
        <v/>
      </c>
      <c r="AC87" s="298" t="str" cm="1">
        <f t="array" aca="1" ref="AC87" ca="1">IF(SUM(COUNTIF(INDIRECT({"Ad7","Ad11","Ad15"}),TRUE))&gt;1,"Too Many","")</f>
        <v/>
      </c>
      <c r="AD87" s="298" t="str" cm="1">
        <f t="array" aca="1" ref="AD87" ca="1">IF(SUM(COUNTIF(INDIRECT({"Ae7","Ae11","Ae15"}),TRUE))&gt;1,"Too Many","")</f>
        <v/>
      </c>
      <c r="AE87" s="155" t="str">
        <f>INT(AE86/24)&amp;"d "&amp;INT(MOD(AE86,24))&amp;"h"</f>
        <v>0d 0h</v>
      </c>
    </row>
    <row r="88" spans="1:34" x14ac:dyDescent="0.3">
      <c r="B88"/>
      <c r="C88"/>
      <c r="G88"/>
      <c r="J88"/>
      <c r="K88"/>
      <c r="L88"/>
      <c r="M88"/>
      <c r="N88"/>
      <c r="Q88"/>
      <c r="R88"/>
      <c r="V88"/>
    </row>
    <row r="89" spans="1:34" x14ac:dyDescent="0.3">
      <c r="A89" s="9"/>
      <c r="C89"/>
      <c r="D89" s="426" t="s">
        <v>936</v>
      </c>
      <c r="E89" s="426"/>
      <c r="F89" s="426"/>
      <c r="G89" s="426"/>
      <c r="H89" s="426"/>
      <c r="I89" s="426"/>
      <c r="J89" s="426"/>
      <c r="K89" s="426"/>
      <c r="L89" s="426"/>
      <c r="M89" s="426"/>
      <c r="N89" s="426"/>
      <c r="O89" s="426"/>
      <c r="Q89"/>
      <c r="R89" s="406" t="s">
        <v>937</v>
      </c>
      <c r="S89" s="406"/>
      <c r="T89" s="406"/>
      <c r="U89" s="406"/>
      <c r="V89" s="406"/>
      <c r="W89" s="406"/>
      <c r="X89" s="406"/>
      <c r="Y89" s="406"/>
      <c r="Z89" s="406"/>
      <c r="AA89" s="406"/>
      <c r="AB89" s="406"/>
      <c r="AC89" s="406"/>
      <c r="AD89" s="406"/>
      <c r="AE89" s="406"/>
      <c r="AF89" s="406"/>
      <c r="AG89" s="406"/>
      <c r="AH89" s="406"/>
    </row>
    <row r="90" spans="1:34" x14ac:dyDescent="0.3">
      <c r="A90" s="9"/>
      <c r="C90"/>
      <c r="D90" s="389" t="s">
        <v>822</v>
      </c>
      <c r="E90" s="450"/>
      <c r="F90" s="390"/>
      <c r="G90" s="389" t="s">
        <v>823</v>
      </c>
      <c r="H90" s="450"/>
      <c r="I90" s="390"/>
      <c r="J90" s="389" t="s">
        <v>825</v>
      </c>
      <c r="K90" s="450"/>
      <c r="L90" s="450"/>
      <c r="M90" s="389" t="s">
        <v>824</v>
      </c>
      <c r="N90" s="450"/>
      <c r="O90" s="390"/>
      <c r="Q90"/>
      <c r="R90" s="539" t="s">
        <v>822</v>
      </c>
      <c r="S90" s="540"/>
      <c r="T90" s="540"/>
      <c r="U90" s="540"/>
      <c r="V90" s="540"/>
      <c r="W90" s="540"/>
      <c r="X90" s="540"/>
      <c r="Y90" s="541"/>
      <c r="AA90" s="530" t="s">
        <v>823</v>
      </c>
      <c r="AB90" s="531"/>
      <c r="AC90" s="531"/>
      <c r="AD90" s="531"/>
      <c r="AE90" s="531"/>
      <c r="AF90" s="531"/>
      <c r="AG90" s="531"/>
      <c r="AH90" s="531"/>
    </row>
    <row r="91" spans="1:34" x14ac:dyDescent="0.3">
      <c r="A91" s="9"/>
      <c r="B91" s="1"/>
      <c r="C91" s="1"/>
      <c r="D91" s="291" t="s">
        <v>838</v>
      </c>
      <c r="E91" s="291" t="s">
        <v>839</v>
      </c>
      <c r="F91" s="304" t="s">
        <v>693</v>
      </c>
      <c r="G91" s="291" t="s">
        <v>838</v>
      </c>
      <c r="H91" s="291" t="s">
        <v>839</v>
      </c>
      <c r="I91" s="304" t="s">
        <v>696</v>
      </c>
      <c r="J91" s="291" t="s">
        <v>838</v>
      </c>
      <c r="K91" s="291" t="s">
        <v>839</v>
      </c>
      <c r="L91" s="304" t="s">
        <v>719</v>
      </c>
      <c r="M91" s="291" t="s">
        <v>838</v>
      </c>
      <c r="N91" s="291" t="s">
        <v>839</v>
      </c>
      <c r="O91" s="304" t="s">
        <v>857</v>
      </c>
      <c r="Q91"/>
      <c r="R91" s="762" t="s">
        <v>840</v>
      </c>
      <c r="S91" s="764"/>
      <c r="T91" s="762" t="s">
        <v>841</v>
      </c>
      <c r="U91" s="764"/>
      <c r="V91" s="474" t="s">
        <v>842</v>
      </c>
      <c r="W91" s="476"/>
      <c r="X91" s="474" t="s">
        <v>843</v>
      </c>
      <c r="Y91" s="476"/>
      <c r="AA91" s="474" t="s">
        <v>844</v>
      </c>
      <c r="AB91" s="476"/>
      <c r="AC91" s="474" t="s">
        <v>845</v>
      </c>
      <c r="AD91" s="476"/>
      <c r="AE91" s="474" t="s">
        <v>855</v>
      </c>
      <c r="AF91" s="476"/>
      <c r="AG91" s="474" t="s">
        <v>846</v>
      </c>
      <c r="AH91" s="476"/>
    </row>
    <row r="92" spans="1:34" x14ac:dyDescent="0.3">
      <c r="A92" s="9"/>
      <c r="B92" s="9" t="s">
        <v>826</v>
      </c>
      <c r="C92" s="1">
        <v>0</v>
      </c>
      <c r="D92" s="305"/>
      <c r="E92" s="306"/>
      <c r="F92" s="306"/>
      <c r="G92" s="306"/>
      <c r="H92" s="306"/>
      <c r="I92" s="306"/>
      <c r="J92" s="306"/>
      <c r="K92" s="306"/>
      <c r="L92" s="307"/>
      <c r="M92" s="306"/>
      <c r="N92" s="306"/>
      <c r="O92" s="306"/>
      <c r="Q92"/>
      <c r="R92" s="765"/>
      <c r="S92" s="767"/>
      <c r="T92" s="765"/>
      <c r="U92" s="767"/>
      <c r="V92" s="477"/>
      <c r="W92" s="479"/>
      <c r="X92" s="477"/>
      <c r="Y92" s="479"/>
      <c r="AA92" s="477"/>
      <c r="AB92" s="479"/>
      <c r="AC92" s="477"/>
      <c r="AD92" s="479"/>
      <c r="AE92" s="477"/>
      <c r="AF92" s="479"/>
      <c r="AG92" s="477"/>
      <c r="AH92" s="479"/>
    </row>
    <row r="93" spans="1:34" x14ac:dyDescent="0.3">
      <c r="A93" s="9"/>
      <c r="B93" s="9" t="s">
        <v>827</v>
      </c>
      <c r="C93" s="1">
        <v>1</v>
      </c>
      <c r="D93" s="65">
        <v>1000</v>
      </c>
      <c r="E93" s="80"/>
      <c r="F93" s="308">
        <v>1.5800000000000002E-2</v>
      </c>
      <c r="G93" s="65">
        <v>1000</v>
      </c>
      <c r="H93" s="80"/>
      <c r="I93" s="308">
        <v>1.5800000000000002E-2</v>
      </c>
      <c r="J93" s="65">
        <v>1000</v>
      </c>
      <c r="K93" s="80"/>
      <c r="L93" s="309">
        <v>1.5800000000000002E-2</v>
      </c>
      <c r="M93" s="65">
        <v>1000</v>
      </c>
      <c r="N93" s="80"/>
      <c r="O93" s="309">
        <v>2.1000000000000001E-2</v>
      </c>
      <c r="Q93"/>
      <c r="R93" s="768" t="s">
        <v>891</v>
      </c>
      <c r="S93" s="770"/>
      <c r="T93" s="768" t="s">
        <v>890</v>
      </c>
      <c r="U93" s="770"/>
      <c r="V93" s="771" t="s">
        <v>889</v>
      </c>
      <c r="W93" s="773"/>
      <c r="X93" s="771" t="s">
        <v>892</v>
      </c>
      <c r="Y93" s="773"/>
      <c r="AA93" s="771" t="s">
        <v>893</v>
      </c>
      <c r="AB93" s="773"/>
      <c r="AC93" s="771" t="s">
        <v>894</v>
      </c>
      <c r="AD93" s="773"/>
      <c r="AE93" s="771" t="s">
        <v>895</v>
      </c>
      <c r="AF93" s="773"/>
      <c r="AG93" s="771" t="s">
        <v>896</v>
      </c>
      <c r="AH93" s="773"/>
    </row>
    <row r="94" spans="1:34" x14ac:dyDescent="0.3">
      <c r="A94" s="9"/>
      <c r="C94" s="1">
        <v>2</v>
      </c>
      <c r="D94" s="67">
        <v>200</v>
      </c>
      <c r="E94" s="88"/>
      <c r="F94" s="310">
        <v>1.6500000000000001E-2</v>
      </c>
      <c r="G94" s="67">
        <v>240</v>
      </c>
      <c r="H94" s="88"/>
      <c r="I94" s="310">
        <v>1.6500000000000001E-2</v>
      </c>
      <c r="J94" s="67">
        <v>600</v>
      </c>
      <c r="K94" s="88"/>
      <c r="L94" s="311">
        <v>1.6500000000000001E-2</v>
      </c>
      <c r="M94" s="67">
        <v>1100</v>
      </c>
      <c r="N94" s="88"/>
      <c r="O94" s="311">
        <v>2.1999999999999999E-2</v>
      </c>
      <c r="Q94">
        <v>0</v>
      </c>
      <c r="R94" s="312" t="s">
        <v>856</v>
      </c>
      <c r="S94" s="312" t="s">
        <v>570</v>
      </c>
      <c r="T94" s="312" t="s">
        <v>856</v>
      </c>
      <c r="U94" s="312" t="s">
        <v>570</v>
      </c>
      <c r="V94" s="313" t="s">
        <v>856</v>
      </c>
      <c r="W94" s="313" t="s">
        <v>570</v>
      </c>
      <c r="X94" s="313" t="s">
        <v>856</v>
      </c>
      <c r="Y94" s="313" t="s">
        <v>570</v>
      </c>
      <c r="Z94">
        <v>0</v>
      </c>
      <c r="AA94" s="313" t="s">
        <v>856</v>
      </c>
      <c r="AB94" s="313" t="s">
        <v>570</v>
      </c>
      <c r="AC94" s="313" t="s">
        <v>856</v>
      </c>
      <c r="AD94" s="313" t="s">
        <v>570</v>
      </c>
      <c r="AE94" s="313" t="s">
        <v>856</v>
      </c>
      <c r="AF94" s="313" t="s">
        <v>570</v>
      </c>
      <c r="AG94" s="313" t="s">
        <v>856</v>
      </c>
      <c r="AH94" s="313" t="s">
        <v>570</v>
      </c>
    </row>
    <row r="95" spans="1:34" x14ac:dyDescent="0.3">
      <c r="A95" s="9"/>
      <c r="C95" s="1">
        <v>3</v>
      </c>
      <c r="D95" s="67">
        <v>210</v>
      </c>
      <c r="E95" s="88"/>
      <c r="F95" s="310">
        <v>1.7299999999999999E-2</v>
      </c>
      <c r="G95" s="67">
        <v>260</v>
      </c>
      <c r="H95" s="88"/>
      <c r="I95" s="310">
        <v>1.7299999999999999E-2</v>
      </c>
      <c r="J95" s="67">
        <v>630</v>
      </c>
      <c r="K95" s="88"/>
      <c r="L95" s="311">
        <v>1.7299999999999999E-2</v>
      </c>
      <c r="M95" s="67">
        <v>1160</v>
      </c>
      <c r="N95" s="88"/>
      <c r="O95" s="311">
        <v>2.3E-2</v>
      </c>
      <c r="Q95">
        <v>1</v>
      </c>
      <c r="R95" s="65">
        <v>0</v>
      </c>
      <c r="S95" s="66">
        <v>0</v>
      </c>
      <c r="T95" s="65">
        <v>0</v>
      </c>
      <c r="U95" s="66">
        <v>0</v>
      </c>
      <c r="V95" s="65">
        <v>0</v>
      </c>
      <c r="W95" s="66">
        <v>0</v>
      </c>
      <c r="X95" s="65">
        <v>0</v>
      </c>
      <c r="Y95" s="66">
        <v>0</v>
      </c>
      <c r="Z95">
        <v>1</v>
      </c>
      <c r="AA95" s="65">
        <v>0</v>
      </c>
      <c r="AB95" s="66">
        <v>0</v>
      </c>
      <c r="AC95" s="65">
        <v>0</v>
      </c>
      <c r="AD95" s="66">
        <v>0</v>
      </c>
      <c r="AE95" s="65">
        <v>0</v>
      </c>
      <c r="AF95" s="66">
        <v>0</v>
      </c>
      <c r="AG95" s="65">
        <v>0</v>
      </c>
      <c r="AH95" s="66">
        <v>0</v>
      </c>
    </row>
    <row r="96" spans="1:34" x14ac:dyDescent="0.3">
      <c r="A96" s="9"/>
      <c r="C96" s="1">
        <v>4</v>
      </c>
      <c r="D96" s="67">
        <v>220</v>
      </c>
      <c r="E96" s="88"/>
      <c r="F96" s="310">
        <v>1.7999999999999999E-2</v>
      </c>
      <c r="G96" s="67">
        <v>270</v>
      </c>
      <c r="H96" s="88"/>
      <c r="I96" s="310">
        <v>1.7999999999999999E-2</v>
      </c>
      <c r="J96" s="67">
        <v>660</v>
      </c>
      <c r="K96" s="88"/>
      <c r="L96" s="311">
        <v>1.7999999999999999E-2</v>
      </c>
      <c r="M96" s="67">
        <v>1210</v>
      </c>
      <c r="N96" s="88"/>
      <c r="O96" s="311">
        <v>2.4E-2</v>
      </c>
      <c r="Q96">
        <v>2</v>
      </c>
      <c r="R96" s="67">
        <v>70</v>
      </c>
      <c r="S96" s="68">
        <v>3600</v>
      </c>
      <c r="T96" s="67">
        <v>400</v>
      </c>
      <c r="U96" s="68">
        <v>27600</v>
      </c>
      <c r="V96" s="67">
        <v>500</v>
      </c>
      <c r="W96" s="68">
        <v>43200</v>
      </c>
      <c r="X96" s="67">
        <v>100</v>
      </c>
      <c r="Y96" s="68">
        <v>10200</v>
      </c>
      <c r="Z96">
        <v>2</v>
      </c>
      <c r="AA96" s="67">
        <v>500</v>
      </c>
      <c r="AB96" s="68">
        <v>43200</v>
      </c>
      <c r="AC96" s="67">
        <v>400</v>
      </c>
      <c r="AD96" s="68">
        <v>34200</v>
      </c>
      <c r="AE96" s="67">
        <v>200</v>
      </c>
      <c r="AF96" s="68">
        <v>13800</v>
      </c>
      <c r="AG96" s="67">
        <v>100</v>
      </c>
      <c r="AH96" s="68">
        <v>10200</v>
      </c>
    </row>
    <row r="97" spans="1:34" x14ac:dyDescent="0.3">
      <c r="A97" s="9"/>
      <c r="C97" s="1">
        <v>5</v>
      </c>
      <c r="D97" s="67">
        <v>230</v>
      </c>
      <c r="E97" s="88"/>
      <c r="F97" s="310">
        <v>1.8800000000000001E-2</v>
      </c>
      <c r="G97" s="67">
        <v>280</v>
      </c>
      <c r="H97" s="88"/>
      <c r="I97" s="310">
        <v>1.8800000000000001E-2</v>
      </c>
      <c r="J97" s="67">
        <v>690</v>
      </c>
      <c r="K97" s="88"/>
      <c r="L97" s="311">
        <v>1.8800000000000001E-2</v>
      </c>
      <c r="M97" s="67">
        <v>1270</v>
      </c>
      <c r="N97" s="88"/>
      <c r="O97" s="311">
        <v>2.5000000000000001E-2</v>
      </c>
      <c r="Q97">
        <v>3</v>
      </c>
      <c r="R97" s="67">
        <v>140</v>
      </c>
      <c r="S97" s="68">
        <v>7200</v>
      </c>
      <c r="T97" s="67">
        <v>800</v>
      </c>
      <c r="U97" s="68">
        <v>55200</v>
      </c>
      <c r="V97" s="67">
        <v>1000</v>
      </c>
      <c r="W97" s="68">
        <v>86400</v>
      </c>
      <c r="X97" s="67">
        <v>200</v>
      </c>
      <c r="Y97" s="68">
        <v>20400</v>
      </c>
      <c r="Z97">
        <v>3</v>
      </c>
      <c r="AA97" s="67">
        <v>1000</v>
      </c>
      <c r="AB97" s="68">
        <v>86400</v>
      </c>
      <c r="AC97" s="67">
        <v>800</v>
      </c>
      <c r="AD97" s="68">
        <v>69000</v>
      </c>
      <c r="AE97" s="67">
        <v>400</v>
      </c>
      <c r="AF97" s="68">
        <v>27600</v>
      </c>
      <c r="AG97" s="67">
        <v>200</v>
      </c>
      <c r="AH97" s="68">
        <v>20400</v>
      </c>
    </row>
    <row r="98" spans="1:34" x14ac:dyDescent="0.3">
      <c r="A98" s="9"/>
      <c r="C98" s="1">
        <v>6</v>
      </c>
      <c r="D98" s="67">
        <v>240</v>
      </c>
      <c r="E98" s="88"/>
      <c r="F98" s="310">
        <v>1.95E-2</v>
      </c>
      <c r="G98" s="67">
        <v>290</v>
      </c>
      <c r="H98" s="88"/>
      <c r="I98" s="310">
        <v>1.95E-2</v>
      </c>
      <c r="J98" s="67">
        <v>720</v>
      </c>
      <c r="K98" s="88"/>
      <c r="L98" s="311">
        <v>1.95E-2</v>
      </c>
      <c r="M98" s="67">
        <v>1320</v>
      </c>
      <c r="N98" s="88"/>
      <c r="O98" s="311">
        <v>2.5999999999999999E-2</v>
      </c>
      <c r="Q98">
        <v>4</v>
      </c>
      <c r="R98" s="67">
        <v>210</v>
      </c>
      <c r="S98" s="68">
        <v>10800</v>
      </c>
      <c r="T98" s="67">
        <v>1600</v>
      </c>
      <c r="U98" s="68">
        <v>110400</v>
      </c>
      <c r="V98" s="67">
        <v>2000</v>
      </c>
      <c r="W98" s="68">
        <v>172800</v>
      </c>
      <c r="X98" s="67">
        <v>300</v>
      </c>
      <c r="Y98" s="68">
        <v>30600</v>
      </c>
      <c r="Z98">
        <v>4</v>
      </c>
      <c r="AA98" s="67">
        <v>2000</v>
      </c>
      <c r="AB98" s="68">
        <v>172800</v>
      </c>
      <c r="AC98" s="67">
        <v>1600</v>
      </c>
      <c r="AD98" s="68">
        <v>138000</v>
      </c>
      <c r="AE98" s="67">
        <v>800</v>
      </c>
      <c r="AF98" s="68">
        <v>55200</v>
      </c>
      <c r="AG98" s="67">
        <v>300</v>
      </c>
      <c r="AH98" s="68">
        <v>30600</v>
      </c>
    </row>
    <row r="99" spans="1:34" x14ac:dyDescent="0.3">
      <c r="A99" s="9"/>
      <c r="C99" s="1">
        <v>7</v>
      </c>
      <c r="D99" s="67">
        <v>260</v>
      </c>
      <c r="E99" s="88"/>
      <c r="F99" s="310">
        <v>2.0299999999999999E-2</v>
      </c>
      <c r="G99" s="67">
        <v>320</v>
      </c>
      <c r="H99" s="88"/>
      <c r="I99" s="310">
        <v>2.0299999999999999E-2</v>
      </c>
      <c r="J99" s="67">
        <v>780</v>
      </c>
      <c r="K99" s="88"/>
      <c r="L99" s="311">
        <v>2.0299999999999999E-2</v>
      </c>
      <c r="M99" s="67">
        <v>1430</v>
      </c>
      <c r="N99" s="88"/>
      <c r="O99" s="311">
        <v>2.7E-2</v>
      </c>
      <c r="Q99">
        <v>5</v>
      </c>
      <c r="R99" s="69">
        <v>280</v>
      </c>
      <c r="S99" s="70">
        <v>14400</v>
      </c>
      <c r="T99" s="67">
        <v>3200</v>
      </c>
      <c r="U99" s="68">
        <v>220800</v>
      </c>
      <c r="V99" s="69">
        <v>4000</v>
      </c>
      <c r="W99" s="70">
        <v>345600</v>
      </c>
      <c r="X99" s="69">
        <v>400</v>
      </c>
      <c r="Y99" s="70">
        <v>41400</v>
      </c>
      <c r="Z99">
        <v>5</v>
      </c>
      <c r="AA99" s="69">
        <v>4000</v>
      </c>
      <c r="AB99" s="70">
        <v>345600</v>
      </c>
      <c r="AC99" s="69">
        <v>3200</v>
      </c>
      <c r="AD99" s="70">
        <v>276000</v>
      </c>
      <c r="AE99" s="69">
        <v>1600</v>
      </c>
      <c r="AF99" s="70">
        <v>11400</v>
      </c>
      <c r="AG99" s="69">
        <v>400</v>
      </c>
      <c r="AH99" s="70">
        <v>41400</v>
      </c>
    </row>
    <row r="100" spans="1:34" x14ac:dyDescent="0.3">
      <c r="A100" s="9"/>
      <c r="C100" s="1">
        <v>8</v>
      </c>
      <c r="D100" s="67">
        <v>280</v>
      </c>
      <c r="E100" s="88"/>
      <c r="F100" s="310">
        <v>2.1000000000000001E-2</v>
      </c>
      <c r="G100" s="67">
        <v>340</v>
      </c>
      <c r="H100" s="88"/>
      <c r="I100" s="310">
        <v>2.1000000000000001E-2</v>
      </c>
      <c r="J100" s="67">
        <v>840</v>
      </c>
      <c r="K100" s="88"/>
      <c r="L100" s="311">
        <v>2.1000000000000001E-2</v>
      </c>
      <c r="M100" s="67">
        <v>1540</v>
      </c>
      <c r="N100" s="88"/>
      <c r="O100" s="311">
        <v>2.8000000000000001E-2</v>
      </c>
      <c r="Q100">
        <v>6</v>
      </c>
      <c r="R100" s="67">
        <v>350</v>
      </c>
      <c r="S100" s="68">
        <v>18000</v>
      </c>
      <c r="T100" s="314"/>
      <c r="U100" s="315"/>
      <c r="V100" s="314"/>
      <c r="W100" s="315"/>
      <c r="X100" s="67">
        <v>500</v>
      </c>
      <c r="Y100" s="68">
        <v>51600</v>
      </c>
      <c r="Z100">
        <v>6</v>
      </c>
      <c r="AA100" s="314"/>
      <c r="AB100" s="315"/>
      <c r="AC100" s="314"/>
      <c r="AD100" s="315"/>
      <c r="AE100" s="314"/>
      <c r="AF100" s="315"/>
      <c r="AG100" s="67">
        <v>500</v>
      </c>
      <c r="AH100" s="68">
        <v>51600</v>
      </c>
    </row>
    <row r="101" spans="1:34" x14ac:dyDescent="0.3">
      <c r="A101" s="9"/>
      <c r="C101" s="1">
        <v>9</v>
      </c>
      <c r="D101" s="67">
        <v>300</v>
      </c>
      <c r="E101" s="88"/>
      <c r="F101" s="310">
        <v>2.18E-2</v>
      </c>
      <c r="G101" s="67">
        <v>360</v>
      </c>
      <c r="H101" s="88"/>
      <c r="I101" s="310">
        <v>2.18E-2</v>
      </c>
      <c r="J101" s="67">
        <v>900</v>
      </c>
      <c r="K101" s="88"/>
      <c r="L101" s="311">
        <v>2.18E-2</v>
      </c>
      <c r="M101" s="67">
        <v>1650</v>
      </c>
      <c r="N101" s="88"/>
      <c r="O101" s="311">
        <v>2.9000000000000001E-2</v>
      </c>
      <c r="Q101">
        <v>7</v>
      </c>
      <c r="R101" s="67">
        <v>420</v>
      </c>
      <c r="S101" s="68">
        <v>21600</v>
      </c>
      <c r="T101" s="314"/>
      <c r="U101" s="315"/>
      <c r="V101" s="314"/>
      <c r="W101" s="315"/>
      <c r="X101" s="67">
        <v>600</v>
      </c>
      <c r="Y101" s="68">
        <v>61800</v>
      </c>
      <c r="Z101">
        <v>7</v>
      </c>
      <c r="AA101" s="314"/>
      <c r="AB101" s="315"/>
      <c r="AC101" s="314"/>
      <c r="AD101" s="315"/>
      <c r="AE101" s="314"/>
      <c r="AF101" s="315"/>
      <c r="AG101" s="67">
        <v>600</v>
      </c>
      <c r="AH101" s="68">
        <v>61800</v>
      </c>
    </row>
    <row r="102" spans="1:34" x14ac:dyDescent="0.3">
      <c r="A102" s="9"/>
      <c r="C102" s="1">
        <v>10</v>
      </c>
      <c r="D102" s="67">
        <v>320</v>
      </c>
      <c r="E102" s="88"/>
      <c r="F102" s="310">
        <v>2.2499999999999999E-2</v>
      </c>
      <c r="G102" s="67">
        <v>390</v>
      </c>
      <c r="H102" s="88"/>
      <c r="I102" s="310">
        <v>2.2800000000000001E-2</v>
      </c>
      <c r="J102" s="67">
        <v>960</v>
      </c>
      <c r="K102" s="88"/>
      <c r="L102" s="311">
        <v>2.2499999999999999E-2</v>
      </c>
      <c r="M102" s="67">
        <v>1760</v>
      </c>
      <c r="N102" s="88"/>
      <c r="O102" s="311">
        <v>0.03</v>
      </c>
      <c r="Q102">
        <v>8</v>
      </c>
      <c r="R102" s="67">
        <v>490</v>
      </c>
      <c r="S102" s="68">
        <v>25200</v>
      </c>
      <c r="T102" s="314"/>
      <c r="U102" s="315"/>
      <c r="V102" s="314"/>
      <c r="W102" s="315"/>
      <c r="X102" s="67">
        <v>700</v>
      </c>
      <c r="Y102" s="68">
        <v>72600</v>
      </c>
      <c r="Z102">
        <v>8</v>
      </c>
      <c r="AA102" s="314"/>
      <c r="AB102" s="315"/>
      <c r="AC102" s="314"/>
      <c r="AD102" s="315"/>
      <c r="AE102" s="314"/>
      <c r="AF102" s="315"/>
      <c r="AG102" s="67">
        <v>700</v>
      </c>
      <c r="AH102" s="68">
        <v>72600</v>
      </c>
    </row>
    <row r="103" spans="1:34" x14ac:dyDescent="0.3">
      <c r="A103" s="9"/>
      <c r="B103" s="9" t="s">
        <v>828</v>
      </c>
      <c r="C103" s="1">
        <v>10.1</v>
      </c>
      <c r="D103" s="69" t="s">
        <v>27</v>
      </c>
      <c r="E103" s="83">
        <v>5</v>
      </c>
      <c r="F103" s="316">
        <v>2.8500000000000001E-2</v>
      </c>
      <c r="G103" s="69" t="s">
        <v>27</v>
      </c>
      <c r="H103" s="83">
        <v>5</v>
      </c>
      <c r="I103" s="316">
        <v>2.8500000000000001E-2</v>
      </c>
      <c r="J103" s="325" t="s">
        <v>27</v>
      </c>
      <c r="K103" s="83">
        <v>8</v>
      </c>
      <c r="L103" s="317">
        <v>2.8500000000000001E-2</v>
      </c>
      <c r="M103" s="69" t="s">
        <v>27</v>
      </c>
      <c r="N103" s="83">
        <v>20</v>
      </c>
      <c r="O103" s="317">
        <v>3.7999999999999999E-2</v>
      </c>
      <c r="Q103">
        <v>9</v>
      </c>
      <c r="R103" s="67">
        <v>560</v>
      </c>
      <c r="S103" s="68">
        <v>28800</v>
      </c>
      <c r="T103" s="314"/>
      <c r="U103" s="315"/>
      <c r="V103" s="314"/>
      <c r="W103" s="315"/>
      <c r="X103" s="67">
        <v>800</v>
      </c>
      <c r="Y103" s="68">
        <v>82800</v>
      </c>
      <c r="Z103">
        <v>9</v>
      </c>
      <c r="AA103" s="314"/>
      <c r="AB103" s="315"/>
      <c r="AC103" s="314"/>
      <c r="AD103" s="315"/>
      <c r="AE103" s="314"/>
      <c r="AF103" s="315"/>
      <c r="AG103" s="67">
        <v>800</v>
      </c>
      <c r="AH103" s="68">
        <v>82800</v>
      </c>
    </row>
    <row r="104" spans="1:34" x14ac:dyDescent="0.3">
      <c r="A104" s="9"/>
      <c r="C104" s="1">
        <v>11</v>
      </c>
      <c r="D104" s="65">
        <v>340</v>
      </c>
      <c r="E104" s="80"/>
      <c r="F104" s="308">
        <v>2.93E-2</v>
      </c>
      <c r="G104" s="65">
        <v>410</v>
      </c>
      <c r="H104" s="80"/>
      <c r="I104" s="308">
        <v>2.93E-2</v>
      </c>
      <c r="J104" s="65">
        <v>1020</v>
      </c>
      <c r="K104" s="80"/>
      <c r="L104" s="309">
        <v>2.93E-2</v>
      </c>
      <c r="M104" s="65">
        <v>1870</v>
      </c>
      <c r="N104" s="80"/>
      <c r="O104" s="309">
        <v>3.9E-2</v>
      </c>
      <c r="Q104">
        <v>10</v>
      </c>
      <c r="R104" s="69">
        <v>630</v>
      </c>
      <c r="S104" s="70">
        <v>32400</v>
      </c>
      <c r="T104" s="318"/>
      <c r="U104" s="319"/>
      <c r="V104" s="318"/>
      <c r="W104" s="319"/>
      <c r="X104" s="69">
        <v>900</v>
      </c>
      <c r="Y104" s="70">
        <v>93000</v>
      </c>
      <c r="Z104">
        <v>10</v>
      </c>
      <c r="AA104" s="318"/>
      <c r="AB104" s="319"/>
      <c r="AC104" s="318"/>
      <c r="AD104" s="319"/>
      <c r="AE104" s="318"/>
      <c r="AF104" s="319"/>
      <c r="AG104" s="69">
        <v>900</v>
      </c>
      <c r="AH104" s="70">
        <v>93000</v>
      </c>
    </row>
    <row r="105" spans="1:34" x14ac:dyDescent="0.3">
      <c r="A105" s="9"/>
      <c r="C105" s="1">
        <v>12</v>
      </c>
      <c r="D105" s="67">
        <v>360</v>
      </c>
      <c r="E105" s="88"/>
      <c r="F105" s="310">
        <v>0.03</v>
      </c>
      <c r="G105" s="67">
        <v>440</v>
      </c>
      <c r="H105" s="88"/>
      <c r="I105" s="310">
        <v>0.03</v>
      </c>
      <c r="J105" s="67">
        <v>1080</v>
      </c>
      <c r="K105" s="88"/>
      <c r="L105" s="311">
        <v>0.03</v>
      </c>
      <c r="M105" s="67">
        <v>1980</v>
      </c>
      <c r="N105" s="88"/>
      <c r="O105" s="311">
        <v>0.04</v>
      </c>
      <c r="Q105"/>
      <c r="R105" s="88">
        <f>SUM(R95:R104)</f>
        <v>3150</v>
      </c>
      <c r="S105" s="88">
        <f t="shared" ref="S105:Y105" si="0">SUM(S95:S104)</f>
        <v>162000</v>
      </c>
      <c r="T105" s="88">
        <f t="shared" si="0"/>
        <v>6000</v>
      </c>
      <c r="U105" s="88">
        <f t="shared" si="0"/>
        <v>414000</v>
      </c>
      <c r="V105" s="88">
        <f t="shared" si="0"/>
        <v>7500</v>
      </c>
      <c r="W105" s="88">
        <f t="shared" si="0"/>
        <v>648000</v>
      </c>
      <c r="X105" s="88">
        <f t="shared" si="0"/>
        <v>4500</v>
      </c>
      <c r="Y105" s="88">
        <f t="shared" si="0"/>
        <v>464400</v>
      </c>
      <c r="AA105" s="88">
        <f>SUM(AA95:AA104)</f>
        <v>7500</v>
      </c>
      <c r="AB105" s="88">
        <f t="shared" ref="AB105:AH105" si="1">SUM(AB95:AB104)</f>
        <v>648000</v>
      </c>
      <c r="AC105" s="88">
        <f t="shared" si="1"/>
        <v>6000</v>
      </c>
      <c r="AD105" s="88">
        <f t="shared" si="1"/>
        <v>517200</v>
      </c>
      <c r="AE105" s="88">
        <f t="shared" si="1"/>
        <v>3000</v>
      </c>
      <c r="AF105" s="88">
        <f t="shared" si="1"/>
        <v>108000</v>
      </c>
      <c r="AG105" s="88">
        <f t="shared" si="1"/>
        <v>4500</v>
      </c>
      <c r="AH105" s="88">
        <f t="shared" si="1"/>
        <v>464400</v>
      </c>
    </row>
    <row r="106" spans="1:34" x14ac:dyDescent="0.3">
      <c r="A106" s="9"/>
      <c r="C106" s="1">
        <v>13</v>
      </c>
      <c r="D106" s="67">
        <v>380</v>
      </c>
      <c r="E106" s="88"/>
      <c r="F106" s="310">
        <v>3.0800000000000001E-2</v>
      </c>
      <c r="G106" s="67">
        <v>460</v>
      </c>
      <c r="H106" s="88"/>
      <c r="I106" s="310">
        <v>3.0800000000000001E-2</v>
      </c>
      <c r="J106" s="67">
        <v>1140</v>
      </c>
      <c r="K106" s="88"/>
      <c r="L106" s="311">
        <v>3.0800000000000001E-2</v>
      </c>
      <c r="M106" s="67">
        <v>2090</v>
      </c>
      <c r="N106" s="88"/>
      <c r="O106" s="311">
        <v>4.1000000000000002E-2</v>
      </c>
      <c r="Q106"/>
      <c r="R106"/>
      <c r="V106"/>
    </row>
    <row r="107" spans="1:34" x14ac:dyDescent="0.3">
      <c r="A107" s="9"/>
      <c r="C107" s="1">
        <v>14</v>
      </c>
      <c r="D107" s="67">
        <v>400</v>
      </c>
      <c r="E107" s="88"/>
      <c r="F107" s="310">
        <v>3.15E-2</v>
      </c>
      <c r="G107" s="67">
        <v>480</v>
      </c>
      <c r="H107" s="88"/>
      <c r="I107" s="310">
        <v>3.15E-2</v>
      </c>
      <c r="J107" s="67">
        <v>1200</v>
      </c>
      <c r="K107" s="88"/>
      <c r="L107" s="311">
        <v>3.15E-2</v>
      </c>
      <c r="M107" s="67">
        <v>2200</v>
      </c>
      <c r="N107" s="88"/>
      <c r="O107" s="311">
        <v>4.2000000000000003E-2</v>
      </c>
      <c r="Q107"/>
      <c r="R107" s="530" t="s">
        <v>825</v>
      </c>
      <c r="S107" s="531"/>
      <c r="T107" s="531"/>
      <c r="U107" s="531"/>
      <c r="V107" s="531"/>
      <c r="W107" s="531"/>
      <c r="X107" s="531"/>
      <c r="Y107" s="531"/>
      <c r="AA107" s="530" t="s">
        <v>824</v>
      </c>
      <c r="AB107" s="531"/>
      <c r="AC107" s="531"/>
      <c r="AD107" s="531"/>
      <c r="AE107" s="531"/>
      <c r="AF107" s="531"/>
      <c r="AG107" s="531"/>
      <c r="AH107" s="531"/>
    </row>
    <row r="108" spans="1:34" x14ac:dyDescent="0.3">
      <c r="A108" s="9"/>
      <c r="C108" s="1">
        <v>15</v>
      </c>
      <c r="D108" s="67">
        <v>420</v>
      </c>
      <c r="E108" s="88"/>
      <c r="F108" s="310">
        <v>3.2300000000000002E-2</v>
      </c>
      <c r="G108" s="67">
        <v>510</v>
      </c>
      <c r="H108" s="88"/>
      <c r="I108" s="310">
        <v>3.2300000000000002E-2</v>
      </c>
      <c r="J108" s="67">
        <v>1260</v>
      </c>
      <c r="K108" s="88"/>
      <c r="L108" s="311">
        <v>3.2300000000000002E-2</v>
      </c>
      <c r="M108" s="67">
        <v>2310</v>
      </c>
      <c r="N108" s="88"/>
      <c r="O108" s="311">
        <v>4.2999999999999997E-2</v>
      </c>
      <c r="Q108"/>
      <c r="R108" s="474" t="s">
        <v>851</v>
      </c>
      <c r="S108" s="476"/>
      <c r="T108" s="474" t="s">
        <v>852</v>
      </c>
      <c r="U108" s="476"/>
      <c r="V108" s="474" t="s">
        <v>853</v>
      </c>
      <c r="W108" s="476"/>
      <c r="X108" s="474" t="s">
        <v>854</v>
      </c>
      <c r="Y108" s="476"/>
      <c r="AA108" s="474" t="s">
        <v>847</v>
      </c>
      <c r="AB108" s="476"/>
      <c r="AC108" s="474" t="s">
        <v>848</v>
      </c>
      <c r="AD108" s="476"/>
      <c r="AE108" s="474" t="s">
        <v>849</v>
      </c>
      <c r="AF108" s="476"/>
      <c r="AG108" s="474" t="s">
        <v>850</v>
      </c>
      <c r="AH108" s="476"/>
    </row>
    <row r="109" spans="1:34" x14ac:dyDescent="0.3">
      <c r="A109" s="9"/>
      <c r="C109" s="1">
        <v>16</v>
      </c>
      <c r="D109" s="67">
        <v>440</v>
      </c>
      <c r="E109" s="88"/>
      <c r="F109" s="310">
        <v>3.3000000000000002E-2</v>
      </c>
      <c r="G109" s="67">
        <v>530</v>
      </c>
      <c r="H109" s="88"/>
      <c r="I109" s="310">
        <v>3.3000000000000002E-2</v>
      </c>
      <c r="J109" s="67">
        <v>1320</v>
      </c>
      <c r="K109" s="88"/>
      <c r="L109" s="311">
        <v>3.3000000000000002E-2</v>
      </c>
      <c r="M109" s="67">
        <v>2420</v>
      </c>
      <c r="N109" s="88"/>
      <c r="O109" s="311">
        <v>4.3999999999999997E-2</v>
      </c>
      <c r="Q109"/>
      <c r="R109" s="477"/>
      <c r="S109" s="479"/>
      <c r="T109" s="477"/>
      <c r="U109" s="479"/>
      <c r="V109" s="477"/>
      <c r="W109" s="479"/>
      <c r="X109" s="477"/>
      <c r="Y109" s="479"/>
      <c r="AA109" s="477"/>
      <c r="AB109" s="479"/>
      <c r="AC109" s="477"/>
      <c r="AD109" s="479"/>
      <c r="AE109" s="477"/>
      <c r="AF109" s="479"/>
      <c r="AG109" s="477"/>
      <c r="AH109" s="479"/>
    </row>
    <row r="110" spans="1:34" x14ac:dyDescent="0.3">
      <c r="A110" s="9"/>
      <c r="C110" s="1">
        <v>17</v>
      </c>
      <c r="D110" s="67">
        <v>460</v>
      </c>
      <c r="E110" s="88"/>
      <c r="F110" s="310">
        <v>3.3799999999999997E-2</v>
      </c>
      <c r="G110" s="67">
        <v>560</v>
      </c>
      <c r="H110" s="88"/>
      <c r="I110" s="310">
        <v>3.3799999999999997E-2</v>
      </c>
      <c r="J110" s="67">
        <v>1380</v>
      </c>
      <c r="K110" s="88"/>
      <c r="L110" s="311">
        <v>3.3799999999999997E-2</v>
      </c>
      <c r="M110" s="67">
        <v>2530</v>
      </c>
      <c r="N110" s="88"/>
      <c r="O110" s="311">
        <v>4.4999999999999998E-2</v>
      </c>
      <c r="Q110"/>
      <c r="R110" s="771" t="s">
        <v>901</v>
      </c>
      <c r="S110" s="773"/>
      <c r="T110" s="771" t="s">
        <v>902</v>
      </c>
      <c r="U110" s="773"/>
      <c r="V110" s="771" t="s">
        <v>903</v>
      </c>
      <c r="W110" s="773"/>
      <c r="X110" s="771" t="s">
        <v>901</v>
      </c>
      <c r="Y110" s="773"/>
      <c r="AA110" s="771" t="s">
        <v>897</v>
      </c>
      <c r="AB110" s="773"/>
      <c r="AC110" s="771" t="s">
        <v>898</v>
      </c>
      <c r="AD110" s="773"/>
      <c r="AE110" s="771" t="s">
        <v>899</v>
      </c>
      <c r="AF110" s="773"/>
      <c r="AG110" s="771" t="s">
        <v>900</v>
      </c>
      <c r="AH110" s="773"/>
    </row>
    <row r="111" spans="1:34" x14ac:dyDescent="0.3">
      <c r="A111" s="9"/>
      <c r="C111" s="1">
        <v>18</v>
      </c>
      <c r="D111" s="67">
        <v>480</v>
      </c>
      <c r="E111" s="88"/>
      <c r="F111" s="310">
        <v>3.4500000000000003E-2</v>
      </c>
      <c r="G111" s="67">
        <v>580</v>
      </c>
      <c r="H111" s="88"/>
      <c r="I111" s="310">
        <v>3.4500000000000003E-2</v>
      </c>
      <c r="J111" s="67">
        <v>1440</v>
      </c>
      <c r="K111" s="88"/>
      <c r="L111" s="311">
        <v>3.4500000000000003E-2</v>
      </c>
      <c r="M111" s="67">
        <v>2640</v>
      </c>
      <c r="N111" s="88"/>
      <c r="O111" s="311">
        <v>4.5999999999999999E-2</v>
      </c>
      <c r="Q111">
        <v>0</v>
      </c>
      <c r="R111" s="313" t="s">
        <v>856</v>
      </c>
      <c r="S111" s="313" t="s">
        <v>570</v>
      </c>
      <c r="T111" s="313" t="s">
        <v>856</v>
      </c>
      <c r="U111" s="313" t="s">
        <v>570</v>
      </c>
      <c r="V111" s="313" t="s">
        <v>856</v>
      </c>
      <c r="W111" s="313" t="s">
        <v>570</v>
      </c>
      <c r="X111" s="313" t="s">
        <v>856</v>
      </c>
      <c r="Y111" s="313" t="s">
        <v>570</v>
      </c>
      <c r="Z111">
        <v>0</v>
      </c>
      <c r="AA111" s="313" t="s">
        <v>856</v>
      </c>
      <c r="AB111" s="313" t="s">
        <v>570</v>
      </c>
      <c r="AC111" s="313" t="s">
        <v>856</v>
      </c>
      <c r="AD111" s="313" t="s">
        <v>570</v>
      </c>
      <c r="AE111" s="313" t="s">
        <v>856</v>
      </c>
      <c r="AF111" s="313" t="s">
        <v>570</v>
      </c>
      <c r="AG111" s="313" t="s">
        <v>856</v>
      </c>
      <c r="AH111" s="313" t="s">
        <v>570</v>
      </c>
    </row>
    <row r="112" spans="1:34" x14ac:dyDescent="0.3">
      <c r="A112" s="9"/>
      <c r="C112" s="1">
        <v>19</v>
      </c>
      <c r="D112" s="67">
        <v>500</v>
      </c>
      <c r="E112" s="88"/>
      <c r="F112" s="310">
        <v>3.5299999999999998E-2</v>
      </c>
      <c r="G112" s="67">
        <v>600</v>
      </c>
      <c r="H112" s="88"/>
      <c r="I112" s="310">
        <v>3.5299999999999998E-2</v>
      </c>
      <c r="J112" s="67">
        <v>1500</v>
      </c>
      <c r="K112" s="88"/>
      <c r="L112" s="311">
        <v>3.5299999999999998E-2</v>
      </c>
      <c r="M112" s="67">
        <v>2750</v>
      </c>
      <c r="N112" s="88"/>
      <c r="O112" s="311">
        <v>4.7E-2</v>
      </c>
      <c r="Q112">
        <v>1</v>
      </c>
      <c r="R112" s="65">
        <v>0</v>
      </c>
      <c r="S112" s="66">
        <v>0</v>
      </c>
      <c r="T112" s="65">
        <v>0</v>
      </c>
      <c r="U112" s="66">
        <v>0</v>
      </c>
      <c r="V112" s="65">
        <v>0</v>
      </c>
      <c r="W112" s="66">
        <v>0</v>
      </c>
      <c r="X112" s="65">
        <v>0</v>
      </c>
      <c r="Y112" s="66">
        <v>0</v>
      </c>
      <c r="Z112">
        <v>1</v>
      </c>
      <c r="AA112" s="65">
        <v>0</v>
      </c>
      <c r="AB112" s="66">
        <v>0</v>
      </c>
      <c r="AC112" s="65">
        <v>0</v>
      </c>
      <c r="AD112" s="66">
        <v>0</v>
      </c>
      <c r="AE112" s="65">
        <v>0</v>
      </c>
      <c r="AF112" s="66">
        <v>0</v>
      </c>
      <c r="AG112" s="65">
        <v>0</v>
      </c>
      <c r="AH112" s="66">
        <v>0</v>
      </c>
    </row>
    <row r="113" spans="1:34" x14ac:dyDescent="0.3">
      <c r="A113" s="9"/>
      <c r="C113" s="1">
        <v>20</v>
      </c>
      <c r="D113" s="67">
        <v>520</v>
      </c>
      <c r="E113" s="88"/>
      <c r="F113" s="310">
        <v>3.5999999999999997E-2</v>
      </c>
      <c r="G113" s="67">
        <v>630</v>
      </c>
      <c r="H113" s="88"/>
      <c r="I113" s="310">
        <v>3.5999999999999997E-2</v>
      </c>
      <c r="J113" s="67">
        <v>1560</v>
      </c>
      <c r="K113" s="88"/>
      <c r="L113" s="311">
        <v>3.5999999999999997E-2</v>
      </c>
      <c r="M113" s="67">
        <v>2860</v>
      </c>
      <c r="N113" s="88"/>
      <c r="O113" s="311">
        <v>4.8000000000000001E-2</v>
      </c>
      <c r="Q113">
        <v>2</v>
      </c>
      <c r="R113" s="67">
        <v>600</v>
      </c>
      <c r="S113" s="68">
        <v>82800</v>
      </c>
      <c r="T113" s="67">
        <v>300</v>
      </c>
      <c r="U113" s="68">
        <v>30600</v>
      </c>
      <c r="V113" s="67">
        <v>300</v>
      </c>
      <c r="W113" s="68">
        <v>30600</v>
      </c>
      <c r="X113" s="67">
        <v>600</v>
      </c>
      <c r="Y113" s="68">
        <v>82800</v>
      </c>
      <c r="Z113">
        <v>2</v>
      </c>
      <c r="AA113" s="67">
        <v>300</v>
      </c>
      <c r="AB113" s="68">
        <v>30600</v>
      </c>
      <c r="AC113" s="67">
        <v>500</v>
      </c>
      <c r="AD113" s="68">
        <v>86400</v>
      </c>
      <c r="AE113" s="67">
        <v>800</v>
      </c>
      <c r="AF113" s="68">
        <v>159000</v>
      </c>
      <c r="AG113" s="67">
        <v>800</v>
      </c>
      <c r="AH113" s="68">
        <v>179400</v>
      </c>
    </row>
    <row r="114" spans="1:34" x14ac:dyDescent="0.3">
      <c r="A114" s="9"/>
      <c r="B114" s="9" t="s">
        <v>829</v>
      </c>
      <c r="C114" s="1">
        <v>20.100000000000001</v>
      </c>
      <c r="D114" s="69" t="s">
        <v>27</v>
      </c>
      <c r="E114" s="83">
        <v>10</v>
      </c>
      <c r="F114" s="316">
        <v>4.2000000000000003E-2</v>
      </c>
      <c r="G114" s="69" t="s">
        <v>27</v>
      </c>
      <c r="H114" s="83">
        <v>10</v>
      </c>
      <c r="I114" s="316">
        <v>4.2000000000000003E-2</v>
      </c>
      <c r="J114" s="69" t="s">
        <v>27</v>
      </c>
      <c r="K114" s="83">
        <v>16</v>
      </c>
      <c r="L114" s="317">
        <v>4.2000000000000003E-2</v>
      </c>
      <c r="M114" s="69" t="s">
        <v>27</v>
      </c>
      <c r="N114" s="83">
        <v>40</v>
      </c>
      <c r="O114" s="317">
        <v>5.6000000000000001E-2</v>
      </c>
      <c r="Q114">
        <v>3</v>
      </c>
      <c r="R114" s="67">
        <v>1200</v>
      </c>
      <c r="S114" s="68">
        <v>165600</v>
      </c>
      <c r="T114" s="67">
        <v>600</v>
      </c>
      <c r="U114" s="68">
        <v>61800</v>
      </c>
      <c r="V114" s="67">
        <v>600</v>
      </c>
      <c r="W114" s="68">
        <v>61800</v>
      </c>
      <c r="X114" s="67">
        <v>1200</v>
      </c>
      <c r="Y114" s="68">
        <v>165600</v>
      </c>
      <c r="Z114">
        <v>3</v>
      </c>
      <c r="AA114" s="67">
        <v>600</v>
      </c>
      <c r="AB114" s="68">
        <v>61800</v>
      </c>
      <c r="AC114" s="67">
        <v>1000</v>
      </c>
      <c r="AD114" s="68">
        <v>172800</v>
      </c>
      <c r="AE114" s="67">
        <v>1500</v>
      </c>
      <c r="AF114" s="68">
        <v>297600</v>
      </c>
      <c r="AG114" s="67">
        <v>1500</v>
      </c>
      <c r="AH114" s="68">
        <v>336600</v>
      </c>
    </row>
    <row r="115" spans="1:34" x14ac:dyDescent="0.3">
      <c r="A115" s="9"/>
      <c r="C115" s="1">
        <v>21</v>
      </c>
      <c r="D115" s="65">
        <v>540</v>
      </c>
      <c r="E115" s="80"/>
      <c r="F115" s="308">
        <v>4.2799999999999998E-2</v>
      </c>
      <c r="G115" s="65">
        <v>650</v>
      </c>
      <c r="H115" s="80"/>
      <c r="I115" s="308">
        <v>4.2799999999999998E-2</v>
      </c>
      <c r="J115" s="65">
        <v>1620</v>
      </c>
      <c r="K115" s="80"/>
      <c r="L115" s="309">
        <v>4.2799999999999998E-2</v>
      </c>
      <c r="M115" s="65">
        <v>2970</v>
      </c>
      <c r="N115" s="80"/>
      <c r="O115" s="309">
        <v>5.7000000000000002E-2</v>
      </c>
      <c r="Q115">
        <v>4</v>
      </c>
      <c r="R115" s="67">
        <v>1800</v>
      </c>
      <c r="S115" s="68">
        <v>248400</v>
      </c>
      <c r="T115" s="67">
        <v>900</v>
      </c>
      <c r="U115" s="68">
        <v>93000</v>
      </c>
      <c r="V115" s="67">
        <v>900</v>
      </c>
      <c r="W115" s="68">
        <v>93000</v>
      </c>
      <c r="X115" s="67">
        <v>1800</v>
      </c>
      <c r="Y115" s="68">
        <v>248400</v>
      </c>
      <c r="Z115">
        <v>4</v>
      </c>
      <c r="AA115" s="67">
        <v>900</v>
      </c>
      <c r="AB115" s="68">
        <v>93000</v>
      </c>
      <c r="AC115" s="67">
        <v>1500</v>
      </c>
      <c r="AD115" s="68">
        <v>259200</v>
      </c>
      <c r="AE115" s="67">
        <v>2200</v>
      </c>
      <c r="AF115" s="68">
        <v>436800</v>
      </c>
      <c r="AG115" s="67">
        <v>2200</v>
      </c>
      <c r="AH115" s="68">
        <v>493800</v>
      </c>
    </row>
    <row r="116" spans="1:34" x14ac:dyDescent="0.3">
      <c r="A116" s="9"/>
      <c r="C116" s="1">
        <v>22</v>
      </c>
      <c r="D116" s="67">
        <v>560</v>
      </c>
      <c r="E116" s="88"/>
      <c r="F116" s="310">
        <v>4.3499999999999997E-2</v>
      </c>
      <c r="G116" s="67">
        <v>680</v>
      </c>
      <c r="H116" s="88"/>
      <c r="I116" s="310">
        <v>4.3499999999999997E-2</v>
      </c>
      <c r="J116" s="67">
        <v>1680</v>
      </c>
      <c r="K116" s="88"/>
      <c r="L116" s="311">
        <v>4.3499999999999997E-2</v>
      </c>
      <c r="M116" s="67">
        <v>3080</v>
      </c>
      <c r="N116" s="88"/>
      <c r="O116" s="311">
        <v>5.8000000000000003E-2</v>
      </c>
      <c r="Q116">
        <v>5</v>
      </c>
      <c r="R116" s="69">
        <v>2400</v>
      </c>
      <c r="S116" s="70">
        <v>331800</v>
      </c>
      <c r="T116" s="69">
        <v>1200</v>
      </c>
      <c r="U116" s="70">
        <v>124200</v>
      </c>
      <c r="V116" s="69">
        <v>1200</v>
      </c>
      <c r="W116" s="70">
        <v>124200</v>
      </c>
      <c r="X116" s="69">
        <v>2400</v>
      </c>
      <c r="Y116" s="70">
        <v>331800</v>
      </c>
      <c r="Z116">
        <v>5</v>
      </c>
      <c r="AA116" s="69">
        <v>1200</v>
      </c>
      <c r="AB116" s="70">
        <v>124200</v>
      </c>
      <c r="AC116" s="69">
        <v>2000</v>
      </c>
      <c r="AD116" s="70">
        <v>345600</v>
      </c>
      <c r="AE116" s="69">
        <v>7000</v>
      </c>
      <c r="AF116" s="70">
        <v>595800</v>
      </c>
      <c r="AG116" s="69">
        <v>3000</v>
      </c>
      <c r="AH116" s="70">
        <v>673800</v>
      </c>
    </row>
    <row r="117" spans="1:34" x14ac:dyDescent="0.3">
      <c r="A117" s="9"/>
      <c r="C117" s="1">
        <v>23</v>
      </c>
      <c r="D117" s="67">
        <v>580</v>
      </c>
      <c r="E117" s="88"/>
      <c r="F117" s="310">
        <v>4.4299999999999999E-2</v>
      </c>
      <c r="G117" s="67">
        <v>700</v>
      </c>
      <c r="H117" s="88"/>
      <c r="I117" s="310">
        <v>4.4299999999999999E-2</v>
      </c>
      <c r="J117" s="67">
        <v>1740</v>
      </c>
      <c r="K117" s="88"/>
      <c r="L117" s="311">
        <v>4.4299999999999999E-2</v>
      </c>
      <c r="M117" s="67">
        <v>3190</v>
      </c>
      <c r="N117" s="88"/>
      <c r="O117" s="311">
        <v>5.8999999999999997E-2</v>
      </c>
      <c r="Q117">
        <v>6</v>
      </c>
      <c r="R117" s="65">
        <v>3000</v>
      </c>
      <c r="S117" s="66">
        <v>414600</v>
      </c>
      <c r="T117" s="65">
        <v>1500</v>
      </c>
      <c r="U117" s="66">
        <v>155400</v>
      </c>
      <c r="V117" s="65">
        <v>1500</v>
      </c>
      <c r="W117" s="66">
        <v>155400</v>
      </c>
      <c r="X117" s="65">
        <v>3000</v>
      </c>
      <c r="Y117" s="66">
        <v>414600</v>
      </c>
      <c r="Z117">
        <v>6</v>
      </c>
      <c r="AA117" s="65">
        <v>1500</v>
      </c>
      <c r="AB117" s="66">
        <v>155400</v>
      </c>
      <c r="AC117" s="65">
        <v>2500</v>
      </c>
      <c r="AD117" s="66">
        <v>432000</v>
      </c>
      <c r="AE117" s="65">
        <v>3800</v>
      </c>
      <c r="AF117" s="66">
        <v>754800</v>
      </c>
      <c r="AG117" s="65">
        <v>3800</v>
      </c>
      <c r="AH117" s="66">
        <v>853200</v>
      </c>
    </row>
    <row r="118" spans="1:34" x14ac:dyDescent="0.3">
      <c r="A118" s="9"/>
      <c r="C118" s="1">
        <v>24</v>
      </c>
      <c r="D118" s="67">
        <v>600</v>
      </c>
      <c r="E118" s="88"/>
      <c r="F118" s="310">
        <v>4.4999999999999998E-2</v>
      </c>
      <c r="G118" s="67">
        <v>720</v>
      </c>
      <c r="H118" s="88"/>
      <c r="I118" s="310">
        <v>4.4999999999999998E-2</v>
      </c>
      <c r="J118" s="67">
        <v>1800</v>
      </c>
      <c r="K118" s="88"/>
      <c r="L118" s="311">
        <v>4.4999999999999998E-2</v>
      </c>
      <c r="M118" s="67">
        <v>3300</v>
      </c>
      <c r="N118" s="88"/>
      <c r="O118" s="311">
        <v>0.06</v>
      </c>
      <c r="Q118">
        <v>7</v>
      </c>
      <c r="R118" s="67">
        <v>3600</v>
      </c>
      <c r="S118" s="68">
        <v>497400</v>
      </c>
      <c r="T118" s="67">
        <v>1800</v>
      </c>
      <c r="U118" s="68">
        <v>186600</v>
      </c>
      <c r="V118" s="67">
        <v>1800</v>
      </c>
      <c r="W118" s="68">
        <v>186600</v>
      </c>
      <c r="X118" s="67">
        <v>3600</v>
      </c>
      <c r="Y118" s="68">
        <v>497400</v>
      </c>
      <c r="Z118">
        <v>7</v>
      </c>
      <c r="AA118" s="67">
        <v>1800</v>
      </c>
      <c r="AB118" s="68">
        <v>186600</v>
      </c>
      <c r="AC118" s="67">
        <v>3000</v>
      </c>
      <c r="AD118" s="68">
        <v>518400</v>
      </c>
      <c r="AE118" s="67">
        <v>4500</v>
      </c>
      <c r="AF118" s="68">
        <v>894000</v>
      </c>
      <c r="AG118" s="67">
        <v>4500</v>
      </c>
      <c r="AH118" s="68">
        <v>1010400</v>
      </c>
    </row>
    <row r="119" spans="1:34" x14ac:dyDescent="0.3">
      <c r="A119" s="9"/>
      <c r="C119" s="1">
        <v>25</v>
      </c>
      <c r="D119" s="67">
        <v>620</v>
      </c>
      <c r="E119" s="88"/>
      <c r="F119" s="310">
        <v>4.58E-2</v>
      </c>
      <c r="G119" s="67">
        <v>750</v>
      </c>
      <c r="H119" s="88"/>
      <c r="I119" s="310">
        <v>4.58E-2</v>
      </c>
      <c r="J119" s="67">
        <v>1860</v>
      </c>
      <c r="K119" s="88"/>
      <c r="L119" s="311">
        <v>4.58E-2</v>
      </c>
      <c r="M119" s="67">
        <v>3520</v>
      </c>
      <c r="N119" s="88"/>
      <c r="O119" s="311">
        <v>6.0999999999999999E-2</v>
      </c>
      <c r="Q119">
        <v>8</v>
      </c>
      <c r="R119" s="67">
        <v>4200</v>
      </c>
      <c r="S119" s="68">
        <v>580200</v>
      </c>
      <c r="T119" s="67">
        <v>2100</v>
      </c>
      <c r="U119" s="68">
        <v>217200</v>
      </c>
      <c r="V119" s="67">
        <v>2100</v>
      </c>
      <c r="W119" s="68">
        <v>217200</v>
      </c>
      <c r="X119" s="67">
        <v>4200</v>
      </c>
      <c r="Y119" s="68">
        <v>580200</v>
      </c>
      <c r="Z119">
        <v>8</v>
      </c>
      <c r="AA119" s="67">
        <v>2100</v>
      </c>
      <c r="AB119" s="68">
        <v>217200</v>
      </c>
      <c r="AC119" s="67">
        <v>3500</v>
      </c>
      <c r="AD119" s="68">
        <v>604800</v>
      </c>
      <c r="AE119" s="67">
        <v>5200</v>
      </c>
      <c r="AF119" s="68">
        <v>1033200</v>
      </c>
      <c r="AG119" s="67">
        <v>5200</v>
      </c>
      <c r="AH119" s="68">
        <v>1167600</v>
      </c>
    </row>
    <row r="120" spans="1:34" x14ac:dyDescent="0.3">
      <c r="A120" s="9"/>
      <c r="C120" s="1">
        <v>26</v>
      </c>
      <c r="D120" s="67">
        <v>640</v>
      </c>
      <c r="E120" s="88"/>
      <c r="F120" s="310">
        <v>4.65E-2</v>
      </c>
      <c r="G120" s="67">
        <v>770</v>
      </c>
      <c r="H120" s="88"/>
      <c r="I120" s="310">
        <v>4.65E-2</v>
      </c>
      <c r="J120" s="67">
        <v>1920</v>
      </c>
      <c r="K120" s="88"/>
      <c r="L120" s="311">
        <v>4.65E-2</v>
      </c>
      <c r="M120" s="67">
        <v>3620</v>
      </c>
      <c r="N120" s="88"/>
      <c r="O120" s="311">
        <v>6.2E-2</v>
      </c>
      <c r="Q120">
        <v>9</v>
      </c>
      <c r="R120" s="67">
        <v>4800</v>
      </c>
      <c r="S120" s="68">
        <v>663600</v>
      </c>
      <c r="T120" s="67">
        <v>2400</v>
      </c>
      <c r="U120" s="68">
        <v>248400</v>
      </c>
      <c r="V120" s="67">
        <v>2400</v>
      </c>
      <c r="W120" s="68">
        <v>248400</v>
      </c>
      <c r="X120" s="67">
        <v>4800</v>
      </c>
      <c r="Y120" s="68">
        <v>663600</v>
      </c>
      <c r="Z120">
        <v>9</v>
      </c>
      <c r="AA120" s="67">
        <v>2400</v>
      </c>
      <c r="AB120" s="68">
        <v>248400</v>
      </c>
      <c r="AC120" s="67">
        <v>4000</v>
      </c>
      <c r="AD120" s="68">
        <v>691200</v>
      </c>
      <c r="AE120" s="67">
        <v>6000</v>
      </c>
      <c r="AF120" s="68">
        <v>1192200</v>
      </c>
      <c r="AG120" s="67">
        <v>6000</v>
      </c>
      <c r="AH120" s="68">
        <v>1347600</v>
      </c>
    </row>
    <row r="121" spans="1:34" x14ac:dyDescent="0.3">
      <c r="A121" s="9"/>
      <c r="C121" s="1">
        <v>27</v>
      </c>
      <c r="D121" s="67">
        <v>660</v>
      </c>
      <c r="E121" s="88"/>
      <c r="F121" s="310">
        <v>4.7300000000000002E-2</v>
      </c>
      <c r="G121" s="67">
        <v>800</v>
      </c>
      <c r="H121" s="88"/>
      <c r="I121" s="310">
        <v>4.7300000000000002E-2</v>
      </c>
      <c r="J121" s="67">
        <v>1980</v>
      </c>
      <c r="K121" s="88"/>
      <c r="L121" s="311">
        <v>4.7300000000000002E-2</v>
      </c>
      <c r="M121" s="67">
        <v>3720</v>
      </c>
      <c r="N121" s="88"/>
      <c r="O121" s="311">
        <v>6.3E-2</v>
      </c>
      <c r="Q121">
        <v>10</v>
      </c>
      <c r="R121" s="69">
        <v>5400</v>
      </c>
      <c r="S121" s="70">
        <v>746400</v>
      </c>
      <c r="T121" s="69">
        <v>2700</v>
      </c>
      <c r="U121" s="70">
        <v>279600</v>
      </c>
      <c r="V121" s="69">
        <v>2700</v>
      </c>
      <c r="W121" s="70">
        <v>279600</v>
      </c>
      <c r="X121" s="69">
        <v>5400</v>
      </c>
      <c r="Y121" s="70">
        <v>746400</v>
      </c>
      <c r="Z121">
        <v>10</v>
      </c>
      <c r="AA121" s="69">
        <v>2700</v>
      </c>
      <c r="AB121" s="70">
        <v>279600</v>
      </c>
      <c r="AC121" s="69">
        <v>4500</v>
      </c>
      <c r="AD121" s="70">
        <v>777600</v>
      </c>
      <c r="AE121" s="69">
        <v>6800</v>
      </c>
      <c r="AF121" s="70">
        <v>1351200</v>
      </c>
      <c r="AG121" s="69">
        <v>6800</v>
      </c>
      <c r="AH121" s="70">
        <v>1527600</v>
      </c>
    </row>
    <row r="122" spans="1:34" x14ac:dyDescent="0.3">
      <c r="A122" s="9"/>
      <c r="B122" s="259"/>
      <c r="C122" s="1">
        <v>28</v>
      </c>
      <c r="D122" s="67">
        <v>680</v>
      </c>
      <c r="E122" s="88"/>
      <c r="F122" s="310">
        <v>4.8000000000000001E-2</v>
      </c>
      <c r="G122" s="67">
        <v>820</v>
      </c>
      <c r="H122" s="88"/>
      <c r="I122" s="310">
        <v>4.8000000000000001E-2</v>
      </c>
      <c r="J122" s="67">
        <v>2040</v>
      </c>
      <c r="K122" s="88"/>
      <c r="L122" s="311">
        <v>4.8000000000000001E-2</v>
      </c>
      <c r="M122" s="67">
        <v>3820</v>
      </c>
      <c r="N122" s="88"/>
      <c r="O122" s="311">
        <v>6.4000000000000001E-2</v>
      </c>
      <c r="Q122"/>
      <c r="R122" s="88">
        <f>SUM(R112:R121)</f>
        <v>27000</v>
      </c>
      <c r="S122" s="88">
        <f t="shared" ref="S122:Y122" si="2">SUM(S112:S121)</f>
        <v>3730800</v>
      </c>
      <c r="T122" s="88">
        <f t="shared" si="2"/>
        <v>13500</v>
      </c>
      <c r="U122" s="88">
        <f t="shared" si="2"/>
        <v>1396800</v>
      </c>
      <c r="V122" s="88">
        <f t="shared" si="2"/>
        <v>13500</v>
      </c>
      <c r="W122" s="88">
        <f t="shared" si="2"/>
        <v>1396800</v>
      </c>
      <c r="X122" s="88">
        <f t="shared" si="2"/>
        <v>27000</v>
      </c>
      <c r="Y122" s="88">
        <f t="shared" si="2"/>
        <v>3730800</v>
      </c>
      <c r="Z122">
        <v>11</v>
      </c>
      <c r="AA122" s="314"/>
      <c r="AB122" s="315"/>
      <c r="AC122" s="65">
        <v>5000</v>
      </c>
      <c r="AD122" s="66">
        <v>864000</v>
      </c>
      <c r="AE122" s="65">
        <v>7500</v>
      </c>
      <c r="AF122" s="66">
        <v>1490400</v>
      </c>
      <c r="AG122" s="65">
        <v>7500</v>
      </c>
      <c r="AH122" s="66">
        <v>1684800</v>
      </c>
    </row>
    <row r="123" spans="1:34" x14ac:dyDescent="0.3">
      <c r="A123" s="9"/>
      <c r="C123" s="1">
        <v>29</v>
      </c>
      <c r="D123" s="67">
        <v>700</v>
      </c>
      <c r="E123" s="88"/>
      <c r="F123" s="310">
        <v>4.8800000000000003E-2</v>
      </c>
      <c r="G123" s="67">
        <v>840</v>
      </c>
      <c r="H123" s="88"/>
      <c r="I123" s="310">
        <v>4.8800000000000003E-2</v>
      </c>
      <c r="J123" s="67">
        <v>2100</v>
      </c>
      <c r="K123" s="88"/>
      <c r="L123" s="311">
        <v>4.8800000000000003E-2</v>
      </c>
      <c r="M123" s="67">
        <v>3920</v>
      </c>
      <c r="N123" s="88"/>
      <c r="O123" s="311">
        <v>6.5000000000000002E-2</v>
      </c>
      <c r="Q123"/>
      <c r="R123"/>
      <c r="V123"/>
      <c r="Z123">
        <v>12</v>
      </c>
      <c r="AA123" s="314"/>
      <c r="AB123" s="315"/>
      <c r="AC123" s="67">
        <v>5500</v>
      </c>
      <c r="AD123" s="68">
        <v>950400</v>
      </c>
      <c r="AE123" s="67">
        <v>8200</v>
      </c>
      <c r="AF123" s="68">
        <v>1629000</v>
      </c>
      <c r="AG123" s="67">
        <v>8200</v>
      </c>
      <c r="AH123" s="68">
        <v>1842000</v>
      </c>
    </row>
    <row r="124" spans="1:34" x14ac:dyDescent="0.3">
      <c r="A124" s="9"/>
      <c r="C124" s="1">
        <v>30</v>
      </c>
      <c r="D124" s="67">
        <v>730</v>
      </c>
      <c r="E124" s="88"/>
      <c r="F124" s="310">
        <v>4.9500000000000002E-2</v>
      </c>
      <c r="G124" s="67">
        <v>880</v>
      </c>
      <c r="H124" s="88"/>
      <c r="I124" s="310">
        <v>4.9500000000000002E-2</v>
      </c>
      <c r="J124" s="67">
        <v>2190</v>
      </c>
      <c r="K124" s="88"/>
      <c r="L124" s="311">
        <v>4.9500000000000002E-2</v>
      </c>
      <c r="M124" s="67">
        <v>4020</v>
      </c>
      <c r="N124" s="88"/>
      <c r="O124" s="311">
        <v>6.6000000000000003E-2</v>
      </c>
      <c r="Q124"/>
      <c r="R124"/>
      <c r="V124"/>
      <c r="Z124">
        <v>13</v>
      </c>
      <c r="AA124" s="314"/>
      <c r="AB124" s="315"/>
      <c r="AC124" s="67">
        <v>6000</v>
      </c>
      <c r="AD124" s="68">
        <v>1036800</v>
      </c>
      <c r="AE124" s="67">
        <v>9000</v>
      </c>
      <c r="AF124" s="68">
        <v>1788000</v>
      </c>
      <c r="AG124" s="67">
        <v>9000</v>
      </c>
      <c r="AH124" s="68">
        <v>2021400</v>
      </c>
    </row>
    <row r="125" spans="1:34" x14ac:dyDescent="0.3">
      <c r="A125" s="9"/>
      <c r="B125" s="9" t="s">
        <v>830</v>
      </c>
      <c r="C125" s="1">
        <v>30.1</v>
      </c>
      <c r="D125" s="69" t="s">
        <v>27</v>
      </c>
      <c r="E125" s="83">
        <v>15</v>
      </c>
      <c r="F125" s="316">
        <v>5.5500000000000001E-2</v>
      </c>
      <c r="G125" s="69" t="s">
        <v>27</v>
      </c>
      <c r="H125" s="83">
        <v>15</v>
      </c>
      <c r="I125" s="316">
        <v>5.5E-2</v>
      </c>
      <c r="J125" s="69" t="s">
        <v>27</v>
      </c>
      <c r="K125" s="83">
        <v>24</v>
      </c>
      <c r="L125" s="317">
        <v>5.5E-2</v>
      </c>
      <c r="M125" s="69" t="s">
        <v>27</v>
      </c>
      <c r="N125" s="83">
        <v>80</v>
      </c>
      <c r="O125" s="317">
        <v>7.3999999999999996E-2</v>
      </c>
      <c r="R125"/>
      <c r="V125"/>
      <c r="Z125">
        <v>14</v>
      </c>
      <c r="AA125" s="314"/>
      <c r="AB125" s="315"/>
      <c r="AC125" s="67">
        <v>6500</v>
      </c>
      <c r="AD125" s="68">
        <v>1209600</v>
      </c>
      <c r="AE125" s="67">
        <v>10500</v>
      </c>
      <c r="AF125" s="68">
        <v>2086200</v>
      </c>
      <c r="AG125" s="67">
        <v>10500</v>
      </c>
      <c r="AH125" s="68">
        <v>2358600</v>
      </c>
    </row>
    <row r="126" spans="1:34" x14ac:dyDescent="0.3">
      <c r="A126" s="9"/>
      <c r="C126" s="1">
        <v>31</v>
      </c>
      <c r="D126" s="65">
        <v>760</v>
      </c>
      <c r="E126" s="80"/>
      <c r="F126" s="308">
        <v>5.6300000000000003E-2</v>
      </c>
      <c r="G126" s="65">
        <v>920</v>
      </c>
      <c r="H126" s="80"/>
      <c r="I126" s="308">
        <v>5.6300000000000003E-2</v>
      </c>
      <c r="J126" s="65">
        <v>2280</v>
      </c>
      <c r="K126" s="80"/>
      <c r="L126" s="309">
        <v>5.6300000000000003E-2</v>
      </c>
      <c r="M126" s="65">
        <v>4180</v>
      </c>
      <c r="N126" s="80"/>
      <c r="O126" s="309">
        <v>7.4999999999999997E-2</v>
      </c>
      <c r="R126"/>
      <c r="V126"/>
      <c r="Z126">
        <v>15</v>
      </c>
      <c r="AA126" s="314"/>
      <c r="AB126" s="315"/>
      <c r="AC126" s="69">
        <v>7000</v>
      </c>
      <c r="AD126" s="70">
        <v>1382400</v>
      </c>
      <c r="AE126" s="69">
        <v>12000</v>
      </c>
      <c r="AF126" s="70">
        <v>2384400</v>
      </c>
      <c r="AG126" s="69">
        <v>12000</v>
      </c>
      <c r="AH126" s="70">
        <v>2695200</v>
      </c>
    </row>
    <row r="127" spans="1:34" x14ac:dyDescent="0.3">
      <c r="A127" s="9"/>
      <c r="C127" s="1">
        <v>32</v>
      </c>
      <c r="D127" s="67">
        <v>790</v>
      </c>
      <c r="E127" s="88"/>
      <c r="F127" s="310">
        <v>5.7000000000000002E-2</v>
      </c>
      <c r="G127" s="67">
        <v>950</v>
      </c>
      <c r="H127" s="88"/>
      <c r="I127" s="310">
        <v>5.7000000000000002E-2</v>
      </c>
      <c r="J127" s="67">
        <v>2370</v>
      </c>
      <c r="K127" s="88"/>
      <c r="L127" s="311">
        <v>5.7000000000000002E-2</v>
      </c>
      <c r="M127" s="67">
        <v>4350</v>
      </c>
      <c r="N127" s="88"/>
      <c r="O127" s="311">
        <v>7.5999999999999998E-2</v>
      </c>
      <c r="R127"/>
      <c r="V127"/>
      <c r="Z127">
        <v>16</v>
      </c>
      <c r="AA127" s="314"/>
      <c r="AB127" s="315"/>
      <c r="AC127" s="67">
        <v>7500</v>
      </c>
      <c r="AD127" s="68">
        <v>1382400</v>
      </c>
      <c r="AE127" s="67">
        <v>12000</v>
      </c>
      <c r="AF127" s="68">
        <v>2384400</v>
      </c>
      <c r="AG127" s="67">
        <v>12000</v>
      </c>
      <c r="AH127" s="68">
        <v>2695200</v>
      </c>
    </row>
    <row r="128" spans="1:34" x14ac:dyDescent="0.3">
      <c r="A128" s="9"/>
      <c r="B128" s="259"/>
      <c r="C128" s="1">
        <v>33</v>
      </c>
      <c r="D128" s="67">
        <v>820</v>
      </c>
      <c r="E128" s="88"/>
      <c r="F128" s="310">
        <v>5.7799999999999997E-2</v>
      </c>
      <c r="G128" s="67">
        <v>990</v>
      </c>
      <c r="H128" s="88"/>
      <c r="I128" s="310">
        <v>5.7799999999999997E-2</v>
      </c>
      <c r="J128" s="67">
        <v>2460</v>
      </c>
      <c r="K128" s="88"/>
      <c r="L128" s="311">
        <v>5.7799999999999997E-2</v>
      </c>
      <c r="M128" s="67">
        <v>4510</v>
      </c>
      <c r="N128" s="88"/>
      <c r="O128" s="311">
        <v>7.6999999999999999E-2</v>
      </c>
      <c r="R128"/>
      <c r="V128"/>
      <c r="Z128">
        <v>17</v>
      </c>
      <c r="AA128" s="314"/>
      <c r="AB128" s="315"/>
      <c r="AC128" s="67">
        <v>8000</v>
      </c>
      <c r="AD128" s="68">
        <v>1555200</v>
      </c>
      <c r="AE128" s="67">
        <v>13500</v>
      </c>
      <c r="AF128" s="68">
        <v>2682600</v>
      </c>
      <c r="AG128" s="67">
        <v>13500</v>
      </c>
      <c r="AH128" s="68">
        <v>3032400</v>
      </c>
    </row>
    <row r="129" spans="1:34" x14ac:dyDescent="0.3">
      <c r="A129" s="9"/>
      <c r="C129" s="1">
        <v>34</v>
      </c>
      <c r="D129" s="67">
        <v>850</v>
      </c>
      <c r="E129" s="88"/>
      <c r="F129" s="310">
        <v>5.8500000000000003E-2</v>
      </c>
      <c r="G129" s="67">
        <v>1020</v>
      </c>
      <c r="H129" s="88"/>
      <c r="I129" s="310">
        <v>5.8500000000000003E-2</v>
      </c>
      <c r="J129" s="67">
        <v>2550</v>
      </c>
      <c r="K129" s="88"/>
      <c r="L129" s="311">
        <v>5.8500000000000003E-2</v>
      </c>
      <c r="M129" s="67">
        <v>4680</v>
      </c>
      <c r="N129" s="88"/>
      <c r="O129" s="311">
        <v>7.8E-2</v>
      </c>
      <c r="R129"/>
      <c r="V129"/>
      <c r="Z129">
        <v>18</v>
      </c>
      <c r="AA129" s="314"/>
      <c r="AB129" s="315"/>
      <c r="AC129" s="67">
        <v>8500</v>
      </c>
      <c r="AD129" s="68">
        <v>1555200</v>
      </c>
      <c r="AE129" s="67">
        <v>13500</v>
      </c>
      <c r="AF129" s="68">
        <v>2682600</v>
      </c>
      <c r="AG129" s="67">
        <v>13500</v>
      </c>
      <c r="AH129" s="68">
        <v>3032400</v>
      </c>
    </row>
    <row r="130" spans="1:34" x14ac:dyDescent="0.3">
      <c r="A130" s="9"/>
      <c r="C130" s="1">
        <v>35</v>
      </c>
      <c r="D130" s="67">
        <v>880</v>
      </c>
      <c r="E130" s="88"/>
      <c r="F130" s="310">
        <v>5.9299999999999999E-2</v>
      </c>
      <c r="G130" s="67">
        <v>1060</v>
      </c>
      <c r="H130" s="88"/>
      <c r="I130" s="310">
        <v>5.9299999999999999E-2</v>
      </c>
      <c r="J130" s="67">
        <v>2640</v>
      </c>
      <c r="K130" s="88"/>
      <c r="L130" s="311">
        <v>5.9299999999999999E-2</v>
      </c>
      <c r="M130" s="67">
        <v>4840</v>
      </c>
      <c r="N130" s="88"/>
      <c r="O130" s="311">
        <v>7.9000000000000001E-2</v>
      </c>
      <c r="R130"/>
      <c r="V130"/>
      <c r="Z130">
        <v>19</v>
      </c>
      <c r="AA130" s="314"/>
      <c r="AB130" s="315"/>
      <c r="AC130" s="67">
        <v>9000</v>
      </c>
      <c r="AD130" s="68">
        <v>1728000</v>
      </c>
      <c r="AE130" s="67">
        <v>15000</v>
      </c>
      <c r="AF130" s="68">
        <v>2980800</v>
      </c>
      <c r="AG130" s="67">
        <v>15000</v>
      </c>
      <c r="AH130" s="68">
        <v>3369600</v>
      </c>
    </row>
    <row r="131" spans="1:34" x14ac:dyDescent="0.3">
      <c r="A131" s="9"/>
      <c r="C131" s="1">
        <v>36</v>
      </c>
      <c r="D131" s="67">
        <v>910</v>
      </c>
      <c r="E131" s="88"/>
      <c r="F131" s="310">
        <v>0.06</v>
      </c>
      <c r="G131" s="67">
        <v>1100</v>
      </c>
      <c r="H131" s="88"/>
      <c r="I131" s="310">
        <v>0.06</v>
      </c>
      <c r="J131" s="67">
        <v>2730</v>
      </c>
      <c r="K131" s="88"/>
      <c r="L131" s="311">
        <v>0.06</v>
      </c>
      <c r="M131" s="67">
        <v>5000</v>
      </c>
      <c r="N131" s="88"/>
      <c r="O131" s="311">
        <v>0.08</v>
      </c>
      <c r="R131"/>
      <c r="V131"/>
      <c r="Z131">
        <v>20</v>
      </c>
      <c r="AA131" s="318"/>
      <c r="AB131" s="319"/>
      <c r="AC131" s="69">
        <v>9500</v>
      </c>
      <c r="AD131" s="70">
        <v>1728000</v>
      </c>
      <c r="AE131" s="69">
        <v>15000</v>
      </c>
      <c r="AF131" s="70">
        <v>2980800</v>
      </c>
      <c r="AG131" s="69">
        <v>15000</v>
      </c>
      <c r="AH131" s="70">
        <v>3369600</v>
      </c>
    </row>
    <row r="132" spans="1:34" x14ac:dyDescent="0.3">
      <c r="A132" s="9"/>
      <c r="C132" s="1">
        <v>37</v>
      </c>
      <c r="D132" s="67">
        <v>940</v>
      </c>
      <c r="E132" s="88"/>
      <c r="F132" s="310">
        <v>6.08E-2</v>
      </c>
      <c r="G132" s="67">
        <v>1130</v>
      </c>
      <c r="H132" s="88"/>
      <c r="I132" s="310">
        <v>6.08E-2</v>
      </c>
      <c r="J132" s="67">
        <v>2820</v>
      </c>
      <c r="K132" s="88"/>
      <c r="L132" s="311">
        <v>6.08E-2</v>
      </c>
      <c r="M132" s="67">
        <v>5170</v>
      </c>
      <c r="N132" s="88"/>
      <c r="O132" s="311">
        <v>8.1000000000000003E-2</v>
      </c>
      <c r="R132"/>
      <c r="V132"/>
      <c r="AA132" s="88">
        <f>SUM(AA112:AA131)</f>
        <v>13500</v>
      </c>
      <c r="AB132" s="88">
        <f t="shared" ref="AB132:AH132" si="3">SUM(AB112:AB131)</f>
        <v>1396800</v>
      </c>
      <c r="AC132" s="88">
        <f t="shared" si="3"/>
        <v>95000</v>
      </c>
      <c r="AD132" s="88">
        <f t="shared" si="3"/>
        <v>17280000</v>
      </c>
      <c r="AE132" s="88">
        <f t="shared" si="3"/>
        <v>154000</v>
      </c>
      <c r="AF132" s="88">
        <f t="shared" si="3"/>
        <v>29803800</v>
      </c>
      <c r="AG132" s="88">
        <f t="shared" si="3"/>
        <v>150000</v>
      </c>
      <c r="AH132" s="88">
        <f t="shared" si="3"/>
        <v>33691200</v>
      </c>
    </row>
    <row r="133" spans="1:34" x14ac:dyDescent="0.3">
      <c r="A133" s="9"/>
      <c r="C133" s="1">
        <v>38</v>
      </c>
      <c r="D133" s="67">
        <v>970</v>
      </c>
      <c r="E133" s="88"/>
      <c r="F133" s="310">
        <v>6.1499999999999999E-2</v>
      </c>
      <c r="G133" s="67">
        <v>1170</v>
      </c>
      <c r="H133" s="88"/>
      <c r="I133" s="310">
        <v>6.1499999999999999E-2</v>
      </c>
      <c r="J133" s="67">
        <v>2910</v>
      </c>
      <c r="K133" s="88"/>
      <c r="L133" s="311">
        <v>6.1499999999999999E-2</v>
      </c>
      <c r="M133" s="67">
        <v>5330</v>
      </c>
      <c r="N133" s="88"/>
      <c r="O133" s="311">
        <v>8.2000000000000003E-2</v>
      </c>
      <c r="R133"/>
      <c r="V133"/>
    </row>
    <row r="134" spans="1:34" x14ac:dyDescent="0.3">
      <c r="A134" s="9"/>
      <c r="C134" s="1">
        <v>39</v>
      </c>
      <c r="D134" s="67">
        <v>1000</v>
      </c>
      <c r="E134" s="88"/>
      <c r="F134" s="310">
        <v>6.2300000000000001E-2</v>
      </c>
      <c r="G134" s="67">
        <v>1210</v>
      </c>
      <c r="H134" s="88"/>
      <c r="I134" s="310">
        <v>6.2300000000000001E-2</v>
      </c>
      <c r="J134" s="67">
        <v>3000</v>
      </c>
      <c r="K134" s="88"/>
      <c r="L134" s="311">
        <v>6.2300000000000001E-2</v>
      </c>
      <c r="M134" s="67">
        <v>5500</v>
      </c>
      <c r="N134" s="88"/>
      <c r="O134" s="311">
        <v>8.3000000000000004E-2</v>
      </c>
      <c r="R134"/>
      <c r="V134"/>
    </row>
    <row r="135" spans="1:34" x14ac:dyDescent="0.3">
      <c r="A135" s="9"/>
      <c r="C135" s="1">
        <v>40</v>
      </c>
      <c r="D135" s="67">
        <v>1040</v>
      </c>
      <c r="E135" s="88"/>
      <c r="F135" s="310">
        <v>6.3E-2</v>
      </c>
      <c r="G135" s="67">
        <v>1250</v>
      </c>
      <c r="H135" s="88"/>
      <c r="I135" s="310">
        <v>6.3E-2</v>
      </c>
      <c r="J135" s="67">
        <v>3120</v>
      </c>
      <c r="K135" s="88"/>
      <c r="L135" s="311">
        <v>6.3E-2</v>
      </c>
      <c r="M135" s="67">
        <v>5720</v>
      </c>
      <c r="N135" s="88"/>
      <c r="O135" s="311">
        <v>8.4000000000000005E-2</v>
      </c>
      <c r="R135"/>
      <c r="V135"/>
    </row>
    <row r="136" spans="1:34" x14ac:dyDescent="0.3">
      <c r="A136" s="9"/>
      <c r="B136" s="9" t="s">
        <v>831</v>
      </c>
      <c r="C136" s="1">
        <v>40.1</v>
      </c>
      <c r="D136" s="69" t="s">
        <v>27</v>
      </c>
      <c r="E136" s="83">
        <v>20</v>
      </c>
      <c r="F136" s="316">
        <v>6.9000000000000006E-2</v>
      </c>
      <c r="G136" s="69" t="s">
        <v>27</v>
      </c>
      <c r="H136" s="83">
        <v>20</v>
      </c>
      <c r="I136" s="316">
        <v>6.9000000000000006E-2</v>
      </c>
      <c r="J136" s="69" t="s">
        <v>27</v>
      </c>
      <c r="K136" s="83">
        <v>32</v>
      </c>
      <c r="L136" s="317">
        <v>6.9000000000000006E-2</v>
      </c>
      <c r="M136" s="69" t="s">
        <v>27</v>
      </c>
      <c r="N136" s="83">
        <v>120</v>
      </c>
      <c r="O136" s="317">
        <v>9.1999999999999998E-2</v>
      </c>
      <c r="R136"/>
      <c r="V136"/>
    </row>
    <row r="137" spans="1:34" x14ac:dyDescent="0.3">
      <c r="A137" s="9"/>
      <c r="C137" s="1">
        <v>41</v>
      </c>
      <c r="D137" s="65">
        <v>1080</v>
      </c>
      <c r="E137" s="80"/>
      <c r="F137" s="308">
        <v>6.9800000000000001E-2</v>
      </c>
      <c r="G137" s="65">
        <v>1300</v>
      </c>
      <c r="H137" s="80"/>
      <c r="I137" s="308">
        <v>6.9800000000000001E-2</v>
      </c>
      <c r="J137" s="65">
        <v>3240</v>
      </c>
      <c r="K137" s="80"/>
      <c r="L137" s="309">
        <v>6.9800000000000001E-2</v>
      </c>
      <c r="M137" s="65">
        <v>5940</v>
      </c>
      <c r="N137" s="80"/>
      <c r="O137" s="309">
        <v>9.2999999999999999E-2</v>
      </c>
      <c r="R137"/>
      <c r="V137"/>
    </row>
    <row r="138" spans="1:34" x14ac:dyDescent="0.3">
      <c r="A138" s="9"/>
      <c r="C138" s="1">
        <v>42</v>
      </c>
      <c r="D138" s="67">
        <v>1120</v>
      </c>
      <c r="E138" s="88"/>
      <c r="F138" s="310">
        <v>7.0499999999999993E-2</v>
      </c>
      <c r="G138" s="67">
        <v>1350</v>
      </c>
      <c r="H138" s="88"/>
      <c r="I138" s="310">
        <v>7.0499999999999993E-2</v>
      </c>
      <c r="J138" s="67">
        <v>3360</v>
      </c>
      <c r="K138" s="88"/>
      <c r="L138" s="311">
        <v>7.0499999999999993E-2</v>
      </c>
      <c r="M138" s="67">
        <v>6160</v>
      </c>
      <c r="N138" s="88"/>
      <c r="O138" s="311">
        <v>9.4E-2</v>
      </c>
      <c r="R138"/>
      <c r="V138"/>
    </row>
    <row r="139" spans="1:34" x14ac:dyDescent="0.3">
      <c r="A139" s="9"/>
      <c r="C139" s="1">
        <v>43</v>
      </c>
      <c r="D139" s="67">
        <v>1160</v>
      </c>
      <c r="E139" s="88"/>
      <c r="F139" s="310">
        <v>7.1300000000000002E-2</v>
      </c>
      <c r="G139" s="67">
        <v>1400</v>
      </c>
      <c r="H139" s="88"/>
      <c r="I139" s="310">
        <v>7.1300000000000002E-2</v>
      </c>
      <c r="J139" s="67">
        <v>3480</v>
      </c>
      <c r="K139" s="88"/>
      <c r="L139" s="311">
        <v>7.1300000000000002E-2</v>
      </c>
      <c r="M139" s="67">
        <v>6380</v>
      </c>
      <c r="N139" s="88"/>
      <c r="O139" s="311">
        <v>9.5000000000000001E-2</v>
      </c>
      <c r="R139"/>
      <c r="V139"/>
    </row>
    <row r="140" spans="1:34" x14ac:dyDescent="0.3">
      <c r="A140" s="9"/>
      <c r="C140" s="1">
        <v>44</v>
      </c>
      <c r="D140" s="67">
        <v>1200</v>
      </c>
      <c r="E140" s="88"/>
      <c r="F140" s="310">
        <v>7.1999999999999995E-2</v>
      </c>
      <c r="G140" s="67">
        <v>1440</v>
      </c>
      <c r="H140" s="88"/>
      <c r="I140" s="310">
        <v>7.1999999999999995E-2</v>
      </c>
      <c r="J140" s="67">
        <v>3600</v>
      </c>
      <c r="K140" s="88"/>
      <c r="L140" s="311">
        <v>7.1999999999999995E-2</v>
      </c>
      <c r="M140" s="67">
        <v>6600</v>
      </c>
      <c r="N140" s="88"/>
      <c r="O140" s="311">
        <v>9.6000000000000002E-2</v>
      </c>
      <c r="R140"/>
      <c r="V140"/>
    </row>
    <row r="141" spans="1:34" x14ac:dyDescent="0.3">
      <c r="A141" s="9"/>
      <c r="C141" s="1">
        <v>45</v>
      </c>
      <c r="D141" s="67">
        <v>1240</v>
      </c>
      <c r="E141" s="88"/>
      <c r="F141" s="310">
        <v>7.2800000000000004E-2</v>
      </c>
      <c r="G141" s="67">
        <v>1490</v>
      </c>
      <c r="H141" s="88"/>
      <c r="I141" s="310">
        <v>7.2800000000000004E-2</v>
      </c>
      <c r="J141" s="67">
        <v>3720</v>
      </c>
      <c r="K141" s="88"/>
      <c r="L141" s="311">
        <v>7.2800000000000004E-2</v>
      </c>
      <c r="M141" s="67">
        <v>6820</v>
      </c>
      <c r="N141" s="88"/>
      <c r="O141" s="311">
        <v>9.7000000000000003E-2</v>
      </c>
      <c r="R141"/>
      <c r="V141"/>
    </row>
    <row r="142" spans="1:34" x14ac:dyDescent="0.3">
      <c r="A142" s="9"/>
      <c r="C142" s="1">
        <v>46</v>
      </c>
      <c r="D142" s="67">
        <v>1280</v>
      </c>
      <c r="E142" s="88"/>
      <c r="F142" s="310">
        <v>7.3499999999999996E-2</v>
      </c>
      <c r="G142" s="67">
        <v>1540</v>
      </c>
      <c r="H142" s="88"/>
      <c r="I142" s="310">
        <v>7.3499999999999996E-2</v>
      </c>
      <c r="J142" s="67">
        <v>3840</v>
      </c>
      <c r="K142" s="88"/>
      <c r="L142" s="311">
        <v>7.3499999999999996E-2</v>
      </c>
      <c r="M142" s="67">
        <v>7040</v>
      </c>
      <c r="N142" s="88"/>
      <c r="O142" s="311">
        <v>9.8000000000000004E-2</v>
      </c>
      <c r="R142"/>
      <c r="V142"/>
    </row>
    <row r="143" spans="1:34" x14ac:dyDescent="0.3">
      <c r="A143" s="9"/>
      <c r="C143" s="1">
        <v>47</v>
      </c>
      <c r="D143" s="67">
        <v>1320</v>
      </c>
      <c r="E143" s="88"/>
      <c r="F143" s="310">
        <v>7.4300000000000005E-2</v>
      </c>
      <c r="G143" s="67">
        <v>1590</v>
      </c>
      <c r="H143" s="88"/>
      <c r="I143" s="310">
        <v>7.4300000000000005E-2</v>
      </c>
      <c r="J143" s="67">
        <v>3960</v>
      </c>
      <c r="K143" s="88"/>
      <c r="L143" s="311">
        <v>7.4300000000000005E-2</v>
      </c>
      <c r="M143" s="67">
        <v>7260</v>
      </c>
      <c r="N143" s="88"/>
      <c r="O143" s="311">
        <v>9.9000000000000005E-2</v>
      </c>
      <c r="R143"/>
      <c r="V143"/>
    </row>
    <row r="144" spans="1:34" x14ac:dyDescent="0.3">
      <c r="A144" s="9"/>
      <c r="C144" s="1">
        <v>48</v>
      </c>
      <c r="D144" s="67">
        <v>1360</v>
      </c>
      <c r="E144" s="88"/>
      <c r="F144" s="310">
        <v>7.4999999999999997E-2</v>
      </c>
      <c r="G144" s="67">
        <v>1640</v>
      </c>
      <c r="H144" s="88"/>
      <c r="I144" s="310">
        <v>7.4999999999999997E-2</v>
      </c>
      <c r="J144" s="67">
        <v>4080</v>
      </c>
      <c r="K144" s="88"/>
      <c r="L144" s="311">
        <v>7.4999999999999997E-2</v>
      </c>
      <c r="M144" s="67">
        <v>7480</v>
      </c>
      <c r="N144" s="88"/>
      <c r="O144" s="311">
        <v>0.1</v>
      </c>
      <c r="R144"/>
      <c r="V144"/>
    </row>
    <row r="145" spans="1:22" x14ac:dyDescent="0.3">
      <c r="A145" s="9"/>
      <c r="C145" s="1">
        <v>49</v>
      </c>
      <c r="D145" s="67">
        <v>1400</v>
      </c>
      <c r="E145" s="88"/>
      <c r="F145" s="310">
        <v>7.5800000000000006E-2</v>
      </c>
      <c r="G145" s="67">
        <v>1680</v>
      </c>
      <c r="H145" s="88"/>
      <c r="I145" s="310">
        <v>7.5800000000000006E-2</v>
      </c>
      <c r="J145" s="67">
        <v>4200</v>
      </c>
      <c r="K145" s="88"/>
      <c r="L145" s="311">
        <v>7.5800000000000006E-2</v>
      </c>
      <c r="M145" s="67">
        <v>7700</v>
      </c>
      <c r="N145" s="88"/>
      <c r="O145" s="311">
        <v>0.10100000000000001</v>
      </c>
      <c r="R145"/>
      <c r="V145"/>
    </row>
    <row r="146" spans="1:22" x14ac:dyDescent="0.3">
      <c r="A146" s="9"/>
      <c r="C146" s="1">
        <v>50</v>
      </c>
      <c r="D146" s="67">
        <v>1450</v>
      </c>
      <c r="E146" s="88"/>
      <c r="F146" s="310">
        <v>7.6499999999999999E-2</v>
      </c>
      <c r="G146" s="67">
        <v>1740</v>
      </c>
      <c r="H146" s="88"/>
      <c r="I146" s="310">
        <v>7.6499999999999999E-2</v>
      </c>
      <c r="J146" s="67">
        <v>4350</v>
      </c>
      <c r="K146" s="88"/>
      <c r="L146" s="311">
        <v>7.6499999999999999E-2</v>
      </c>
      <c r="M146" s="67">
        <v>7980</v>
      </c>
      <c r="N146" s="88"/>
      <c r="O146" s="311">
        <v>0.10199999999999999</v>
      </c>
      <c r="R146"/>
      <c r="V146"/>
    </row>
    <row r="147" spans="1:22" x14ac:dyDescent="0.3">
      <c r="A147" s="9"/>
      <c r="B147" s="9" t="s">
        <v>832</v>
      </c>
      <c r="C147" s="1">
        <v>50.1</v>
      </c>
      <c r="D147" s="69" t="s">
        <v>27</v>
      </c>
      <c r="E147" s="83">
        <v>25</v>
      </c>
      <c r="F147" s="316">
        <v>8.2500000000000004E-2</v>
      </c>
      <c r="G147" s="69" t="s">
        <v>27</v>
      </c>
      <c r="H147" s="83">
        <v>25</v>
      </c>
      <c r="I147" s="316">
        <v>8.2500000000000004E-2</v>
      </c>
      <c r="J147" s="69" t="s">
        <v>27</v>
      </c>
      <c r="K147" s="83">
        <v>40</v>
      </c>
      <c r="L147" s="317">
        <v>8.2500000000000004E-2</v>
      </c>
      <c r="M147" s="69" t="s">
        <v>27</v>
      </c>
      <c r="N147" s="83">
        <v>160</v>
      </c>
      <c r="O147" s="317">
        <v>0.11</v>
      </c>
      <c r="R147"/>
      <c r="V147"/>
    </row>
    <row r="148" spans="1:22" x14ac:dyDescent="0.3">
      <c r="A148" s="9"/>
      <c r="C148" s="1">
        <v>51</v>
      </c>
      <c r="D148" s="65">
        <v>1500</v>
      </c>
      <c r="E148" s="80"/>
      <c r="F148" s="308">
        <v>8.3299999999999999E-2</v>
      </c>
      <c r="G148" s="65">
        <v>1800</v>
      </c>
      <c r="H148" s="80"/>
      <c r="I148" s="309">
        <v>8.3299999999999999E-2</v>
      </c>
      <c r="J148" s="65">
        <v>4500</v>
      </c>
      <c r="K148" s="80"/>
      <c r="L148" s="309">
        <v>8.3299999999999999E-2</v>
      </c>
      <c r="M148" s="65">
        <v>8250</v>
      </c>
      <c r="N148" s="80"/>
      <c r="O148" s="309">
        <v>0.111</v>
      </c>
      <c r="R148"/>
      <c r="V148"/>
    </row>
    <row r="149" spans="1:22" x14ac:dyDescent="0.3">
      <c r="A149" s="9"/>
      <c r="C149" s="1">
        <v>52</v>
      </c>
      <c r="D149" s="67">
        <v>1550</v>
      </c>
      <c r="E149" s="88"/>
      <c r="F149" s="310">
        <v>8.4000000000000005E-2</v>
      </c>
      <c r="G149" s="67">
        <v>1860</v>
      </c>
      <c r="H149" s="88"/>
      <c r="I149" s="311">
        <v>8.4000000000000005E-2</v>
      </c>
      <c r="J149" s="67">
        <v>4650</v>
      </c>
      <c r="K149" s="88"/>
      <c r="L149" s="311">
        <v>8.4000000000000005E-2</v>
      </c>
      <c r="M149" s="67">
        <v>8530</v>
      </c>
      <c r="N149" s="88"/>
      <c r="O149" s="311">
        <v>0.112</v>
      </c>
      <c r="R149"/>
      <c r="V149"/>
    </row>
    <row r="150" spans="1:22" x14ac:dyDescent="0.3">
      <c r="A150" s="9"/>
      <c r="C150" s="1">
        <v>53</v>
      </c>
      <c r="D150" s="67">
        <v>1600</v>
      </c>
      <c r="E150" s="88"/>
      <c r="F150" s="310">
        <v>8.48E-2</v>
      </c>
      <c r="G150" s="67">
        <v>1920</v>
      </c>
      <c r="H150" s="88"/>
      <c r="I150" s="311">
        <v>8.48E-2</v>
      </c>
      <c r="J150" s="67">
        <v>4800</v>
      </c>
      <c r="K150" s="88"/>
      <c r="L150" s="311">
        <v>8.48E-2</v>
      </c>
      <c r="M150" s="67">
        <v>8800</v>
      </c>
      <c r="N150" s="88"/>
      <c r="O150" s="311">
        <v>0.113</v>
      </c>
      <c r="R150"/>
      <c r="V150"/>
    </row>
    <row r="151" spans="1:22" x14ac:dyDescent="0.3">
      <c r="A151" s="9"/>
      <c r="C151" s="1">
        <v>54</v>
      </c>
      <c r="D151" s="67">
        <v>1650</v>
      </c>
      <c r="E151" s="88"/>
      <c r="F151" s="310">
        <v>8.5500000000000007E-2</v>
      </c>
      <c r="G151" s="67">
        <v>1980</v>
      </c>
      <c r="H151" s="88"/>
      <c r="I151" s="311">
        <v>8.5500000000000007E-2</v>
      </c>
      <c r="J151" s="67">
        <v>4950</v>
      </c>
      <c r="K151" s="88"/>
      <c r="L151" s="311">
        <v>8.5500000000000007E-2</v>
      </c>
      <c r="M151" s="67">
        <v>9080</v>
      </c>
      <c r="N151" s="88"/>
      <c r="O151" s="311">
        <v>0.114</v>
      </c>
      <c r="Q151"/>
      <c r="R151"/>
      <c r="V151"/>
    </row>
    <row r="152" spans="1:22" x14ac:dyDescent="0.3">
      <c r="A152" s="9"/>
      <c r="C152" s="1">
        <v>55</v>
      </c>
      <c r="D152" s="67">
        <v>1700</v>
      </c>
      <c r="E152" s="88"/>
      <c r="F152" s="310">
        <v>8.6300000000000002E-2</v>
      </c>
      <c r="G152" s="67">
        <v>2040</v>
      </c>
      <c r="H152" s="88"/>
      <c r="I152" s="311">
        <v>8.6300000000000002E-2</v>
      </c>
      <c r="J152" s="67">
        <v>5100</v>
      </c>
      <c r="K152" s="88"/>
      <c r="L152" s="311">
        <v>8.6300000000000002E-2</v>
      </c>
      <c r="M152" s="67">
        <v>9350</v>
      </c>
      <c r="N152" s="88"/>
      <c r="O152" s="311">
        <v>0.115</v>
      </c>
      <c r="R152"/>
      <c r="V152"/>
    </row>
    <row r="153" spans="1:22" x14ac:dyDescent="0.3">
      <c r="A153" s="9"/>
      <c r="C153" s="1">
        <v>56</v>
      </c>
      <c r="D153" s="67">
        <v>1750</v>
      </c>
      <c r="E153" s="88"/>
      <c r="F153" s="310">
        <v>8.6999999999999994E-2</v>
      </c>
      <c r="G153" s="67">
        <v>2100</v>
      </c>
      <c r="H153" s="88"/>
      <c r="I153" s="311">
        <v>8.6999999999999994E-2</v>
      </c>
      <c r="J153" s="67">
        <v>5250</v>
      </c>
      <c r="K153" s="88"/>
      <c r="L153" s="311">
        <v>8.6999999999999994E-2</v>
      </c>
      <c r="M153" s="67">
        <v>9630</v>
      </c>
      <c r="N153" s="88"/>
      <c r="O153" s="311">
        <v>0.11600000000000001</v>
      </c>
      <c r="R153"/>
      <c r="V153"/>
    </row>
    <row r="154" spans="1:22" x14ac:dyDescent="0.3">
      <c r="A154" s="9"/>
      <c r="C154" s="1">
        <v>57</v>
      </c>
      <c r="D154" s="67">
        <v>1800</v>
      </c>
      <c r="E154" s="88"/>
      <c r="F154" s="310">
        <v>8.7800000000000003E-2</v>
      </c>
      <c r="G154" s="67">
        <v>2160</v>
      </c>
      <c r="H154" s="88"/>
      <c r="I154" s="311">
        <v>8.7800000000000003E-2</v>
      </c>
      <c r="J154" s="67">
        <v>5400</v>
      </c>
      <c r="K154" s="88"/>
      <c r="L154" s="311">
        <v>8.7800000000000003E-2</v>
      </c>
      <c r="M154" s="67">
        <v>9900</v>
      </c>
      <c r="N154" s="88"/>
      <c r="O154" s="311">
        <v>0.11700000000000001</v>
      </c>
      <c r="R154"/>
      <c r="V154"/>
    </row>
    <row r="155" spans="1:22" x14ac:dyDescent="0.3">
      <c r="A155" s="9"/>
      <c r="C155" s="1">
        <v>58</v>
      </c>
      <c r="D155" s="67">
        <v>1850</v>
      </c>
      <c r="E155" s="88"/>
      <c r="F155" s="310">
        <v>8.8499999999999995E-2</v>
      </c>
      <c r="G155" s="67">
        <v>2220</v>
      </c>
      <c r="H155" s="88"/>
      <c r="I155" s="311">
        <v>8.8499999999999995E-2</v>
      </c>
      <c r="J155" s="67">
        <v>5550</v>
      </c>
      <c r="K155" s="88"/>
      <c r="L155" s="311">
        <v>8.8499999999999995E-2</v>
      </c>
      <c r="M155" s="67">
        <v>10180</v>
      </c>
      <c r="N155" s="88"/>
      <c r="O155" s="311">
        <v>0.11799999999999999</v>
      </c>
      <c r="R155"/>
      <c r="V155"/>
    </row>
    <row r="156" spans="1:22" x14ac:dyDescent="0.3">
      <c r="A156" s="9"/>
      <c r="C156" s="1">
        <v>59</v>
      </c>
      <c r="D156" s="67">
        <v>1900</v>
      </c>
      <c r="E156" s="88"/>
      <c r="F156" s="310">
        <v>8.9300000000000004E-2</v>
      </c>
      <c r="G156" s="67">
        <v>2280</v>
      </c>
      <c r="H156" s="88"/>
      <c r="I156" s="311">
        <v>8.9300000000000004E-2</v>
      </c>
      <c r="J156" s="67">
        <v>5700</v>
      </c>
      <c r="K156" s="88"/>
      <c r="L156" s="311">
        <v>8.9300000000000004E-2</v>
      </c>
      <c r="M156" s="67">
        <v>10450</v>
      </c>
      <c r="N156" s="88"/>
      <c r="O156" s="311">
        <v>0.11899999999999999</v>
      </c>
      <c r="R156"/>
      <c r="V156"/>
    </row>
    <row r="157" spans="1:22" x14ac:dyDescent="0.3">
      <c r="A157" s="9"/>
      <c r="C157" s="1">
        <v>60</v>
      </c>
      <c r="D157" s="67">
        <v>1950</v>
      </c>
      <c r="E157" s="88"/>
      <c r="F157" s="310">
        <v>0.09</v>
      </c>
      <c r="G157" s="67">
        <v>2340</v>
      </c>
      <c r="H157" s="88"/>
      <c r="I157" s="311">
        <v>0.09</v>
      </c>
      <c r="J157" s="67">
        <v>5850</v>
      </c>
      <c r="K157" s="88"/>
      <c r="L157" s="311">
        <v>0.09</v>
      </c>
      <c r="M157" s="67">
        <v>10730</v>
      </c>
      <c r="N157" s="88"/>
      <c r="O157" s="311">
        <v>0.12</v>
      </c>
      <c r="R157"/>
      <c r="V157"/>
    </row>
    <row r="158" spans="1:22" x14ac:dyDescent="0.3">
      <c r="A158" s="9"/>
      <c r="B158" s="9" t="s">
        <v>833</v>
      </c>
      <c r="C158" s="1">
        <v>60.1</v>
      </c>
      <c r="D158" s="69" t="s">
        <v>27</v>
      </c>
      <c r="E158" s="83">
        <v>30</v>
      </c>
      <c r="F158" s="316">
        <v>9.6000000000000002E-2</v>
      </c>
      <c r="G158" s="69" t="s">
        <v>27</v>
      </c>
      <c r="H158" s="83">
        <v>30</v>
      </c>
      <c r="I158" s="317">
        <v>9.6000000000000002E-2</v>
      </c>
      <c r="J158" s="69" t="s">
        <v>27</v>
      </c>
      <c r="K158" s="83">
        <v>48</v>
      </c>
      <c r="L158" s="317">
        <v>9.6000000000000002E-2</v>
      </c>
      <c r="M158" s="69" t="s">
        <v>27</v>
      </c>
      <c r="N158" s="83">
        <v>200</v>
      </c>
      <c r="O158" s="317">
        <v>0.128</v>
      </c>
      <c r="R158"/>
      <c r="V158"/>
    </row>
    <row r="159" spans="1:22" x14ac:dyDescent="0.3">
      <c r="A159" s="9"/>
      <c r="C159" s="1">
        <v>61</v>
      </c>
      <c r="D159" s="65">
        <v>2000</v>
      </c>
      <c r="E159" s="80"/>
      <c r="F159" s="308">
        <v>9.6799999999999997E-2</v>
      </c>
      <c r="G159" s="65">
        <v>2400</v>
      </c>
      <c r="H159" s="80"/>
      <c r="I159" s="309">
        <v>9.6799999999999997E-2</v>
      </c>
      <c r="J159" s="65">
        <v>6000</v>
      </c>
      <c r="K159" s="80"/>
      <c r="L159" s="309">
        <v>9.6799999999999997E-2</v>
      </c>
      <c r="M159" s="65">
        <v>11000</v>
      </c>
      <c r="N159" s="80"/>
      <c r="O159" s="309">
        <v>0.129</v>
      </c>
      <c r="P159" s="289"/>
      <c r="R159"/>
      <c r="V159"/>
    </row>
    <row r="160" spans="1:22" x14ac:dyDescent="0.3">
      <c r="A160" s="9"/>
      <c r="C160" s="1">
        <v>62</v>
      </c>
      <c r="D160" s="67">
        <v>2050</v>
      </c>
      <c r="E160" s="88"/>
      <c r="F160" s="310">
        <v>9.7500000000000003E-2</v>
      </c>
      <c r="G160" s="67">
        <v>2460</v>
      </c>
      <c r="H160" s="88"/>
      <c r="I160" s="311">
        <v>9.7500000000000003E-2</v>
      </c>
      <c r="J160" s="67">
        <v>6150</v>
      </c>
      <c r="K160" s="88"/>
      <c r="L160" s="311">
        <v>9.7500000000000003E-2</v>
      </c>
      <c r="M160" s="67">
        <v>11280</v>
      </c>
      <c r="N160" s="88"/>
      <c r="O160" s="311">
        <v>0.13</v>
      </c>
      <c r="P160" s="288"/>
      <c r="R160"/>
      <c r="V160"/>
    </row>
    <row r="161" spans="1:22" x14ac:dyDescent="0.3">
      <c r="A161" s="9"/>
      <c r="C161" s="1">
        <v>63</v>
      </c>
      <c r="D161" s="67">
        <v>2100</v>
      </c>
      <c r="E161" s="88"/>
      <c r="F161" s="310">
        <v>9.8299999999999998E-2</v>
      </c>
      <c r="G161" s="67">
        <v>2520</v>
      </c>
      <c r="H161" s="88"/>
      <c r="I161" s="311">
        <v>9.8299999999999998E-2</v>
      </c>
      <c r="J161" s="67">
        <v>6300</v>
      </c>
      <c r="K161" s="88"/>
      <c r="L161" s="311">
        <v>9.8299999999999998E-2</v>
      </c>
      <c r="M161" s="67">
        <v>11560</v>
      </c>
      <c r="N161" s="88"/>
      <c r="O161" s="311">
        <v>0.13100000000000001</v>
      </c>
      <c r="P161" s="288"/>
      <c r="R161"/>
      <c r="V161"/>
    </row>
    <row r="162" spans="1:22" x14ac:dyDescent="0.3">
      <c r="A162" s="9"/>
      <c r="C162" s="1">
        <v>64</v>
      </c>
      <c r="D162" s="67">
        <v>2150</v>
      </c>
      <c r="E162" s="88"/>
      <c r="F162" s="310">
        <v>9.9000000000000005E-2</v>
      </c>
      <c r="G162" s="67">
        <v>2580</v>
      </c>
      <c r="H162" s="88"/>
      <c r="I162" s="311">
        <v>9.9000000000000005E-2</v>
      </c>
      <c r="J162" s="67">
        <v>6450</v>
      </c>
      <c r="K162" s="88"/>
      <c r="L162" s="311">
        <v>9.9000000000000005E-2</v>
      </c>
      <c r="M162" s="67">
        <v>11830</v>
      </c>
      <c r="N162" s="88"/>
      <c r="O162" s="311">
        <v>0.13200000000000001</v>
      </c>
      <c r="P162" s="288"/>
      <c r="R162"/>
      <c r="V162"/>
    </row>
    <row r="163" spans="1:22" x14ac:dyDescent="0.3">
      <c r="A163" s="9"/>
      <c r="C163" s="1">
        <v>65</v>
      </c>
      <c r="D163" s="67">
        <v>2200</v>
      </c>
      <c r="E163" s="88"/>
      <c r="F163" s="310">
        <v>9.98E-2</v>
      </c>
      <c r="G163" s="67">
        <v>2640</v>
      </c>
      <c r="H163" s="88"/>
      <c r="I163" s="311">
        <v>9.98E-2</v>
      </c>
      <c r="J163" s="67">
        <v>6600</v>
      </c>
      <c r="K163" s="88"/>
      <c r="L163" s="311">
        <v>9.98E-2</v>
      </c>
      <c r="M163" s="67">
        <v>12110</v>
      </c>
      <c r="N163" s="88"/>
      <c r="O163" s="311">
        <v>0.13300000000000001</v>
      </c>
      <c r="P163" s="288"/>
      <c r="R163"/>
      <c r="V163"/>
    </row>
    <row r="164" spans="1:22" x14ac:dyDescent="0.3">
      <c r="A164" s="9"/>
      <c r="C164" s="1">
        <v>66</v>
      </c>
      <c r="D164" s="67">
        <v>2250</v>
      </c>
      <c r="E164" s="88"/>
      <c r="F164" s="310">
        <v>0.10050000000000001</v>
      </c>
      <c r="G164" s="67">
        <v>2700</v>
      </c>
      <c r="H164" s="88"/>
      <c r="I164" s="311">
        <v>0.10050000000000001</v>
      </c>
      <c r="J164" s="67">
        <v>6750</v>
      </c>
      <c r="K164" s="88"/>
      <c r="L164" s="311">
        <v>0.10050000000000001</v>
      </c>
      <c r="M164" s="67">
        <v>12380</v>
      </c>
      <c r="N164" s="88"/>
      <c r="O164" s="311">
        <v>0.13400000000000001</v>
      </c>
      <c r="P164" s="288"/>
      <c r="R164"/>
      <c r="V164"/>
    </row>
    <row r="165" spans="1:22" x14ac:dyDescent="0.3">
      <c r="A165" s="9"/>
      <c r="C165" s="1">
        <v>67</v>
      </c>
      <c r="D165" s="67">
        <v>2300</v>
      </c>
      <c r="E165" s="88"/>
      <c r="F165" s="310">
        <v>0.1013</v>
      </c>
      <c r="G165" s="67">
        <v>2760</v>
      </c>
      <c r="H165" s="88"/>
      <c r="I165" s="311">
        <v>0.1013</v>
      </c>
      <c r="J165" s="67">
        <v>6900</v>
      </c>
      <c r="K165" s="88"/>
      <c r="L165" s="311">
        <v>0.1013</v>
      </c>
      <c r="M165" s="67">
        <v>12660</v>
      </c>
      <c r="N165" s="88"/>
      <c r="O165" s="311">
        <v>0.13500000000000001</v>
      </c>
      <c r="P165" s="288"/>
      <c r="R165"/>
      <c r="V165"/>
    </row>
    <row r="166" spans="1:22" x14ac:dyDescent="0.3">
      <c r="A166" s="9"/>
      <c r="C166" s="1">
        <v>68</v>
      </c>
      <c r="D166" s="67">
        <v>2350</v>
      </c>
      <c r="E166" s="88"/>
      <c r="F166" s="310">
        <v>0.10199999999999999</v>
      </c>
      <c r="G166" s="67">
        <v>2820</v>
      </c>
      <c r="H166" s="88"/>
      <c r="I166" s="311">
        <v>0.10199999999999999</v>
      </c>
      <c r="J166" s="67">
        <v>7050</v>
      </c>
      <c r="K166" s="88"/>
      <c r="L166" s="311">
        <v>0.10199999999999999</v>
      </c>
      <c r="M166" s="67">
        <v>12930</v>
      </c>
      <c r="N166" s="88"/>
      <c r="O166" s="311">
        <v>0.13600000000000001</v>
      </c>
      <c r="P166" s="288"/>
      <c r="Q166"/>
      <c r="R166"/>
      <c r="V166"/>
    </row>
    <row r="167" spans="1:22" x14ac:dyDescent="0.3">
      <c r="A167" s="9"/>
      <c r="C167" s="1">
        <v>69</v>
      </c>
      <c r="D167" s="67">
        <v>2400</v>
      </c>
      <c r="E167" s="88"/>
      <c r="F167" s="310">
        <v>0.1028</v>
      </c>
      <c r="G167" s="67">
        <v>2880</v>
      </c>
      <c r="H167" s="88"/>
      <c r="I167" s="311">
        <v>0.1028</v>
      </c>
      <c r="J167" s="67">
        <v>7200</v>
      </c>
      <c r="K167" s="88"/>
      <c r="L167" s="311">
        <v>0.1028</v>
      </c>
      <c r="M167" s="67">
        <v>13210</v>
      </c>
      <c r="N167" s="88"/>
      <c r="O167" s="311">
        <v>0.13700000000000001</v>
      </c>
      <c r="Q167"/>
      <c r="R167"/>
      <c r="V167"/>
    </row>
    <row r="168" spans="1:22" x14ac:dyDescent="0.3">
      <c r="A168" s="9"/>
      <c r="C168" s="1">
        <v>70</v>
      </c>
      <c r="D168" s="67">
        <v>2450</v>
      </c>
      <c r="E168" s="88"/>
      <c r="F168" s="310">
        <v>0.10349999999999999</v>
      </c>
      <c r="G168" s="67">
        <v>2940</v>
      </c>
      <c r="H168" s="88"/>
      <c r="I168" s="311">
        <v>0.10349999999999999</v>
      </c>
      <c r="J168" s="67">
        <v>7350</v>
      </c>
      <c r="K168" s="88"/>
      <c r="L168" s="311">
        <v>0.10349999999999999</v>
      </c>
      <c r="M168" s="67">
        <v>13480</v>
      </c>
      <c r="N168" s="88"/>
      <c r="O168" s="311">
        <v>0.13800000000000001</v>
      </c>
      <c r="Q168"/>
      <c r="R168"/>
      <c r="V168"/>
    </row>
    <row r="169" spans="1:22" x14ac:dyDescent="0.3">
      <c r="A169" s="9"/>
      <c r="B169" s="9" t="s">
        <v>834</v>
      </c>
      <c r="C169" s="1">
        <v>70.099999999999994</v>
      </c>
      <c r="D169" s="69" t="s">
        <v>27</v>
      </c>
      <c r="E169" s="83">
        <v>35</v>
      </c>
      <c r="F169" s="316">
        <v>0.1095</v>
      </c>
      <c r="G169" s="69" t="s">
        <v>27</v>
      </c>
      <c r="H169" s="83">
        <v>35</v>
      </c>
      <c r="I169" s="317">
        <v>0.1095</v>
      </c>
      <c r="J169" s="69" t="s">
        <v>27</v>
      </c>
      <c r="K169" s="83">
        <v>56</v>
      </c>
      <c r="L169" s="317">
        <v>0.1095</v>
      </c>
      <c r="M169" s="69" t="s">
        <v>27</v>
      </c>
      <c r="N169" s="83">
        <v>240</v>
      </c>
      <c r="O169" s="317">
        <v>0.14599999999999999</v>
      </c>
      <c r="Q169"/>
      <c r="R169"/>
      <c r="V169"/>
    </row>
    <row r="170" spans="1:22" x14ac:dyDescent="0.3">
      <c r="A170" s="9"/>
      <c r="C170" s="1">
        <v>71</v>
      </c>
      <c r="D170" s="65">
        <v>2500</v>
      </c>
      <c r="E170" s="80"/>
      <c r="F170" s="308">
        <v>0.1103</v>
      </c>
      <c r="G170" s="65">
        <v>3000</v>
      </c>
      <c r="H170" s="80"/>
      <c r="I170" s="309">
        <v>0.1103</v>
      </c>
      <c r="J170" s="65">
        <v>7500</v>
      </c>
      <c r="K170" s="80"/>
      <c r="L170" s="309">
        <v>0.1103</v>
      </c>
      <c r="M170" s="65">
        <v>13750</v>
      </c>
      <c r="N170" s="80"/>
      <c r="O170" s="309">
        <v>0.14699999999999999</v>
      </c>
      <c r="Q170"/>
      <c r="R170"/>
      <c r="V170"/>
    </row>
    <row r="171" spans="1:22" x14ac:dyDescent="0.3">
      <c r="A171" s="9"/>
      <c r="C171" s="1">
        <v>72</v>
      </c>
      <c r="D171" s="67">
        <v>2550</v>
      </c>
      <c r="E171" s="88"/>
      <c r="F171" s="310">
        <v>0.111</v>
      </c>
      <c r="G171" s="67">
        <v>3060</v>
      </c>
      <c r="H171" s="88"/>
      <c r="I171" s="311">
        <v>0.111</v>
      </c>
      <c r="J171" s="67">
        <v>7650</v>
      </c>
      <c r="K171" s="88"/>
      <c r="L171" s="311">
        <v>0.111</v>
      </c>
      <c r="M171" s="67">
        <v>14030</v>
      </c>
      <c r="N171" s="88"/>
      <c r="O171" s="311">
        <v>0.14799999999999999</v>
      </c>
      <c r="Q171"/>
      <c r="R171"/>
      <c r="V171"/>
    </row>
    <row r="172" spans="1:22" x14ac:dyDescent="0.3">
      <c r="A172" s="9"/>
      <c r="C172" s="1">
        <v>73</v>
      </c>
      <c r="D172" s="67">
        <v>2600</v>
      </c>
      <c r="E172" s="88"/>
      <c r="F172" s="310">
        <v>0.1118</v>
      </c>
      <c r="G172" s="67">
        <v>3120</v>
      </c>
      <c r="H172" s="88"/>
      <c r="I172" s="311">
        <v>0.1118</v>
      </c>
      <c r="J172" s="67">
        <v>7800</v>
      </c>
      <c r="K172" s="88"/>
      <c r="L172" s="311">
        <v>0.1118</v>
      </c>
      <c r="M172" s="67">
        <v>14300</v>
      </c>
      <c r="N172" s="88"/>
      <c r="O172" s="311">
        <v>0.14899999999999999</v>
      </c>
      <c r="Q172"/>
      <c r="R172"/>
      <c r="V172"/>
    </row>
    <row r="173" spans="1:22" x14ac:dyDescent="0.3">
      <c r="A173" s="9"/>
      <c r="C173" s="1">
        <v>74</v>
      </c>
      <c r="D173" s="67">
        <v>2650</v>
      </c>
      <c r="E173" s="88"/>
      <c r="F173" s="310">
        <v>0.1125</v>
      </c>
      <c r="G173" s="67">
        <v>3180</v>
      </c>
      <c r="H173" s="88"/>
      <c r="I173" s="311">
        <v>0.1125</v>
      </c>
      <c r="J173" s="67">
        <v>7950</v>
      </c>
      <c r="K173" s="88"/>
      <c r="L173" s="311">
        <v>0.1125</v>
      </c>
      <c r="M173" s="67">
        <v>14580</v>
      </c>
      <c r="N173" s="88"/>
      <c r="O173" s="311">
        <v>0.15</v>
      </c>
      <c r="Q173"/>
      <c r="R173"/>
      <c r="V173"/>
    </row>
    <row r="174" spans="1:22" x14ac:dyDescent="0.3">
      <c r="A174" s="9"/>
      <c r="C174" s="1">
        <v>75</v>
      </c>
      <c r="D174" s="67">
        <v>2700</v>
      </c>
      <c r="E174" s="88"/>
      <c r="F174" s="310">
        <v>0.1133</v>
      </c>
      <c r="G174" s="67">
        <v>3240</v>
      </c>
      <c r="H174" s="88"/>
      <c r="I174" s="311">
        <v>0.1133</v>
      </c>
      <c r="J174" s="67">
        <v>8100</v>
      </c>
      <c r="K174" s="88"/>
      <c r="L174" s="311">
        <v>0.1133</v>
      </c>
      <c r="M174" s="67">
        <v>14850</v>
      </c>
      <c r="N174" s="88"/>
      <c r="O174" s="311">
        <v>0.151</v>
      </c>
      <c r="Q174"/>
      <c r="R174"/>
      <c r="V174"/>
    </row>
    <row r="175" spans="1:22" x14ac:dyDescent="0.3">
      <c r="A175" s="9"/>
      <c r="C175" s="1">
        <v>76</v>
      </c>
      <c r="D175" s="67">
        <v>2750</v>
      </c>
      <c r="E175" s="88"/>
      <c r="F175" s="310">
        <v>0.114</v>
      </c>
      <c r="G175" s="67">
        <v>3300</v>
      </c>
      <c r="H175" s="88"/>
      <c r="I175" s="311">
        <v>0.114</v>
      </c>
      <c r="J175" s="67">
        <v>8250</v>
      </c>
      <c r="K175" s="88"/>
      <c r="L175" s="311">
        <v>0.114</v>
      </c>
      <c r="M175" s="67">
        <v>15130</v>
      </c>
      <c r="N175" s="88"/>
      <c r="O175" s="311">
        <v>0.152</v>
      </c>
      <c r="Q175"/>
      <c r="R175"/>
      <c r="V175"/>
    </row>
    <row r="176" spans="1:22" x14ac:dyDescent="0.3">
      <c r="A176" s="9"/>
      <c r="C176" s="1">
        <v>77</v>
      </c>
      <c r="D176" s="67">
        <v>2800</v>
      </c>
      <c r="E176" s="88"/>
      <c r="F176" s="310">
        <v>0.1148</v>
      </c>
      <c r="G176" s="67">
        <v>3360</v>
      </c>
      <c r="H176" s="88"/>
      <c r="I176" s="311">
        <v>0.1148</v>
      </c>
      <c r="J176" s="67">
        <v>8400</v>
      </c>
      <c r="K176" s="88"/>
      <c r="L176" s="311">
        <v>0.1148</v>
      </c>
      <c r="M176" s="67">
        <v>15400</v>
      </c>
      <c r="N176" s="88"/>
      <c r="O176" s="311">
        <v>0.153</v>
      </c>
      <c r="Q176"/>
      <c r="R176"/>
      <c r="V176"/>
    </row>
    <row r="177" spans="1:22" x14ac:dyDescent="0.3">
      <c r="A177" s="9"/>
      <c r="C177" s="1">
        <v>78</v>
      </c>
      <c r="D177" s="67">
        <v>2850</v>
      </c>
      <c r="E177" s="88"/>
      <c r="F177" s="310">
        <v>0.11550000000000001</v>
      </c>
      <c r="G177" s="67">
        <v>3420</v>
      </c>
      <c r="H177" s="88"/>
      <c r="I177" s="311">
        <v>0.11550000000000001</v>
      </c>
      <c r="J177" s="67">
        <v>8550</v>
      </c>
      <c r="K177" s="88"/>
      <c r="L177" s="311">
        <v>0.11550000000000001</v>
      </c>
      <c r="M177" s="67">
        <v>15680</v>
      </c>
      <c r="N177" s="88"/>
      <c r="O177" s="311">
        <v>0.154</v>
      </c>
      <c r="Q177"/>
      <c r="R177"/>
      <c r="V177"/>
    </row>
    <row r="178" spans="1:22" x14ac:dyDescent="0.3">
      <c r="A178" s="9"/>
      <c r="C178" s="1">
        <v>79</v>
      </c>
      <c r="D178" s="67">
        <v>2900</v>
      </c>
      <c r="E178" s="88"/>
      <c r="F178" s="310">
        <v>0.1163</v>
      </c>
      <c r="G178" s="67">
        <v>3480</v>
      </c>
      <c r="H178" s="88"/>
      <c r="I178" s="311">
        <v>0.1163</v>
      </c>
      <c r="J178" s="67">
        <v>8700</v>
      </c>
      <c r="K178" s="88"/>
      <c r="L178" s="311">
        <v>0.1163</v>
      </c>
      <c r="M178" s="67">
        <v>15950</v>
      </c>
      <c r="N178" s="88"/>
      <c r="O178" s="311">
        <v>0.155</v>
      </c>
      <c r="Q178"/>
      <c r="R178"/>
      <c r="V178"/>
    </row>
    <row r="179" spans="1:22" x14ac:dyDescent="0.3">
      <c r="A179" s="9"/>
      <c r="C179" s="1">
        <v>80</v>
      </c>
      <c r="D179" s="67">
        <v>2950</v>
      </c>
      <c r="E179" s="88"/>
      <c r="F179" s="310">
        <v>0.11700000000000001</v>
      </c>
      <c r="G179" s="67">
        <v>3540</v>
      </c>
      <c r="H179" s="88"/>
      <c r="I179" s="311">
        <v>0.11700000000000001</v>
      </c>
      <c r="J179" s="67">
        <v>8850</v>
      </c>
      <c r="K179" s="88"/>
      <c r="L179" s="311">
        <v>0.11700000000000001</v>
      </c>
      <c r="M179" s="67">
        <v>16230</v>
      </c>
      <c r="N179" s="88"/>
      <c r="O179" s="311">
        <v>0.156</v>
      </c>
      <c r="Q179"/>
      <c r="R179"/>
      <c r="V179"/>
    </row>
    <row r="180" spans="1:22" x14ac:dyDescent="0.3">
      <c r="A180" s="9"/>
      <c r="B180" s="9" t="s">
        <v>835</v>
      </c>
      <c r="C180" s="1">
        <v>80.099999999999994</v>
      </c>
      <c r="D180" s="69" t="s">
        <v>27</v>
      </c>
      <c r="E180" s="83">
        <v>40</v>
      </c>
      <c r="F180" s="316">
        <v>0.123</v>
      </c>
      <c r="G180" s="69" t="s">
        <v>27</v>
      </c>
      <c r="H180" s="83">
        <v>40</v>
      </c>
      <c r="I180" s="317">
        <v>0.123</v>
      </c>
      <c r="J180" s="69" t="s">
        <v>27</v>
      </c>
      <c r="K180" s="83">
        <v>64</v>
      </c>
      <c r="L180" s="317">
        <v>0.123</v>
      </c>
      <c r="M180" s="69" t="s">
        <v>27</v>
      </c>
      <c r="N180" s="83">
        <v>280</v>
      </c>
      <c r="O180" s="317">
        <v>0.16400000000000001</v>
      </c>
      <c r="Q180"/>
      <c r="R180"/>
      <c r="V180"/>
    </row>
    <row r="181" spans="1:22" x14ac:dyDescent="0.3">
      <c r="A181" s="9"/>
      <c r="C181" s="1">
        <v>81</v>
      </c>
      <c r="D181" s="65">
        <v>3000</v>
      </c>
      <c r="E181" s="80"/>
      <c r="F181" s="308">
        <v>0.12379999999999999</v>
      </c>
      <c r="G181" s="65">
        <v>3600</v>
      </c>
      <c r="H181" s="80"/>
      <c r="I181" s="309">
        <v>0.12379999999999999</v>
      </c>
      <c r="J181" s="65">
        <v>9000</v>
      </c>
      <c r="K181" s="80"/>
      <c r="L181" s="309">
        <v>0.12379999999999999</v>
      </c>
      <c r="M181" s="65">
        <v>16500</v>
      </c>
      <c r="N181" s="80"/>
      <c r="O181" s="309">
        <v>0.16500000000000001</v>
      </c>
      <c r="Q181"/>
      <c r="R181"/>
      <c r="V181"/>
    </row>
    <row r="182" spans="1:22" x14ac:dyDescent="0.3">
      <c r="A182" s="9"/>
      <c r="C182" s="1">
        <v>82</v>
      </c>
      <c r="D182" s="67">
        <v>3050</v>
      </c>
      <c r="E182" s="88"/>
      <c r="F182" s="310">
        <v>0.1245</v>
      </c>
      <c r="G182" s="67">
        <v>3660</v>
      </c>
      <c r="H182" s="88"/>
      <c r="I182" s="311">
        <v>0.1245</v>
      </c>
      <c r="J182" s="67">
        <v>9150</v>
      </c>
      <c r="K182" s="88"/>
      <c r="L182" s="311">
        <v>0.1245</v>
      </c>
      <c r="M182" s="67">
        <v>16780</v>
      </c>
      <c r="N182" s="88"/>
      <c r="O182" s="311">
        <v>0.16600000000000001</v>
      </c>
      <c r="Q182"/>
      <c r="R182"/>
      <c r="V182"/>
    </row>
    <row r="183" spans="1:22" x14ac:dyDescent="0.3">
      <c r="A183" s="9"/>
      <c r="C183" s="1">
        <v>83</v>
      </c>
      <c r="D183" s="67">
        <v>3100</v>
      </c>
      <c r="E183" s="88"/>
      <c r="F183" s="310">
        <v>0.12529999999999999</v>
      </c>
      <c r="G183" s="67">
        <v>3720</v>
      </c>
      <c r="H183" s="88"/>
      <c r="I183" s="311">
        <v>0.12529999999999999</v>
      </c>
      <c r="J183" s="67">
        <v>9300</v>
      </c>
      <c r="K183" s="88"/>
      <c r="L183" s="311">
        <v>0.12529999999999999</v>
      </c>
      <c r="M183" s="67">
        <v>17050</v>
      </c>
      <c r="N183" s="88"/>
      <c r="O183" s="311">
        <v>0.16700000000000001</v>
      </c>
      <c r="Q183"/>
      <c r="R183"/>
      <c r="V183"/>
    </row>
    <row r="184" spans="1:22" x14ac:dyDescent="0.3">
      <c r="A184" s="9"/>
      <c r="C184" s="1">
        <v>84</v>
      </c>
      <c r="D184" s="67">
        <v>3150</v>
      </c>
      <c r="E184" s="88"/>
      <c r="F184" s="310">
        <v>0.126</v>
      </c>
      <c r="G184" s="67">
        <v>3780</v>
      </c>
      <c r="H184" s="88"/>
      <c r="I184" s="311">
        <v>0.126</v>
      </c>
      <c r="J184" s="67">
        <v>9450</v>
      </c>
      <c r="K184" s="88"/>
      <c r="L184" s="311">
        <v>0.126</v>
      </c>
      <c r="M184" s="67">
        <v>17330</v>
      </c>
      <c r="N184" s="88"/>
      <c r="O184" s="311">
        <v>0.16800000000000001</v>
      </c>
      <c r="Q184"/>
      <c r="R184"/>
      <c r="V184"/>
    </row>
    <row r="185" spans="1:22" x14ac:dyDescent="0.3">
      <c r="A185" s="9"/>
      <c r="C185" s="1">
        <v>85</v>
      </c>
      <c r="D185" s="67">
        <v>3200</v>
      </c>
      <c r="E185" s="88"/>
      <c r="F185" s="310">
        <v>0.1268</v>
      </c>
      <c r="G185" s="67">
        <v>3840</v>
      </c>
      <c r="H185" s="88"/>
      <c r="I185" s="311">
        <v>0.1268</v>
      </c>
      <c r="J185" s="67">
        <v>9600</v>
      </c>
      <c r="K185" s="88"/>
      <c r="L185" s="311">
        <v>0.1268</v>
      </c>
      <c r="M185" s="67">
        <v>17600</v>
      </c>
      <c r="N185" s="88"/>
      <c r="O185" s="311">
        <v>0.16900000000000001</v>
      </c>
      <c r="Q185"/>
      <c r="R185"/>
      <c r="V185"/>
    </row>
    <row r="186" spans="1:22" x14ac:dyDescent="0.3">
      <c r="A186" s="9"/>
      <c r="C186" s="1">
        <v>86</v>
      </c>
      <c r="D186" s="67">
        <v>3250</v>
      </c>
      <c r="E186" s="88"/>
      <c r="F186" s="310">
        <v>0.1275</v>
      </c>
      <c r="G186" s="67">
        <v>3900</v>
      </c>
      <c r="H186" s="88"/>
      <c r="I186" s="311">
        <v>0.1275</v>
      </c>
      <c r="J186" s="67">
        <v>9750</v>
      </c>
      <c r="K186" s="88"/>
      <c r="L186" s="311">
        <v>0.1275</v>
      </c>
      <c r="M186" s="67">
        <v>17880</v>
      </c>
      <c r="N186" s="88"/>
      <c r="O186" s="311">
        <v>0.17</v>
      </c>
      <c r="Q186"/>
      <c r="R186"/>
      <c r="V186"/>
    </row>
    <row r="187" spans="1:22" x14ac:dyDescent="0.3">
      <c r="A187" s="9"/>
      <c r="C187" s="1">
        <v>87</v>
      </c>
      <c r="D187" s="67">
        <v>3300</v>
      </c>
      <c r="E187" s="88"/>
      <c r="F187" s="310">
        <v>0.1283</v>
      </c>
      <c r="G187" s="67">
        <v>3960</v>
      </c>
      <c r="H187" s="88"/>
      <c r="I187" s="311">
        <v>0.1283</v>
      </c>
      <c r="J187" s="67">
        <v>9900</v>
      </c>
      <c r="K187" s="88"/>
      <c r="L187" s="311">
        <v>0.1283</v>
      </c>
      <c r="M187" s="67">
        <v>18150</v>
      </c>
      <c r="N187" s="88"/>
      <c r="O187" s="311">
        <v>0.17100000000000001</v>
      </c>
      <c r="Q187"/>
      <c r="R187"/>
      <c r="V187"/>
    </row>
    <row r="188" spans="1:22" x14ac:dyDescent="0.3">
      <c r="A188" s="9"/>
      <c r="C188" s="1">
        <v>88</v>
      </c>
      <c r="D188" s="67">
        <v>3350</v>
      </c>
      <c r="E188" s="88"/>
      <c r="F188" s="310">
        <v>0.129</v>
      </c>
      <c r="G188" s="67">
        <v>4020</v>
      </c>
      <c r="H188" s="88"/>
      <c r="I188" s="311">
        <v>0.129</v>
      </c>
      <c r="J188" s="67">
        <v>10050</v>
      </c>
      <c r="K188" s="88"/>
      <c r="L188" s="311">
        <v>0.129</v>
      </c>
      <c r="M188" s="67">
        <v>18430</v>
      </c>
      <c r="N188" s="88"/>
      <c r="O188" s="311">
        <v>0.17199999999999999</v>
      </c>
      <c r="Q188"/>
      <c r="R188"/>
      <c r="V188"/>
    </row>
    <row r="189" spans="1:22" x14ac:dyDescent="0.3">
      <c r="A189" s="9"/>
      <c r="C189" s="1">
        <v>89</v>
      </c>
      <c r="D189" s="67">
        <v>3400</v>
      </c>
      <c r="E189" s="88"/>
      <c r="F189" s="310">
        <v>0.1298</v>
      </c>
      <c r="G189" s="67">
        <v>4080</v>
      </c>
      <c r="H189" s="88"/>
      <c r="I189" s="311">
        <v>0.1298</v>
      </c>
      <c r="J189" s="67">
        <v>10200</v>
      </c>
      <c r="K189" s="88"/>
      <c r="L189" s="311">
        <v>0.1298</v>
      </c>
      <c r="M189" s="67">
        <v>18700</v>
      </c>
      <c r="N189" s="88"/>
      <c r="O189" s="311">
        <v>0.17299999999999999</v>
      </c>
      <c r="Q189"/>
      <c r="R189"/>
      <c r="V189"/>
    </row>
    <row r="190" spans="1:22" x14ac:dyDescent="0.3">
      <c r="A190" s="9"/>
      <c r="C190" s="1">
        <v>90</v>
      </c>
      <c r="D190" s="67">
        <v>3450</v>
      </c>
      <c r="E190" s="88"/>
      <c r="F190" s="310">
        <v>0.1305</v>
      </c>
      <c r="G190" s="67">
        <v>4140</v>
      </c>
      <c r="H190" s="88"/>
      <c r="I190" s="311">
        <v>0.1305</v>
      </c>
      <c r="J190" s="67">
        <v>10350</v>
      </c>
      <c r="K190" s="88"/>
      <c r="L190" s="311">
        <v>0.1305</v>
      </c>
      <c r="M190" s="67">
        <v>18980</v>
      </c>
      <c r="N190" s="88"/>
      <c r="O190" s="311">
        <v>0.17399999999999999</v>
      </c>
      <c r="Q190"/>
      <c r="R190"/>
      <c r="V190"/>
    </row>
    <row r="191" spans="1:22" x14ac:dyDescent="0.3">
      <c r="A191" s="9"/>
      <c r="B191" s="9" t="s">
        <v>836</v>
      </c>
      <c r="C191" s="1">
        <v>90.1</v>
      </c>
      <c r="D191" s="69" t="s">
        <v>27</v>
      </c>
      <c r="E191" s="83">
        <v>45</v>
      </c>
      <c r="F191" s="316">
        <v>0.13650000000000001</v>
      </c>
      <c r="G191" s="69" t="s">
        <v>27</v>
      </c>
      <c r="H191" s="83">
        <v>45</v>
      </c>
      <c r="I191" s="317">
        <v>0.13650000000000001</v>
      </c>
      <c r="J191" s="69" t="s">
        <v>27</v>
      </c>
      <c r="K191" s="83">
        <v>72</v>
      </c>
      <c r="L191" s="317">
        <v>0.13650000000000001</v>
      </c>
      <c r="M191" s="69" t="s">
        <v>27</v>
      </c>
      <c r="N191" s="83">
        <v>320</v>
      </c>
      <c r="O191" s="317">
        <v>0.182</v>
      </c>
      <c r="Q191"/>
      <c r="R191"/>
      <c r="V191"/>
    </row>
    <row r="192" spans="1:22" x14ac:dyDescent="0.3">
      <c r="A192" s="9"/>
      <c r="C192" s="1">
        <v>91</v>
      </c>
      <c r="D192" s="65">
        <v>3500</v>
      </c>
      <c r="E192" s="80"/>
      <c r="F192" s="308">
        <v>0.13730000000000001</v>
      </c>
      <c r="G192" s="65">
        <v>4200</v>
      </c>
      <c r="H192" s="80"/>
      <c r="I192" s="309">
        <v>0.13730000000000001</v>
      </c>
      <c r="J192" s="65">
        <v>10500</v>
      </c>
      <c r="K192" s="80"/>
      <c r="L192" s="309">
        <v>0.13730000000000001</v>
      </c>
      <c r="M192" s="65">
        <v>19250</v>
      </c>
      <c r="N192" s="80"/>
      <c r="O192" s="309">
        <v>0.183</v>
      </c>
      <c r="Q192"/>
      <c r="R192"/>
      <c r="V192"/>
    </row>
    <row r="193" spans="1:22" x14ac:dyDescent="0.3">
      <c r="A193" s="9"/>
      <c r="C193" s="1">
        <v>92</v>
      </c>
      <c r="D193" s="67">
        <v>3550</v>
      </c>
      <c r="E193" s="88"/>
      <c r="F193" s="310">
        <v>0.13800000000000001</v>
      </c>
      <c r="G193" s="67">
        <v>4260</v>
      </c>
      <c r="H193" s="88"/>
      <c r="I193" s="311">
        <v>0.13800000000000001</v>
      </c>
      <c r="J193" s="67">
        <v>10650</v>
      </c>
      <c r="K193" s="88"/>
      <c r="L193" s="311">
        <v>0.13800000000000001</v>
      </c>
      <c r="M193" s="67">
        <v>19530</v>
      </c>
      <c r="N193" s="88"/>
      <c r="O193" s="311">
        <v>0.184</v>
      </c>
      <c r="Q193"/>
      <c r="R193"/>
      <c r="V193"/>
    </row>
    <row r="194" spans="1:22" x14ac:dyDescent="0.3">
      <c r="A194" s="9"/>
      <c r="C194" s="1">
        <v>93</v>
      </c>
      <c r="D194" s="67">
        <v>3600</v>
      </c>
      <c r="E194" s="88"/>
      <c r="F194" s="310">
        <v>0.13880000000000001</v>
      </c>
      <c r="G194" s="67">
        <v>4320</v>
      </c>
      <c r="H194" s="88"/>
      <c r="I194" s="311">
        <v>0.13880000000000001</v>
      </c>
      <c r="J194" s="67">
        <v>10800</v>
      </c>
      <c r="K194" s="88"/>
      <c r="L194" s="311">
        <v>0.13880000000000001</v>
      </c>
      <c r="M194" s="67">
        <v>19800</v>
      </c>
      <c r="N194" s="88"/>
      <c r="O194" s="311">
        <v>0.185</v>
      </c>
      <c r="Q194"/>
      <c r="R194"/>
      <c r="V194"/>
    </row>
    <row r="195" spans="1:22" x14ac:dyDescent="0.3">
      <c r="A195" s="9"/>
      <c r="C195" s="1">
        <v>94</v>
      </c>
      <c r="D195" s="67">
        <v>3650</v>
      </c>
      <c r="E195" s="88"/>
      <c r="F195" s="310">
        <v>0.13950000000000001</v>
      </c>
      <c r="G195" s="67">
        <v>4380</v>
      </c>
      <c r="H195" s="88"/>
      <c r="I195" s="311">
        <v>0.13950000000000001</v>
      </c>
      <c r="J195" s="67">
        <v>10950</v>
      </c>
      <c r="K195" s="88"/>
      <c r="L195" s="311">
        <v>0.13950000000000001</v>
      </c>
      <c r="M195" s="67">
        <v>20080</v>
      </c>
      <c r="N195" s="88"/>
      <c r="O195" s="311">
        <v>0.186</v>
      </c>
      <c r="Q195"/>
      <c r="R195"/>
      <c r="V195"/>
    </row>
    <row r="196" spans="1:22" x14ac:dyDescent="0.3">
      <c r="A196" s="9"/>
      <c r="C196" s="1">
        <v>95</v>
      </c>
      <c r="D196" s="67">
        <v>3700</v>
      </c>
      <c r="E196" s="88"/>
      <c r="F196" s="310">
        <v>0.14030000000000001</v>
      </c>
      <c r="G196" s="67">
        <v>4440</v>
      </c>
      <c r="H196" s="88"/>
      <c r="I196" s="311">
        <v>0.14030000000000001</v>
      </c>
      <c r="J196" s="67">
        <v>11100</v>
      </c>
      <c r="K196" s="88"/>
      <c r="L196" s="311">
        <v>0.14030000000000001</v>
      </c>
      <c r="M196" s="67">
        <v>20350</v>
      </c>
      <c r="N196" s="88"/>
      <c r="O196" s="311">
        <v>0.187</v>
      </c>
      <c r="Q196"/>
      <c r="R196"/>
      <c r="V196"/>
    </row>
    <row r="197" spans="1:22" x14ac:dyDescent="0.3">
      <c r="A197" s="9"/>
      <c r="C197" s="1">
        <v>96</v>
      </c>
      <c r="D197" s="67">
        <v>3750</v>
      </c>
      <c r="E197" s="88"/>
      <c r="F197" s="310">
        <v>0.14099999999999999</v>
      </c>
      <c r="G197" s="67">
        <v>4500</v>
      </c>
      <c r="H197" s="88"/>
      <c r="I197" s="311">
        <v>0.14099999999999999</v>
      </c>
      <c r="J197" s="67">
        <v>11250</v>
      </c>
      <c r="K197" s="88"/>
      <c r="L197" s="311">
        <v>0.14099999999999999</v>
      </c>
      <c r="M197" s="67">
        <v>20630</v>
      </c>
      <c r="N197" s="88"/>
      <c r="O197" s="311">
        <v>0.188</v>
      </c>
      <c r="Q197"/>
      <c r="R197"/>
      <c r="V197"/>
    </row>
    <row r="198" spans="1:22" x14ac:dyDescent="0.3">
      <c r="A198" s="9"/>
      <c r="C198" s="1">
        <v>97</v>
      </c>
      <c r="D198" s="67">
        <v>3800</v>
      </c>
      <c r="E198" s="88"/>
      <c r="F198" s="310">
        <v>0.14180000000000001</v>
      </c>
      <c r="G198" s="67">
        <v>4560</v>
      </c>
      <c r="H198" s="88"/>
      <c r="I198" s="311">
        <v>0.14180000000000001</v>
      </c>
      <c r="J198" s="67">
        <v>11400</v>
      </c>
      <c r="K198" s="88"/>
      <c r="L198" s="311">
        <v>0.14180000000000001</v>
      </c>
      <c r="M198" s="67">
        <v>20900</v>
      </c>
      <c r="N198" s="88"/>
      <c r="O198" s="311">
        <v>0.189</v>
      </c>
      <c r="Q198"/>
      <c r="R198"/>
      <c r="V198"/>
    </row>
    <row r="199" spans="1:22" x14ac:dyDescent="0.3">
      <c r="C199" s="1">
        <v>98</v>
      </c>
      <c r="D199" s="67">
        <v>3850</v>
      </c>
      <c r="E199" s="88"/>
      <c r="F199" s="310">
        <v>0.14249999999999999</v>
      </c>
      <c r="G199" s="67">
        <v>4620</v>
      </c>
      <c r="H199" s="88"/>
      <c r="I199" s="311">
        <v>0.14249999999999999</v>
      </c>
      <c r="J199" s="67">
        <v>11550</v>
      </c>
      <c r="K199" s="88"/>
      <c r="L199" s="311">
        <v>0.14249999999999999</v>
      </c>
      <c r="M199" s="67">
        <v>21180</v>
      </c>
      <c r="N199" s="88"/>
      <c r="O199" s="311">
        <v>0.19</v>
      </c>
      <c r="Q199"/>
      <c r="R199"/>
      <c r="S199" s="38"/>
      <c r="V199"/>
    </row>
    <row r="200" spans="1:22" x14ac:dyDescent="0.3">
      <c r="C200" s="1">
        <v>99</v>
      </c>
      <c r="D200" s="67">
        <v>3900</v>
      </c>
      <c r="E200" s="88"/>
      <c r="F200" s="310">
        <v>0.14330000000000001</v>
      </c>
      <c r="G200" s="67">
        <v>4680</v>
      </c>
      <c r="H200" s="88"/>
      <c r="I200" s="311">
        <v>0.14330000000000001</v>
      </c>
      <c r="J200" s="67">
        <v>11700</v>
      </c>
      <c r="K200" s="88"/>
      <c r="L200" s="311">
        <v>0.14330000000000001</v>
      </c>
      <c r="M200" s="67">
        <v>21450</v>
      </c>
      <c r="N200" s="88"/>
      <c r="O200" s="311">
        <v>0.191</v>
      </c>
      <c r="Q200"/>
      <c r="R200"/>
      <c r="S200" s="38"/>
      <c r="V200"/>
    </row>
    <row r="201" spans="1:22" x14ac:dyDescent="0.3">
      <c r="C201" s="1">
        <v>100</v>
      </c>
      <c r="D201" s="67">
        <v>3950</v>
      </c>
      <c r="E201" s="88"/>
      <c r="F201" s="310">
        <v>0.14399999999999999</v>
      </c>
      <c r="G201" s="67">
        <v>4740</v>
      </c>
      <c r="H201" s="88"/>
      <c r="I201" s="311">
        <v>0.14399999999999999</v>
      </c>
      <c r="J201" s="67">
        <v>11850</v>
      </c>
      <c r="K201" s="88"/>
      <c r="L201" s="311">
        <v>0.14399999999999999</v>
      </c>
      <c r="M201" s="67">
        <v>21730</v>
      </c>
      <c r="N201" s="88"/>
      <c r="O201" s="311">
        <v>0.192</v>
      </c>
      <c r="Q201"/>
      <c r="R201"/>
      <c r="S201" s="38"/>
      <c r="V201"/>
    </row>
    <row r="202" spans="1:22" x14ac:dyDescent="0.3">
      <c r="B202" s="9" t="s">
        <v>837</v>
      </c>
      <c r="C202" s="1">
        <v>100.1</v>
      </c>
      <c r="D202" s="69" t="s">
        <v>27</v>
      </c>
      <c r="E202" s="83">
        <v>50</v>
      </c>
      <c r="F202" s="316">
        <v>0.15</v>
      </c>
      <c r="G202" s="69" t="s">
        <v>27</v>
      </c>
      <c r="H202" s="83">
        <v>50</v>
      </c>
      <c r="I202" s="317">
        <v>0.15</v>
      </c>
      <c r="J202" s="69" t="s">
        <v>27</v>
      </c>
      <c r="K202" s="83">
        <v>80</v>
      </c>
      <c r="L202" s="317">
        <v>0.15</v>
      </c>
      <c r="M202" s="69" t="s">
        <v>27</v>
      </c>
      <c r="N202" s="83">
        <v>360</v>
      </c>
      <c r="O202" s="317">
        <v>0.2</v>
      </c>
      <c r="Q202"/>
      <c r="R202"/>
      <c r="S202" s="38"/>
      <c r="V202"/>
    </row>
    <row r="203" spans="1:22" x14ac:dyDescent="0.3">
      <c r="C203"/>
      <c r="F203" s="289"/>
      <c r="G203" s="38"/>
      <c r="I203" s="289"/>
      <c r="K203" s="38"/>
      <c r="L203" s="289"/>
      <c r="N203"/>
      <c r="Q203"/>
      <c r="R203"/>
      <c r="S203" s="38"/>
      <c r="V203"/>
    </row>
    <row r="204" spans="1:22" x14ac:dyDescent="0.3">
      <c r="C204"/>
      <c r="F204" s="289"/>
      <c r="G204" s="38"/>
      <c r="I204" s="289"/>
      <c r="K204" s="38"/>
      <c r="L204" s="289"/>
      <c r="N204"/>
      <c r="Q204"/>
      <c r="R204"/>
      <c r="S204" s="38"/>
      <c r="T204" s="38"/>
      <c r="V204"/>
    </row>
    <row r="205" spans="1:22" x14ac:dyDescent="0.3">
      <c r="C205"/>
      <c r="F205" s="289"/>
      <c r="G205" s="38"/>
      <c r="I205" s="289"/>
      <c r="K205" s="38"/>
      <c r="L205" s="289"/>
      <c r="N205"/>
      <c r="Q205"/>
      <c r="R205"/>
      <c r="S205" s="38"/>
      <c r="T205" s="38"/>
      <c r="V205"/>
    </row>
    <row r="206" spans="1:22" x14ac:dyDescent="0.3">
      <c r="C206"/>
      <c r="F206" s="289"/>
      <c r="G206" s="38"/>
      <c r="I206" s="289"/>
      <c r="K206" s="38"/>
      <c r="L206" s="289"/>
      <c r="N206"/>
      <c r="Q206"/>
      <c r="R206"/>
      <c r="T206" s="38"/>
      <c r="V206"/>
    </row>
    <row r="207" spans="1:22" x14ac:dyDescent="0.3">
      <c r="C207"/>
      <c r="F207" s="289"/>
      <c r="G207" s="38"/>
      <c r="I207" s="289"/>
      <c r="K207" s="38"/>
      <c r="L207" s="289"/>
      <c r="N207"/>
      <c r="Q207" s="289"/>
    </row>
    <row r="208" spans="1:22" x14ac:dyDescent="0.3">
      <c r="C208"/>
      <c r="F208" s="289"/>
      <c r="G208" s="38"/>
      <c r="I208" s="289"/>
      <c r="K208" s="38"/>
      <c r="L208" s="289"/>
      <c r="N208"/>
      <c r="Q208" s="289"/>
    </row>
    <row r="209" spans="1:34" x14ac:dyDescent="0.3">
      <c r="F209" s="289"/>
      <c r="G209" s="38"/>
      <c r="I209" s="289"/>
      <c r="K209" s="38"/>
      <c r="L209" s="289"/>
      <c r="N209"/>
      <c r="Q209" s="289"/>
    </row>
    <row r="210" spans="1:34" x14ac:dyDescent="0.3">
      <c r="Q210" s="289"/>
    </row>
    <row r="211" spans="1:34" x14ac:dyDescent="0.3">
      <c r="Q211" s="289"/>
    </row>
    <row r="212" spans="1:34" s="289" customFormat="1" x14ac:dyDescent="0.3">
      <c r="A212"/>
      <c r="B212" s="9"/>
      <c r="C212" s="9"/>
      <c r="D212"/>
      <c r="E212"/>
      <c r="F212"/>
      <c r="G212" s="288"/>
      <c r="H212"/>
      <c r="I212"/>
      <c r="L212" s="38"/>
      <c r="O212"/>
      <c r="P212"/>
      <c r="S212"/>
      <c r="T212"/>
      <c r="U212"/>
      <c r="V212" s="38"/>
      <c r="W212"/>
      <c r="X212"/>
      <c r="Y212"/>
      <c r="Z212"/>
      <c r="AA212"/>
      <c r="AB212"/>
      <c r="AC212"/>
      <c r="AD212"/>
      <c r="AE212"/>
      <c r="AF212"/>
      <c r="AG212"/>
      <c r="AH212"/>
    </row>
    <row r="213" spans="1:34" s="289" customFormat="1" x14ac:dyDescent="0.3">
      <c r="A213"/>
      <c r="B213" s="9"/>
      <c r="C213" s="9"/>
      <c r="D213"/>
      <c r="E213"/>
      <c r="F213"/>
      <c r="G213" s="288"/>
      <c r="H213"/>
      <c r="I213"/>
      <c r="L213" s="38"/>
      <c r="O213"/>
      <c r="P213"/>
      <c r="S213"/>
      <c r="T213"/>
      <c r="U213"/>
      <c r="V213" s="38"/>
      <c r="W213"/>
      <c r="X213"/>
      <c r="Y213"/>
      <c r="Z213"/>
      <c r="AA213"/>
      <c r="AB213"/>
      <c r="AC213"/>
      <c r="AD213"/>
      <c r="AE213"/>
      <c r="AF213"/>
      <c r="AG213"/>
      <c r="AH213"/>
    </row>
  </sheetData>
  <sheetProtection sheet="1" objects="1" scenarios="1" formatColumns="0"/>
  <mergeCells count="494">
    <mergeCell ref="AE110:AF110"/>
    <mergeCell ref="AG110:AH110"/>
    <mergeCell ref="I10:P12"/>
    <mergeCell ref="R110:S110"/>
    <mergeCell ref="T110:U110"/>
    <mergeCell ref="V110:W110"/>
    <mergeCell ref="X110:Y110"/>
    <mergeCell ref="AA110:AB110"/>
    <mergeCell ref="AC110:AD110"/>
    <mergeCell ref="R107:Y107"/>
    <mergeCell ref="AA107:AH107"/>
    <mergeCell ref="R108:S109"/>
    <mergeCell ref="T108:U109"/>
    <mergeCell ref="V108:W109"/>
    <mergeCell ref="X108:Y109"/>
    <mergeCell ref="AA108:AB109"/>
    <mergeCell ref="AC108:AD109"/>
    <mergeCell ref="AE108:AF109"/>
    <mergeCell ref="AG108:AH109"/>
    <mergeCell ref="AE91:AF92"/>
    <mergeCell ref="AG91:AH92"/>
    <mergeCell ref="R93:S93"/>
    <mergeCell ref="T93:U93"/>
    <mergeCell ref="V93:W93"/>
    <mergeCell ref="X93:Y93"/>
    <mergeCell ref="AA93:AB93"/>
    <mergeCell ref="AC93:AD93"/>
    <mergeCell ref="AE93:AF93"/>
    <mergeCell ref="AG93:AH93"/>
    <mergeCell ref="R91:S92"/>
    <mergeCell ref="T91:U92"/>
    <mergeCell ref="V91:W92"/>
    <mergeCell ref="X91:Y92"/>
    <mergeCell ref="AA91:AB92"/>
    <mergeCell ref="AC91:AD92"/>
    <mergeCell ref="D89:O89"/>
    <mergeCell ref="R89:AH89"/>
    <mergeCell ref="D90:F90"/>
    <mergeCell ref="G90:I90"/>
    <mergeCell ref="J90:L90"/>
    <mergeCell ref="M90:O90"/>
    <mergeCell ref="R90:Y90"/>
    <mergeCell ref="AA90:AH90"/>
    <mergeCell ref="U86:V86"/>
    <mergeCell ref="B87:C87"/>
    <mergeCell ref="D87:E87"/>
    <mergeCell ref="O87:P87"/>
    <mergeCell ref="Q87:R87"/>
    <mergeCell ref="S87:T87"/>
    <mergeCell ref="U87:V87"/>
    <mergeCell ref="B86:C86"/>
    <mergeCell ref="D86:E86"/>
    <mergeCell ref="G86:H86"/>
    <mergeCell ref="O86:P86"/>
    <mergeCell ref="Q86:R86"/>
    <mergeCell ref="S86:T86"/>
    <mergeCell ref="B85:C85"/>
    <mergeCell ref="D85:E85"/>
    <mergeCell ref="O85:P85"/>
    <mergeCell ref="Q85:R85"/>
    <mergeCell ref="S85:T85"/>
    <mergeCell ref="U85:V85"/>
    <mergeCell ref="B84:C84"/>
    <mergeCell ref="D84:E84"/>
    <mergeCell ref="O84:P84"/>
    <mergeCell ref="Q84:R84"/>
    <mergeCell ref="S84:T84"/>
    <mergeCell ref="U84:V84"/>
    <mergeCell ref="Z79:AE79"/>
    <mergeCell ref="B80:C80"/>
    <mergeCell ref="D80:E80"/>
    <mergeCell ref="O80:P80"/>
    <mergeCell ref="Q80:R80"/>
    <mergeCell ref="S80:T80"/>
    <mergeCell ref="U80:V80"/>
    <mergeCell ref="B83:E83"/>
    <mergeCell ref="O83:P83"/>
    <mergeCell ref="Q83:R83"/>
    <mergeCell ref="S83:T83"/>
    <mergeCell ref="U83:V83"/>
    <mergeCell ref="Z83:AE83"/>
    <mergeCell ref="O81:P81"/>
    <mergeCell ref="Q81:R81"/>
    <mergeCell ref="S81:T81"/>
    <mergeCell ref="U81:V81"/>
    <mergeCell ref="B82:E82"/>
    <mergeCell ref="H82:L82"/>
    <mergeCell ref="O82:P82"/>
    <mergeCell ref="Q82:R82"/>
    <mergeCell ref="S82:T82"/>
    <mergeCell ref="U82:V82"/>
    <mergeCell ref="B77:C77"/>
    <mergeCell ref="D77:E77"/>
    <mergeCell ref="B78:C78"/>
    <mergeCell ref="D78:E78"/>
    <mergeCell ref="O78:V78"/>
    <mergeCell ref="B79:C79"/>
    <mergeCell ref="D79:E79"/>
    <mergeCell ref="G79:H79"/>
    <mergeCell ref="O79:P79"/>
    <mergeCell ref="Q79:R79"/>
    <mergeCell ref="S79:T79"/>
    <mergeCell ref="U79:V79"/>
    <mergeCell ref="U75:V75"/>
    <mergeCell ref="Z75:AE75"/>
    <mergeCell ref="B76:E76"/>
    <mergeCell ref="O76:P76"/>
    <mergeCell ref="Q76:R76"/>
    <mergeCell ref="S76:T76"/>
    <mergeCell ref="U76:V76"/>
    <mergeCell ref="O74:P74"/>
    <mergeCell ref="Q74:R74"/>
    <mergeCell ref="S74:T74"/>
    <mergeCell ref="U74:V74"/>
    <mergeCell ref="Z74:AE74"/>
    <mergeCell ref="B75:E75"/>
    <mergeCell ref="H75:L75"/>
    <mergeCell ref="O75:P75"/>
    <mergeCell ref="Q75:R75"/>
    <mergeCell ref="S75:T75"/>
    <mergeCell ref="U72:V72"/>
    <mergeCell ref="X72:Y72"/>
    <mergeCell ref="Z72:AA72"/>
    <mergeCell ref="B73:C73"/>
    <mergeCell ref="D73:E73"/>
    <mergeCell ref="O73:P73"/>
    <mergeCell ref="Q73:R73"/>
    <mergeCell ref="S73:T73"/>
    <mergeCell ref="U73:V73"/>
    <mergeCell ref="B72:C72"/>
    <mergeCell ref="D72:E72"/>
    <mergeCell ref="G72:H72"/>
    <mergeCell ref="O72:P72"/>
    <mergeCell ref="Q72:R72"/>
    <mergeCell ref="S72:T72"/>
    <mergeCell ref="X70:Y70"/>
    <mergeCell ref="Z70:AA70"/>
    <mergeCell ref="B71:C71"/>
    <mergeCell ref="D71:E71"/>
    <mergeCell ref="O71:P71"/>
    <mergeCell ref="Q71:R71"/>
    <mergeCell ref="S71:T71"/>
    <mergeCell ref="U71:V71"/>
    <mergeCell ref="X71:Y71"/>
    <mergeCell ref="Z71:AA71"/>
    <mergeCell ref="B70:C70"/>
    <mergeCell ref="D70:E70"/>
    <mergeCell ref="O70:P70"/>
    <mergeCell ref="Q70:R70"/>
    <mergeCell ref="S70:T70"/>
    <mergeCell ref="U70:V70"/>
    <mergeCell ref="X61:Y61"/>
    <mergeCell ref="Z61:AA61"/>
    <mergeCell ref="Z62:AA62"/>
    <mergeCell ref="Q60:R60"/>
    <mergeCell ref="S60:T60"/>
    <mergeCell ref="U68:V68"/>
    <mergeCell ref="X68:Y68"/>
    <mergeCell ref="Z68:AA68"/>
    <mergeCell ref="B69:E69"/>
    <mergeCell ref="O69:P69"/>
    <mergeCell ref="Q69:R69"/>
    <mergeCell ref="S69:T69"/>
    <mergeCell ref="U69:V69"/>
    <mergeCell ref="X69:Y69"/>
    <mergeCell ref="Z69:AA69"/>
    <mergeCell ref="X64:Y64"/>
    <mergeCell ref="B65:C65"/>
    <mergeCell ref="D65:E65"/>
    <mergeCell ref="G65:H65"/>
    <mergeCell ref="O65:P65"/>
    <mergeCell ref="Q65:R65"/>
    <mergeCell ref="S65:T65"/>
    <mergeCell ref="U65:V65"/>
    <mergeCell ref="X65:Y65"/>
    <mergeCell ref="D66:E66"/>
    <mergeCell ref="O67:V67"/>
    <mergeCell ref="X67:Y67"/>
    <mergeCell ref="Z67:AA67"/>
    <mergeCell ref="B68:E68"/>
    <mergeCell ref="H68:L68"/>
    <mergeCell ref="O68:P68"/>
    <mergeCell ref="Q68:R68"/>
    <mergeCell ref="S68:T68"/>
    <mergeCell ref="B62:E62"/>
    <mergeCell ref="O62:P62"/>
    <mergeCell ref="Q62:R62"/>
    <mergeCell ref="S62:T62"/>
    <mergeCell ref="U62:V62"/>
    <mergeCell ref="B61:E61"/>
    <mergeCell ref="H61:L61"/>
    <mergeCell ref="O61:P61"/>
    <mergeCell ref="Q61:R61"/>
    <mergeCell ref="S61:T61"/>
    <mergeCell ref="U61:V61"/>
    <mergeCell ref="D64:E64"/>
    <mergeCell ref="O64:P64"/>
    <mergeCell ref="Q64:R64"/>
    <mergeCell ref="S64:T64"/>
    <mergeCell ref="U64:V64"/>
    <mergeCell ref="B63:C63"/>
    <mergeCell ref="D63:E63"/>
    <mergeCell ref="O63:P63"/>
    <mergeCell ref="Q63:R63"/>
    <mergeCell ref="S63:T63"/>
    <mergeCell ref="U63:V63"/>
    <mergeCell ref="U60:V60"/>
    <mergeCell ref="X60:Y60"/>
    <mergeCell ref="Z60:AA60"/>
    <mergeCell ref="Z58:AA58"/>
    <mergeCell ref="X12:AB12"/>
    <mergeCell ref="O59:P59"/>
    <mergeCell ref="Q59:R59"/>
    <mergeCell ref="S59:T59"/>
    <mergeCell ref="U59:V59"/>
    <mergeCell ref="X59:Y59"/>
    <mergeCell ref="Z59:AA59"/>
    <mergeCell ref="U53:V53"/>
    <mergeCell ref="X51:AB51"/>
    <mergeCell ref="O60:P60"/>
    <mergeCell ref="O54:P54"/>
    <mergeCell ref="Q54:R54"/>
    <mergeCell ref="S54:T54"/>
    <mergeCell ref="U54:V54"/>
    <mergeCell ref="O56:V56"/>
    <mergeCell ref="X56:Y56"/>
    <mergeCell ref="U52:V52"/>
    <mergeCell ref="X52:AB52"/>
    <mergeCell ref="O53:P53"/>
    <mergeCell ref="Q53:R53"/>
    <mergeCell ref="S53:T53"/>
    <mergeCell ref="O58:P58"/>
    <mergeCell ref="Q58:R58"/>
    <mergeCell ref="S58:T58"/>
    <mergeCell ref="U58:V58"/>
    <mergeCell ref="X58:Y58"/>
    <mergeCell ref="Z56:AA56"/>
    <mergeCell ref="O57:P57"/>
    <mergeCell ref="Q57:R57"/>
    <mergeCell ref="S57:T57"/>
    <mergeCell ref="U57:V57"/>
    <mergeCell ref="X57:Y57"/>
    <mergeCell ref="Z57:AA57"/>
    <mergeCell ref="AB5:AB6"/>
    <mergeCell ref="AC5:AC6"/>
    <mergeCell ref="O52:P52"/>
    <mergeCell ref="Q52:R52"/>
    <mergeCell ref="S52:T52"/>
    <mergeCell ref="P32:Q32"/>
    <mergeCell ref="R32:S32"/>
    <mergeCell ref="T32:U32"/>
    <mergeCell ref="N26:O26"/>
    <mergeCell ref="P26:Q26"/>
    <mergeCell ref="R26:S26"/>
    <mergeCell ref="T26:U26"/>
    <mergeCell ref="V26:W26"/>
    <mergeCell ref="N25:O25"/>
    <mergeCell ref="P25:Q25"/>
    <mergeCell ref="R25:S25"/>
    <mergeCell ref="T25:U25"/>
    <mergeCell ref="T24:U24"/>
    <mergeCell ref="W22:AA22"/>
    <mergeCell ref="T16:U16"/>
    <mergeCell ref="V11:W11"/>
    <mergeCell ref="T18:U18"/>
    <mergeCell ref="V18:W18"/>
    <mergeCell ref="N23:Q23"/>
    <mergeCell ref="W4:Y4"/>
    <mergeCell ref="AA4:AC4"/>
    <mergeCell ref="O51:P51"/>
    <mergeCell ref="Q51:R51"/>
    <mergeCell ref="S51:T51"/>
    <mergeCell ref="U51:V51"/>
    <mergeCell ref="O49:P49"/>
    <mergeCell ref="Q49:R49"/>
    <mergeCell ref="S49:T49"/>
    <mergeCell ref="U49:V49"/>
    <mergeCell ref="P42:Q42"/>
    <mergeCell ref="R42:S42"/>
    <mergeCell ref="T42:U42"/>
    <mergeCell ref="V42:W42"/>
    <mergeCell ref="N40:O40"/>
    <mergeCell ref="P40:Q40"/>
    <mergeCell ref="R40:S40"/>
    <mergeCell ref="T40:U40"/>
    <mergeCell ref="V34:W34"/>
    <mergeCell ref="N33:O33"/>
    <mergeCell ref="P33:Q33"/>
    <mergeCell ref="R33:S33"/>
    <mergeCell ref="T33:U33"/>
    <mergeCell ref="N32:O32"/>
    <mergeCell ref="W3:AC3"/>
    <mergeCell ref="F19:G19"/>
    <mergeCell ref="J19:K19"/>
    <mergeCell ref="N19:O19"/>
    <mergeCell ref="R19:S19"/>
    <mergeCell ref="U46:V46"/>
    <mergeCell ref="O47:P47"/>
    <mergeCell ref="Q47:R47"/>
    <mergeCell ref="S47:T47"/>
    <mergeCell ref="U47:V47"/>
    <mergeCell ref="F17:G17"/>
    <mergeCell ref="J17:K17"/>
    <mergeCell ref="N17:O17"/>
    <mergeCell ref="R17:S17"/>
    <mergeCell ref="L43:M43"/>
    <mergeCell ref="N43:O43"/>
    <mergeCell ref="P43:Q43"/>
    <mergeCell ref="R43:S43"/>
    <mergeCell ref="T43:U43"/>
    <mergeCell ref="O45:V45"/>
    <mergeCell ref="O46:P46"/>
    <mergeCell ref="Q46:R46"/>
    <mergeCell ref="S46:T46"/>
    <mergeCell ref="N42:O42"/>
    <mergeCell ref="B43:C43"/>
    <mergeCell ref="D43:E43"/>
    <mergeCell ref="F43:G43"/>
    <mergeCell ref="H43:I43"/>
    <mergeCell ref="J43:K43"/>
    <mergeCell ref="N41:O41"/>
    <mergeCell ref="P41:Q41"/>
    <mergeCell ref="R41:S41"/>
    <mergeCell ref="T41:U41"/>
    <mergeCell ref="B42:C42"/>
    <mergeCell ref="D42:E42"/>
    <mergeCell ref="F42:G42"/>
    <mergeCell ref="H42:I42"/>
    <mergeCell ref="J42:K42"/>
    <mergeCell ref="L42:M42"/>
    <mergeCell ref="B41:C41"/>
    <mergeCell ref="D41:E41"/>
    <mergeCell ref="F41:G41"/>
    <mergeCell ref="H41:I41"/>
    <mergeCell ref="J41:K41"/>
    <mergeCell ref="L41:M41"/>
    <mergeCell ref="B40:C40"/>
    <mergeCell ref="D40:E40"/>
    <mergeCell ref="F40:G40"/>
    <mergeCell ref="H40:I40"/>
    <mergeCell ref="J40:K40"/>
    <mergeCell ref="L40:M40"/>
    <mergeCell ref="B38:E38"/>
    <mergeCell ref="F38:U38"/>
    <mergeCell ref="W38:AA38"/>
    <mergeCell ref="B39:E39"/>
    <mergeCell ref="F39:I39"/>
    <mergeCell ref="J39:M39"/>
    <mergeCell ref="N39:Q39"/>
    <mergeCell ref="R39:U39"/>
    <mergeCell ref="L35:M35"/>
    <mergeCell ref="N35:O35"/>
    <mergeCell ref="P35:Q35"/>
    <mergeCell ref="R35:S35"/>
    <mergeCell ref="T35:U35"/>
    <mergeCell ref="B37:E37"/>
    <mergeCell ref="N34:O34"/>
    <mergeCell ref="P34:Q34"/>
    <mergeCell ref="R34:S34"/>
    <mergeCell ref="T34:U34"/>
    <mergeCell ref="B35:C35"/>
    <mergeCell ref="D35:E35"/>
    <mergeCell ref="F35:G35"/>
    <mergeCell ref="H35:I35"/>
    <mergeCell ref="J35:K35"/>
    <mergeCell ref="B34:C34"/>
    <mergeCell ref="D34:E34"/>
    <mergeCell ref="F34:G34"/>
    <mergeCell ref="H34:I34"/>
    <mergeCell ref="J34:K34"/>
    <mergeCell ref="L34:M34"/>
    <mergeCell ref="B33:C33"/>
    <mergeCell ref="D33:E33"/>
    <mergeCell ref="F33:G33"/>
    <mergeCell ref="H33:I33"/>
    <mergeCell ref="J33:K33"/>
    <mergeCell ref="L33:M33"/>
    <mergeCell ref="B32:C32"/>
    <mergeCell ref="D32:E32"/>
    <mergeCell ref="F32:G32"/>
    <mergeCell ref="H32:I32"/>
    <mergeCell ref="J32:K32"/>
    <mergeCell ref="L32:M32"/>
    <mergeCell ref="B30:E30"/>
    <mergeCell ref="F30:U30"/>
    <mergeCell ref="W30:AA30"/>
    <mergeCell ref="B31:E31"/>
    <mergeCell ref="F31:I31"/>
    <mergeCell ref="J31:M31"/>
    <mergeCell ref="N31:Q31"/>
    <mergeCell ref="R31:U31"/>
    <mergeCell ref="L27:M27"/>
    <mergeCell ref="N27:O27"/>
    <mergeCell ref="P27:Q27"/>
    <mergeCell ref="R27:S27"/>
    <mergeCell ref="T27:U27"/>
    <mergeCell ref="B29:E29"/>
    <mergeCell ref="B27:C27"/>
    <mergeCell ref="D27:E27"/>
    <mergeCell ref="F27:G27"/>
    <mergeCell ref="H27:I27"/>
    <mergeCell ref="J27:K27"/>
    <mergeCell ref="D17:E17"/>
    <mergeCell ref="H17:I17"/>
    <mergeCell ref="L18:M18"/>
    <mergeCell ref="L26:M26"/>
    <mergeCell ref="N24:O24"/>
    <mergeCell ref="P24:Q24"/>
    <mergeCell ref="R24:S24"/>
    <mergeCell ref="B25:C25"/>
    <mergeCell ref="D25:E25"/>
    <mergeCell ref="F25:G25"/>
    <mergeCell ref="H25:I25"/>
    <mergeCell ref="J25:K25"/>
    <mergeCell ref="L25:M25"/>
    <mergeCell ref="B24:C24"/>
    <mergeCell ref="D24:E24"/>
    <mergeCell ref="F24:G24"/>
    <mergeCell ref="H24:I24"/>
    <mergeCell ref="J24:K24"/>
    <mergeCell ref="L24:M24"/>
    <mergeCell ref="H18:I18"/>
    <mergeCell ref="J18:K18"/>
    <mergeCell ref="B26:C26"/>
    <mergeCell ref="D26:E26"/>
    <mergeCell ref="F26:G26"/>
    <mergeCell ref="H26:I26"/>
    <mergeCell ref="J26:K26"/>
    <mergeCell ref="B23:E23"/>
    <mergeCell ref="F23:I23"/>
    <mergeCell ref="J23:M23"/>
    <mergeCell ref="R23:U23"/>
    <mergeCell ref="P19:Q19"/>
    <mergeCell ref="T19:U19"/>
    <mergeCell ref="B21:E21"/>
    <mergeCell ref="B22:E22"/>
    <mergeCell ref="F22:U22"/>
    <mergeCell ref="D19:E19"/>
    <mergeCell ref="H19:I19"/>
    <mergeCell ref="L19:M19"/>
    <mergeCell ref="B19:C19"/>
    <mergeCell ref="N18:O18"/>
    <mergeCell ref="P18:Q18"/>
    <mergeCell ref="R18:S18"/>
    <mergeCell ref="L17:M17"/>
    <mergeCell ref="P17:Q17"/>
    <mergeCell ref="T17:U17"/>
    <mergeCell ref="B15:E15"/>
    <mergeCell ref="F15:I15"/>
    <mergeCell ref="J15:M15"/>
    <mergeCell ref="N15:Q15"/>
    <mergeCell ref="R15:U15"/>
    <mergeCell ref="B16:C16"/>
    <mergeCell ref="D16:E16"/>
    <mergeCell ref="F16:G16"/>
    <mergeCell ref="H16:I16"/>
    <mergeCell ref="J16:K16"/>
    <mergeCell ref="L16:M16"/>
    <mergeCell ref="N16:O16"/>
    <mergeCell ref="P16:Q16"/>
    <mergeCell ref="R16:S16"/>
    <mergeCell ref="B17:C17"/>
    <mergeCell ref="B18:C18"/>
    <mergeCell ref="D18:E18"/>
    <mergeCell ref="F18:G18"/>
    <mergeCell ref="K8:L8"/>
    <mergeCell ref="S8:T8"/>
    <mergeCell ref="B13:E13"/>
    <mergeCell ref="B14:E14"/>
    <mergeCell ref="F14:U14"/>
    <mergeCell ref="W14:AA14"/>
    <mergeCell ref="Q6:R6"/>
    <mergeCell ref="S6:T6"/>
    <mergeCell ref="G7:H7"/>
    <mergeCell ref="I7:J7"/>
    <mergeCell ref="K7:L7"/>
    <mergeCell ref="M7:N7"/>
    <mergeCell ref="O7:P7"/>
    <mergeCell ref="Q7:R7"/>
    <mergeCell ref="S7:T7"/>
    <mergeCell ref="W5:W6"/>
    <mergeCell ref="X5:X6"/>
    <mergeCell ref="Y5:Y6"/>
    <mergeCell ref="AA5:AA6"/>
    <mergeCell ref="A1:U2"/>
    <mergeCell ref="B4:T4"/>
    <mergeCell ref="B5:F5"/>
    <mergeCell ref="G5:L5"/>
    <mergeCell ref="M5:T5"/>
    <mergeCell ref="G6:H6"/>
    <mergeCell ref="I6:J6"/>
    <mergeCell ref="K6:L6"/>
    <mergeCell ref="M6:N6"/>
    <mergeCell ref="O6:P6"/>
  </mergeCells>
  <conditionalFormatting sqref="D93:F202">
    <cfRule type="expression" dxfId="9" priority="1" stopIfTrue="1">
      <formula>IF(CyrilleLevelCurrent&gt;=$C93,TRUE,FALSE)</formula>
    </cfRule>
    <cfRule type="expression" dxfId="8" priority="8">
      <formula>IF(CyrilleLevelDesired&gt;=$C93,TRUE,FALSE)</formula>
    </cfRule>
  </conditionalFormatting>
  <conditionalFormatting sqref="G93:L202">
    <cfRule type="expression" dxfId="7" priority="4" stopIfTrue="1">
      <formula>IF(AgnesLevelCurrent&gt;=$C93,TRUE,FALSE)</formula>
    </cfRule>
    <cfRule type="expression" dxfId="6" priority="9">
      <formula>IF(AgnesLevelDesired&gt;=$C93,TRUE,FALSE)</formula>
    </cfRule>
  </conditionalFormatting>
  <conditionalFormatting sqref="I148:I202">
    <cfRule type="expression" dxfId="5" priority="5">
      <formula>IF(HolgerLevelCurrent&gt;=$C148,TRUE,FALSE)</formula>
    </cfRule>
  </conditionalFormatting>
  <conditionalFormatting sqref="J93:L202">
    <cfRule type="expression" dxfId="4" priority="2" stopIfTrue="1">
      <formula>IF(HolgerLevelCurrent&gt;=$C93,TRUE,FALSE)</formula>
    </cfRule>
    <cfRule type="expression" dxfId="3" priority="7">
      <formula>IF(HolgerLevelDesired&gt;=$C93,TRUE,FALSE)</formula>
    </cfRule>
  </conditionalFormatting>
  <conditionalFormatting sqref="M93:O202">
    <cfRule type="expression" dxfId="2" priority="3" stopIfTrue="1">
      <formula>IF(RomulusLevelCurrent&gt;=$C93,TRUE,FALSE)</formula>
    </cfRule>
    <cfRule type="expression" dxfId="1" priority="6">
      <formula>IF(RomulusLevelDesired&gt;=$C93,TRUE,FALSE)</formula>
    </cfRule>
  </conditionalFormatting>
  <conditionalFormatting sqref="Z76:AD76 Z80:AD80 Z84:AD84">
    <cfRule type="cellIs" dxfId="0" priority="10" operator="equal">
      <formula>TRUE</formula>
    </cfRule>
  </conditionalFormatting>
  <dataValidations count="9">
    <dataValidation type="list" allowBlank="1" showInputMessage="1" showErrorMessage="1" sqref="Q81:V81 Q83:V83" xr:uid="{240642A1-3209-4429-826C-2EE4EBB02C89}">
      <formula1>$Z$111:$Z$131</formula1>
    </dataValidation>
    <dataValidation type="list" allowBlank="1" showInputMessage="1" showErrorMessage="1" sqref="O81:P81 O83:P83" xr:uid="{4EA65193-F2AB-4BAD-A45D-009964E0F672}">
      <formula1>$Z$111:$Z$121</formula1>
    </dataValidation>
    <dataValidation type="list" allowBlank="1" showInputMessage="1" showErrorMessage="1" sqref="B71:C71 B85:C85 B17:C17 B87:C87 B19:C19 B80:C80 B78:C78 B73:C73" xr:uid="{FA63B8AF-A3A1-4495-A72F-B0CD328F61DC}">
      <formula1>$C$92:$C$202</formula1>
    </dataValidation>
    <dataValidation allowBlank="1" showInputMessage="1" showErrorMessage="1" prompt="These will be dependent on your state age, but as far as I know still follow the same multiplier for later packs.  Update as needed, and let me know if it's incorrect." sqref="Z77:Z78 Z81:Z82 Z85:Z86" xr:uid="{C5479745-7037-4846-89D4-758DD4788171}"/>
    <dataValidation type="list" allowBlank="1" showInputMessage="1" showErrorMessage="1" sqref="J17:K17 N19:O19 J19:K19 N17:O17" xr:uid="{1FD06D9B-97E5-4BFD-8000-318A6FF7AB74}">
      <formula1>$Q$94:$Q$99</formula1>
    </dataValidation>
    <dataValidation type="list" allowBlank="1" showInputMessage="1" showErrorMessage="1" sqref="O72:V72 O70:V70" xr:uid="{7B4EB960-6B87-4F97-8E19-AB83AF92CF53}">
      <formula1>$Q$111:$Q$121</formula1>
    </dataValidation>
    <dataValidation type="list" allowBlank="1" showInputMessage="1" showErrorMessage="1" sqref="U61:V61 U59:V59" xr:uid="{54C35931-368F-41AC-BE06-ABB4D154CE50}">
      <formula1>$Z$94:$Z$104</formula1>
    </dataValidation>
    <dataValidation type="list" allowBlank="1" showInputMessage="1" showErrorMessage="1" sqref="O61:T61 O59:T59" xr:uid="{661F5040-C537-44F7-A72B-3FF6AA126510}">
      <formula1>$Z$94:$Z$99</formula1>
    </dataValidation>
    <dataValidation type="list" allowBlank="1" showInputMessage="1" showErrorMessage="1" sqref="F17:G17 F19:G19 R17:S17 R19:S19" xr:uid="{853FFA22-CD98-41BD-82CC-C501AFA873D0}">
      <formula1>$Q$94:$Q$104</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4817" r:id="rId3" name="Check Box 1">
              <controlPr locked="0" defaultSize="0" autoFill="0" autoLine="0" autoPict="0">
                <anchor moveWithCells="1">
                  <from>
                    <xdr:col>25</xdr:col>
                    <xdr:colOff>7620</xdr:colOff>
                    <xdr:row>74</xdr:row>
                    <xdr:rowOff>175260</xdr:rowOff>
                  </from>
                  <to>
                    <xdr:col>25</xdr:col>
                    <xdr:colOff>342900</xdr:colOff>
                    <xdr:row>76</xdr:row>
                    <xdr:rowOff>22860</xdr:rowOff>
                  </to>
                </anchor>
              </controlPr>
            </control>
          </mc:Choice>
        </mc:AlternateContent>
        <mc:AlternateContent xmlns:mc="http://schemas.openxmlformats.org/markup-compatibility/2006">
          <mc:Choice Requires="x14">
            <control shapeId="34818" r:id="rId4" name="Check Box 2">
              <controlPr locked="0" defaultSize="0" autoFill="0" autoLine="0" autoPict="0">
                <anchor moveWithCells="1">
                  <from>
                    <xdr:col>26</xdr:col>
                    <xdr:colOff>0</xdr:colOff>
                    <xdr:row>74</xdr:row>
                    <xdr:rowOff>152400</xdr:rowOff>
                  </from>
                  <to>
                    <xdr:col>26</xdr:col>
                    <xdr:colOff>266700</xdr:colOff>
                    <xdr:row>76</xdr:row>
                    <xdr:rowOff>30480</xdr:rowOff>
                  </to>
                </anchor>
              </controlPr>
            </control>
          </mc:Choice>
        </mc:AlternateContent>
        <mc:AlternateContent xmlns:mc="http://schemas.openxmlformats.org/markup-compatibility/2006">
          <mc:Choice Requires="x14">
            <control shapeId="34819" r:id="rId5" name="Check Box 3">
              <controlPr locked="0" defaultSize="0" autoFill="0" autoLine="0" autoPict="0">
                <anchor moveWithCells="1">
                  <from>
                    <xdr:col>27</xdr:col>
                    <xdr:colOff>0</xdr:colOff>
                    <xdr:row>75</xdr:row>
                    <xdr:rowOff>0</xdr:rowOff>
                  </from>
                  <to>
                    <xdr:col>27</xdr:col>
                    <xdr:colOff>327660</xdr:colOff>
                    <xdr:row>76</xdr:row>
                    <xdr:rowOff>0</xdr:rowOff>
                  </to>
                </anchor>
              </controlPr>
            </control>
          </mc:Choice>
        </mc:AlternateContent>
        <mc:AlternateContent xmlns:mc="http://schemas.openxmlformats.org/markup-compatibility/2006">
          <mc:Choice Requires="x14">
            <control shapeId="34820" r:id="rId6" name="Check Box 4">
              <controlPr locked="0" defaultSize="0" autoFill="0" autoLine="0" autoPict="0">
                <anchor moveWithCells="1">
                  <from>
                    <xdr:col>28</xdr:col>
                    <xdr:colOff>7620</xdr:colOff>
                    <xdr:row>74</xdr:row>
                    <xdr:rowOff>160020</xdr:rowOff>
                  </from>
                  <to>
                    <xdr:col>28</xdr:col>
                    <xdr:colOff>304800</xdr:colOff>
                    <xdr:row>76</xdr:row>
                    <xdr:rowOff>22860</xdr:rowOff>
                  </to>
                </anchor>
              </controlPr>
            </control>
          </mc:Choice>
        </mc:AlternateContent>
        <mc:AlternateContent xmlns:mc="http://schemas.openxmlformats.org/markup-compatibility/2006">
          <mc:Choice Requires="x14">
            <control shapeId="34821" r:id="rId7" name="Check Box 5">
              <controlPr locked="0" defaultSize="0" autoFill="0" autoLine="0" autoPict="0">
                <anchor moveWithCells="1">
                  <from>
                    <xdr:col>29</xdr:col>
                    <xdr:colOff>7620</xdr:colOff>
                    <xdr:row>75</xdr:row>
                    <xdr:rowOff>7620</xdr:rowOff>
                  </from>
                  <to>
                    <xdr:col>29</xdr:col>
                    <xdr:colOff>297180</xdr:colOff>
                    <xdr:row>75</xdr:row>
                    <xdr:rowOff>175260</xdr:rowOff>
                  </to>
                </anchor>
              </controlPr>
            </control>
          </mc:Choice>
        </mc:AlternateContent>
        <mc:AlternateContent xmlns:mc="http://schemas.openxmlformats.org/markup-compatibility/2006">
          <mc:Choice Requires="x14">
            <control shapeId="34822" r:id="rId8" name="Check Box 6">
              <controlPr locked="0" defaultSize="0" autoFill="0" autoLine="0" autoPict="0">
                <anchor moveWithCells="1">
                  <from>
                    <xdr:col>25</xdr:col>
                    <xdr:colOff>7620</xdr:colOff>
                    <xdr:row>78</xdr:row>
                    <xdr:rowOff>175260</xdr:rowOff>
                  </from>
                  <to>
                    <xdr:col>25</xdr:col>
                    <xdr:colOff>327660</xdr:colOff>
                    <xdr:row>80</xdr:row>
                    <xdr:rowOff>22860</xdr:rowOff>
                  </to>
                </anchor>
              </controlPr>
            </control>
          </mc:Choice>
        </mc:AlternateContent>
        <mc:AlternateContent xmlns:mc="http://schemas.openxmlformats.org/markup-compatibility/2006">
          <mc:Choice Requires="x14">
            <control shapeId="34823" r:id="rId9" name="Check Box 7">
              <controlPr locked="0" defaultSize="0" autoFill="0" autoLine="0" autoPict="0" altText="$10">
                <anchor moveWithCells="1">
                  <from>
                    <xdr:col>26</xdr:col>
                    <xdr:colOff>7620</xdr:colOff>
                    <xdr:row>78</xdr:row>
                    <xdr:rowOff>182880</xdr:rowOff>
                  </from>
                  <to>
                    <xdr:col>26</xdr:col>
                    <xdr:colOff>274320</xdr:colOff>
                    <xdr:row>80</xdr:row>
                    <xdr:rowOff>0</xdr:rowOff>
                  </to>
                </anchor>
              </controlPr>
            </control>
          </mc:Choice>
        </mc:AlternateContent>
        <mc:AlternateContent xmlns:mc="http://schemas.openxmlformats.org/markup-compatibility/2006">
          <mc:Choice Requires="x14">
            <control shapeId="34824" r:id="rId10" name="Check Box 8">
              <controlPr locked="0" defaultSize="0" autoFill="0" autoLine="0" autoPict="0">
                <anchor moveWithCells="1">
                  <from>
                    <xdr:col>27</xdr:col>
                    <xdr:colOff>7620</xdr:colOff>
                    <xdr:row>79</xdr:row>
                    <xdr:rowOff>0</xdr:rowOff>
                  </from>
                  <to>
                    <xdr:col>27</xdr:col>
                    <xdr:colOff>342900</xdr:colOff>
                    <xdr:row>79</xdr:row>
                    <xdr:rowOff>182880</xdr:rowOff>
                  </to>
                </anchor>
              </controlPr>
            </control>
          </mc:Choice>
        </mc:AlternateContent>
        <mc:AlternateContent xmlns:mc="http://schemas.openxmlformats.org/markup-compatibility/2006">
          <mc:Choice Requires="x14">
            <control shapeId="34825" r:id="rId11" name="Check Box 9">
              <controlPr locked="0" defaultSize="0" autoFill="0" autoLine="0" autoPict="0">
                <anchor moveWithCells="1">
                  <from>
                    <xdr:col>28</xdr:col>
                    <xdr:colOff>22860</xdr:colOff>
                    <xdr:row>79</xdr:row>
                    <xdr:rowOff>7620</xdr:rowOff>
                  </from>
                  <to>
                    <xdr:col>28</xdr:col>
                    <xdr:colOff>373380</xdr:colOff>
                    <xdr:row>79</xdr:row>
                    <xdr:rowOff>182880</xdr:rowOff>
                  </to>
                </anchor>
              </controlPr>
            </control>
          </mc:Choice>
        </mc:AlternateContent>
        <mc:AlternateContent xmlns:mc="http://schemas.openxmlformats.org/markup-compatibility/2006">
          <mc:Choice Requires="x14">
            <control shapeId="34826" r:id="rId12" name="Check Box 10">
              <controlPr locked="0" defaultSize="0" autoFill="0" autoLine="0" autoPict="0">
                <anchor moveWithCells="1">
                  <from>
                    <xdr:col>29</xdr:col>
                    <xdr:colOff>7620</xdr:colOff>
                    <xdr:row>78</xdr:row>
                    <xdr:rowOff>190500</xdr:rowOff>
                  </from>
                  <to>
                    <xdr:col>29</xdr:col>
                    <xdr:colOff>289560</xdr:colOff>
                    <xdr:row>79</xdr:row>
                    <xdr:rowOff>182880</xdr:rowOff>
                  </to>
                </anchor>
              </controlPr>
            </control>
          </mc:Choice>
        </mc:AlternateContent>
        <mc:AlternateContent xmlns:mc="http://schemas.openxmlformats.org/markup-compatibility/2006">
          <mc:Choice Requires="x14">
            <control shapeId="34827" r:id="rId13" name="Check Box 11">
              <controlPr locked="0" defaultSize="0" autoFill="0" autoLine="0" autoPict="0">
                <anchor moveWithCells="1">
                  <from>
                    <xdr:col>25</xdr:col>
                    <xdr:colOff>7620</xdr:colOff>
                    <xdr:row>82</xdr:row>
                    <xdr:rowOff>175260</xdr:rowOff>
                  </from>
                  <to>
                    <xdr:col>25</xdr:col>
                    <xdr:colOff>373380</xdr:colOff>
                    <xdr:row>84</xdr:row>
                    <xdr:rowOff>22860</xdr:rowOff>
                  </to>
                </anchor>
              </controlPr>
            </control>
          </mc:Choice>
        </mc:AlternateContent>
        <mc:AlternateContent xmlns:mc="http://schemas.openxmlformats.org/markup-compatibility/2006">
          <mc:Choice Requires="x14">
            <control shapeId="34828" r:id="rId14" name="Check Box 12">
              <controlPr locked="0" defaultSize="0" autoFill="0" autoLine="0" autoPict="0" altText="$10">
                <anchor moveWithCells="1">
                  <from>
                    <xdr:col>26</xdr:col>
                    <xdr:colOff>7620</xdr:colOff>
                    <xdr:row>82</xdr:row>
                    <xdr:rowOff>182880</xdr:rowOff>
                  </from>
                  <to>
                    <xdr:col>26</xdr:col>
                    <xdr:colOff>327660</xdr:colOff>
                    <xdr:row>84</xdr:row>
                    <xdr:rowOff>0</xdr:rowOff>
                  </to>
                </anchor>
              </controlPr>
            </control>
          </mc:Choice>
        </mc:AlternateContent>
        <mc:AlternateContent xmlns:mc="http://schemas.openxmlformats.org/markup-compatibility/2006">
          <mc:Choice Requires="x14">
            <control shapeId="34829" r:id="rId15" name="Check Box 13">
              <controlPr locked="0" defaultSize="0" autoFill="0" autoLine="0" autoPict="0">
                <anchor moveWithCells="1">
                  <from>
                    <xdr:col>27</xdr:col>
                    <xdr:colOff>7620</xdr:colOff>
                    <xdr:row>82</xdr:row>
                    <xdr:rowOff>190500</xdr:rowOff>
                  </from>
                  <to>
                    <xdr:col>27</xdr:col>
                    <xdr:colOff>350520</xdr:colOff>
                    <xdr:row>83</xdr:row>
                    <xdr:rowOff>182880</xdr:rowOff>
                  </to>
                </anchor>
              </controlPr>
            </control>
          </mc:Choice>
        </mc:AlternateContent>
        <mc:AlternateContent xmlns:mc="http://schemas.openxmlformats.org/markup-compatibility/2006">
          <mc:Choice Requires="x14">
            <control shapeId="34830" r:id="rId16" name="Check Box 14">
              <controlPr locked="0" defaultSize="0" autoFill="0" autoLine="0" autoPict="0">
                <anchor moveWithCells="1">
                  <from>
                    <xdr:col>28</xdr:col>
                    <xdr:colOff>7620</xdr:colOff>
                    <xdr:row>82</xdr:row>
                    <xdr:rowOff>182880</xdr:rowOff>
                  </from>
                  <to>
                    <xdr:col>28</xdr:col>
                    <xdr:colOff>312420</xdr:colOff>
                    <xdr:row>84</xdr:row>
                    <xdr:rowOff>0</xdr:rowOff>
                  </to>
                </anchor>
              </controlPr>
            </control>
          </mc:Choice>
        </mc:AlternateContent>
        <mc:AlternateContent xmlns:mc="http://schemas.openxmlformats.org/markup-compatibility/2006">
          <mc:Choice Requires="x14">
            <control shapeId="34831" r:id="rId17" name="Check Box 15">
              <controlPr locked="0" defaultSize="0" autoFill="0" autoLine="0" autoPict="0">
                <anchor moveWithCells="1">
                  <from>
                    <xdr:col>29</xdr:col>
                    <xdr:colOff>7620</xdr:colOff>
                    <xdr:row>82</xdr:row>
                    <xdr:rowOff>190500</xdr:rowOff>
                  </from>
                  <to>
                    <xdr:col>29</xdr:col>
                    <xdr:colOff>304800</xdr:colOff>
                    <xdr:row>83</xdr:row>
                    <xdr:rowOff>182880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AA0F-9647-47FC-90B8-96C1D8EB130B}">
  <sheetPr codeName="Sheet16"/>
  <dimension ref="A1:C822"/>
  <sheetViews>
    <sheetView topLeftCell="A34" workbookViewId="0">
      <selection activeCell="A43" sqref="A43"/>
    </sheetView>
  </sheetViews>
  <sheetFormatPr baseColWidth="10" defaultColWidth="8.88671875" defaultRowHeight="14.4" x14ac:dyDescent="0.3"/>
  <cols>
    <col min="1" max="1" width="16.33203125" style="38" bestFit="1" customWidth="1"/>
  </cols>
  <sheetData>
    <row r="1" spans="1:1" x14ac:dyDescent="0.3">
      <c r="A1" s="38" t="s">
        <v>28</v>
      </c>
    </row>
    <row r="2" spans="1:1" x14ac:dyDescent="0.3">
      <c r="A2" s="184">
        <v>0</v>
      </c>
    </row>
    <row r="3" spans="1:1" x14ac:dyDescent="0.3">
      <c r="A3" s="184">
        <v>0.05</v>
      </c>
    </row>
    <row r="4" spans="1:1" x14ac:dyDescent="0.3">
      <c r="A4" s="184">
        <v>7.0000000000000007E-2</v>
      </c>
    </row>
    <row r="5" spans="1:1" x14ac:dyDescent="0.3">
      <c r="A5" s="184">
        <v>0.09</v>
      </c>
    </row>
    <row r="6" spans="1:1" x14ac:dyDescent="0.3">
      <c r="A6" s="184">
        <v>0.12</v>
      </c>
    </row>
    <row r="7" spans="1:1" x14ac:dyDescent="0.3">
      <c r="A7" s="184">
        <v>0.15</v>
      </c>
    </row>
    <row r="8" spans="1:1" x14ac:dyDescent="0.3">
      <c r="A8" s="184"/>
    </row>
    <row r="9" spans="1:1" x14ac:dyDescent="0.3">
      <c r="A9" s="184">
        <v>0</v>
      </c>
    </row>
    <row r="10" spans="1:1" x14ac:dyDescent="0.3">
      <c r="A10" s="184">
        <v>0.03</v>
      </c>
    </row>
    <row r="11" spans="1:1" x14ac:dyDescent="0.3">
      <c r="A11" s="184">
        <v>0.06</v>
      </c>
    </row>
    <row r="12" spans="1:1" x14ac:dyDescent="0.3">
      <c r="A12" s="184">
        <v>0.09</v>
      </c>
    </row>
    <row r="13" spans="1:1" x14ac:dyDescent="0.3">
      <c r="A13" s="184">
        <v>0.12</v>
      </c>
    </row>
    <row r="14" spans="1:1" x14ac:dyDescent="0.3">
      <c r="A14" s="184">
        <v>0.15</v>
      </c>
    </row>
    <row r="15" spans="1:1" x14ac:dyDescent="0.3">
      <c r="A15" s="184"/>
    </row>
    <row r="16" spans="1:1" x14ac:dyDescent="0.3">
      <c r="A16" s="184">
        <v>0</v>
      </c>
    </row>
    <row r="17" spans="1:2" x14ac:dyDescent="0.3">
      <c r="A17" s="184">
        <v>0.2</v>
      </c>
    </row>
    <row r="18" spans="1:2" x14ac:dyDescent="0.3">
      <c r="A18" s="184"/>
    </row>
    <row r="19" spans="1:2" x14ac:dyDescent="0.3">
      <c r="A19" s="184">
        <v>0</v>
      </c>
    </row>
    <row r="20" spans="1:2" x14ac:dyDescent="0.3">
      <c r="A20" s="184">
        <v>0.1</v>
      </c>
    </row>
    <row r="21" spans="1:2" x14ac:dyDescent="0.3">
      <c r="A21" s="184"/>
    </row>
    <row r="22" spans="1:2" x14ac:dyDescent="0.3">
      <c r="A22" s="184">
        <v>0</v>
      </c>
    </row>
    <row r="23" spans="1:2" x14ac:dyDescent="0.3">
      <c r="A23" s="184">
        <v>0.08</v>
      </c>
    </row>
    <row r="24" spans="1:2" x14ac:dyDescent="0.3">
      <c r="A24" s="184"/>
    </row>
    <row r="25" spans="1:2" x14ac:dyDescent="0.3">
      <c r="A25" s="184">
        <v>0</v>
      </c>
    </row>
    <row r="26" spans="1:2" x14ac:dyDescent="0.3">
      <c r="A26" s="184">
        <v>0.05</v>
      </c>
    </row>
    <row r="27" spans="1:2" x14ac:dyDescent="0.3">
      <c r="A27" s="174"/>
    </row>
    <row r="28" spans="1:2" x14ac:dyDescent="0.3">
      <c r="A28" s="38" t="s">
        <v>61</v>
      </c>
    </row>
    <row r="29" spans="1:2" x14ac:dyDescent="0.3">
      <c r="A29" s="175" t="e">
        <f>FurnaceSecs+BarricadeSecs+CommandCenterSecs+CoalMineSecs+EmbassySecs+HuntersHutSecs+InfantryCampSecs+InfirmarySecs+IronMineSecs+LancerCampSecs+MarksmanCampSecs+ResearchCenterSecs+SawmillSecs+ShelterSecs+WarAcademySecs</f>
        <v>#N/A</v>
      </c>
    </row>
    <row r="30" spans="1:2" x14ac:dyDescent="0.3">
      <c r="A30" s="38" t="e">
        <f>ROUNDDOWN(TotalSecs/60/60/24,0)</f>
        <v>#N/A</v>
      </c>
      <c r="B30" t="s">
        <v>70</v>
      </c>
    </row>
    <row r="31" spans="1:2" x14ac:dyDescent="0.3">
      <c r="A31" s="38" t="e">
        <f>ROUNDDOWN((TotalSecs-A30*60*60*24)/60/60,0)</f>
        <v>#N/A</v>
      </c>
      <c r="B31" t="s">
        <v>69</v>
      </c>
    </row>
    <row r="32" spans="1:2" x14ac:dyDescent="0.3">
      <c r="A32" s="38" t="e">
        <f>ROUNDDOWN((TotalSecs-A30*60*60*24-A31*60*60)/60,0)</f>
        <v>#N/A</v>
      </c>
      <c r="B32" t="s">
        <v>71</v>
      </c>
    </row>
    <row r="33" spans="1:2" x14ac:dyDescent="0.3">
      <c r="A33" s="38" t="e">
        <f>ROUNDDOWN(TotalSecs-A30*60*60*24-A31*60*60-A32*60,0)</f>
        <v>#N/A</v>
      </c>
      <c r="B33" t="s">
        <v>72</v>
      </c>
    </row>
    <row r="35" spans="1:2" x14ac:dyDescent="0.3">
      <c r="A35" s="38" t="s">
        <v>62</v>
      </c>
    </row>
    <row r="36" spans="1:2" x14ac:dyDescent="0.3">
      <c r="A36" s="175" t="e">
        <f>TotalSecs/(1+ConstructionSpeed+IF(Mercantilism="Yes",0.1,0)+IF(VP="Yes",IF(SupremePresident="Yes",0.15,0.1),0))</f>
        <v>#N/A</v>
      </c>
    </row>
    <row r="37" spans="1:2" x14ac:dyDescent="0.3">
      <c r="A37" s="38" t="e">
        <f>ROUNDDOWN(ReducedSecs/60/60/24,0)</f>
        <v>#N/A</v>
      </c>
      <c r="B37" t="s">
        <v>70</v>
      </c>
    </row>
    <row r="38" spans="1:2" x14ac:dyDescent="0.3">
      <c r="A38" s="38" t="e">
        <f>ROUNDDOWN((ReducedSecs-A37*60*60*24)/60/60,0)</f>
        <v>#N/A</v>
      </c>
      <c r="B38" t="s">
        <v>69</v>
      </c>
    </row>
    <row r="39" spans="1:2" x14ac:dyDescent="0.3">
      <c r="A39" s="38" t="e">
        <f>ROUNDDOWN((ReducedSecs-A37*60*60*24-A38*60*60)/60,0)</f>
        <v>#N/A</v>
      </c>
      <c r="B39" t="s">
        <v>71</v>
      </c>
    </row>
    <row r="40" spans="1:2" x14ac:dyDescent="0.3">
      <c r="A40" s="38" t="e">
        <f>ROUNDDOWN(ReducedSecs-A37*60*60*24-A38*60*60-A39*60,0)</f>
        <v>#N/A</v>
      </c>
      <c r="B40" t="s">
        <v>72</v>
      </c>
    </row>
    <row r="42" spans="1:2" x14ac:dyDescent="0.3">
      <c r="A42" s="38" t="s">
        <v>63</v>
      </c>
    </row>
    <row r="43" spans="1:2" x14ac:dyDescent="0.3">
      <c r="A43" s="175" t="e">
        <f>TotalSecs/(1+ConstructionSpeed+IF(Mercantilism="Yes",0.1,0)+IF(VP="Yes",IF(SupremePresident="Yes",0.15,0.1),0)+BuildersAide)*(1-DoubleTime)</f>
        <v>#N/A</v>
      </c>
    </row>
    <row r="44" spans="1:2" x14ac:dyDescent="0.3">
      <c r="A44" s="38" t="e">
        <f>ROUNDDOWN(DTBASecs/60/60/24,0)</f>
        <v>#N/A</v>
      </c>
      <c r="B44" t="s">
        <v>70</v>
      </c>
    </row>
    <row r="45" spans="1:2" x14ac:dyDescent="0.3">
      <c r="A45" s="38" t="e">
        <f>ROUNDDOWN((DTBASecs-A44*60*60*24)/60/60,0)</f>
        <v>#N/A</v>
      </c>
      <c r="B45" t="s">
        <v>69</v>
      </c>
    </row>
    <row r="46" spans="1:2" x14ac:dyDescent="0.3">
      <c r="A46" s="38" t="e">
        <f>ROUNDDOWN((DTBASecs-A44*60*60*24-A45*60*60)/60,0)</f>
        <v>#N/A</v>
      </c>
      <c r="B46" t="s">
        <v>71</v>
      </c>
    </row>
    <row r="47" spans="1:2" x14ac:dyDescent="0.3">
      <c r="A47" s="38" t="e">
        <f>ROUNDDOWN(DTBASecs-A44*60*60*24-A45*60*60-A46*60,0)</f>
        <v>#N/A</v>
      </c>
      <c r="B47" t="s">
        <v>72</v>
      </c>
    </row>
    <row r="48" spans="1:2" x14ac:dyDescent="0.3">
      <c r="A48" s="175"/>
    </row>
    <row r="50" spans="1:2" x14ac:dyDescent="0.3">
      <c r="A50" s="38" t="s">
        <v>67</v>
      </c>
    </row>
    <row r="51" spans="1:2" x14ac:dyDescent="0.3">
      <c r="A51" s="38">
        <f>ConstSpeedups*60</f>
        <v>900000</v>
      </c>
    </row>
    <row r="52" spans="1:2" x14ac:dyDescent="0.3">
      <c r="A52" s="38">
        <f>ROUNDDOWN(ConstSpeedupSecs/60/60/24,0)</f>
        <v>10</v>
      </c>
      <c r="B52" t="s">
        <v>70</v>
      </c>
    </row>
    <row r="53" spans="1:2" x14ac:dyDescent="0.3">
      <c r="A53" s="38">
        <f>ROUNDDOWN((ConstSpeedupSecs-A52*60*60*24)/60/60,0)</f>
        <v>10</v>
      </c>
      <c r="B53" t="s">
        <v>69</v>
      </c>
    </row>
    <row r="54" spans="1:2" x14ac:dyDescent="0.3">
      <c r="A54" s="38">
        <f>ROUNDDOWN((ConstSpeedupSecs-A52*60*60*24-A53*60*60)/60,0)</f>
        <v>0</v>
      </c>
      <c r="B54" t="s">
        <v>71</v>
      </c>
    </row>
    <row r="55" spans="1:2" x14ac:dyDescent="0.3">
      <c r="A55" s="38">
        <f>ROUNDDOWN(ConstSpeedupSecs-A52*60*60*24-A53*60*60-A54*60,0)</f>
        <v>0</v>
      </c>
      <c r="B55" t="s">
        <v>72</v>
      </c>
    </row>
    <row r="57" spans="1:2" x14ac:dyDescent="0.3">
      <c r="A57" s="38" t="s">
        <v>68</v>
      </c>
    </row>
    <row r="58" spans="1:2" x14ac:dyDescent="0.3">
      <c r="A58" s="38">
        <f>GenSpeedups*60</f>
        <v>6000000</v>
      </c>
    </row>
    <row r="59" spans="1:2" x14ac:dyDescent="0.3">
      <c r="A59" s="38">
        <f>ROUNDDOWN(GenSpeedupSecs/60/60/24,0)</f>
        <v>69</v>
      </c>
      <c r="B59" t="s">
        <v>70</v>
      </c>
    </row>
    <row r="60" spans="1:2" x14ac:dyDescent="0.3">
      <c r="A60" s="38">
        <f>ROUNDDOWN((GenSpeedupSecs-A59*60*60*24)/60/60,0)</f>
        <v>10</v>
      </c>
      <c r="B60" t="s">
        <v>69</v>
      </c>
    </row>
    <row r="61" spans="1:2" x14ac:dyDescent="0.3">
      <c r="A61" s="38">
        <f>ROUNDDOWN((GenSpeedupSecs-A59*60*60*24-A60*60*60)/60,0)</f>
        <v>40</v>
      </c>
      <c r="B61" t="s">
        <v>71</v>
      </c>
    </row>
    <row r="62" spans="1:2" x14ac:dyDescent="0.3">
      <c r="A62" s="38">
        <f>ROUNDDOWN(GenSpeedupSecs-A59*60*60*24-A60*60*60-A61*60,0)</f>
        <v>0</v>
      </c>
      <c r="B62" t="s">
        <v>72</v>
      </c>
    </row>
    <row r="64" spans="1:2" x14ac:dyDescent="0.3">
      <c r="A64" s="38" t="s">
        <v>398</v>
      </c>
    </row>
    <row r="65" spans="1:2" x14ac:dyDescent="0.3">
      <c r="A65" s="38">
        <f>ConstSpeedupSecs+GenSpeedupSecs</f>
        <v>6900000</v>
      </c>
    </row>
    <row r="66" spans="1:2" x14ac:dyDescent="0.3">
      <c r="A66" s="38">
        <f>ROUNDDOWN(ConstAndGenSpeedupSecs/60/60/24,0)</f>
        <v>79</v>
      </c>
      <c r="B66" t="s">
        <v>70</v>
      </c>
    </row>
    <row r="67" spans="1:2" x14ac:dyDescent="0.3">
      <c r="A67" s="38">
        <f>ROUNDDOWN((ConstAndGenSpeedupSecs-A66*60*60*24)/60/60,0)</f>
        <v>20</v>
      </c>
      <c r="B67" t="s">
        <v>69</v>
      </c>
    </row>
    <row r="68" spans="1:2" x14ac:dyDescent="0.3">
      <c r="A68" s="38">
        <f>ROUNDDOWN((ConstAndGenSpeedupSecs-A66*60*60*24-A67*60*60)/60,0)</f>
        <v>40</v>
      </c>
      <c r="B68" t="s">
        <v>71</v>
      </c>
    </row>
    <row r="69" spans="1:2" x14ac:dyDescent="0.3">
      <c r="A69" s="38">
        <f>ROUNDDOWN(ConstAndGenSpeedupSecs-A66*60*60*24-A67*60*60-A68*60,0)</f>
        <v>0</v>
      </c>
      <c r="B69" t="s">
        <v>72</v>
      </c>
    </row>
    <row r="71" spans="1:2" x14ac:dyDescent="0.3">
      <c r="A71" s="38" t="s">
        <v>517</v>
      </c>
    </row>
    <row r="72" spans="1:2" x14ac:dyDescent="0.3">
      <c r="A72" s="38" t="e">
        <f>DTBASecs-ConstAndGenSpeedupSecs</f>
        <v>#N/A</v>
      </c>
    </row>
    <row r="73" spans="1:2" x14ac:dyDescent="0.3">
      <c r="A73" s="38" t="e">
        <f>ROUNDDOWN(NeededSpeedupSecs/60/60/24,0)</f>
        <v>#N/A</v>
      </c>
      <c r="B73" t="s">
        <v>70</v>
      </c>
    </row>
    <row r="74" spans="1:2" x14ac:dyDescent="0.3">
      <c r="A74" s="38" t="e">
        <f>ROUNDDOWN((NeededSpeedupSecs-A73*60*60*24)/60/60,0)</f>
        <v>#N/A</v>
      </c>
      <c r="B74" t="s">
        <v>69</v>
      </c>
    </row>
    <row r="75" spans="1:2" x14ac:dyDescent="0.3">
      <c r="A75" s="38" t="e">
        <f>ROUNDDOWN((NeededSpeedupSecs-A73*60*60*24-A74*60*60)/60,0)</f>
        <v>#N/A</v>
      </c>
      <c r="B75" t="s">
        <v>71</v>
      </c>
    </row>
    <row r="76" spans="1:2" x14ac:dyDescent="0.3">
      <c r="A76" s="38" t="e">
        <f>ROUNDDOWN(NeededSpeedupSecs-A73*60*60*24-A74*60*60-A75*60,0)</f>
        <v>#N/A</v>
      </c>
      <c r="B76" t="s">
        <v>72</v>
      </c>
    </row>
    <row r="78" spans="1:2" x14ac:dyDescent="0.3">
      <c r="A78" s="38" t="s">
        <v>275</v>
      </c>
    </row>
    <row r="79" spans="1:2" x14ac:dyDescent="0.3">
      <c r="A79" s="38" t="e">
        <f>IF(ConstSpeedupSecs-DTBASecs+GenSpeedupSecs&gt;0,ConstSpeedupSecs-DTBASecs+GenSpeedupSecs,0)</f>
        <v>#N/A</v>
      </c>
    </row>
    <row r="80" spans="1:2" x14ac:dyDescent="0.3">
      <c r="A80" s="38" t="e">
        <f>ROUNDDOWN(GenAfterConstruction/60/60/24,0)</f>
        <v>#N/A</v>
      </c>
      <c r="B80" t="s">
        <v>70</v>
      </c>
    </row>
    <row r="81" spans="1:2" x14ac:dyDescent="0.3">
      <c r="A81" s="38" t="e">
        <f>ROUNDDOWN((GenAfterConstruction-A80*60*60*24)/60/60,0)</f>
        <v>#N/A</v>
      </c>
      <c r="B81" t="s">
        <v>69</v>
      </c>
    </row>
    <row r="82" spans="1:2" x14ac:dyDescent="0.3">
      <c r="A82" s="38" t="e">
        <f>ROUNDDOWN((GenAfterConstruction-A80*60*60*24-A81*60*60)/60,0)</f>
        <v>#N/A</v>
      </c>
      <c r="B82" t="s">
        <v>71</v>
      </c>
    </row>
    <row r="83" spans="1:2" x14ac:dyDescent="0.3">
      <c r="A83" s="38" t="e">
        <f>ROUNDDOWN(GenAfterConstruction-A80*60*60*24-A81*60*60-A82*60,0)</f>
        <v>#N/A</v>
      </c>
      <c r="B83" t="s">
        <v>72</v>
      </c>
    </row>
    <row r="85" spans="1:2" x14ac:dyDescent="0.3">
      <c r="A85" s="38" t="s">
        <v>276</v>
      </c>
    </row>
    <row r="86" spans="1:2" x14ac:dyDescent="0.3">
      <c r="A86" s="38" t="e">
        <f>GenAfterConstruction+TroopSpeedupSecs</f>
        <v>#N/A</v>
      </c>
    </row>
    <row r="87" spans="1:2" x14ac:dyDescent="0.3">
      <c r="A87" s="38" t="e">
        <f>ROUNDDOWN(GenAndTroopSecs/60/60/24,0)</f>
        <v>#N/A</v>
      </c>
      <c r="B87" t="s">
        <v>70</v>
      </c>
    </row>
    <row r="88" spans="1:2" x14ac:dyDescent="0.3">
      <c r="A88" s="38" t="e">
        <f>ROUNDDOWN((GenAndTroopSecs-A87*60*60*24)/60/60,0)</f>
        <v>#N/A</v>
      </c>
      <c r="B88" t="s">
        <v>69</v>
      </c>
    </row>
    <row r="89" spans="1:2" x14ac:dyDescent="0.3">
      <c r="A89" s="38" t="e">
        <f>ROUNDDOWN((GenAndTroopSecs-A87*60*60*24-A88*60*60)/60,0)</f>
        <v>#N/A</v>
      </c>
      <c r="B89" t="s">
        <v>71</v>
      </c>
    </row>
    <row r="90" spans="1:2" x14ac:dyDescent="0.3">
      <c r="A90" s="38" t="e">
        <f>ROUNDDOWN(GenAndTroopSecs-A87*60*60*24-A88*60*60-A89*60,0)</f>
        <v>#N/A</v>
      </c>
      <c r="B90" t="s">
        <v>72</v>
      </c>
    </row>
    <row r="92" spans="1:2" x14ac:dyDescent="0.3">
      <c r="A92" s="38" t="s">
        <v>607</v>
      </c>
    </row>
    <row r="93" spans="1:2" x14ac:dyDescent="0.3">
      <c r="A93" s="38" t="e">
        <f>GenAndTroopSecs-'Troop Data'!AJ50-'Troop Data'!BH64</f>
        <v>#N/A</v>
      </c>
    </row>
    <row r="94" spans="1:2" x14ac:dyDescent="0.3">
      <c r="A94" s="38" t="e">
        <f>ROUNDDOWN(SpeedupsAfterTroops/60/60/24,0)</f>
        <v>#N/A</v>
      </c>
      <c r="B94" t="s">
        <v>70</v>
      </c>
    </row>
    <row r="95" spans="1:2" x14ac:dyDescent="0.3">
      <c r="A95" s="38" t="e">
        <f>ROUNDDOWN((SpeedupsAfterTroops-A94*60*60*24)/60/60,0)</f>
        <v>#N/A</v>
      </c>
      <c r="B95" t="s">
        <v>69</v>
      </c>
    </row>
    <row r="96" spans="1:2" x14ac:dyDescent="0.3">
      <c r="A96" s="38" t="e">
        <f>ROUNDDOWN((SpeedupsAfterTroops-A94*60*60*24-A95*60*60)/60,0)</f>
        <v>#N/A</v>
      </c>
      <c r="B96" t="s">
        <v>71</v>
      </c>
    </row>
    <row r="97" spans="1:2" x14ac:dyDescent="0.3">
      <c r="A97" s="38" t="e">
        <f>ROUNDDOWN(SpeedupsAfterTroops-A94*60*60*24-A95*60*60-A96*60,0)</f>
        <v>#N/A</v>
      </c>
      <c r="B97" t="s">
        <v>72</v>
      </c>
    </row>
    <row r="99" spans="1:2" x14ac:dyDescent="0.3">
      <c r="A99" s="38" t="s">
        <v>73</v>
      </c>
    </row>
    <row r="100" spans="1:2" x14ac:dyDescent="0.3">
      <c r="A100" s="38">
        <f>ConstSpeedupSecs+GenSpeedupSecs</f>
        <v>6900000</v>
      </c>
    </row>
    <row r="101" spans="1:2" x14ac:dyDescent="0.3">
      <c r="A101" s="38">
        <f>ROUNDDOWN(AllSpeedupSecs/60/60/24,0)</f>
        <v>79</v>
      </c>
      <c r="B101" t="s">
        <v>70</v>
      </c>
    </row>
    <row r="102" spans="1:2" x14ac:dyDescent="0.3">
      <c r="A102" s="38">
        <f>ROUNDDOWN((AllSpeedupSecs-A101*60*60*24)/60/60,0)</f>
        <v>20</v>
      </c>
      <c r="B102" t="s">
        <v>69</v>
      </c>
    </row>
    <row r="103" spans="1:2" x14ac:dyDescent="0.3">
      <c r="A103" s="38">
        <f>ROUNDDOWN((AllSpeedupSecs-A101*60*60*24-A102*60*60)/60,0)</f>
        <v>40</v>
      </c>
      <c r="B103" t="s">
        <v>71</v>
      </c>
    </row>
    <row r="104" spans="1:2" x14ac:dyDescent="0.3">
      <c r="A104" s="38">
        <f>ROUNDDOWN(AllSpeedupSecs-A101*60*60*24-A102*60*60-A103*60,0)</f>
        <v>0</v>
      </c>
      <c r="B104" t="s">
        <v>72</v>
      </c>
    </row>
    <row r="106" spans="1:2" x14ac:dyDescent="0.3">
      <c r="A106" s="38" t="s">
        <v>172</v>
      </c>
    </row>
    <row r="107" spans="1:2" x14ac:dyDescent="0.3">
      <c r="A107" s="38" cm="1">
        <f t="array" ref="A107">TroopSpeedups*60</f>
        <v>7200000</v>
      </c>
    </row>
    <row r="108" spans="1:2" x14ac:dyDescent="0.3">
      <c r="A108" s="38" cm="1">
        <f t="array" ref="A108">ROUNDDOWN(TroopSpeedupSecs/60/60/24,0)</f>
        <v>83</v>
      </c>
      <c r="B108" t="s">
        <v>70</v>
      </c>
    </row>
    <row r="109" spans="1:2" x14ac:dyDescent="0.3">
      <c r="A109" s="38">
        <f>ROUNDDOWN((TroopSpeedupSecs-A108*60*60*24)/60/60,0)</f>
        <v>8</v>
      </c>
      <c r="B109" t="s">
        <v>69</v>
      </c>
    </row>
    <row r="110" spans="1:2" x14ac:dyDescent="0.3">
      <c r="A110" s="38">
        <f>ROUNDDOWN((TroopSpeedupSecs-A108*60*60*24-A109*60*60)/60,0)</f>
        <v>0</v>
      </c>
      <c r="B110" t="s">
        <v>71</v>
      </c>
    </row>
    <row r="111" spans="1:2" x14ac:dyDescent="0.3">
      <c r="A111" s="38">
        <f>ROUNDDOWN(TroopSpeedupSecs-A108*60*60*24-A109*60*60-A110*60,0)</f>
        <v>0</v>
      </c>
      <c r="B111" t="s">
        <v>72</v>
      </c>
    </row>
    <row r="113" spans="1:1" x14ac:dyDescent="0.3">
      <c r="A113" s="38" t="s">
        <v>268</v>
      </c>
    </row>
    <row r="114" spans="1:1" x14ac:dyDescent="0.3">
      <c r="A114" s="184">
        <f>'Troop Calculator'!E7+IF(MinisterEducation="Yes",IF(SupremePresident="Yes",0.75,0.5),0)+IF(VicePresidentTroops="Yes",IF(SupremePresident="Yes",0.15,0.1),0)</f>
        <v>1.7</v>
      </c>
    </row>
    <row r="116" spans="1:1" x14ac:dyDescent="0.3">
      <c r="A116" s="38" t="s">
        <v>76</v>
      </c>
    </row>
    <row r="117" spans="1:1" x14ac:dyDescent="0.3">
      <c r="A117" s="38">
        <f>('Troop Calculator'!E5+IF(MinisterEducation="Yes",200,0))*IF(TrainingCapacityBuff="Yes",3,1)</f>
        <v>1174</v>
      </c>
    </row>
    <row r="119" spans="1:1" x14ac:dyDescent="0.3">
      <c r="A119" s="38" t="s">
        <v>81</v>
      </c>
    </row>
    <row r="120" spans="1:1" x14ac:dyDescent="0.3">
      <c r="A120" s="38" t="s">
        <v>82</v>
      </c>
    </row>
    <row r="121" spans="1:1" x14ac:dyDescent="0.3">
      <c r="A121" s="38" t="s">
        <v>83</v>
      </c>
    </row>
    <row r="122" spans="1:1" x14ac:dyDescent="0.3">
      <c r="A122" s="38" t="s">
        <v>84</v>
      </c>
    </row>
    <row r="123" spans="1:1" x14ac:dyDescent="0.3">
      <c r="A123" s="38" t="s">
        <v>85</v>
      </c>
    </row>
    <row r="124" spans="1:1" x14ac:dyDescent="0.3">
      <c r="A124" s="38" t="s">
        <v>86</v>
      </c>
    </row>
    <row r="125" spans="1:1" x14ac:dyDescent="0.3">
      <c r="A125" s="38" t="s">
        <v>87</v>
      </c>
    </row>
    <row r="126" spans="1:1" x14ac:dyDescent="0.3">
      <c r="A126" s="38" t="s">
        <v>88</v>
      </c>
    </row>
    <row r="127" spans="1:1" x14ac:dyDescent="0.3">
      <c r="A127" s="38" t="s">
        <v>89</v>
      </c>
    </row>
    <row r="128" spans="1:1" x14ac:dyDescent="0.3">
      <c r="A128" s="38" t="s">
        <v>90</v>
      </c>
    </row>
    <row r="129" spans="1:1" x14ac:dyDescent="0.3">
      <c r="A129" s="38" t="s">
        <v>91</v>
      </c>
    </row>
    <row r="130" spans="1:1" x14ac:dyDescent="0.3">
      <c r="A130" s="38" t="s">
        <v>92</v>
      </c>
    </row>
    <row r="132" spans="1:1" x14ac:dyDescent="0.3">
      <c r="A132" s="38">
        <v>0</v>
      </c>
    </row>
    <row r="133" spans="1:1" x14ac:dyDescent="0.3">
      <c r="A133" s="38">
        <v>1</v>
      </c>
    </row>
    <row r="134" spans="1:1" x14ac:dyDescent="0.3">
      <c r="A134" s="38">
        <v>2</v>
      </c>
    </row>
    <row r="135" spans="1:1" x14ac:dyDescent="0.3">
      <c r="A135" s="38">
        <v>3</v>
      </c>
    </row>
    <row r="136" spans="1:1" x14ac:dyDescent="0.3">
      <c r="A136" s="38">
        <v>4</v>
      </c>
    </row>
    <row r="137" spans="1:1" x14ac:dyDescent="0.3">
      <c r="A137" s="38">
        <v>5</v>
      </c>
    </row>
    <row r="138" spans="1:1" x14ac:dyDescent="0.3">
      <c r="A138" s="38">
        <v>6</v>
      </c>
    </row>
    <row r="139" spans="1:1" x14ac:dyDescent="0.3">
      <c r="A139" s="38">
        <v>7</v>
      </c>
    </row>
    <row r="140" spans="1:1" x14ac:dyDescent="0.3">
      <c r="A140" s="38">
        <v>8</v>
      </c>
    </row>
    <row r="141" spans="1:1" x14ac:dyDescent="0.3">
      <c r="A141" s="38">
        <v>9</v>
      </c>
    </row>
    <row r="142" spans="1:1" x14ac:dyDescent="0.3">
      <c r="A142" s="38">
        <v>10</v>
      </c>
    </row>
    <row r="143" spans="1:1" x14ac:dyDescent="0.3">
      <c r="A143" s="38">
        <v>11</v>
      </c>
    </row>
    <row r="144" spans="1:1" x14ac:dyDescent="0.3">
      <c r="A144" s="38">
        <v>12</v>
      </c>
    </row>
    <row r="145" spans="1:1" x14ac:dyDescent="0.3">
      <c r="A145" s="38">
        <v>13</v>
      </c>
    </row>
    <row r="146" spans="1:1" x14ac:dyDescent="0.3">
      <c r="A146" s="38">
        <v>14</v>
      </c>
    </row>
    <row r="147" spans="1:1" x14ac:dyDescent="0.3">
      <c r="A147" s="38">
        <v>15</v>
      </c>
    </row>
    <row r="148" spans="1:1" x14ac:dyDescent="0.3">
      <c r="A148" s="38">
        <v>16</v>
      </c>
    </row>
    <row r="149" spans="1:1" x14ac:dyDescent="0.3">
      <c r="A149" s="38">
        <v>17</v>
      </c>
    </row>
    <row r="150" spans="1:1" x14ac:dyDescent="0.3">
      <c r="A150" s="38">
        <v>18</v>
      </c>
    </row>
    <row r="151" spans="1:1" x14ac:dyDescent="0.3">
      <c r="A151" s="38">
        <v>19</v>
      </c>
    </row>
    <row r="152" spans="1:1" x14ac:dyDescent="0.3">
      <c r="A152" s="38">
        <v>20</v>
      </c>
    </row>
    <row r="154" spans="1:1" x14ac:dyDescent="0.3">
      <c r="A154" s="38" t="s">
        <v>414</v>
      </c>
    </row>
    <row r="155" spans="1:1" x14ac:dyDescent="0.3">
      <c r="A155" s="38" t="s">
        <v>410</v>
      </c>
    </row>
    <row r="156" spans="1:1" x14ac:dyDescent="0.3">
      <c r="A156" s="38" t="s">
        <v>411</v>
      </c>
    </row>
    <row r="158" spans="1:1" x14ac:dyDescent="0.3">
      <c r="A158" s="38" t="s">
        <v>413</v>
      </c>
    </row>
    <row r="159" spans="1:1" x14ac:dyDescent="0.3">
      <c r="A159" s="38" t="s">
        <v>412</v>
      </c>
    </row>
    <row r="160" spans="1:1" x14ac:dyDescent="0.3">
      <c r="A160" s="38" t="s">
        <v>27</v>
      </c>
    </row>
    <row r="162" spans="1:1" x14ac:dyDescent="0.3">
      <c r="A162" s="38" t="s">
        <v>668</v>
      </c>
    </row>
    <row r="163" spans="1:1" x14ac:dyDescent="0.3">
      <c r="A163" s="38" t="s">
        <v>669</v>
      </c>
    </row>
    <row r="164" spans="1:1" x14ac:dyDescent="0.3">
      <c r="A164" s="38" t="s">
        <v>670</v>
      </c>
    </row>
    <row r="165" spans="1:1" x14ac:dyDescent="0.3">
      <c r="A165" s="38" t="s">
        <v>671</v>
      </c>
    </row>
    <row r="167" spans="1:1" x14ac:dyDescent="0.3">
      <c r="A167" s="38" t="s">
        <v>686</v>
      </c>
    </row>
    <row r="168" spans="1:1" x14ac:dyDescent="0.3">
      <c r="A168" s="38" t="s">
        <v>410</v>
      </c>
    </row>
    <row r="169" spans="1:1" x14ac:dyDescent="0.3">
      <c r="A169" s="38" t="s">
        <v>27</v>
      </c>
    </row>
    <row r="171" spans="1:1" x14ac:dyDescent="0.3">
      <c r="A171" s="38">
        <v>0</v>
      </c>
    </row>
    <row r="172" spans="1:1" x14ac:dyDescent="0.3">
      <c r="A172" s="38">
        <v>1</v>
      </c>
    </row>
    <row r="173" spans="1:1" x14ac:dyDescent="0.3">
      <c r="A173" s="38">
        <v>2</v>
      </c>
    </row>
    <row r="174" spans="1:1" x14ac:dyDescent="0.3">
      <c r="A174" s="38">
        <v>3</v>
      </c>
    </row>
    <row r="175" spans="1:1" x14ac:dyDescent="0.3">
      <c r="A175" s="38">
        <v>4</v>
      </c>
    </row>
    <row r="176" spans="1:1" x14ac:dyDescent="0.3">
      <c r="A176" s="38">
        <v>5</v>
      </c>
    </row>
    <row r="177" spans="1:1" x14ac:dyDescent="0.3">
      <c r="A177" s="38">
        <v>6</v>
      </c>
    </row>
    <row r="178" spans="1:1" x14ac:dyDescent="0.3">
      <c r="A178" s="38">
        <v>7</v>
      </c>
    </row>
    <row r="179" spans="1:1" x14ac:dyDescent="0.3">
      <c r="A179" s="38">
        <v>8</v>
      </c>
    </row>
    <row r="180" spans="1:1" x14ac:dyDescent="0.3">
      <c r="A180" s="38">
        <v>9</v>
      </c>
    </row>
    <row r="181" spans="1:1" x14ac:dyDescent="0.3">
      <c r="A181" s="38">
        <v>10</v>
      </c>
    </row>
    <row r="182" spans="1:1" x14ac:dyDescent="0.3">
      <c r="A182" s="38">
        <v>11</v>
      </c>
    </row>
    <row r="183" spans="1:1" x14ac:dyDescent="0.3">
      <c r="A183" s="38">
        <v>12</v>
      </c>
    </row>
    <row r="184" spans="1:1" x14ac:dyDescent="0.3">
      <c r="A184" s="38">
        <v>13</v>
      </c>
    </row>
    <row r="185" spans="1:1" x14ac:dyDescent="0.3">
      <c r="A185" s="38">
        <v>14</v>
      </c>
    </row>
    <row r="186" spans="1:1" x14ac:dyDescent="0.3">
      <c r="A186" s="38">
        <v>15</v>
      </c>
    </row>
    <row r="187" spans="1:1" x14ac:dyDescent="0.3">
      <c r="A187" s="38">
        <v>16</v>
      </c>
    </row>
    <row r="188" spans="1:1" x14ac:dyDescent="0.3">
      <c r="A188" s="38">
        <v>17</v>
      </c>
    </row>
    <row r="189" spans="1:1" x14ac:dyDescent="0.3">
      <c r="A189" s="38">
        <v>18</v>
      </c>
    </row>
    <row r="190" spans="1:1" x14ac:dyDescent="0.3">
      <c r="A190" s="38">
        <v>19</v>
      </c>
    </row>
    <row r="191" spans="1:1" x14ac:dyDescent="0.3">
      <c r="A191" s="38">
        <v>20</v>
      </c>
    </row>
    <row r="192" spans="1:1" x14ac:dyDescent="0.3">
      <c r="A192" s="38">
        <v>21</v>
      </c>
    </row>
    <row r="193" spans="1:1" x14ac:dyDescent="0.3">
      <c r="A193" s="38">
        <v>22</v>
      </c>
    </row>
    <row r="194" spans="1:1" x14ac:dyDescent="0.3">
      <c r="A194" s="38">
        <v>23</v>
      </c>
    </row>
    <row r="195" spans="1:1" x14ac:dyDescent="0.3">
      <c r="A195" s="38">
        <v>24</v>
      </c>
    </row>
    <row r="196" spans="1:1" x14ac:dyDescent="0.3">
      <c r="A196" s="38">
        <v>25</v>
      </c>
    </row>
    <row r="197" spans="1:1" x14ac:dyDescent="0.3">
      <c r="A197" s="38">
        <v>26</v>
      </c>
    </row>
    <row r="198" spans="1:1" x14ac:dyDescent="0.3">
      <c r="A198" s="38">
        <v>27</v>
      </c>
    </row>
    <row r="199" spans="1:1" x14ac:dyDescent="0.3">
      <c r="A199" s="38">
        <v>28</v>
      </c>
    </row>
    <row r="200" spans="1:1" x14ac:dyDescent="0.3">
      <c r="A200" s="38">
        <v>29</v>
      </c>
    </row>
    <row r="201" spans="1:1" x14ac:dyDescent="0.3">
      <c r="A201" s="38">
        <v>30</v>
      </c>
    </row>
    <row r="202" spans="1:1" x14ac:dyDescent="0.3">
      <c r="A202" s="38">
        <v>31</v>
      </c>
    </row>
    <row r="203" spans="1:1" x14ac:dyDescent="0.3">
      <c r="A203" s="38">
        <v>32</v>
      </c>
    </row>
    <row r="204" spans="1:1" x14ac:dyDescent="0.3">
      <c r="A204" s="38">
        <v>33</v>
      </c>
    </row>
    <row r="205" spans="1:1" x14ac:dyDescent="0.3">
      <c r="A205" s="38">
        <v>34</v>
      </c>
    </row>
    <row r="206" spans="1:1" x14ac:dyDescent="0.3">
      <c r="A206" s="38">
        <v>35</v>
      </c>
    </row>
    <row r="207" spans="1:1" x14ac:dyDescent="0.3">
      <c r="A207" s="38">
        <v>36</v>
      </c>
    </row>
    <row r="208" spans="1:1" x14ac:dyDescent="0.3">
      <c r="A208" s="38">
        <v>37</v>
      </c>
    </row>
    <row r="209" spans="1:1" x14ac:dyDescent="0.3">
      <c r="A209" s="38">
        <v>38</v>
      </c>
    </row>
    <row r="210" spans="1:1" x14ac:dyDescent="0.3">
      <c r="A210" s="38">
        <v>39</v>
      </c>
    </row>
    <row r="211" spans="1:1" x14ac:dyDescent="0.3">
      <c r="A211" s="38">
        <v>40</v>
      </c>
    </row>
    <row r="212" spans="1:1" x14ac:dyDescent="0.3">
      <c r="A212" s="38">
        <v>41</v>
      </c>
    </row>
    <row r="213" spans="1:1" x14ac:dyDescent="0.3">
      <c r="A213" s="38">
        <v>42</v>
      </c>
    </row>
    <row r="214" spans="1:1" x14ac:dyDescent="0.3">
      <c r="A214" s="38">
        <v>43</v>
      </c>
    </row>
    <row r="215" spans="1:1" x14ac:dyDescent="0.3">
      <c r="A215" s="38">
        <v>44</v>
      </c>
    </row>
    <row r="216" spans="1:1" x14ac:dyDescent="0.3">
      <c r="A216" s="38">
        <v>45</v>
      </c>
    </row>
    <row r="217" spans="1:1" x14ac:dyDescent="0.3">
      <c r="A217" s="38">
        <v>46</v>
      </c>
    </row>
    <row r="218" spans="1:1" x14ac:dyDescent="0.3">
      <c r="A218" s="38">
        <v>47</v>
      </c>
    </row>
    <row r="219" spans="1:1" x14ac:dyDescent="0.3">
      <c r="A219" s="38">
        <v>48</v>
      </c>
    </row>
    <row r="220" spans="1:1" x14ac:dyDescent="0.3">
      <c r="A220" s="38">
        <v>49</v>
      </c>
    </row>
    <row r="221" spans="1:1" x14ac:dyDescent="0.3">
      <c r="A221" s="38">
        <v>50</v>
      </c>
    </row>
    <row r="222" spans="1:1" x14ac:dyDescent="0.3">
      <c r="A222" s="38">
        <v>51</v>
      </c>
    </row>
    <row r="223" spans="1:1" x14ac:dyDescent="0.3">
      <c r="A223" s="38">
        <v>52</v>
      </c>
    </row>
    <row r="224" spans="1:1" x14ac:dyDescent="0.3">
      <c r="A224" s="38">
        <v>53</v>
      </c>
    </row>
    <row r="225" spans="1:1" x14ac:dyDescent="0.3">
      <c r="A225" s="38">
        <v>54</v>
      </c>
    </row>
    <row r="226" spans="1:1" x14ac:dyDescent="0.3">
      <c r="A226" s="38">
        <v>55</v>
      </c>
    </row>
    <row r="227" spans="1:1" x14ac:dyDescent="0.3">
      <c r="A227" s="38">
        <v>56</v>
      </c>
    </row>
    <row r="228" spans="1:1" x14ac:dyDescent="0.3">
      <c r="A228" s="38">
        <v>57</v>
      </c>
    </row>
    <row r="229" spans="1:1" x14ac:dyDescent="0.3">
      <c r="A229" s="38">
        <v>58</v>
      </c>
    </row>
    <row r="230" spans="1:1" x14ac:dyDescent="0.3">
      <c r="A230" s="38">
        <v>59</v>
      </c>
    </row>
    <row r="231" spans="1:1" x14ac:dyDescent="0.3">
      <c r="A231" s="38">
        <v>60</v>
      </c>
    </row>
    <row r="232" spans="1:1" x14ac:dyDescent="0.3">
      <c r="A232" s="38">
        <v>61</v>
      </c>
    </row>
    <row r="233" spans="1:1" x14ac:dyDescent="0.3">
      <c r="A233" s="38">
        <v>62</v>
      </c>
    </row>
    <row r="234" spans="1:1" x14ac:dyDescent="0.3">
      <c r="A234" s="38">
        <v>63</v>
      </c>
    </row>
    <row r="235" spans="1:1" x14ac:dyDescent="0.3">
      <c r="A235" s="38">
        <v>64</v>
      </c>
    </row>
    <row r="236" spans="1:1" x14ac:dyDescent="0.3">
      <c r="A236" s="38">
        <v>65</v>
      </c>
    </row>
    <row r="237" spans="1:1" x14ac:dyDescent="0.3">
      <c r="A237" s="38">
        <v>66</v>
      </c>
    </row>
    <row r="238" spans="1:1" x14ac:dyDescent="0.3">
      <c r="A238" s="38">
        <v>67</v>
      </c>
    </row>
    <row r="239" spans="1:1" x14ac:dyDescent="0.3">
      <c r="A239" s="38">
        <v>68</v>
      </c>
    </row>
    <row r="240" spans="1:1" x14ac:dyDescent="0.3">
      <c r="A240" s="38">
        <v>69</v>
      </c>
    </row>
    <row r="241" spans="1:1" x14ac:dyDescent="0.3">
      <c r="A241" s="38">
        <v>70</v>
      </c>
    </row>
    <row r="242" spans="1:1" x14ac:dyDescent="0.3">
      <c r="A242" s="38">
        <v>71</v>
      </c>
    </row>
    <row r="243" spans="1:1" x14ac:dyDescent="0.3">
      <c r="A243" s="38">
        <v>72</v>
      </c>
    </row>
    <row r="244" spans="1:1" x14ac:dyDescent="0.3">
      <c r="A244" s="38">
        <v>73</v>
      </c>
    </row>
    <row r="245" spans="1:1" x14ac:dyDescent="0.3">
      <c r="A245" s="38">
        <v>74</v>
      </c>
    </row>
    <row r="246" spans="1:1" x14ac:dyDescent="0.3">
      <c r="A246" s="38">
        <v>75</v>
      </c>
    </row>
    <row r="247" spans="1:1" x14ac:dyDescent="0.3">
      <c r="A247" s="38">
        <v>76</v>
      </c>
    </row>
    <row r="248" spans="1:1" x14ac:dyDescent="0.3">
      <c r="A248" s="38">
        <v>77</v>
      </c>
    </row>
    <row r="249" spans="1:1" x14ac:dyDescent="0.3">
      <c r="A249" s="38">
        <v>78</v>
      </c>
    </row>
    <row r="250" spans="1:1" x14ac:dyDescent="0.3">
      <c r="A250" s="38">
        <v>79</v>
      </c>
    </row>
    <row r="251" spans="1:1" x14ac:dyDescent="0.3">
      <c r="A251" s="38">
        <v>80</v>
      </c>
    </row>
    <row r="252" spans="1:1" x14ac:dyDescent="0.3">
      <c r="A252" s="38">
        <v>81</v>
      </c>
    </row>
    <row r="253" spans="1:1" x14ac:dyDescent="0.3">
      <c r="A253" s="38">
        <v>82</v>
      </c>
    </row>
    <row r="254" spans="1:1" x14ac:dyDescent="0.3">
      <c r="A254" s="38">
        <v>83</v>
      </c>
    </row>
    <row r="255" spans="1:1" x14ac:dyDescent="0.3">
      <c r="A255" s="38">
        <v>84</v>
      </c>
    </row>
    <row r="256" spans="1:1" x14ac:dyDescent="0.3">
      <c r="A256" s="38">
        <v>85</v>
      </c>
    </row>
    <row r="257" spans="1:1" x14ac:dyDescent="0.3">
      <c r="A257" s="38">
        <v>86</v>
      </c>
    </row>
    <row r="258" spans="1:1" x14ac:dyDescent="0.3">
      <c r="A258" s="38">
        <v>87</v>
      </c>
    </row>
    <row r="259" spans="1:1" x14ac:dyDescent="0.3">
      <c r="A259" s="38">
        <v>88</v>
      </c>
    </row>
    <row r="260" spans="1:1" x14ac:dyDescent="0.3">
      <c r="A260" s="38">
        <v>89</v>
      </c>
    </row>
    <row r="261" spans="1:1" x14ac:dyDescent="0.3">
      <c r="A261" s="38">
        <v>90</v>
      </c>
    </row>
    <row r="262" spans="1:1" x14ac:dyDescent="0.3">
      <c r="A262" s="38">
        <v>91</v>
      </c>
    </row>
    <row r="263" spans="1:1" x14ac:dyDescent="0.3">
      <c r="A263" s="38">
        <v>92</v>
      </c>
    </row>
    <row r="264" spans="1:1" x14ac:dyDescent="0.3">
      <c r="A264" s="38">
        <v>93</v>
      </c>
    </row>
    <row r="265" spans="1:1" x14ac:dyDescent="0.3">
      <c r="A265" s="38">
        <v>94</v>
      </c>
    </row>
    <row r="266" spans="1:1" x14ac:dyDescent="0.3">
      <c r="A266" s="38">
        <v>95</v>
      </c>
    </row>
    <row r="267" spans="1:1" x14ac:dyDescent="0.3">
      <c r="A267" s="38">
        <v>96</v>
      </c>
    </row>
    <row r="268" spans="1:1" x14ac:dyDescent="0.3">
      <c r="A268" s="38">
        <v>97</v>
      </c>
    </row>
    <row r="269" spans="1:1" x14ac:dyDescent="0.3">
      <c r="A269" s="38">
        <v>98</v>
      </c>
    </row>
    <row r="270" spans="1:1" x14ac:dyDescent="0.3">
      <c r="A270" s="38">
        <v>99</v>
      </c>
    </row>
    <row r="271" spans="1:1" x14ac:dyDescent="0.3">
      <c r="A271" s="38">
        <v>100</v>
      </c>
    </row>
    <row r="272" spans="1:1" x14ac:dyDescent="0.3">
      <c r="A272" s="38">
        <v>101</v>
      </c>
    </row>
    <row r="273" spans="1:1" x14ac:dyDescent="0.3">
      <c r="A273" s="38">
        <v>102</v>
      </c>
    </row>
    <row r="274" spans="1:1" x14ac:dyDescent="0.3">
      <c r="A274" s="38">
        <v>103</v>
      </c>
    </row>
    <row r="275" spans="1:1" x14ac:dyDescent="0.3">
      <c r="A275" s="38">
        <v>104</v>
      </c>
    </row>
    <row r="276" spans="1:1" x14ac:dyDescent="0.3">
      <c r="A276" s="38">
        <v>105</v>
      </c>
    </row>
    <row r="277" spans="1:1" x14ac:dyDescent="0.3">
      <c r="A277" s="38">
        <v>106</v>
      </c>
    </row>
    <row r="278" spans="1:1" x14ac:dyDescent="0.3">
      <c r="A278" s="38">
        <v>107</v>
      </c>
    </row>
    <row r="279" spans="1:1" x14ac:dyDescent="0.3">
      <c r="A279" s="38">
        <v>108</v>
      </c>
    </row>
    <row r="280" spans="1:1" x14ac:dyDescent="0.3">
      <c r="A280" s="38">
        <v>109</v>
      </c>
    </row>
    <row r="281" spans="1:1" x14ac:dyDescent="0.3">
      <c r="A281" s="38">
        <v>110</v>
      </c>
    </row>
    <row r="282" spans="1:1" x14ac:dyDescent="0.3">
      <c r="A282" s="38">
        <v>111</v>
      </c>
    </row>
    <row r="283" spans="1:1" x14ac:dyDescent="0.3">
      <c r="A283" s="38">
        <v>112</v>
      </c>
    </row>
    <row r="284" spans="1:1" x14ac:dyDescent="0.3">
      <c r="A284" s="38">
        <v>113</v>
      </c>
    </row>
    <row r="285" spans="1:1" x14ac:dyDescent="0.3">
      <c r="A285" s="38">
        <v>114</v>
      </c>
    </row>
    <row r="286" spans="1:1" x14ac:dyDescent="0.3">
      <c r="A286" s="38">
        <v>115</v>
      </c>
    </row>
    <row r="287" spans="1:1" x14ac:dyDescent="0.3">
      <c r="A287" s="38">
        <v>116</v>
      </c>
    </row>
    <row r="288" spans="1:1" x14ac:dyDescent="0.3">
      <c r="A288" s="38">
        <v>117</v>
      </c>
    </row>
    <row r="289" spans="1:1" x14ac:dyDescent="0.3">
      <c r="A289" s="38">
        <v>118</v>
      </c>
    </row>
    <row r="290" spans="1:1" x14ac:dyDescent="0.3">
      <c r="A290" s="38">
        <v>119</v>
      </c>
    </row>
    <row r="291" spans="1:1" x14ac:dyDescent="0.3">
      <c r="A291" s="38">
        <v>120</v>
      </c>
    </row>
    <row r="292" spans="1:1" x14ac:dyDescent="0.3">
      <c r="A292" s="38">
        <v>121</v>
      </c>
    </row>
    <row r="293" spans="1:1" x14ac:dyDescent="0.3">
      <c r="A293" s="38">
        <v>122</v>
      </c>
    </row>
    <row r="294" spans="1:1" x14ac:dyDescent="0.3">
      <c r="A294" s="38">
        <v>123</v>
      </c>
    </row>
    <row r="295" spans="1:1" x14ac:dyDescent="0.3">
      <c r="A295" s="38">
        <v>124</v>
      </c>
    </row>
    <row r="296" spans="1:1" x14ac:dyDescent="0.3">
      <c r="A296" s="38">
        <v>125</v>
      </c>
    </row>
    <row r="297" spans="1:1" x14ac:dyDescent="0.3">
      <c r="A297" s="38">
        <v>126</v>
      </c>
    </row>
    <row r="298" spans="1:1" x14ac:dyDescent="0.3">
      <c r="A298" s="38">
        <v>127</v>
      </c>
    </row>
    <row r="299" spans="1:1" x14ac:dyDescent="0.3">
      <c r="A299" s="38">
        <v>128</v>
      </c>
    </row>
    <row r="300" spans="1:1" x14ac:dyDescent="0.3">
      <c r="A300" s="38">
        <v>129</v>
      </c>
    </row>
    <row r="301" spans="1:1" x14ac:dyDescent="0.3">
      <c r="A301" s="38">
        <v>130</v>
      </c>
    </row>
    <row r="302" spans="1:1" x14ac:dyDescent="0.3">
      <c r="A302" s="38">
        <v>131</v>
      </c>
    </row>
    <row r="303" spans="1:1" x14ac:dyDescent="0.3">
      <c r="A303" s="38">
        <v>132</v>
      </c>
    </row>
    <row r="304" spans="1:1" x14ac:dyDescent="0.3">
      <c r="A304" s="38">
        <v>133</v>
      </c>
    </row>
    <row r="305" spans="1:1" x14ac:dyDescent="0.3">
      <c r="A305" s="38">
        <v>134</v>
      </c>
    </row>
    <row r="306" spans="1:1" x14ac:dyDescent="0.3">
      <c r="A306" s="38">
        <v>135</v>
      </c>
    </row>
    <row r="307" spans="1:1" x14ac:dyDescent="0.3">
      <c r="A307" s="38">
        <v>136</v>
      </c>
    </row>
    <row r="308" spans="1:1" x14ac:dyDescent="0.3">
      <c r="A308" s="38">
        <v>137</v>
      </c>
    </row>
    <row r="309" spans="1:1" x14ac:dyDescent="0.3">
      <c r="A309" s="38">
        <v>138</v>
      </c>
    </row>
    <row r="310" spans="1:1" x14ac:dyDescent="0.3">
      <c r="A310" s="38">
        <v>139</v>
      </c>
    </row>
    <row r="311" spans="1:1" x14ac:dyDescent="0.3">
      <c r="A311" s="38">
        <v>140</v>
      </c>
    </row>
    <row r="312" spans="1:1" x14ac:dyDescent="0.3">
      <c r="A312" s="38">
        <v>141</v>
      </c>
    </row>
    <row r="313" spans="1:1" x14ac:dyDescent="0.3">
      <c r="A313" s="38">
        <v>142</v>
      </c>
    </row>
    <row r="314" spans="1:1" x14ac:dyDescent="0.3">
      <c r="A314" s="38">
        <v>143</v>
      </c>
    </row>
    <row r="315" spans="1:1" x14ac:dyDescent="0.3">
      <c r="A315" s="38">
        <v>144</v>
      </c>
    </row>
    <row r="316" spans="1:1" x14ac:dyDescent="0.3">
      <c r="A316" s="38">
        <v>145</v>
      </c>
    </row>
    <row r="317" spans="1:1" x14ac:dyDescent="0.3">
      <c r="A317" s="38">
        <v>146</v>
      </c>
    </row>
    <row r="318" spans="1:1" x14ac:dyDescent="0.3">
      <c r="A318" s="38">
        <v>147</v>
      </c>
    </row>
    <row r="319" spans="1:1" x14ac:dyDescent="0.3">
      <c r="A319" s="38">
        <v>148</v>
      </c>
    </row>
    <row r="320" spans="1:1" x14ac:dyDescent="0.3">
      <c r="A320" s="38">
        <v>149</v>
      </c>
    </row>
    <row r="321" spans="1:3" x14ac:dyDescent="0.3">
      <c r="A321" s="38">
        <v>150</v>
      </c>
    </row>
    <row r="323" spans="1:3" x14ac:dyDescent="0.3">
      <c r="A323" s="38">
        <v>2</v>
      </c>
      <c r="C323">
        <v>40</v>
      </c>
    </row>
    <row r="324" spans="1:3" x14ac:dyDescent="0.3">
      <c r="A324" s="38">
        <v>4</v>
      </c>
      <c r="C324">
        <v>80</v>
      </c>
    </row>
    <row r="325" spans="1:3" x14ac:dyDescent="0.3">
      <c r="A325" s="38">
        <v>6</v>
      </c>
      <c r="C325">
        <v>120</v>
      </c>
    </row>
    <row r="326" spans="1:3" x14ac:dyDescent="0.3">
      <c r="A326" s="38">
        <v>8</v>
      </c>
      <c r="C326">
        <v>160</v>
      </c>
    </row>
    <row r="327" spans="1:3" x14ac:dyDescent="0.3">
      <c r="A327" s="38">
        <v>10</v>
      </c>
      <c r="C327">
        <v>200</v>
      </c>
    </row>
    <row r="328" spans="1:3" x14ac:dyDescent="0.3">
      <c r="A328" s="38">
        <v>12</v>
      </c>
      <c r="C328">
        <v>240</v>
      </c>
    </row>
    <row r="329" spans="1:3" x14ac:dyDescent="0.3">
      <c r="A329" s="38">
        <v>14</v>
      </c>
      <c r="C329">
        <v>280</v>
      </c>
    </row>
    <row r="330" spans="1:3" x14ac:dyDescent="0.3">
      <c r="A330" s="38">
        <v>16</v>
      </c>
      <c r="C330">
        <v>320</v>
      </c>
    </row>
    <row r="331" spans="1:3" x14ac:dyDescent="0.3">
      <c r="A331" s="38">
        <v>18</v>
      </c>
      <c r="C331">
        <v>360</v>
      </c>
    </row>
    <row r="332" spans="1:3" x14ac:dyDescent="0.3">
      <c r="A332" s="38">
        <v>20</v>
      </c>
      <c r="C332">
        <v>400</v>
      </c>
    </row>
    <row r="333" spans="1:3" x14ac:dyDescent="0.3">
      <c r="A333" s="38">
        <v>22</v>
      </c>
      <c r="C333">
        <v>440</v>
      </c>
    </row>
    <row r="334" spans="1:3" x14ac:dyDescent="0.3">
      <c r="A334" s="38">
        <v>24</v>
      </c>
      <c r="C334">
        <v>480</v>
      </c>
    </row>
    <row r="335" spans="1:3" x14ac:dyDescent="0.3">
      <c r="A335" s="38">
        <v>26</v>
      </c>
      <c r="C335">
        <v>520</v>
      </c>
    </row>
    <row r="336" spans="1:3" x14ac:dyDescent="0.3">
      <c r="A336" s="38">
        <v>28</v>
      </c>
      <c r="C336">
        <v>560</v>
      </c>
    </row>
    <row r="337" spans="1:3" x14ac:dyDescent="0.3">
      <c r="A337" s="38">
        <v>30</v>
      </c>
      <c r="C337">
        <v>600</v>
      </c>
    </row>
    <row r="338" spans="1:3" x14ac:dyDescent="0.3">
      <c r="A338" s="38">
        <v>32</v>
      </c>
      <c r="C338">
        <v>640</v>
      </c>
    </row>
    <row r="339" spans="1:3" x14ac:dyDescent="0.3">
      <c r="A339" s="38">
        <v>34</v>
      </c>
      <c r="C339">
        <v>680</v>
      </c>
    </row>
    <row r="340" spans="1:3" x14ac:dyDescent="0.3">
      <c r="A340" s="38">
        <v>36</v>
      </c>
      <c r="C340">
        <v>720</v>
      </c>
    </row>
    <row r="341" spans="1:3" x14ac:dyDescent="0.3">
      <c r="A341" s="38">
        <v>38</v>
      </c>
      <c r="C341">
        <v>760</v>
      </c>
    </row>
    <row r="342" spans="1:3" x14ac:dyDescent="0.3">
      <c r="A342" s="38">
        <v>40</v>
      </c>
      <c r="C342">
        <v>800</v>
      </c>
    </row>
    <row r="343" spans="1:3" x14ac:dyDescent="0.3">
      <c r="A343" s="38">
        <v>42</v>
      </c>
      <c r="C343">
        <v>840</v>
      </c>
    </row>
    <row r="344" spans="1:3" x14ac:dyDescent="0.3">
      <c r="A344" s="38">
        <v>44</v>
      </c>
      <c r="C344">
        <v>880</v>
      </c>
    </row>
    <row r="345" spans="1:3" x14ac:dyDescent="0.3">
      <c r="A345" s="38">
        <v>46</v>
      </c>
      <c r="C345">
        <v>920</v>
      </c>
    </row>
    <row r="346" spans="1:3" x14ac:dyDescent="0.3">
      <c r="A346" s="38">
        <v>48</v>
      </c>
      <c r="C346">
        <v>960</v>
      </c>
    </row>
    <row r="347" spans="1:3" x14ac:dyDescent="0.3">
      <c r="A347" s="38">
        <v>50</v>
      </c>
      <c r="C347">
        <v>1000</v>
      </c>
    </row>
    <row r="348" spans="1:3" x14ac:dyDescent="0.3">
      <c r="A348" s="38">
        <v>52</v>
      </c>
      <c r="C348">
        <v>1040</v>
      </c>
    </row>
    <row r="349" spans="1:3" x14ac:dyDescent="0.3">
      <c r="A349" s="38">
        <v>54</v>
      </c>
      <c r="C349">
        <v>1080</v>
      </c>
    </row>
    <row r="350" spans="1:3" x14ac:dyDescent="0.3">
      <c r="A350" s="38">
        <v>56</v>
      </c>
      <c r="C350">
        <v>1120</v>
      </c>
    </row>
    <row r="351" spans="1:3" x14ac:dyDescent="0.3">
      <c r="A351" s="38">
        <v>58</v>
      </c>
      <c r="C351">
        <v>1160</v>
      </c>
    </row>
    <row r="352" spans="1:3" x14ac:dyDescent="0.3">
      <c r="A352" s="38">
        <v>60</v>
      </c>
      <c r="C352">
        <v>1200</v>
      </c>
    </row>
    <row r="353" spans="1:3" x14ac:dyDescent="0.3">
      <c r="A353" s="38">
        <v>62</v>
      </c>
      <c r="C353">
        <v>1240</v>
      </c>
    </row>
    <row r="354" spans="1:3" x14ac:dyDescent="0.3">
      <c r="A354" s="38">
        <v>64</v>
      </c>
      <c r="C354">
        <v>1280</v>
      </c>
    </row>
    <row r="355" spans="1:3" x14ac:dyDescent="0.3">
      <c r="A355" s="38">
        <v>66</v>
      </c>
      <c r="C355">
        <v>1320</v>
      </c>
    </row>
    <row r="356" spans="1:3" x14ac:dyDescent="0.3">
      <c r="A356" s="38">
        <v>68</v>
      </c>
      <c r="C356">
        <v>1360</v>
      </c>
    </row>
    <row r="357" spans="1:3" x14ac:dyDescent="0.3">
      <c r="A357" s="38">
        <v>70</v>
      </c>
      <c r="C357">
        <v>1400</v>
      </c>
    </row>
    <row r="358" spans="1:3" x14ac:dyDescent="0.3">
      <c r="A358" s="38">
        <v>72</v>
      </c>
      <c r="C358">
        <v>1440</v>
      </c>
    </row>
    <row r="359" spans="1:3" x14ac:dyDescent="0.3">
      <c r="A359" s="38">
        <v>74</v>
      </c>
      <c r="C359">
        <v>1480</v>
      </c>
    </row>
    <row r="360" spans="1:3" x14ac:dyDescent="0.3">
      <c r="A360" s="38">
        <v>76</v>
      </c>
      <c r="C360">
        <v>1520</v>
      </c>
    </row>
    <row r="361" spans="1:3" x14ac:dyDescent="0.3">
      <c r="A361" s="38">
        <v>78</v>
      </c>
      <c r="C361">
        <v>1560</v>
      </c>
    </row>
    <row r="362" spans="1:3" x14ac:dyDescent="0.3">
      <c r="A362" s="38">
        <v>80</v>
      </c>
      <c r="C362">
        <v>1600</v>
      </c>
    </row>
    <row r="363" spans="1:3" x14ac:dyDescent="0.3">
      <c r="A363" s="38">
        <v>82</v>
      </c>
      <c r="C363">
        <v>1640</v>
      </c>
    </row>
    <row r="364" spans="1:3" x14ac:dyDescent="0.3">
      <c r="A364" s="38">
        <v>84</v>
      </c>
      <c r="C364">
        <v>1680</v>
      </c>
    </row>
    <row r="365" spans="1:3" x14ac:dyDescent="0.3">
      <c r="A365" s="38">
        <v>86</v>
      </c>
      <c r="C365">
        <v>1720</v>
      </c>
    </row>
    <row r="366" spans="1:3" x14ac:dyDescent="0.3">
      <c r="A366" s="38">
        <v>88</v>
      </c>
      <c r="C366">
        <v>1760</v>
      </c>
    </row>
    <row r="367" spans="1:3" x14ac:dyDescent="0.3">
      <c r="A367" s="38">
        <v>90</v>
      </c>
      <c r="C367">
        <v>1800</v>
      </c>
    </row>
    <row r="368" spans="1:3" x14ac:dyDescent="0.3">
      <c r="A368" s="38">
        <v>92</v>
      </c>
      <c r="C368">
        <v>1840</v>
      </c>
    </row>
    <row r="369" spans="1:3" x14ac:dyDescent="0.3">
      <c r="A369" s="38">
        <v>94</v>
      </c>
      <c r="C369">
        <v>1880</v>
      </c>
    </row>
    <row r="370" spans="1:3" x14ac:dyDescent="0.3">
      <c r="A370" s="38">
        <v>96</v>
      </c>
      <c r="C370">
        <v>1920</v>
      </c>
    </row>
    <row r="371" spans="1:3" x14ac:dyDescent="0.3">
      <c r="A371" s="38">
        <v>98</v>
      </c>
      <c r="C371">
        <v>1960</v>
      </c>
    </row>
    <row r="372" spans="1:3" x14ac:dyDescent="0.3">
      <c r="A372" s="38">
        <v>100</v>
      </c>
      <c r="C372">
        <v>2000</v>
      </c>
    </row>
    <row r="373" spans="1:3" x14ac:dyDescent="0.3">
      <c r="A373" s="38">
        <v>102</v>
      </c>
    </row>
    <row r="374" spans="1:3" x14ac:dyDescent="0.3">
      <c r="A374" s="38">
        <v>104</v>
      </c>
    </row>
    <row r="375" spans="1:3" x14ac:dyDescent="0.3">
      <c r="A375" s="38">
        <v>106</v>
      </c>
    </row>
    <row r="376" spans="1:3" x14ac:dyDescent="0.3">
      <c r="A376" s="38">
        <v>108</v>
      </c>
    </row>
    <row r="377" spans="1:3" x14ac:dyDescent="0.3">
      <c r="A377" s="38">
        <v>110</v>
      </c>
    </row>
    <row r="378" spans="1:3" x14ac:dyDescent="0.3">
      <c r="A378" s="38">
        <v>112</v>
      </c>
    </row>
    <row r="379" spans="1:3" x14ac:dyDescent="0.3">
      <c r="A379" s="38">
        <v>114</v>
      </c>
    </row>
    <row r="380" spans="1:3" x14ac:dyDescent="0.3">
      <c r="A380" s="38">
        <v>116</v>
      </c>
    </row>
    <row r="381" spans="1:3" x14ac:dyDescent="0.3">
      <c r="A381" s="38">
        <v>118</v>
      </c>
    </row>
    <row r="382" spans="1:3" x14ac:dyDescent="0.3">
      <c r="A382" s="38">
        <v>120</v>
      </c>
    </row>
    <row r="383" spans="1:3" x14ac:dyDescent="0.3">
      <c r="A383" s="38">
        <v>122</v>
      </c>
    </row>
    <row r="384" spans="1:3" x14ac:dyDescent="0.3">
      <c r="A384" s="38">
        <v>124</v>
      </c>
    </row>
    <row r="385" spans="1:1" x14ac:dyDescent="0.3">
      <c r="A385" s="38">
        <v>126</v>
      </c>
    </row>
    <row r="386" spans="1:1" x14ac:dyDescent="0.3">
      <c r="A386" s="38">
        <v>128</v>
      </c>
    </row>
    <row r="387" spans="1:1" x14ac:dyDescent="0.3">
      <c r="A387" s="38">
        <v>130</v>
      </c>
    </row>
    <row r="388" spans="1:1" x14ac:dyDescent="0.3">
      <c r="A388" s="38">
        <v>132</v>
      </c>
    </row>
    <row r="389" spans="1:1" x14ac:dyDescent="0.3">
      <c r="A389" s="38">
        <v>134</v>
      </c>
    </row>
    <row r="390" spans="1:1" x14ac:dyDescent="0.3">
      <c r="A390" s="38">
        <v>136</v>
      </c>
    </row>
    <row r="391" spans="1:1" x14ac:dyDescent="0.3">
      <c r="A391" s="38">
        <v>138</v>
      </c>
    </row>
    <row r="392" spans="1:1" x14ac:dyDescent="0.3">
      <c r="A392" s="38">
        <v>140</v>
      </c>
    </row>
    <row r="393" spans="1:1" x14ac:dyDescent="0.3">
      <c r="A393" s="38">
        <v>142</v>
      </c>
    </row>
    <row r="394" spans="1:1" x14ac:dyDescent="0.3">
      <c r="A394" s="38">
        <v>144</v>
      </c>
    </row>
    <row r="395" spans="1:1" x14ac:dyDescent="0.3">
      <c r="A395" s="38">
        <v>146</v>
      </c>
    </row>
    <row r="396" spans="1:1" x14ac:dyDescent="0.3">
      <c r="A396" s="38">
        <v>148</v>
      </c>
    </row>
    <row r="397" spans="1:1" x14ac:dyDescent="0.3">
      <c r="A397" s="38">
        <v>150</v>
      </c>
    </row>
    <row r="398" spans="1:1" x14ac:dyDescent="0.3">
      <c r="A398" s="38">
        <v>152</v>
      </c>
    </row>
    <row r="399" spans="1:1" x14ac:dyDescent="0.3">
      <c r="A399" s="38">
        <v>154</v>
      </c>
    </row>
    <row r="400" spans="1:1" x14ac:dyDescent="0.3">
      <c r="A400" s="38">
        <v>156</v>
      </c>
    </row>
    <row r="401" spans="1:1" x14ac:dyDescent="0.3">
      <c r="A401" s="38">
        <v>158</v>
      </c>
    </row>
    <row r="402" spans="1:1" x14ac:dyDescent="0.3">
      <c r="A402" s="38">
        <v>160</v>
      </c>
    </row>
    <row r="403" spans="1:1" x14ac:dyDescent="0.3">
      <c r="A403" s="38">
        <v>162</v>
      </c>
    </row>
    <row r="404" spans="1:1" x14ac:dyDescent="0.3">
      <c r="A404" s="38">
        <v>164</v>
      </c>
    </row>
    <row r="405" spans="1:1" x14ac:dyDescent="0.3">
      <c r="A405" s="38">
        <v>166</v>
      </c>
    </row>
    <row r="406" spans="1:1" x14ac:dyDescent="0.3">
      <c r="A406" s="38">
        <v>168</v>
      </c>
    </row>
    <row r="407" spans="1:1" x14ac:dyDescent="0.3">
      <c r="A407" s="38">
        <v>170</v>
      </c>
    </row>
    <row r="408" spans="1:1" x14ac:dyDescent="0.3">
      <c r="A408" s="38">
        <v>172</v>
      </c>
    </row>
    <row r="409" spans="1:1" x14ac:dyDescent="0.3">
      <c r="A409" s="38">
        <v>174</v>
      </c>
    </row>
    <row r="410" spans="1:1" x14ac:dyDescent="0.3">
      <c r="A410" s="38">
        <v>176</v>
      </c>
    </row>
    <row r="411" spans="1:1" x14ac:dyDescent="0.3">
      <c r="A411" s="38">
        <v>178</v>
      </c>
    </row>
    <row r="412" spans="1:1" x14ac:dyDescent="0.3">
      <c r="A412" s="38">
        <v>180</v>
      </c>
    </row>
    <row r="413" spans="1:1" x14ac:dyDescent="0.3">
      <c r="A413" s="38">
        <v>182</v>
      </c>
    </row>
    <row r="414" spans="1:1" x14ac:dyDescent="0.3">
      <c r="A414" s="38">
        <v>184</v>
      </c>
    </row>
    <row r="415" spans="1:1" x14ac:dyDescent="0.3">
      <c r="A415" s="38">
        <v>186</v>
      </c>
    </row>
    <row r="416" spans="1:1" x14ac:dyDescent="0.3">
      <c r="A416" s="38">
        <v>188</v>
      </c>
    </row>
    <row r="417" spans="1:1" x14ac:dyDescent="0.3">
      <c r="A417" s="38">
        <v>190</v>
      </c>
    </row>
    <row r="418" spans="1:1" x14ac:dyDescent="0.3">
      <c r="A418" s="38">
        <v>192</v>
      </c>
    </row>
    <row r="419" spans="1:1" x14ac:dyDescent="0.3">
      <c r="A419" s="38">
        <v>194</v>
      </c>
    </row>
    <row r="420" spans="1:1" x14ac:dyDescent="0.3">
      <c r="A420" s="38">
        <v>196</v>
      </c>
    </row>
    <row r="421" spans="1:1" x14ac:dyDescent="0.3">
      <c r="A421" s="38">
        <v>198</v>
      </c>
    </row>
    <row r="422" spans="1:1" x14ac:dyDescent="0.3">
      <c r="A422" s="38">
        <v>200</v>
      </c>
    </row>
    <row r="423" spans="1:1" x14ac:dyDescent="0.3">
      <c r="A423" s="38">
        <v>202</v>
      </c>
    </row>
    <row r="424" spans="1:1" x14ac:dyDescent="0.3">
      <c r="A424" s="38">
        <v>204</v>
      </c>
    </row>
    <row r="425" spans="1:1" x14ac:dyDescent="0.3">
      <c r="A425" s="38">
        <v>206</v>
      </c>
    </row>
    <row r="426" spans="1:1" x14ac:dyDescent="0.3">
      <c r="A426" s="38">
        <v>208</v>
      </c>
    </row>
    <row r="427" spans="1:1" x14ac:dyDescent="0.3">
      <c r="A427" s="38">
        <v>210</v>
      </c>
    </row>
    <row r="428" spans="1:1" x14ac:dyDescent="0.3">
      <c r="A428" s="38">
        <v>212</v>
      </c>
    </row>
    <row r="429" spans="1:1" x14ac:dyDescent="0.3">
      <c r="A429" s="38">
        <v>214</v>
      </c>
    </row>
    <row r="430" spans="1:1" x14ac:dyDescent="0.3">
      <c r="A430" s="38">
        <v>216</v>
      </c>
    </row>
    <row r="431" spans="1:1" x14ac:dyDescent="0.3">
      <c r="A431" s="38">
        <v>218</v>
      </c>
    </row>
    <row r="432" spans="1:1" x14ac:dyDescent="0.3">
      <c r="A432" s="38">
        <v>220</v>
      </c>
    </row>
    <row r="433" spans="1:1" x14ac:dyDescent="0.3">
      <c r="A433" s="38">
        <v>222</v>
      </c>
    </row>
    <row r="434" spans="1:1" x14ac:dyDescent="0.3">
      <c r="A434" s="38">
        <v>224</v>
      </c>
    </row>
    <row r="435" spans="1:1" x14ac:dyDescent="0.3">
      <c r="A435" s="38">
        <v>226</v>
      </c>
    </row>
    <row r="436" spans="1:1" x14ac:dyDescent="0.3">
      <c r="A436" s="38">
        <v>228</v>
      </c>
    </row>
    <row r="437" spans="1:1" x14ac:dyDescent="0.3">
      <c r="A437" s="38">
        <v>230</v>
      </c>
    </row>
    <row r="438" spans="1:1" x14ac:dyDescent="0.3">
      <c r="A438" s="38">
        <v>232</v>
      </c>
    </row>
    <row r="439" spans="1:1" x14ac:dyDescent="0.3">
      <c r="A439" s="38">
        <v>234</v>
      </c>
    </row>
    <row r="440" spans="1:1" x14ac:dyDescent="0.3">
      <c r="A440" s="38">
        <v>236</v>
      </c>
    </row>
    <row r="441" spans="1:1" x14ac:dyDescent="0.3">
      <c r="A441" s="38">
        <v>238</v>
      </c>
    </row>
    <row r="442" spans="1:1" x14ac:dyDescent="0.3">
      <c r="A442" s="38">
        <v>240</v>
      </c>
    </row>
    <row r="443" spans="1:1" x14ac:dyDescent="0.3">
      <c r="A443" s="38">
        <v>242</v>
      </c>
    </row>
    <row r="444" spans="1:1" x14ac:dyDescent="0.3">
      <c r="A444" s="38">
        <v>244</v>
      </c>
    </row>
    <row r="445" spans="1:1" x14ac:dyDescent="0.3">
      <c r="A445" s="38">
        <v>246</v>
      </c>
    </row>
    <row r="446" spans="1:1" x14ac:dyDescent="0.3">
      <c r="A446" s="38">
        <v>248</v>
      </c>
    </row>
    <row r="447" spans="1:1" x14ac:dyDescent="0.3">
      <c r="A447" s="38">
        <v>250</v>
      </c>
    </row>
    <row r="448" spans="1:1" x14ac:dyDescent="0.3">
      <c r="A448" s="38">
        <v>252</v>
      </c>
    </row>
    <row r="449" spans="1:1" x14ac:dyDescent="0.3">
      <c r="A449" s="38">
        <v>254</v>
      </c>
    </row>
    <row r="450" spans="1:1" x14ac:dyDescent="0.3">
      <c r="A450" s="38">
        <v>256</v>
      </c>
    </row>
    <row r="451" spans="1:1" x14ac:dyDescent="0.3">
      <c r="A451" s="38">
        <v>258</v>
      </c>
    </row>
    <row r="452" spans="1:1" x14ac:dyDescent="0.3">
      <c r="A452" s="38">
        <v>260</v>
      </c>
    </row>
    <row r="453" spans="1:1" x14ac:dyDescent="0.3">
      <c r="A453" s="38">
        <v>262</v>
      </c>
    </row>
    <row r="454" spans="1:1" x14ac:dyDescent="0.3">
      <c r="A454" s="38">
        <v>264</v>
      </c>
    </row>
    <row r="455" spans="1:1" x14ac:dyDescent="0.3">
      <c r="A455" s="38">
        <v>266</v>
      </c>
    </row>
    <row r="456" spans="1:1" x14ac:dyDescent="0.3">
      <c r="A456" s="38">
        <v>268</v>
      </c>
    </row>
    <row r="457" spans="1:1" x14ac:dyDescent="0.3">
      <c r="A457" s="38">
        <v>270</v>
      </c>
    </row>
    <row r="458" spans="1:1" x14ac:dyDescent="0.3">
      <c r="A458" s="38">
        <v>272</v>
      </c>
    </row>
    <row r="459" spans="1:1" x14ac:dyDescent="0.3">
      <c r="A459" s="38">
        <v>274</v>
      </c>
    </row>
    <row r="460" spans="1:1" x14ac:dyDescent="0.3">
      <c r="A460" s="38">
        <v>276</v>
      </c>
    </row>
    <row r="461" spans="1:1" x14ac:dyDescent="0.3">
      <c r="A461" s="38">
        <v>278</v>
      </c>
    </row>
    <row r="462" spans="1:1" x14ac:dyDescent="0.3">
      <c r="A462" s="38">
        <v>280</v>
      </c>
    </row>
    <row r="463" spans="1:1" x14ac:dyDescent="0.3">
      <c r="A463" s="38">
        <v>282</v>
      </c>
    </row>
    <row r="464" spans="1:1" x14ac:dyDescent="0.3">
      <c r="A464" s="38">
        <v>284</v>
      </c>
    </row>
    <row r="465" spans="1:1" x14ac:dyDescent="0.3">
      <c r="A465" s="38">
        <v>286</v>
      </c>
    </row>
    <row r="466" spans="1:1" x14ac:dyDescent="0.3">
      <c r="A466" s="38">
        <v>288</v>
      </c>
    </row>
    <row r="467" spans="1:1" x14ac:dyDescent="0.3">
      <c r="A467" s="38">
        <v>290</v>
      </c>
    </row>
    <row r="468" spans="1:1" x14ac:dyDescent="0.3">
      <c r="A468" s="38">
        <v>292</v>
      </c>
    </row>
    <row r="469" spans="1:1" x14ac:dyDescent="0.3">
      <c r="A469" s="38">
        <v>294</v>
      </c>
    </row>
    <row r="470" spans="1:1" x14ac:dyDescent="0.3">
      <c r="A470" s="38">
        <v>296</v>
      </c>
    </row>
    <row r="471" spans="1:1" x14ac:dyDescent="0.3">
      <c r="A471" s="38">
        <v>298</v>
      </c>
    </row>
    <row r="472" spans="1:1" x14ac:dyDescent="0.3">
      <c r="A472" s="38">
        <v>300</v>
      </c>
    </row>
    <row r="473" spans="1:1" x14ac:dyDescent="0.3">
      <c r="A473" s="38">
        <v>302</v>
      </c>
    </row>
    <row r="474" spans="1:1" x14ac:dyDescent="0.3">
      <c r="A474" s="38">
        <v>304</v>
      </c>
    </row>
    <row r="475" spans="1:1" x14ac:dyDescent="0.3">
      <c r="A475" s="38">
        <v>306</v>
      </c>
    </row>
    <row r="476" spans="1:1" x14ac:dyDescent="0.3">
      <c r="A476" s="38">
        <v>308</v>
      </c>
    </row>
    <row r="477" spans="1:1" x14ac:dyDescent="0.3">
      <c r="A477" s="38">
        <v>310</v>
      </c>
    </row>
    <row r="478" spans="1:1" x14ac:dyDescent="0.3">
      <c r="A478" s="38">
        <v>312</v>
      </c>
    </row>
    <row r="479" spans="1:1" x14ac:dyDescent="0.3">
      <c r="A479" s="38">
        <v>314</v>
      </c>
    </row>
    <row r="480" spans="1:1" x14ac:dyDescent="0.3">
      <c r="A480" s="38">
        <v>316</v>
      </c>
    </row>
    <row r="481" spans="1:1" x14ac:dyDescent="0.3">
      <c r="A481" s="38">
        <v>318</v>
      </c>
    </row>
    <row r="482" spans="1:1" x14ac:dyDescent="0.3">
      <c r="A482" s="38">
        <v>320</v>
      </c>
    </row>
    <row r="483" spans="1:1" x14ac:dyDescent="0.3">
      <c r="A483" s="38">
        <v>322</v>
      </c>
    </row>
    <row r="484" spans="1:1" x14ac:dyDescent="0.3">
      <c r="A484" s="38">
        <v>324</v>
      </c>
    </row>
    <row r="485" spans="1:1" x14ac:dyDescent="0.3">
      <c r="A485" s="38">
        <v>326</v>
      </c>
    </row>
    <row r="486" spans="1:1" x14ac:dyDescent="0.3">
      <c r="A486" s="38">
        <v>328</v>
      </c>
    </row>
    <row r="487" spans="1:1" x14ac:dyDescent="0.3">
      <c r="A487" s="38">
        <v>330</v>
      </c>
    </row>
    <row r="488" spans="1:1" x14ac:dyDescent="0.3">
      <c r="A488" s="38">
        <v>332</v>
      </c>
    </row>
    <row r="489" spans="1:1" x14ac:dyDescent="0.3">
      <c r="A489" s="38">
        <v>334</v>
      </c>
    </row>
    <row r="490" spans="1:1" x14ac:dyDescent="0.3">
      <c r="A490" s="38">
        <v>336</v>
      </c>
    </row>
    <row r="491" spans="1:1" x14ac:dyDescent="0.3">
      <c r="A491" s="38">
        <v>338</v>
      </c>
    </row>
    <row r="492" spans="1:1" x14ac:dyDescent="0.3">
      <c r="A492" s="38">
        <v>340</v>
      </c>
    </row>
    <row r="493" spans="1:1" x14ac:dyDescent="0.3">
      <c r="A493" s="38">
        <v>342</v>
      </c>
    </row>
    <row r="494" spans="1:1" x14ac:dyDescent="0.3">
      <c r="A494" s="38">
        <v>344</v>
      </c>
    </row>
    <row r="495" spans="1:1" x14ac:dyDescent="0.3">
      <c r="A495" s="38">
        <v>346</v>
      </c>
    </row>
    <row r="496" spans="1:1" x14ac:dyDescent="0.3">
      <c r="A496" s="38">
        <v>348</v>
      </c>
    </row>
    <row r="497" spans="1:1" x14ac:dyDescent="0.3">
      <c r="A497" s="38">
        <v>350</v>
      </c>
    </row>
    <row r="498" spans="1:1" x14ac:dyDescent="0.3">
      <c r="A498" s="38">
        <v>352</v>
      </c>
    </row>
    <row r="499" spans="1:1" x14ac:dyDescent="0.3">
      <c r="A499" s="38">
        <v>354</v>
      </c>
    </row>
    <row r="500" spans="1:1" x14ac:dyDescent="0.3">
      <c r="A500" s="38">
        <v>356</v>
      </c>
    </row>
    <row r="501" spans="1:1" x14ac:dyDescent="0.3">
      <c r="A501" s="38">
        <v>358</v>
      </c>
    </row>
    <row r="502" spans="1:1" x14ac:dyDescent="0.3">
      <c r="A502" s="38">
        <v>360</v>
      </c>
    </row>
    <row r="503" spans="1:1" x14ac:dyDescent="0.3">
      <c r="A503" s="38">
        <v>362</v>
      </c>
    </row>
    <row r="504" spans="1:1" x14ac:dyDescent="0.3">
      <c r="A504" s="38">
        <v>364</v>
      </c>
    </row>
    <row r="505" spans="1:1" x14ac:dyDescent="0.3">
      <c r="A505" s="38">
        <v>366</v>
      </c>
    </row>
    <row r="506" spans="1:1" x14ac:dyDescent="0.3">
      <c r="A506" s="38">
        <v>368</v>
      </c>
    </row>
    <row r="507" spans="1:1" x14ac:dyDescent="0.3">
      <c r="A507" s="38">
        <v>370</v>
      </c>
    </row>
    <row r="508" spans="1:1" x14ac:dyDescent="0.3">
      <c r="A508" s="38">
        <v>372</v>
      </c>
    </row>
    <row r="509" spans="1:1" x14ac:dyDescent="0.3">
      <c r="A509" s="38">
        <v>374</v>
      </c>
    </row>
    <row r="510" spans="1:1" x14ac:dyDescent="0.3">
      <c r="A510" s="38">
        <v>376</v>
      </c>
    </row>
    <row r="511" spans="1:1" x14ac:dyDescent="0.3">
      <c r="A511" s="38">
        <v>378</v>
      </c>
    </row>
    <row r="512" spans="1:1" x14ac:dyDescent="0.3">
      <c r="A512" s="38">
        <v>380</v>
      </c>
    </row>
    <row r="513" spans="1:1" x14ac:dyDescent="0.3">
      <c r="A513" s="38">
        <v>382</v>
      </c>
    </row>
    <row r="514" spans="1:1" x14ac:dyDescent="0.3">
      <c r="A514" s="38">
        <v>384</v>
      </c>
    </row>
    <row r="515" spans="1:1" x14ac:dyDescent="0.3">
      <c r="A515" s="38">
        <v>386</v>
      </c>
    </row>
    <row r="516" spans="1:1" x14ac:dyDescent="0.3">
      <c r="A516" s="38">
        <v>388</v>
      </c>
    </row>
    <row r="517" spans="1:1" x14ac:dyDescent="0.3">
      <c r="A517" s="38">
        <v>390</v>
      </c>
    </row>
    <row r="518" spans="1:1" x14ac:dyDescent="0.3">
      <c r="A518" s="38">
        <v>392</v>
      </c>
    </row>
    <row r="519" spans="1:1" x14ac:dyDescent="0.3">
      <c r="A519" s="38">
        <v>394</v>
      </c>
    </row>
    <row r="520" spans="1:1" x14ac:dyDescent="0.3">
      <c r="A520" s="38">
        <v>396</v>
      </c>
    </row>
    <row r="521" spans="1:1" x14ac:dyDescent="0.3">
      <c r="A521" s="38">
        <v>398</v>
      </c>
    </row>
    <row r="522" spans="1:1" x14ac:dyDescent="0.3">
      <c r="A522" s="38">
        <v>400</v>
      </c>
    </row>
    <row r="523" spans="1:1" x14ac:dyDescent="0.3">
      <c r="A523" s="38">
        <v>402</v>
      </c>
    </row>
    <row r="524" spans="1:1" x14ac:dyDescent="0.3">
      <c r="A524" s="38">
        <v>404</v>
      </c>
    </row>
    <row r="525" spans="1:1" x14ac:dyDescent="0.3">
      <c r="A525" s="38">
        <v>406</v>
      </c>
    </row>
    <row r="526" spans="1:1" x14ac:dyDescent="0.3">
      <c r="A526" s="38">
        <v>408</v>
      </c>
    </row>
    <row r="527" spans="1:1" x14ac:dyDescent="0.3">
      <c r="A527" s="38">
        <v>410</v>
      </c>
    </row>
    <row r="528" spans="1:1" x14ac:dyDescent="0.3">
      <c r="A528" s="38">
        <v>412</v>
      </c>
    </row>
    <row r="529" spans="1:1" x14ac:dyDescent="0.3">
      <c r="A529" s="38">
        <v>414</v>
      </c>
    </row>
    <row r="530" spans="1:1" x14ac:dyDescent="0.3">
      <c r="A530" s="38">
        <v>416</v>
      </c>
    </row>
    <row r="531" spans="1:1" x14ac:dyDescent="0.3">
      <c r="A531" s="38">
        <v>418</v>
      </c>
    </row>
    <row r="532" spans="1:1" x14ac:dyDescent="0.3">
      <c r="A532" s="38">
        <v>420</v>
      </c>
    </row>
    <row r="533" spans="1:1" x14ac:dyDescent="0.3">
      <c r="A533" s="38">
        <v>422</v>
      </c>
    </row>
    <row r="534" spans="1:1" x14ac:dyDescent="0.3">
      <c r="A534" s="38">
        <v>424</v>
      </c>
    </row>
    <row r="535" spans="1:1" x14ac:dyDescent="0.3">
      <c r="A535" s="38">
        <v>426</v>
      </c>
    </row>
    <row r="536" spans="1:1" x14ac:dyDescent="0.3">
      <c r="A536" s="38">
        <v>428</v>
      </c>
    </row>
    <row r="537" spans="1:1" x14ac:dyDescent="0.3">
      <c r="A537" s="38">
        <v>430</v>
      </c>
    </row>
    <row r="538" spans="1:1" x14ac:dyDescent="0.3">
      <c r="A538" s="38">
        <v>432</v>
      </c>
    </row>
    <row r="539" spans="1:1" x14ac:dyDescent="0.3">
      <c r="A539" s="38">
        <v>434</v>
      </c>
    </row>
    <row r="540" spans="1:1" x14ac:dyDescent="0.3">
      <c r="A540" s="38">
        <v>436</v>
      </c>
    </row>
    <row r="541" spans="1:1" x14ac:dyDescent="0.3">
      <c r="A541" s="38">
        <v>438</v>
      </c>
    </row>
    <row r="542" spans="1:1" x14ac:dyDescent="0.3">
      <c r="A542" s="38">
        <v>440</v>
      </c>
    </row>
    <row r="543" spans="1:1" x14ac:dyDescent="0.3">
      <c r="A543" s="38">
        <v>442</v>
      </c>
    </row>
    <row r="544" spans="1:1" x14ac:dyDescent="0.3">
      <c r="A544" s="38">
        <v>444</v>
      </c>
    </row>
    <row r="545" spans="1:1" x14ac:dyDescent="0.3">
      <c r="A545" s="38">
        <v>446</v>
      </c>
    </row>
    <row r="546" spans="1:1" x14ac:dyDescent="0.3">
      <c r="A546" s="38">
        <v>448</v>
      </c>
    </row>
    <row r="547" spans="1:1" x14ac:dyDescent="0.3">
      <c r="A547" s="38">
        <v>450</v>
      </c>
    </row>
    <row r="548" spans="1:1" x14ac:dyDescent="0.3">
      <c r="A548" s="38">
        <v>452</v>
      </c>
    </row>
    <row r="549" spans="1:1" x14ac:dyDescent="0.3">
      <c r="A549" s="38">
        <v>454</v>
      </c>
    </row>
    <row r="550" spans="1:1" x14ac:dyDescent="0.3">
      <c r="A550" s="38">
        <v>456</v>
      </c>
    </row>
    <row r="551" spans="1:1" x14ac:dyDescent="0.3">
      <c r="A551" s="38">
        <v>458</v>
      </c>
    </row>
    <row r="552" spans="1:1" x14ac:dyDescent="0.3">
      <c r="A552" s="38">
        <v>460</v>
      </c>
    </row>
    <row r="553" spans="1:1" x14ac:dyDescent="0.3">
      <c r="A553" s="38">
        <v>462</v>
      </c>
    </row>
    <row r="554" spans="1:1" x14ac:dyDescent="0.3">
      <c r="A554" s="38">
        <v>464</v>
      </c>
    </row>
    <row r="555" spans="1:1" x14ac:dyDescent="0.3">
      <c r="A555" s="38">
        <v>466</v>
      </c>
    </row>
    <row r="556" spans="1:1" x14ac:dyDescent="0.3">
      <c r="A556" s="38">
        <v>468</v>
      </c>
    </row>
    <row r="557" spans="1:1" x14ac:dyDescent="0.3">
      <c r="A557" s="38">
        <v>470</v>
      </c>
    </row>
    <row r="558" spans="1:1" x14ac:dyDescent="0.3">
      <c r="A558" s="38">
        <v>472</v>
      </c>
    </row>
    <row r="559" spans="1:1" x14ac:dyDescent="0.3">
      <c r="A559" s="38">
        <v>474</v>
      </c>
    </row>
    <row r="560" spans="1:1" x14ac:dyDescent="0.3">
      <c r="A560" s="38">
        <v>476</v>
      </c>
    </row>
    <row r="561" spans="1:1" x14ac:dyDescent="0.3">
      <c r="A561" s="38">
        <v>478</v>
      </c>
    </row>
    <row r="562" spans="1:1" x14ac:dyDescent="0.3">
      <c r="A562" s="38">
        <v>480</v>
      </c>
    </row>
    <row r="563" spans="1:1" x14ac:dyDescent="0.3">
      <c r="A563" s="38">
        <v>482</v>
      </c>
    </row>
    <row r="564" spans="1:1" x14ac:dyDescent="0.3">
      <c r="A564" s="38">
        <v>484</v>
      </c>
    </row>
    <row r="565" spans="1:1" x14ac:dyDescent="0.3">
      <c r="A565" s="38">
        <v>486</v>
      </c>
    </row>
    <row r="566" spans="1:1" x14ac:dyDescent="0.3">
      <c r="A566" s="38">
        <v>488</v>
      </c>
    </row>
    <row r="567" spans="1:1" x14ac:dyDescent="0.3">
      <c r="A567" s="38">
        <v>490</v>
      </c>
    </row>
    <row r="568" spans="1:1" x14ac:dyDescent="0.3">
      <c r="A568" s="38">
        <v>492</v>
      </c>
    </row>
    <row r="569" spans="1:1" x14ac:dyDescent="0.3">
      <c r="A569" s="38">
        <v>494</v>
      </c>
    </row>
    <row r="570" spans="1:1" x14ac:dyDescent="0.3">
      <c r="A570" s="38">
        <v>496</v>
      </c>
    </row>
    <row r="571" spans="1:1" x14ac:dyDescent="0.3">
      <c r="A571" s="38">
        <v>498</v>
      </c>
    </row>
    <row r="572" spans="1:1" x14ac:dyDescent="0.3">
      <c r="A572" s="38">
        <v>500</v>
      </c>
    </row>
    <row r="573" spans="1:1" x14ac:dyDescent="0.3">
      <c r="A573" s="38">
        <v>502</v>
      </c>
    </row>
    <row r="574" spans="1:1" x14ac:dyDescent="0.3">
      <c r="A574" s="38">
        <v>504</v>
      </c>
    </row>
    <row r="575" spans="1:1" x14ac:dyDescent="0.3">
      <c r="A575" s="38">
        <v>506</v>
      </c>
    </row>
    <row r="576" spans="1:1" x14ac:dyDescent="0.3">
      <c r="A576" s="38">
        <v>508</v>
      </c>
    </row>
    <row r="577" spans="1:1" x14ac:dyDescent="0.3">
      <c r="A577" s="38">
        <v>510</v>
      </c>
    </row>
    <row r="578" spans="1:1" x14ac:dyDescent="0.3">
      <c r="A578" s="38">
        <v>512</v>
      </c>
    </row>
    <row r="579" spans="1:1" x14ac:dyDescent="0.3">
      <c r="A579" s="38">
        <v>514</v>
      </c>
    </row>
    <row r="580" spans="1:1" x14ac:dyDescent="0.3">
      <c r="A580" s="38">
        <v>516</v>
      </c>
    </row>
    <row r="581" spans="1:1" x14ac:dyDescent="0.3">
      <c r="A581" s="38">
        <v>518</v>
      </c>
    </row>
    <row r="582" spans="1:1" x14ac:dyDescent="0.3">
      <c r="A582" s="38">
        <v>520</v>
      </c>
    </row>
    <row r="583" spans="1:1" x14ac:dyDescent="0.3">
      <c r="A583" s="38">
        <v>522</v>
      </c>
    </row>
    <row r="584" spans="1:1" x14ac:dyDescent="0.3">
      <c r="A584" s="38">
        <v>524</v>
      </c>
    </row>
    <row r="585" spans="1:1" x14ac:dyDescent="0.3">
      <c r="A585" s="38">
        <v>526</v>
      </c>
    </row>
    <row r="586" spans="1:1" x14ac:dyDescent="0.3">
      <c r="A586" s="38">
        <v>528</v>
      </c>
    </row>
    <row r="587" spans="1:1" x14ac:dyDescent="0.3">
      <c r="A587" s="38">
        <v>530</v>
      </c>
    </row>
    <row r="588" spans="1:1" x14ac:dyDescent="0.3">
      <c r="A588" s="38">
        <v>532</v>
      </c>
    </row>
    <row r="589" spans="1:1" x14ac:dyDescent="0.3">
      <c r="A589" s="38">
        <v>534</v>
      </c>
    </row>
    <row r="590" spans="1:1" x14ac:dyDescent="0.3">
      <c r="A590" s="38">
        <v>536</v>
      </c>
    </row>
    <row r="591" spans="1:1" x14ac:dyDescent="0.3">
      <c r="A591" s="38">
        <v>538</v>
      </c>
    </row>
    <row r="592" spans="1:1" x14ac:dyDescent="0.3">
      <c r="A592" s="38">
        <v>540</v>
      </c>
    </row>
    <row r="593" spans="1:1" x14ac:dyDescent="0.3">
      <c r="A593" s="38">
        <v>542</v>
      </c>
    </row>
    <row r="594" spans="1:1" x14ac:dyDescent="0.3">
      <c r="A594" s="38">
        <v>544</v>
      </c>
    </row>
    <row r="595" spans="1:1" x14ac:dyDescent="0.3">
      <c r="A595" s="38">
        <v>546</v>
      </c>
    </row>
    <row r="596" spans="1:1" x14ac:dyDescent="0.3">
      <c r="A596" s="38">
        <v>548</v>
      </c>
    </row>
    <row r="597" spans="1:1" x14ac:dyDescent="0.3">
      <c r="A597" s="38">
        <v>550</v>
      </c>
    </row>
    <row r="598" spans="1:1" x14ac:dyDescent="0.3">
      <c r="A598" s="38">
        <v>552</v>
      </c>
    </row>
    <row r="599" spans="1:1" x14ac:dyDescent="0.3">
      <c r="A599" s="38">
        <v>554</v>
      </c>
    </row>
    <row r="600" spans="1:1" x14ac:dyDescent="0.3">
      <c r="A600" s="38">
        <v>556</v>
      </c>
    </row>
    <row r="601" spans="1:1" x14ac:dyDescent="0.3">
      <c r="A601" s="38">
        <v>558</v>
      </c>
    </row>
    <row r="602" spans="1:1" x14ac:dyDescent="0.3">
      <c r="A602" s="38">
        <v>560</v>
      </c>
    </row>
    <row r="603" spans="1:1" x14ac:dyDescent="0.3">
      <c r="A603" s="38">
        <v>562</v>
      </c>
    </row>
    <row r="604" spans="1:1" x14ac:dyDescent="0.3">
      <c r="A604" s="38">
        <v>564</v>
      </c>
    </row>
    <row r="605" spans="1:1" x14ac:dyDescent="0.3">
      <c r="A605" s="38">
        <v>566</v>
      </c>
    </row>
    <row r="606" spans="1:1" x14ac:dyDescent="0.3">
      <c r="A606" s="38">
        <v>568</v>
      </c>
    </row>
    <row r="607" spans="1:1" x14ac:dyDescent="0.3">
      <c r="A607" s="38">
        <v>570</v>
      </c>
    </row>
    <row r="608" spans="1:1" x14ac:dyDescent="0.3">
      <c r="A608" s="38">
        <v>572</v>
      </c>
    </row>
    <row r="609" spans="1:1" x14ac:dyDescent="0.3">
      <c r="A609" s="38">
        <v>574</v>
      </c>
    </row>
    <row r="610" spans="1:1" x14ac:dyDescent="0.3">
      <c r="A610" s="38">
        <v>576</v>
      </c>
    </row>
    <row r="611" spans="1:1" x14ac:dyDescent="0.3">
      <c r="A611" s="38">
        <v>578</v>
      </c>
    </row>
    <row r="612" spans="1:1" x14ac:dyDescent="0.3">
      <c r="A612" s="38">
        <v>580</v>
      </c>
    </row>
    <row r="613" spans="1:1" x14ac:dyDescent="0.3">
      <c r="A613" s="38">
        <v>582</v>
      </c>
    </row>
    <row r="614" spans="1:1" x14ac:dyDescent="0.3">
      <c r="A614" s="38">
        <v>584</v>
      </c>
    </row>
    <row r="615" spans="1:1" x14ac:dyDescent="0.3">
      <c r="A615" s="38">
        <v>586</v>
      </c>
    </row>
    <row r="616" spans="1:1" x14ac:dyDescent="0.3">
      <c r="A616" s="38">
        <v>588</v>
      </c>
    </row>
    <row r="617" spans="1:1" x14ac:dyDescent="0.3">
      <c r="A617" s="38">
        <v>590</v>
      </c>
    </row>
    <row r="618" spans="1:1" x14ac:dyDescent="0.3">
      <c r="A618" s="38">
        <v>592</v>
      </c>
    </row>
    <row r="619" spans="1:1" x14ac:dyDescent="0.3">
      <c r="A619" s="38">
        <v>594</v>
      </c>
    </row>
    <row r="620" spans="1:1" x14ac:dyDescent="0.3">
      <c r="A620" s="38">
        <v>596</v>
      </c>
    </row>
    <row r="621" spans="1:1" x14ac:dyDescent="0.3">
      <c r="A621" s="38">
        <v>598</v>
      </c>
    </row>
    <row r="622" spans="1:1" x14ac:dyDescent="0.3">
      <c r="A622" s="38">
        <v>600</v>
      </c>
    </row>
    <row r="623" spans="1:1" x14ac:dyDescent="0.3">
      <c r="A623" s="38">
        <v>602</v>
      </c>
    </row>
    <row r="624" spans="1:1" x14ac:dyDescent="0.3">
      <c r="A624" s="38">
        <v>604</v>
      </c>
    </row>
    <row r="625" spans="1:1" x14ac:dyDescent="0.3">
      <c r="A625" s="38">
        <v>606</v>
      </c>
    </row>
    <row r="626" spans="1:1" x14ac:dyDescent="0.3">
      <c r="A626" s="38">
        <v>608</v>
      </c>
    </row>
    <row r="627" spans="1:1" x14ac:dyDescent="0.3">
      <c r="A627" s="38">
        <v>610</v>
      </c>
    </row>
    <row r="628" spans="1:1" x14ac:dyDescent="0.3">
      <c r="A628" s="38">
        <v>612</v>
      </c>
    </row>
    <row r="629" spans="1:1" x14ac:dyDescent="0.3">
      <c r="A629" s="38">
        <v>614</v>
      </c>
    </row>
    <row r="630" spans="1:1" x14ac:dyDescent="0.3">
      <c r="A630" s="38">
        <v>616</v>
      </c>
    </row>
    <row r="631" spans="1:1" x14ac:dyDescent="0.3">
      <c r="A631" s="38">
        <v>618</v>
      </c>
    </row>
    <row r="632" spans="1:1" x14ac:dyDescent="0.3">
      <c r="A632" s="38">
        <v>620</v>
      </c>
    </row>
    <row r="633" spans="1:1" x14ac:dyDescent="0.3">
      <c r="A633" s="38">
        <v>622</v>
      </c>
    </row>
    <row r="634" spans="1:1" x14ac:dyDescent="0.3">
      <c r="A634" s="38">
        <v>624</v>
      </c>
    </row>
    <row r="635" spans="1:1" x14ac:dyDescent="0.3">
      <c r="A635" s="38">
        <v>626</v>
      </c>
    </row>
    <row r="636" spans="1:1" x14ac:dyDescent="0.3">
      <c r="A636" s="38">
        <v>628</v>
      </c>
    </row>
    <row r="637" spans="1:1" x14ac:dyDescent="0.3">
      <c r="A637" s="38">
        <v>630</v>
      </c>
    </row>
    <row r="638" spans="1:1" x14ac:dyDescent="0.3">
      <c r="A638" s="38">
        <v>632</v>
      </c>
    </row>
    <row r="639" spans="1:1" x14ac:dyDescent="0.3">
      <c r="A639" s="38">
        <v>634</v>
      </c>
    </row>
    <row r="640" spans="1:1" x14ac:dyDescent="0.3">
      <c r="A640" s="38">
        <v>636</v>
      </c>
    </row>
    <row r="641" spans="1:1" x14ac:dyDescent="0.3">
      <c r="A641" s="38">
        <v>638</v>
      </c>
    </row>
    <row r="642" spans="1:1" x14ac:dyDescent="0.3">
      <c r="A642" s="38">
        <v>640</v>
      </c>
    </row>
    <row r="643" spans="1:1" x14ac:dyDescent="0.3">
      <c r="A643" s="38">
        <v>642</v>
      </c>
    </row>
    <row r="644" spans="1:1" x14ac:dyDescent="0.3">
      <c r="A644" s="38">
        <v>644</v>
      </c>
    </row>
    <row r="645" spans="1:1" x14ac:dyDescent="0.3">
      <c r="A645" s="38">
        <v>646</v>
      </c>
    </row>
    <row r="646" spans="1:1" x14ac:dyDescent="0.3">
      <c r="A646" s="38">
        <v>648</v>
      </c>
    </row>
    <row r="647" spans="1:1" x14ac:dyDescent="0.3">
      <c r="A647" s="38">
        <v>650</v>
      </c>
    </row>
    <row r="648" spans="1:1" x14ac:dyDescent="0.3">
      <c r="A648" s="38">
        <v>652</v>
      </c>
    </row>
    <row r="649" spans="1:1" x14ac:dyDescent="0.3">
      <c r="A649" s="38">
        <v>654</v>
      </c>
    </row>
    <row r="650" spans="1:1" x14ac:dyDescent="0.3">
      <c r="A650" s="38">
        <v>656</v>
      </c>
    </row>
    <row r="651" spans="1:1" x14ac:dyDescent="0.3">
      <c r="A651" s="38">
        <v>658</v>
      </c>
    </row>
    <row r="652" spans="1:1" x14ac:dyDescent="0.3">
      <c r="A652" s="38">
        <v>660</v>
      </c>
    </row>
    <row r="653" spans="1:1" x14ac:dyDescent="0.3">
      <c r="A653" s="38">
        <v>662</v>
      </c>
    </row>
    <row r="654" spans="1:1" x14ac:dyDescent="0.3">
      <c r="A654" s="38">
        <v>664</v>
      </c>
    </row>
    <row r="655" spans="1:1" x14ac:dyDescent="0.3">
      <c r="A655" s="38">
        <v>666</v>
      </c>
    </row>
    <row r="656" spans="1:1" x14ac:dyDescent="0.3">
      <c r="A656" s="38">
        <v>668</v>
      </c>
    </row>
    <row r="657" spans="1:1" x14ac:dyDescent="0.3">
      <c r="A657" s="38">
        <v>670</v>
      </c>
    </row>
    <row r="658" spans="1:1" x14ac:dyDescent="0.3">
      <c r="A658" s="38">
        <v>672</v>
      </c>
    </row>
    <row r="659" spans="1:1" x14ac:dyDescent="0.3">
      <c r="A659" s="38">
        <v>674</v>
      </c>
    </row>
    <row r="660" spans="1:1" x14ac:dyDescent="0.3">
      <c r="A660" s="38">
        <v>676</v>
      </c>
    </row>
    <row r="661" spans="1:1" x14ac:dyDescent="0.3">
      <c r="A661" s="38">
        <v>678</v>
      </c>
    </row>
    <row r="662" spans="1:1" x14ac:dyDescent="0.3">
      <c r="A662" s="38">
        <v>680</v>
      </c>
    </row>
    <row r="663" spans="1:1" x14ac:dyDescent="0.3">
      <c r="A663" s="38">
        <v>682</v>
      </c>
    </row>
    <row r="664" spans="1:1" x14ac:dyDescent="0.3">
      <c r="A664" s="38">
        <v>684</v>
      </c>
    </row>
    <row r="665" spans="1:1" x14ac:dyDescent="0.3">
      <c r="A665" s="38">
        <v>686</v>
      </c>
    </row>
    <row r="666" spans="1:1" x14ac:dyDescent="0.3">
      <c r="A666" s="38">
        <v>688</v>
      </c>
    </row>
    <row r="667" spans="1:1" x14ac:dyDescent="0.3">
      <c r="A667" s="38">
        <v>690</v>
      </c>
    </row>
    <row r="668" spans="1:1" x14ac:dyDescent="0.3">
      <c r="A668" s="38">
        <v>692</v>
      </c>
    </row>
    <row r="669" spans="1:1" x14ac:dyDescent="0.3">
      <c r="A669" s="38">
        <v>694</v>
      </c>
    </row>
    <row r="670" spans="1:1" x14ac:dyDescent="0.3">
      <c r="A670" s="38">
        <v>696</v>
      </c>
    </row>
    <row r="671" spans="1:1" x14ac:dyDescent="0.3">
      <c r="A671" s="38">
        <v>698</v>
      </c>
    </row>
    <row r="672" spans="1:1" x14ac:dyDescent="0.3">
      <c r="A672" s="38">
        <v>700</v>
      </c>
    </row>
    <row r="673" spans="1:1" x14ac:dyDescent="0.3">
      <c r="A673" s="38">
        <v>702</v>
      </c>
    </row>
    <row r="674" spans="1:1" x14ac:dyDescent="0.3">
      <c r="A674" s="38">
        <v>704</v>
      </c>
    </row>
    <row r="675" spans="1:1" x14ac:dyDescent="0.3">
      <c r="A675" s="38">
        <v>706</v>
      </c>
    </row>
    <row r="676" spans="1:1" x14ac:dyDescent="0.3">
      <c r="A676" s="38">
        <v>708</v>
      </c>
    </row>
    <row r="677" spans="1:1" x14ac:dyDescent="0.3">
      <c r="A677" s="38">
        <v>710</v>
      </c>
    </row>
    <row r="678" spans="1:1" x14ac:dyDescent="0.3">
      <c r="A678" s="38">
        <v>712</v>
      </c>
    </row>
    <row r="679" spans="1:1" x14ac:dyDescent="0.3">
      <c r="A679" s="38">
        <v>714</v>
      </c>
    </row>
    <row r="680" spans="1:1" x14ac:dyDescent="0.3">
      <c r="A680" s="38">
        <v>716</v>
      </c>
    </row>
    <row r="681" spans="1:1" x14ac:dyDescent="0.3">
      <c r="A681" s="38">
        <v>718</v>
      </c>
    </row>
    <row r="682" spans="1:1" x14ac:dyDescent="0.3">
      <c r="A682" s="38">
        <v>720</v>
      </c>
    </row>
    <row r="683" spans="1:1" x14ac:dyDescent="0.3">
      <c r="A683" s="38">
        <v>722</v>
      </c>
    </row>
    <row r="684" spans="1:1" x14ac:dyDescent="0.3">
      <c r="A684" s="38">
        <v>724</v>
      </c>
    </row>
    <row r="685" spans="1:1" x14ac:dyDescent="0.3">
      <c r="A685" s="38">
        <v>726</v>
      </c>
    </row>
    <row r="686" spans="1:1" x14ac:dyDescent="0.3">
      <c r="A686" s="38">
        <v>728</v>
      </c>
    </row>
    <row r="687" spans="1:1" x14ac:dyDescent="0.3">
      <c r="A687" s="38">
        <v>730</v>
      </c>
    </row>
    <row r="688" spans="1:1" x14ac:dyDescent="0.3">
      <c r="A688" s="38">
        <v>732</v>
      </c>
    </row>
    <row r="689" spans="1:1" x14ac:dyDescent="0.3">
      <c r="A689" s="38">
        <v>734</v>
      </c>
    </row>
    <row r="690" spans="1:1" x14ac:dyDescent="0.3">
      <c r="A690" s="38">
        <v>736</v>
      </c>
    </row>
    <row r="691" spans="1:1" x14ac:dyDescent="0.3">
      <c r="A691" s="38">
        <v>738</v>
      </c>
    </row>
    <row r="692" spans="1:1" x14ac:dyDescent="0.3">
      <c r="A692" s="38">
        <v>740</v>
      </c>
    </row>
    <row r="693" spans="1:1" x14ac:dyDescent="0.3">
      <c r="A693" s="38">
        <v>742</v>
      </c>
    </row>
    <row r="694" spans="1:1" x14ac:dyDescent="0.3">
      <c r="A694" s="38">
        <v>744</v>
      </c>
    </row>
    <row r="695" spans="1:1" x14ac:dyDescent="0.3">
      <c r="A695" s="38">
        <v>746</v>
      </c>
    </row>
    <row r="696" spans="1:1" x14ac:dyDescent="0.3">
      <c r="A696" s="38">
        <v>748</v>
      </c>
    </row>
    <row r="697" spans="1:1" x14ac:dyDescent="0.3">
      <c r="A697" s="38">
        <v>750</v>
      </c>
    </row>
    <row r="698" spans="1:1" x14ac:dyDescent="0.3">
      <c r="A698" s="38">
        <v>752</v>
      </c>
    </row>
    <row r="699" spans="1:1" x14ac:dyDescent="0.3">
      <c r="A699" s="38">
        <v>754</v>
      </c>
    </row>
    <row r="700" spans="1:1" x14ac:dyDescent="0.3">
      <c r="A700" s="38">
        <v>756</v>
      </c>
    </row>
    <row r="701" spans="1:1" x14ac:dyDescent="0.3">
      <c r="A701" s="38">
        <v>758</v>
      </c>
    </row>
    <row r="702" spans="1:1" x14ac:dyDescent="0.3">
      <c r="A702" s="38">
        <v>760</v>
      </c>
    </row>
    <row r="703" spans="1:1" x14ac:dyDescent="0.3">
      <c r="A703" s="38">
        <v>762</v>
      </c>
    </row>
    <row r="704" spans="1:1" x14ac:dyDescent="0.3">
      <c r="A704" s="38">
        <v>764</v>
      </c>
    </row>
    <row r="705" spans="1:1" x14ac:dyDescent="0.3">
      <c r="A705" s="38">
        <v>766</v>
      </c>
    </row>
    <row r="706" spans="1:1" x14ac:dyDescent="0.3">
      <c r="A706" s="38">
        <v>768</v>
      </c>
    </row>
    <row r="707" spans="1:1" x14ac:dyDescent="0.3">
      <c r="A707" s="38">
        <v>770</v>
      </c>
    </row>
    <row r="708" spans="1:1" x14ac:dyDescent="0.3">
      <c r="A708" s="38">
        <v>772</v>
      </c>
    </row>
    <row r="709" spans="1:1" x14ac:dyDescent="0.3">
      <c r="A709" s="38">
        <v>774</v>
      </c>
    </row>
    <row r="710" spans="1:1" x14ac:dyDescent="0.3">
      <c r="A710" s="38">
        <v>776</v>
      </c>
    </row>
    <row r="711" spans="1:1" x14ac:dyDescent="0.3">
      <c r="A711" s="38">
        <v>778</v>
      </c>
    </row>
    <row r="712" spans="1:1" x14ac:dyDescent="0.3">
      <c r="A712" s="38">
        <v>780</v>
      </c>
    </row>
    <row r="713" spans="1:1" x14ac:dyDescent="0.3">
      <c r="A713" s="38">
        <v>782</v>
      </c>
    </row>
    <row r="714" spans="1:1" x14ac:dyDescent="0.3">
      <c r="A714" s="38">
        <v>784</v>
      </c>
    </row>
    <row r="715" spans="1:1" x14ac:dyDescent="0.3">
      <c r="A715" s="38">
        <v>786</v>
      </c>
    </row>
    <row r="716" spans="1:1" x14ac:dyDescent="0.3">
      <c r="A716" s="38">
        <v>788</v>
      </c>
    </row>
    <row r="717" spans="1:1" x14ac:dyDescent="0.3">
      <c r="A717" s="38">
        <v>790</v>
      </c>
    </row>
    <row r="718" spans="1:1" x14ac:dyDescent="0.3">
      <c r="A718" s="38">
        <v>792</v>
      </c>
    </row>
    <row r="719" spans="1:1" x14ac:dyDescent="0.3">
      <c r="A719" s="38">
        <v>794</v>
      </c>
    </row>
    <row r="720" spans="1:1" x14ac:dyDescent="0.3">
      <c r="A720" s="38">
        <v>796</v>
      </c>
    </row>
    <row r="721" spans="1:1" x14ac:dyDescent="0.3">
      <c r="A721" s="38">
        <v>798</v>
      </c>
    </row>
    <row r="722" spans="1:1" x14ac:dyDescent="0.3">
      <c r="A722" s="38">
        <v>800</v>
      </c>
    </row>
    <row r="723" spans="1:1" x14ac:dyDescent="0.3">
      <c r="A723" s="38">
        <v>802</v>
      </c>
    </row>
    <row r="724" spans="1:1" x14ac:dyDescent="0.3">
      <c r="A724" s="38">
        <v>804</v>
      </c>
    </row>
    <row r="725" spans="1:1" x14ac:dyDescent="0.3">
      <c r="A725" s="38">
        <v>806</v>
      </c>
    </row>
    <row r="726" spans="1:1" x14ac:dyDescent="0.3">
      <c r="A726" s="38">
        <v>808</v>
      </c>
    </row>
    <row r="727" spans="1:1" x14ac:dyDescent="0.3">
      <c r="A727" s="38">
        <v>810</v>
      </c>
    </row>
    <row r="728" spans="1:1" x14ac:dyDescent="0.3">
      <c r="A728" s="38">
        <v>812</v>
      </c>
    </row>
    <row r="729" spans="1:1" x14ac:dyDescent="0.3">
      <c r="A729" s="38">
        <v>814</v>
      </c>
    </row>
    <row r="730" spans="1:1" x14ac:dyDescent="0.3">
      <c r="A730" s="38">
        <v>816</v>
      </c>
    </row>
    <row r="731" spans="1:1" x14ac:dyDescent="0.3">
      <c r="A731" s="38">
        <v>818</v>
      </c>
    </row>
    <row r="732" spans="1:1" x14ac:dyDescent="0.3">
      <c r="A732" s="38">
        <v>820</v>
      </c>
    </row>
    <row r="733" spans="1:1" x14ac:dyDescent="0.3">
      <c r="A733" s="38">
        <v>822</v>
      </c>
    </row>
    <row r="734" spans="1:1" x14ac:dyDescent="0.3">
      <c r="A734" s="38">
        <v>824</v>
      </c>
    </row>
    <row r="735" spans="1:1" x14ac:dyDescent="0.3">
      <c r="A735" s="38">
        <v>826</v>
      </c>
    </row>
    <row r="736" spans="1:1" x14ac:dyDescent="0.3">
      <c r="A736" s="38">
        <v>828</v>
      </c>
    </row>
    <row r="737" spans="1:1" x14ac:dyDescent="0.3">
      <c r="A737" s="38">
        <v>830</v>
      </c>
    </row>
    <row r="738" spans="1:1" x14ac:dyDescent="0.3">
      <c r="A738" s="38">
        <v>832</v>
      </c>
    </row>
    <row r="739" spans="1:1" x14ac:dyDescent="0.3">
      <c r="A739" s="38">
        <v>834</v>
      </c>
    </row>
    <row r="740" spans="1:1" x14ac:dyDescent="0.3">
      <c r="A740" s="38">
        <v>836</v>
      </c>
    </row>
    <row r="741" spans="1:1" x14ac:dyDescent="0.3">
      <c r="A741" s="38">
        <v>838</v>
      </c>
    </row>
    <row r="742" spans="1:1" x14ac:dyDescent="0.3">
      <c r="A742" s="38">
        <v>840</v>
      </c>
    </row>
    <row r="743" spans="1:1" x14ac:dyDescent="0.3">
      <c r="A743" s="38">
        <v>842</v>
      </c>
    </row>
    <row r="744" spans="1:1" x14ac:dyDescent="0.3">
      <c r="A744" s="38">
        <v>844</v>
      </c>
    </row>
    <row r="745" spans="1:1" x14ac:dyDescent="0.3">
      <c r="A745" s="38">
        <v>846</v>
      </c>
    </row>
    <row r="746" spans="1:1" x14ac:dyDescent="0.3">
      <c r="A746" s="38">
        <v>848</v>
      </c>
    </row>
    <row r="747" spans="1:1" x14ac:dyDescent="0.3">
      <c r="A747" s="38">
        <v>850</v>
      </c>
    </row>
    <row r="748" spans="1:1" x14ac:dyDescent="0.3">
      <c r="A748" s="38">
        <v>852</v>
      </c>
    </row>
    <row r="749" spans="1:1" x14ac:dyDescent="0.3">
      <c r="A749" s="38">
        <v>854</v>
      </c>
    </row>
    <row r="750" spans="1:1" x14ac:dyDescent="0.3">
      <c r="A750" s="38">
        <v>856</v>
      </c>
    </row>
    <row r="751" spans="1:1" x14ac:dyDescent="0.3">
      <c r="A751" s="38">
        <v>858</v>
      </c>
    </row>
    <row r="752" spans="1:1" x14ac:dyDescent="0.3">
      <c r="A752" s="38">
        <v>860</v>
      </c>
    </row>
    <row r="753" spans="1:1" x14ac:dyDescent="0.3">
      <c r="A753" s="38">
        <v>862</v>
      </c>
    </row>
    <row r="754" spans="1:1" x14ac:dyDescent="0.3">
      <c r="A754" s="38">
        <v>864</v>
      </c>
    </row>
    <row r="755" spans="1:1" x14ac:dyDescent="0.3">
      <c r="A755" s="38">
        <v>866</v>
      </c>
    </row>
    <row r="756" spans="1:1" x14ac:dyDescent="0.3">
      <c r="A756" s="38">
        <v>868</v>
      </c>
    </row>
    <row r="757" spans="1:1" x14ac:dyDescent="0.3">
      <c r="A757" s="38">
        <v>870</v>
      </c>
    </row>
    <row r="758" spans="1:1" x14ac:dyDescent="0.3">
      <c r="A758" s="38">
        <v>872</v>
      </c>
    </row>
    <row r="759" spans="1:1" x14ac:dyDescent="0.3">
      <c r="A759" s="38">
        <v>874</v>
      </c>
    </row>
    <row r="760" spans="1:1" x14ac:dyDescent="0.3">
      <c r="A760" s="38">
        <v>876</v>
      </c>
    </row>
    <row r="761" spans="1:1" x14ac:dyDescent="0.3">
      <c r="A761" s="38">
        <v>878</v>
      </c>
    </row>
    <row r="762" spans="1:1" x14ac:dyDescent="0.3">
      <c r="A762" s="38">
        <v>880</v>
      </c>
    </row>
    <row r="763" spans="1:1" x14ac:dyDescent="0.3">
      <c r="A763" s="38">
        <v>882</v>
      </c>
    </row>
    <row r="764" spans="1:1" x14ac:dyDescent="0.3">
      <c r="A764" s="38">
        <v>884</v>
      </c>
    </row>
    <row r="765" spans="1:1" x14ac:dyDescent="0.3">
      <c r="A765" s="38">
        <v>886</v>
      </c>
    </row>
    <row r="766" spans="1:1" x14ac:dyDescent="0.3">
      <c r="A766" s="38">
        <v>888</v>
      </c>
    </row>
    <row r="767" spans="1:1" x14ac:dyDescent="0.3">
      <c r="A767" s="38">
        <v>890</v>
      </c>
    </row>
    <row r="768" spans="1:1" x14ac:dyDescent="0.3">
      <c r="A768" s="38">
        <v>892</v>
      </c>
    </row>
    <row r="769" spans="1:1" x14ac:dyDescent="0.3">
      <c r="A769" s="38">
        <v>894</v>
      </c>
    </row>
    <row r="770" spans="1:1" x14ac:dyDescent="0.3">
      <c r="A770" s="38">
        <v>896</v>
      </c>
    </row>
    <row r="771" spans="1:1" x14ac:dyDescent="0.3">
      <c r="A771" s="38">
        <v>898</v>
      </c>
    </row>
    <row r="772" spans="1:1" x14ac:dyDescent="0.3">
      <c r="A772" s="38">
        <v>900</v>
      </c>
    </row>
    <row r="773" spans="1:1" x14ac:dyDescent="0.3">
      <c r="A773" s="38">
        <v>902</v>
      </c>
    </row>
    <row r="774" spans="1:1" x14ac:dyDescent="0.3">
      <c r="A774" s="38">
        <v>904</v>
      </c>
    </row>
    <row r="775" spans="1:1" x14ac:dyDescent="0.3">
      <c r="A775" s="38">
        <v>906</v>
      </c>
    </row>
    <row r="776" spans="1:1" x14ac:dyDescent="0.3">
      <c r="A776" s="38">
        <v>908</v>
      </c>
    </row>
    <row r="777" spans="1:1" x14ac:dyDescent="0.3">
      <c r="A777" s="38">
        <v>910</v>
      </c>
    </row>
    <row r="778" spans="1:1" x14ac:dyDescent="0.3">
      <c r="A778" s="38">
        <v>912</v>
      </c>
    </row>
    <row r="779" spans="1:1" x14ac:dyDescent="0.3">
      <c r="A779" s="38">
        <v>914</v>
      </c>
    </row>
    <row r="780" spans="1:1" x14ac:dyDescent="0.3">
      <c r="A780" s="38">
        <v>916</v>
      </c>
    </row>
    <row r="781" spans="1:1" x14ac:dyDescent="0.3">
      <c r="A781" s="38">
        <v>918</v>
      </c>
    </row>
    <row r="782" spans="1:1" x14ac:dyDescent="0.3">
      <c r="A782" s="38">
        <v>920</v>
      </c>
    </row>
    <row r="783" spans="1:1" x14ac:dyDescent="0.3">
      <c r="A783" s="38">
        <v>922</v>
      </c>
    </row>
    <row r="784" spans="1:1" x14ac:dyDescent="0.3">
      <c r="A784" s="38">
        <v>924</v>
      </c>
    </row>
    <row r="785" spans="1:1" x14ac:dyDescent="0.3">
      <c r="A785" s="38">
        <v>926</v>
      </c>
    </row>
    <row r="786" spans="1:1" x14ac:dyDescent="0.3">
      <c r="A786" s="38">
        <v>928</v>
      </c>
    </row>
    <row r="787" spans="1:1" x14ac:dyDescent="0.3">
      <c r="A787" s="38">
        <v>930</v>
      </c>
    </row>
    <row r="788" spans="1:1" x14ac:dyDescent="0.3">
      <c r="A788" s="38">
        <v>932</v>
      </c>
    </row>
    <row r="789" spans="1:1" x14ac:dyDescent="0.3">
      <c r="A789" s="38">
        <v>934</v>
      </c>
    </row>
    <row r="790" spans="1:1" x14ac:dyDescent="0.3">
      <c r="A790" s="38">
        <v>936</v>
      </c>
    </row>
    <row r="791" spans="1:1" x14ac:dyDescent="0.3">
      <c r="A791" s="38">
        <v>938</v>
      </c>
    </row>
    <row r="792" spans="1:1" x14ac:dyDescent="0.3">
      <c r="A792" s="38">
        <v>940</v>
      </c>
    </row>
    <row r="793" spans="1:1" x14ac:dyDescent="0.3">
      <c r="A793" s="38">
        <v>942</v>
      </c>
    </row>
    <row r="794" spans="1:1" x14ac:dyDescent="0.3">
      <c r="A794" s="38">
        <v>944</v>
      </c>
    </row>
    <row r="795" spans="1:1" x14ac:dyDescent="0.3">
      <c r="A795" s="38">
        <v>946</v>
      </c>
    </row>
    <row r="796" spans="1:1" x14ac:dyDescent="0.3">
      <c r="A796" s="38">
        <v>948</v>
      </c>
    </row>
    <row r="797" spans="1:1" x14ac:dyDescent="0.3">
      <c r="A797" s="38">
        <v>950</v>
      </c>
    </row>
    <row r="798" spans="1:1" x14ac:dyDescent="0.3">
      <c r="A798" s="38">
        <v>952</v>
      </c>
    </row>
    <row r="799" spans="1:1" x14ac:dyDescent="0.3">
      <c r="A799" s="38">
        <v>954</v>
      </c>
    </row>
    <row r="800" spans="1:1" x14ac:dyDescent="0.3">
      <c r="A800" s="38">
        <v>956</v>
      </c>
    </row>
    <row r="801" spans="1:1" x14ac:dyDescent="0.3">
      <c r="A801" s="38">
        <v>958</v>
      </c>
    </row>
    <row r="802" spans="1:1" x14ac:dyDescent="0.3">
      <c r="A802" s="38">
        <v>960</v>
      </c>
    </row>
    <row r="803" spans="1:1" x14ac:dyDescent="0.3">
      <c r="A803" s="38">
        <v>962</v>
      </c>
    </row>
    <row r="804" spans="1:1" x14ac:dyDescent="0.3">
      <c r="A804" s="38">
        <v>964</v>
      </c>
    </row>
    <row r="805" spans="1:1" x14ac:dyDescent="0.3">
      <c r="A805" s="38">
        <v>966</v>
      </c>
    </row>
    <row r="806" spans="1:1" x14ac:dyDescent="0.3">
      <c r="A806" s="38">
        <v>968</v>
      </c>
    </row>
    <row r="807" spans="1:1" x14ac:dyDescent="0.3">
      <c r="A807" s="38">
        <v>970</v>
      </c>
    </row>
    <row r="808" spans="1:1" x14ac:dyDescent="0.3">
      <c r="A808" s="38">
        <v>972</v>
      </c>
    </row>
    <row r="809" spans="1:1" x14ac:dyDescent="0.3">
      <c r="A809" s="38">
        <v>974</v>
      </c>
    </row>
    <row r="810" spans="1:1" x14ac:dyDescent="0.3">
      <c r="A810" s="38">
        <v>976</v>
      </c>
    </row>
    <row r="811" spans="1:1" x14ac:dyDescent="0.3">
      <c r="A811" s="38">
        <v>978</v>
      </c>
    </row>
    <row r="812" spans="1:1" x14ac:dyDescent="0.3">
      <c r="A812" s="38">
        <v>980</v>
      </c>
    </row>
    <row r="813" spans="1:1" x14ac:dyDescent="0.3">
      <c r="A813" s="38">
        <v>982</v>
      </c>
    </row>
    <row r="814" spans="1:1" x14ac:dyDescent="0.3">
      <c r="A814" s="38">
        <v>984</v>
      </c>
    </row>
    <row r="815" spans="1:1" x14ac:dyDescent="0.3">
      <c r="A815" s="38">
        <v>986</v>
      </c>
    </row>
    <row r="816" spans="1:1" x14ac:dyDescent="0.3">
      <c r="A816" s="38">
        <v>988</v>
      </c>
    </row>
    <row r="817" spans="1:1" x14ac:dyDescent="0.3">
      <c r="A817" s="38">
        <v>990</v>
      </c>
    </row>
    <row r="818" spans="1:1" x14ac:dyDescent="0.3">
      <c r="A818" s="38">
        <v>992</v>
      </c>
    </row>
    <row r="819" spans="1:1" x14ac:dyDescent="0.3">
      <c r="A819" s="38">
        <v>994</v>
      </c>
    </row>
    <row r="820" spans="1:1" x14ac:dyDescent="0.3">
      <c r="A820" s="38">
        <v>996</v>
      </c>
    </row>
    <row r="821" spans="1:1" x14ac:dyDescent="0.3">
      <c r="A821" s="38">
        <v>998</v>
      </c>
    </row>
    <row r="822" spans="1:1" x14ac:dyDescent="0.3">
      <c r="A822" s="38">
        <v>1000</v>
      </c>
    </row>
  </sheetData>
  <sheetProtection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39</vt:i4>
      </vt:variant>
      <vt:variant>
        <vt:lpstr>Plages nommées</vt:lpstr>
      </vt:variant>
      <vt:variant>
        <vt:i4>553</vt:i4>
      </vt:variant>
    </vt:vector>
  </HeadingPairs>
  <TitlesOfParts>
    <vt:vector size="592" baseType="lpstr">
      <vt:lpstr>Construction</vt:lpstr>
      <vt:lpstr>Furnace</vt:lpstr>
      <vt:lpstr>Chief Gear &amp; Charms</vt:lpstr>
      <vt:lpstr>New Chief Gear Data</vt:lpstr>
      <vt:lpstr>Charms Data</vt:lpstr>
      <vt:lpstr>Heroes</vt:lpstr>
      <vt:lpstr>Chief &amp; Hero Data</vt:lpstr>
      <vt:lpstr>Hero Gear</vt:lpstr>
      <vt:lpstr>Hero Gear Data</vt:lpstr>
      <vt:lpstr>Pets</vt:lpstr>
      <vt:lpstr>Pet Data</vt:lpstr>
      <vt:lpstr>Troop Calculator</vt:lpstr>
      <vt:lpstr>Troop Data</vt:lpstr>
      <vt:lpstr>Barricade</vt:lpstr>
      <vt:lpstr>Command Center</vt:lpstr>
      <vt:lpstr>Coal Mine</vt:lpstr>
      <vt:lpstr>Embassy</vt:lpstr>
      <vt:lpstr>Infirmary</vt:lpstr>
      <vt:lpstr>Hunter's Hut</vt:lpstr>
      <vt:lpstr>Infantry Camp</vt:lpstr>
      <vt:lpstr>Iron Mine</vt:lpstr>
      <vt:lpstr>Lancer Camp</vt:lpstr>
      <vt:lpstr>Marksman Camp</vt:lpstr>
      <vt:lpstr>Research Center</vt:lpstr>
      <vt:lpstr>Sawmill</vt:lpstr>
      <vt:lpstr>Shelter</vt:lpstr>
      <vt:lpstr>War Academy</vt:lpstr>
      <vt:lpstr>Dawn Academy</vt:lpstr>
      <vt:lpstr>Cyrille</vt:lpstr>
      <vt:lpstr>Agnes</vt:lpstr>
      <vt:lpstr>Holger</vt:lpstr>
      <vt:lpstr>Romulus</vt:lpstr>
      <vt:lpstr>Fabian</vt:lpstr>
      <vt:lpstr>Baldur</vt:lpstr>
      <vt:lpstr>Fire Crystal Refinement</vt:lpstr>
      <vt:lpstr>SVS Prep Week</vt:lpstr>
      <vt:lpstr>Hero Rally Setup</vt:lpstr>
      <vt:lpstr>Dawn Academy Alternate Layout</vt:lpstr>
      <vt:lpstr>Lists</vt:lpstr>
      <vt:lpstr>'Dawn Academy Alternate Layout'!AgnesLevelCurrent</vt:lpstr>
      <vt:lpstr>AgnesLevelCurrent</vt:lpstr>
      <vt:lpstr>'Dawn Academy Alternate Layout'!AgnesLevelDesired</vt:lpstr>
      <vt:lpstr>AgnesLevelDesired</vt:lpstr>
      <vt:lpstr>AllSpeedupSecs</vt:lpstr>
      <vt:lpstr>ApeCurrent</vt:lpstr>
      <vt:lpstr>ApeDesired</vt:lpstr>
      <vt:lpstr>ApeFood</vt:lpstr>
      <vt:lpstr>ApeManuals</vt:lpstr>
      <vt:lpstr>ApePoints</vt:lpstr>
      <vt:lpstr>ApePotions</vt:lpstr>
      <vt:lpstr>ApeSerum</vt:lpstr>
      <vt:lpstr>'Dawn Academy Alternate Layout'!ArenaEliteCurrent</vt:lpstr>
      <vt:lpstr>ArenaEliteCurrent</vt:lpstr>
      <vt:lpstr>'Dawn Academy Alternate Layout'!ArenaEliteDesired</vt:lpstr>
      <vt:lpstr>ArenaEliteDesired</vt:lpstr>
      <vt:lpstr>'Dawn Academy Alternate Layout'!ArenaStarCurrent</vt:lpstr>
      <vt:lpstr>ArenaStarCurrent</vt:lpstr>
      <vt:lpstr>'Dawn Academy Alternate Layout'!ArenaStarDesired</vt:lpstr>
      <vt:lpstr>ArenaStarDesired</vt:lpstr>
      <vt:lpstr>BaldurLevelCurrent</vt:lpstr>
      <vt:lpstr>BaldurLevelDesired</vt:lpstr>
      <vt:lpstr>BarricadeCurrent</vt:lpstr>
      <vt:lpstr>BarricadeDays</vt:lpstr>
      <vt:lpstr>BarricadeDesired</vt:lpstr>
      <vt:lpstr>BarricadeHours</vt:lpstr>
      <vt:lpstr>BarricadeMinutes</vt:lpstr>
      <vt:lpstr>BarricadeSeconds</vt:lpstr>
      <vt:lpstr>BarricadeSecs</vt:lpstr>
      <vt:lpstr>BaseTier</vt:lpstr>
      <vt:lpstr>BattleBulwarkCurrent</vt:lpstr>
      <vt:lpstr>BattleBulwarkDesired</vt:lpstr>
      <vt:lpstr>BlazingSunriseCurrent</vt:lpstr>
      <vt:lpstr>BlazingSunriseDesired</vt:lpstr>
      <vt:lpstr>BountyHunterCurrent</vt:lpstr>
      <vt:lpstr>BountyHunterDesired</vt:lpstr>
      <vt:lpstr>BuildersAide</vt:lpstr>
      <vt:lpstr>'Dawn Academy Alternate Layout'!CallOfWarCurrent</vt:lpstr>
      <vt:lpstr>CallOfWarCurrent</vt:lpstr>
      <vt:lpstr>'Dawn Academy Alternate Layout'!CallOfWarDesired</vt:lpstr>
      <vt:lpstr>CallOfWarDesired</vt:lpstr>
      <vt:lpstr>ChameleonCurrent</vt:lpstr>
      <vt:lpstr>ChameleonDesired</vt:lpstr>
      <vt:lpstr>ChameleonFood</vt:lpstr>
      <vt:lpstr>ChameleonManuals</vt:lpstr>
      <vt:lpstr>ChameleonPoints</vt:lpstr>
      <vt:lpstr>ChameleonPotions</vt:lpstr>
      <vt:lpstr>ChameleonSerum</vt:lpstr>
      <vt:lpstr>CoalCurrent</vt:lpstr>
      <vt:lpstr>CoalDays</vt:lpstr>
      <vt:lpstr>CoalDesired</vt:lpstr>
      <vt:lpstr>CoalHours</vt:lpstr>
      <vt:lpstr>CoalMineSecs</vt:lpstr>
      <vt:lpstr>CoalMinutes</vt:lpstr>
      <vt:lpstr>CoalSeconds</vt:lpstr>
      <vt:lpstr>CoatCurrentLevel</vt:lpstr>
      <vt:lpstr>CoatDesiredLevel</vt:lpstr>
      <vt:lpstr>CoatLeftCurrentLevel</vt:lpstr>
      <vt:lpstr>CoatLeftDesiredLevel</vt:lpstr>
      <vt:lpstr>CoatRightCurrentLevel</vt:lpstr>
      <vt:lpstr>CoatRightDesiredLevel</vt:lpstr>
      <vt:lpstr>CoatTopCurrentLevel</vt:lpstr>
      <vt:lpstr>CoatTopDesiredLevel</vt:lpstr>
      <vt:lpstr>CommandCenterSecs</vt:lpstr>
      <vt:lpstr>CommCtrCurrent</vt:lpstr>
      <vt:lpstr>CommCtrDays</vt:lpstr>
      <vt:lpstr>CommCtrDesired</vt:lpstr>
      <vt:lpstr>CommCtrHours</vt:lpstr>
      <vt:lpstr>CommCtrMinutes</vt:lpstr>
      <vt:lpstr>CommCtrSeconds</vt:lpstr>
      <vt:lpstr>'Dawn Academy Alternate Layout'!CommonExpertSigils</vt:lpstr>
      <vt:lpstr>ConstAndGenSpeedupSecs</vt:lpstr>
      <vt:lpstr>ConstructionSpeed</vt:lpstr>
      <vt:lpstr>ConstSpeedups</vt:lpstr>
      <vt:lpstr>ConstSpeedupSecs</vt:lpstr>
      <vt:lpstr>'Dawn Academy Alternate Layout'!CovertKnowledgeCurrent</vt:lpstr>
      <vt:lpstr>CovertKnowledgeCurrent</vt:lpstr>
      <vt:lpstr>'Dawn Academy Alternate Layout'!CovertKnowledgeDesired</vt:lpstr>
      <vt:lpstr>CovertKnowledgeDesired</vt:lpstr>
      <vt:lpstr>CrisisRescueCurrent</vt:lpstr>
      <vt:lpstr>CrisisRescueDesired</vt:lpstr>
      <vt:lpstr>'Dawn Academy Alternate Layout'!CrowdPleaserCurrent</vt:lpstr>
      <vt:lpstr>CrowdPleaserCurrent</vt:lpstr>
      <vt:lpstr>'Dawn Academy Alternate Layout'!CrowdPleaserDesired</vt:lpstr>
      <vt:lpstr>CrowdPleaserDesired</vt:lpstr>
      <vt:lpstr>CudgelCurrentLevel</vt:lpstr>
      <vt:lpstr>CudgelDesiredLevel</vt:lpstr>
      <vt:lpstr>CudgelLeftCurrentLevel</vt:lpstr>
      <vt:lpstr>CudgelLeftDesiredLevel</vt:lpstr>
      <vt:lpstr>CudgelRightCurrentLevel</vt:lpstr>
      <vt:lpstr>CudgelRightDesiredLevel</vt:lpstr>
      <vt:lpstr>CudgelTopCurrentLevel</vt:lpstr>
      <vt:lpstr>CudgelTopDesiredLevel</vt:lpstr>
      <vt:lpstr>'Dawn Academy Alternate Layout'!CyrilleLevelCurrent</vt:lpstr>
      <vt:lpstr>CyrilleLevelCurrent</vt:lpstr>
      <vt:lpstr>'Dawn Academy Alternate Layout'!CyrilleLevelDesired</vt:lpstr>
      <vt:lpstr>CyrilleLevelDesired</vt:lpstr>
      <vt:lpstr>DawnHymnCurrent</vt:lpstr>
      <vt:lpstr>DawnHymnDesired</vt:lpstr>
      <vt:lpstr>DoubleTime</vt:lpstr>
      <vt:lpstr>DTBADays</vt:lpstr>
      <vt:lpstr>DTBAHours</vt:lpstr>
      <vt:lpstr>DTBAMinutes</vt:lpstr>
      <vt:lpstr>DTBASeconds</vt:lpstr>
      <vt:lpstr>DTBASecs</vt:lpstr>
      <vt:lpstr>'Dawn Academy Alternate Layout'!EfficientReconCurrent</vt:lpstr>
      <vt:lpstr>EfficientReconCurrent</vt:lpstr>
      <vt:lpstr>'Dawn Academy Alternate Layout'!EfficientReconDesired</vt:lpstr>
      <vt:lpstr>EfficientReconDesired</vt:lpstr>
      <vt:lpstr>ElkCurrent</vt:lpstr>
      <vt:lpstr>ElkDesired</vt:lpstr>
      <vt:lpstr>ElkFood</vt:lpstr>
      <vt:lpstr>ElkManuals</vt:lpstr>
      <vt:lpstr>ElkPoints</vt:lpstr>
      <vt:lpstr>ElkPotions</vt:lpstr>
      <vt:lpstr>ElkSerums</vt:lpstr>
      <vt:lpstr>EmbassyCurrent</vt:lpstr>
      <vt:lpstr>EmbassyDays</vt:lpstr>
      <vt:lpstr>EmbassyDesired</vt:lpstr>
      <vt:lpstr>EmbassyHours</vt:lpstr>
      <vt:lpstr>EmbassyMinutes</vt:lpstr>
      <vt:lpstr>EmbassySeconds</vt:lpstr>
      <vt:lpstr>EmbassySecs</vt:lpstr>
      <vt:lpstr>'Dawn Academy Alternate Layout'!EntrapmentCurrent</vt:lpstr>
      <vt:lpstr>EntrapmentCurrent</vt:lpstr>
      <vt:lpstr>'Dawn Academy Alternate Layout'!EntrapmentDesired</vt:lpstr>
      <vt:lpstr>EntrapmentDesired</vt:lpstr>
      <vt:lpstr>FabianLevelCurrent</vt:lpstr>
      <vt:lpstr>FabianLevelDesired</vt:lpstr>
      <vt:lpstr>FurnaceCurrent</vt:lpstr>
      <vt:lpstr>FurnaceDays</vt:lpstr>
      <vt:lpstr>FurnaceDesired</vt:lpstr>
      <vt:lpstr>FurnaceHours</vt:lpstr>
      <vt:lpstr>FurnaceMinutes</vt:lpstr>
      <vt:lpstr>FurnaceSeconds</vt:lpstr>
      <vt:lpstr>FurnaceSecs</vt:lpstr>
      <vt:lpstr>GenAfterConstruction</vt:lpstr>
      <vt:lpstr>GenAndTroopSecs</vt:lpstr>
      <vt:lpstr>GenSpeedups</vt:lpstr>
      <vt:lpstr>GenSpeedupSecs</vt:lpstr>
      <vt:lpstr>GorillaCurrent</vt:lpstr>
      <vt:lpstr>GorillaDesired</vt:lpstr>
      <vt:lpstr>GorillaFood</vt:lpstr>
      <vt:lpstr>GorillaManuals</vt:lpstr>
      <vt:lpstr>GorillaPoints</vt:lpstr>
      <vt:lpstr>GorillaPotions</vt:lpstr>
      <vt:lpstr>GorillaSerum</vt:lpstr>
      <vt:lpstr>HatCurrentLevel</vt:lpstr>
      <vt:lpstr>HatDesiredLevel</vt:lpstr>
      <vt:lpstr>HatLeftCurrentLevel</vt:lpstr>
      <vt:lpstr>HatLeftDesiredLevel</vt:lpstr>
      <vt:lpstr>HatRightCurrentLevel</vt:lpstr>
      <vt:lpstr>HatRightDesiredLevel</vt:lpstr>
      <vt:lpstr>HatTopCurrentLevel</vt:lpstr>
      <vt:lpstr>HatTopDesiredLevel</vt:lpstr>
      <vt:lpstr>HeightenedFirepowerCurrent</vt:lpstr>
      <vt:lpstr>HeightenedFirepowerDesired</vt:lpstr>
      <vt:lpstr>'Dawn Academy Alternate Layout'!HolgerLevelCurrent</vt:lpstr>
      <vt:lpstr>HolgerLevelCurrent</vt:lpstr>
      <vt:lpstr>'Dawn Academy Alternate Layout'!HolgerLevelDesired</vt:lpstr>
      <vt:lpstr>HolgerLevelDesired</vt:lpstr>
      <vt:lpstr>HonoredConquestCurrent</vt:lpstr>
      <vt:lpstr>HonoredConquestDesired</vt:lpstr>
      <vt:lpstr>HunterCurrent</vt:lpstr>
      <vt:lpstr>HunterDesired</vt:lpstr>
      <vt:lpstr>HuntersHutDays</vt:lpstr>
      <vt:lpstr>HuntersHutHours</vt:lpstr>
      <vt:lpstr>HuntersHutMinutes</vt:lpstr>
      <vt:lpstr>HuntersHutSeconds</vt:lpstr>
      <vt:lpstr>HuntersHutSecs</vt:lpstr>
      <vt:lpstr>HyenaCurrent</vt:lpstr>
      <vt:lpstr>HyenaDesired</vt:lpstr>
      <vt:lpstr>HyenaFood</vt:lpstr>
      <vt:lpstr>HyenaManuals</vt:lpstr>
      <vt:lpstr>HyenaPoints</vt:lpstr>
      <vt:lpstr>HyenaPotions</vt:lpstr>
      <vt:lpstr>HyenaSerums</vt:lpstr>
      <vt:lpstr>InfantryCampSecs</vt:lpstr>
      <vt:lpstr>InfantryCurrent</vt:lpstr>
      <vt:lpstr>InfantryDays</vt:lpstr>
      <vt:lpstr>InfantryDesired</vt:lpstr>
      <vt:lpstr>InfantryHours</vt:lpstr>
      <vt:lpstr>InfantryMinutes</vt:lpstr>
      <vt:lpstr>InfantrySeconds</vt:lpstr>
      <vt:lpstr>InfBel1LevelCurrent</vt:lpstr>
      <vt:lpstr>InfBel1LevelDesired</vt:lpstr>
      <vt:lpstr>InfBel1MasteryCurrent</vt:lpstr>
      <vt:lpstr>InfBel1MasteryDesired</vt:lpstr>
      <vt:lpstr>InfBel2LevelCurrent</vt:lpstr>
      <vt:lpstr>InfBel2LevelDesired</vt:lpstr>
      <vt:lpstr>InfBel2MasteryCurrent</vt:lpstr>
      <vt:lpstr>InfBel2MasteryDesired</vt:lpstr>
      <vt:lpstr>InfBel3LevelCurrent</vt:lpstr>
      <vt:lpstr>InfBel3LevelDesired</vt:lpstr>
      <vt:lpstr>InfBel3MasteryCurrent</vt:lpstr>
      <vt:lpstr>InfBel3MasteryDesired</vt:lpstr>
      <vt:lpstr>InfBoo1LevelCurrent</vt:lpstr>
      <vt:lpstr>InfBoo1LevelDesired</vt:lpstr>
      <vt:lpstr>InfBoo1MasteryCurrent</vt:lpstr>
      <vt:lpstr>InfBoo1MasteryDesired</vt:lpstr>
      <vt:lpstr>InfBoo2LevelCurrent</vt:lpstr>
      <vt:lpstr>InfBoo2LevelDesired</vt:lpstr>
      <vt:lpstr>InfBoo2MasteryCurrent</vt:lpstr>
      <vt:lpstr>InfBoo2MasteryDesired</vt:lpstr>
      <vt:lpstr>InfBoo3LevelCurrent</vt:lpstr>
      <vt:lpstr>InfBoo3LevelDesired</vt:lpstr>
      <vt:lpstr>InfBoo3MasteryCurrent</vt:lpstr>
      <vt:lpstr>InfBoo3MasteryDesired</vt:lpstr>
      <vt:lpstr>InfGlo1LevelCurrent</vt:lpstr>
      <vt:lpstr>InfGlo1LevelDesired</vt:lpstr>
      <vt:lpstr>InfGlo1MasteryCurrent</vt:lpstr>
      <vt:lpstr>InfGlo1MasteryDesired</vt:lpstr>
      <vt:lpstr>InfGlo2LevelCurrent</vt:lpstr>
      <vt:lpstr>InfGlo2LevelDesired</vt:lpstr>
      <vt:lpstr>InfGlo2MasteryCurrent</vt:lpstr>
      <vt:lpstr>InfGlo2MasteryDesired</vt:lpstr>
      <vt:lpstr>InfGlo3LevelCurrent</vt:lpstr>
      <vt:lpstr>InfGlo3LevelDesired</vt:lpstr>
      <vt:lpstr>InfGlo3MasteryCurrent</vt:lpstr>
      <vt:lpstr>InfGlo3MasteryDesired</vt:lpstr>
      <vt:lpstr>InfGog1LevelCurrent</vt:lpstr>
      <vt:lpstr>InfGog1LevelDesired</vt:lpstr>
      <vt:lpstr>InfGog1MasteryCurrent</vt:lpstr>
      <vt:lpstr>InfGog1MasteryDesired</vt:lpstr>
      <vt:lpstr>InfGog2LevelCurrent</vt:lpstr>
      <vt:lpstr>InfGog2LevelDesired</vt:lpstr>
      <vt:lpstr>InfGog2MasteryCurrent</vt:lpstr>
      <vt:lpstr>InfGog2MasteryDesired</vt:lpstr>
      <vt:lpstr>InfGog3LevelCurrent</vt:lpstr>
      <vt:lpstr>InfGog3LevelDesired</vt:lpstr>
      <vt:lpstr>InfGog3MasteryCurrent</vt:lpstr>
      <vt:lpstr>InfGog3MasteryDesired</vt:lpstr>
      <vt:lpstr>InfirmaryCurrent</vt:lpstr>
      <vt:lpstr>InfirmaryDays</vt:lpstr>
      <vt:lpstr>InfirmaryDesired</vt:lpstr>
      <vt:lpstr>InfirmaryHours</vt:lpstr>
      <vt:lpstr>InfirmaryMinutes</vt:lpstr>
      <vt:lpstr>InfirmarySeconds</vt:lpstr>
      <vt:lpstr>InfirmarySecs</vt:lpstr>
      <vt:lpstr>IronCurrent</vt:lpstr>
      <vt:lpstr>IronDays</vt:lpstr>
      <vt:lpstr>IronDesired</vt:lpstr>
      <vt:lpstr>IronHours</vt:lpstr>
      <vt:lpstr>IronMineSecs</vt:lpstr>
      <vt:lpstr>IronMinutes</vt:lpstr>
      <vt:lpstr>IronSeconds</vt:lpstr>
      <vt:lpstr>LanBel1LevelCurrent</vt:lpstr>
      <vt:lpstr>LanBel1LevelDesired</vt:lpstr>
      <vt:lpstr>LanBel1MasteryCurrent</vt:lpstr>
      <vt:lpstr>LanBel1MasteryDesired</vt:lpstr>
      <vt:lpstr>LanBel2LevelCurrent</vt:lpstr>
      <vt:lpstr>LanBel2LevelDesired</vt:lpstr>
      <vt:lpstr>LanBel2MasteryCurrent</vt:lpstr>
      <vt:lpstr>LanBel2MasteryDesired</vt:lpstr>
      <vt:lpstr>LanBel3LevelCurrent</vt:lpstr>
      <vt:lpstr>LanBel3LevelDesired</vt:lpstr>
      <vt:lpstr>LanBel3MasteryCurrent</vt:lpstr>
      <vt:lpstr>LanBel3MasteryDesired</vt:lpstr>
      <vt:lpstr>LanBoo1LevelCurrent</vt:lpstr>
      <vt:lpstr>LanBoo1LevelDesired</vt:lpstr>
      <vt:lpstr>LanBoo1MasteryCurrent</vt:lpstr>
      <vt:lpstr>LanBoo1MasteryDesired</vt:lpstr>
      <vt:lpstr>LanBoo2LevelCurrent</vt:lpstr>
      <vt:lpstr>LanBoo2LevelDesired</vt:lpstr>
      <vt:lpstr>LanBoo2MasteryCurrent</vt:lpstr>
      <vt:lpstr>LanBoo2MasteryDesired</vt:lpstr>
      <vt:lpstr>LanBoo3LevelCurrent</vt:lpstr>
      <vt:lpstr>LanBoo3LevelDesired</vt:lpstr>
      <vt:lpstr>LanBoo3MasteryCurrent</vt:lpstr>
      <vt:lpstr>LanBoo3MasteryDesired</vt:lpstr>
      <vt:lpstr>LancerCampSecs</vt:lpstr>
      <vt:lpstr>LancerCurrent</vt:lpstr>
      <vt:lpstr>LancerDays</vt:lpstr>
      <vt:lpstr>LancerDesired</vt:lpstr>
      <vt:lpstr>LancerHours</vt:lpstr>
      <vt:lpstr>LancerMinutes</vt:lpstr>
      <vt:lpstr>LancerSeconds</vt:lpstr>
      <vt:lpstr>LanGlo1LevelCurrent</vt:lpstr>
      <vt:lpstr>LanGlo1LevelDesired</vt:lpstr>
      <vt:lpstr>LanGlo1MasteryCurrent</vt:lpstr>
      <vt:lpstr>LanGlo1MasteryDesired</vt:lpstr>
      <vt:lpstr>LanGlo2LevelCurrent</vt:lpstr>
      <vt:lpstr>LanGlo2LevelDesired</vt:lpstr>
      <vt:lpstr>LanGlo2MasteryCurrent</vt:lpstr>
      <vt:lpstr>LanGlo2MasteryDesired</vt:lpstr>
      <vt:lpstr>LanGlo3LevelCurrent</vt:lpstr>
      <vt:lpstr>LanGlo3LevelDesired</vt:lpstr>
      <vt:lpstr>LanGlo3MasteryCurrent</vt:lpstr>
      <vt:lpstr>LanGlo3MasteryDesired</vt:lpstr>
      <vt:lpstr>LanGog1LevelCurrent</vt:lpstr>
      <vt:lpstr>LanGog1LevelDesired</vt:lpstr>
      <vt:lpstr>LanGog1MasteryCurrent</vt:lpstr>
      <vt:lpstr>LanGog1MasteryDesired</vt:lpstr>
      <vt:lpstr>LanGog2LevelCurrent</vt:lpstr>
      <vt:lpstr>LanGog2LevelDesired</vt:lpstr>
      <vt:lpstr>LanGog2MasteryCurrent</vt:lpstr>
      <vt:lpstr>LanGog2MasteryDesired</vt:lpstr>
      <vt:lpstr>LanGog3LevelCurrent</vt:lpstr>
      <vt:lpstr>LanGog3LevelDesired</vt:lpstr>
      <vt:lpstr>LanGog3MasteryCurrent</vt:lpstr>
      <vt:lpstr>LanGog3MasteryDesired</vt:lpstr>
      <vt:lpstr>'Dawn Academy Alternate Layout'!LastLineCurrent</vt:lpstr>
      <vt:lpstr>LastLineCurrent</vt:lpstr>
      <vt:lpstr>'Dawn Academy Alternate Layout'!LastLineDesired</vt:lpstr>
      <vt:lpstr>LastLineDesired</vt:lpstr>
      <vt:lpstr>'Dawn Academy Alternate Layout'!LegacyCurrent</vt:lpstr>
      <vt:lpstr>LegacyCurrent</vt:lpstr>
      <vt:lpstr>'Dawn Academy Alternate Layout'!LegacyDesired</vt:lpstr>
      <vt:lpstr>LegacyDesired</vt:lpstr>
      <vt:lpstr>LeopardCurrent</vt:lpstr>
      <vt:lpstr>LeopardDesired</vt:lpstr>
      <vt:lpstr>LeopardFood</vt:lpstr>
      <vt:lpstr>LeopardManuals</vt:lpstr>
      <vt:lpstr>LeopardPoints</vt:lpstr>
      <vt:lpstr>LeopardPotions</vt:lpstr>
      <vt:lpstr>LeopardSerums</vt:lpstr>
      <vt:lpstr>LionCurrent</vt:lpstr>
      <vt:lpstr>LionDesired</vt:lpstr>
      <vt:lpstr>LionFood</vt:lpstr>
      <vt:lpstr>LionManuals</vt:lpstr>
      <vt:lpstr>LionPoints</vt:lpstr>
      <vt:lpstr>LionPotions</vt:lpstr>
      <vt:lpstr>LionSerums</vt:lpstr>
      <vt:lpstr>MammothCurrent</vt:lpstr>
      <vt:lpstr>MammothDesired</vt:lpstr>
      <vt:lpstr>MammothFood</vt:lpstr>
      <vt:lpstr>MammothManuals</vt:lpstr>
      <vt:lpstr>MammothPoints</vt:lpstr>
      <vt:lpstr>MammothPotions</vt:lpstr>
      <vt:lpstr>MammothSerum</vt:lpstr>
      <vt:lpstr>MarBel1LevelCurrent</vt:lpstr>
      <vt:lpstr>MarBel1LevelDesired</vt:lpstr>
      <vt:lpstr>MarBel1MasteryCurrent</vt:lpstr>
      <vt:lpstr>MarBel1MasteryDesired</vt:lpstr>
      <vt:lpstr>MarBel2LevelCurrent</vt:lpstr>
      <vt:lpstr>MarBel2LevelDesired</vt:lpstr>
      <vt:lpstr>MarBel2MasteryCurrent</vt:lpstr>
      <vt:lpstr>MarBel2MasteryDesired</vt:lpstr>
      <vt:lpstr>MarBel3LevelCurrent</vt:lpstr>
      <vt:lpstr>MarBel3LevelDesired</vt:lpstr>
      <vt:lpstr>MarBel3MasteryCurrent</vt:lpstr>
      <vt:lpstr>MarBel3MasteryDesired</vt:lpstr>
      <vt:lpstr>MarBoo1LevelCurrent</vt:lpstr>
      <vt:lpstr>MarBoo1LevelDesired</vt:lpstr>
      <vt:lpstr>MarBoo1MasteryCurrent</vt:lpstr>
      <vt:lpstr>MarBoo1MasteryDesired</vt:lpstr>
      <vt:lpstr>MarBoo2LevelCurrent</vt:lpstr>
      <vt:lpstr>MarBoo2LevelDesired</vt:lpstr>
      <vt:lpstr>MarBoo2MasteryCurrent</vt:lpstr>
      <vt:lpstr>MarBoo2MasteryDesired</vt:lpstr>
      <vt:lpstr>MarBoo3LevelCurrent</vt:lpstr>
      <vt:lpstr>MarBoo3LevelDesired</vt:lpstr>
      <vt:lpstr>MarBoo3MasteryCurrent</vt:lpstr>
      <vt:lpstr>MarBoo3MasteryDesired</vt:lpstr>
      <vt:lpstr>MarGlo1LevelCurrent</vt:lpstr>
      <vt:lpstr>MarGlo1LevelDesired</vt:lpstr>
      <vt:lpstr>MarGlo1MasteryCurrent</vt:lpstr>
      <vt:lpstr>MarGlo1MasteryDesired</vt:lpstr>
      <vt:lpstr>MarGlo2LevelCurrent</vt:lpstr>
      <vt:lpstr>MarGlo2LevelDesired</vt:lpstr>
      <vt:lpstr>MarGlo2MasteryCurrent</vt:lpstr>
      <vt:lpstr>MarGlo2MasteryDesired</vt:lpstr>
      <vt:lpstr>MarGlo3LevelCurrent</vt:lpstr>
      <vt:lpstr>MarGlo3LevelDesired</vt:lpstr>
      <vt:lpstr>MarGlo3MasteryCurrent</vt:lpstr>
      <vt:lpstr>MarGlo3MasteryDesired</vt:lpstr>
      <vt:lpstr>MarGog1LevelCurrent</vt:lpstr>
      <vt:lpstr>MarGog1LevelDesired</vt:lpstr>
      <vt:lpstr>MarGog1MasteryCurrent</vt:lpstr>
      <vt:lpstr>MarGog1MasteryDesired</vt:lpstr>
      <vt:lpstr>MarGog2LevelCurrent</vt:lpstr>
      <vt:lpstr>MarGog2LevelDesired</vt:lpstr>
      <vt:lpstr>MarGog2MasteryCurrent</vt:lpstr>
      <vt:lpstr>MarGog2MasteryDesired</vt:lpstr>
      <vt:lpstr>MarGog3LevelCurrent</vt:lpstr>
      <vt:lpstr>MarGog3LevelDesired</vt:lpstr>
      <vt:lpstr>MarGog3MasteryCurrent</vt:lpstr>
      <vt:lpstr>MarGog3MasteryDesired</vt:lpstr>
      <vt:lpstr>MarksmanCampSecs</vt:lpstr>
      <vt:lpstr>MarksmanCurrent</vt:lpstr>
      <vt:lpstr>MarksmanDays</vt:lpstr>
      <vt:lpstr>MarksmanDesired</vt:lpstr>
      <vt:lpstr>MarksmanHours</vt:lpstr>
      <vt:lpstr>MarksmanMinutes</vt:lpstr>
      <vt:lpstr>MarksmanSeconds</vt:lpstr>
      <vt:lpstr>Mercantilism</vt:lpstr>
      <vt:lpstr>MinisterEducation</vt:lpstr>
      <vt:lpstr>NeededCharmDesigns</vt:lpstr>
      <vt:lpstr>NeededCharmGuides</vt:lpstr>
      <vt:lpstr>NeededCharmSecrets</vt:lpstr>
      <vt:lpstr>NeededDesignPlans</vt:lpstr>
      <vt:lpstr>NeededHardenedAlloy</vt:lpstr>
      <vt:lpstr>NeededLunarAmber</vt:lpstr>
      <vt:lpstr>NeededPolishingSolution</vt:lpstr>
      <vt:lpstr>NeededSpeedupSecs</vt:lpstr>
      <vt:lpstr>'Dawn Academy Alternate Layout'!OneHeartCurrent</vt:lpstr>
      <vt:lpstr>OneHeartCurrent</vt:lpstr>
      <vt:lpstr>'Dawn Academy Alternate Layout'!OneHeartDesired</vt:lpstr>
      <vt:lpstr>OneHeartDesired</vt:lpstr>
      <vt:lpstr>'Dawn Academy Alternate Layout'!OptimizationCurrent</vt:lpstr>
      <vt:lpstr>OptimizationCurrent</vt:lpstr>
      <vt:lpstr>'Dawn Academy Alternate Layout'!OptimizationDesired</vt:lpstr>
      <vt:lpstr>OptimizationDesired</vt:lpstr>
      <vt:lpstr>OxCurrent</vt:lpstr>
      <vt:lpstr>OxDesired</vt:lpstr>
      <vt:lpstr>OxFood</vt:lpstr>
      <vt:lpstr>OxManuals</vt:lpstr>
      <vt:lpstr>OxPoints</vt:lpstr>
      <vt:lpstr>OxPotions</vt:lpstr>
      <vt:lpstr>OxSerums</vt:lpstr>
      <vt:lpstr>PantsCurrentLevel</vt:lpstr>
      <vt:lpstr>PantsDesiredLevel</vt:lpstr>
      <vt:lpstr>PantsLeftCurrentLevel</vt:lpstr>
      <vt:lpstr>PantsLeftDesiredLevel</vt:lpstr>
      <vt:lpstr>PantsRightCurrentLevel</vt:lpstr>
      <vt:lpstr>PantsRightDesiredLevel</vt:lpstr>
      <vt:lpstr>PantsTopCurrentLevel</vt:lpstr>
      <vt:lpstr>PantsTopDesiredLevel</vt:lpstr>
      <vt:lpstr>'Dawn Academy Alternate Layout'!ProjectMgmtCurrent</vt:lpstr>
      <vt:lpstr>ProjectMgmtCurrent</vt:lpstr>
      <vt:lpstr>'Dawn Academy Alternate Layout'!ProjectMgmtDesired</vt:lpstr>
      <vt:lpstr>ProjectMgmtDesired</vt:lpstr>
      <vt:lpstr>ReducedDays</vt:lpstr>
      <vt:lpstr>ReducedHours</vt:lpstr>
      <vt:lpstr>ReducedMinutes</vt:lpstr>
      <vt:lpstr>ReducedSeconds</vt:lpstr>
      <vt:lpstr>ReducedSecs</vt:lpstr>
      <vt:lpstr>ResearchCenterSecs</vt:lpstr>
      <vt:lpstr>ResearchCurrent</vt:lpstr>
      <vt:lpstr>ResearchDays</vt:lpstr>
      <vt:lpstr>ResearchDesired</vt:lpstr>
      <vt:lpstr>ResearchHours</vt:lpstr>
      <vt:lpstr>ResearchMinutes</vt:lpstr>
      <vt:lpstr>ResearchSeconds</vt:lpstr>
      <vt:lpstr>RhinoCurrent</vt:lpstr>
      <vt:lpstr>RhinoDesired</vt:lpstr>
      <vt:lpstr>RhinoFood</vt:lpstr>
      <vt:lpstr>RhinoManuals</vt:lpstr>
      <vt:lpstr>RhinoPoints</vt:lpstr>
      <vt:lpstr>RhinoPotions</vt:lpstr>
      <vt:lpstr>RhinoSerum</vt:lpstr>
      <vt:lpstr>RingCurrentLevel</vt:lpstr>
      <vt:lpstr>RingDesiredLevel</vt:lpstr>
      <vt:lpstr>RingLeftCurrentLevel</vt:lpstr>
      <vt:lpstr>RingLeftDesiredLevel</vt:lpstr>
      <vt:lpstr>RingRightCurrentLevel</vt:lpstr>
      <vt:lpstr>RingRightDesiredLevel</vt:lpstr>
      <vt:lpstr>RingTopCurrentLevel</vt:lpstr>
      <vt:lpstr>RingTopDesiredLevel</vt:lpstr>
      <vt:lpstr>RocCurrent</vt:lpstr>
      <vt:lpstr>RocDesired</vt:lpstr>
      <vt:lpstr>RocFood</vt:lpstr>
      <vt:lpstr>RocManuals</vt:lpstr>
      <vt:lpstr>RocPoints</vt:lpstr>
      <vt:lpstr>RocPotions</vt:lpstr>
      <vt:lpstr>RocSerums</vt:lpstr>
      <vt:lpstr>'Dawn Academy Alternate Layout'!RomulusLevelCurrent</vt:lpstr>
      <vt:lpstr>RomulusLevelCurrent</vt:lpstr>
      <vt:lpstr>'Dawn Academy Alternate Layout'!RomulusLevelDesired</vt:lpstr>
      <vt:lpstr>RomulusLevelDesired</vt:lpstr>
      <vt:lpstr>SalvagerCurrent</vt:lpstr>
      <vt:lpstr>SalvagerDesired</vt:lpstr>
      <vt:lpstr>SawmillCurrent</vt:lpstr>
      <vt:lpstr>SawmillDays</vt:lpstr>
      <vt:lpstr>SawmillDesired</vt:lpstr>
      <vt:lpstr>SawmillHours</vt:lpstr>
      <vt:lpstr>SawmillMinutes</vt:lpstr>
      <vt:lpstr>SawmillSeconds</vt:lpstr>
      <vt:lpstr>SawmillSecs</vt:lpstr>
      <vt:lpstr>'Dawn Academy Alternate Layout'!ScavengingCurrent</vt:lpstr>
      <vt:lpstr>ScavengingCurrent</vt:lpstr>
      <vt:lpstr>'Dawn Academy Alternate Layout'!ScavengingDesired</vt:lpstr>
      <vt:lpstr>ScavengingDesired</vt:lpstr>
      <vt:lpstr>ShelldragonCurrent</vt:lpstr>
      <vt:lpstr>ShelldragonDesired</vt:lpstr>
      <vt:lpstr>ShelldragonFood</vt:lpstr>
      <vt:lpstr>ShelldragonManuals</vt:lpstr>
      <vt:lpstr>ShelldragonPoints</vt:lpstr>
      <vt:lpstr>ShelldragonPotions</vt:lpstr>
      <vt:lpstr>ShelldragonSerum</vt:lpstr>
      <vt:lpstr>ShelterCurrent</vt:lpstr>
      <vt:lpstr>ShelterDays</vt:lpstr>
      <vt:lpstr>ShelterDesired</vt:lpstr>
      <vt:lpstr>ShelterHours</vt:lpstr>
      <vt:lpstr>ShelterMinutes</vt:lpstr>
      <vt:lpstr>ShelterSeconds</vt:lpstr>
      <vt:lpstr>ShelterSecs</vt:lpstr>
      <vt:lpstr>SpeedupsAfterTroops</vt:lpstr>
      <vt:lpstr>'Dawn Academy Alternate Layout'!SpiritOfAeetesCurrent</vt:lpstr>
      <vt:lpstr>SpiritOfAeetesCurrent</vt:lpstr>
      <vt:lpstr>'Dawn Academy Alternate Layout'!SpiritOfAeetesDesired</vt:lpstr>
      <vt:lpstr>SpiritOfAeetesDesired</vt:lpstr>
      <vt:lpstr>SupremePresident</vt:lpstr>
      <vt:lpstr>TapirCurrent</vt:lpstr>
      <vt:lpstr>TapirDesired</vt:lpstr>
      <vt:lpstr>TapirFood</vt:lpstr>
      <vt:lpstr>TapirManuals</vt:lpstr>
      <vt:lpstr>TapirPoints</vt:lpstr>
      <vt:lpstr>TapirPotions</vt:lpstr>
      <vt:lpstr>TapirSerums</vt:lpstr>
      <vt:lpstr>TigerCurrent</vt:lpstr>
      <vt:lpstr>TigerDesired</vt:lpstr>
      <vt:lpstr>TigerFood</vt:lpstr>
      <vt:lpstr>TigerManuals</vt:lpstr>
      <vt:lpstr>TigerPoints</vt:lpstr>
      <vt:lpstr>TigerPotions</vt:lpstr>
      <vt:lpstr>TigerSerum</vt:lpstr>
      <vt:lpstr>TotalDays</vt:lpstr>
      <vt:lpstr>TotalHours</vt:lpstr>
      <vt:lpstr>TotalMinutes</vt:lpstr>
      <vt:lpstr>TotalSeconds</vt:lpstr>
      <vt:lpstr>TotalSecs</vt:lpstr>
      <vt:lpstr>TrainingCapacity</vt:lpstr>
      <vt:lpstr>TrainingCapacityBuff</vt:lpstr>
      <vt:lpstr>TrainingSpeed</vt:lpstr>
      <vt:lpstr>TrainQuantity</vt:lpstr>
      <vt:lpstr>TroopSpeedups</vt:lpstr>
      <vt:lpstr>TroopSpeedupSecs</vt:lpstr>
      <vt:lpstr>UpgradeTier</vt:lpstr>
      <vt:lpstr>'Dawn Academy Alternate Layout'!UrsasBaneCurrent</vt:lpstr>
      <vt:lpstr>UrsasBaneCurrent</vt:lpstr>
      <vt:lpstr>'Dawn Academy Alternate Layout'!UrsasBaneDesired</vt:lpstr>
      <vt:lpstr>UrsasBaneDesired</vt:lpstr>
      <vt:lpstr>VicePresident</vt:lpstr>
      <vt:lpstr>VicePresidentTroops</vt:lpstr>
      <vt:lpstr>VP</vt:lpstr>
      <vt:lpstr>WarAcademyCurrent</vt:lpstr>
      <vt:lpstr>WarAcademyDays</vt:lpstr>
      <vt:lpstr>WarAcademyDesired</vt:lpstr>
      <vt:lpstr>WarAcademyHours</vt:lpstr>
      <vt:lpstr>WarAcademyMinutes</vt:lpstr>
      <vt:lpstr>WarAcademySeconds</vt:lpstr>
      <vt:lpstr>WarAcademySecs</vt:lpstr>
      <vt:lpstr>WatchCurrentLevel</vt:lpstr>
      <vt:lpstr>WatchDesiredLevel</vt:lpstr>
      <vt:lpstr>WatchLeftCurrentLevel</vt:lpstr>
      <vt:lpstr>WatchLeftDesiredLevel</vt:lpstr>
      <vt:lpstr>WatchRightCurrentLevel</vt:lpstr>
      <vt:lpstr>WatchRightDesiredLevel</vt:lpstr>
      <vt:lpstr>WatchTopCurrentLevel</vt:lpstr>
      <vt:lpstr>WatchTopDesiredLevel</vt:lpstr>
      <vt:lpstr>'Dawn Academy Alternate Layout'!WeaponMasterCurrent</vt:lpstr>
      <vt:lpstr>WeaponMasterCurrent</vt:lpstr>
      <vt:lpstr>'Dawn Academy Alternate Layout'!WeaponMasterDesired</vt:lpstr>
      <vt:lpstr>WeaponMasterDesired</vt:lpstr>
      <vt:lpstr>WolfCurrent</vt:lpstr>
      <vt:lpstr>WolfDesired</vt:lpstr>
      <vt:lpstr>WolfFood</vt:lpstr>
      <vt:lpstr>WolfManuals</vt:lpstr>
      <vt:lpstr>WolfPoints</vt:lpstr>
      <vt:lpstr>WolfPotions</vt:lpstr>
      <vt:lpstr>WolfSerums</vt:lpstr>
      <vt:lpstr>Zinman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2024-02-18T19:21:28Z</dcterms:created>
  <dcterms:modified xsi:type="dcterms:W3CDTF">2025-11-13T00:22:33Z</dcterms:modified>
</cp:coreProperties>
</file>