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40440f6a316aaea/Dokumenter/"/>
    </mc:Choice>
  </mc:AlternateContent>
  <xr:revisionPtr revIDLastSave="1024" documentId="13_ncr:1_{A32E9089-B744-44A2-AB0B-AED9409EF23C}" xr6:coauthVersionLast="47" xr6:coauthVersionMax="47" xr10:uidLastSave="{86887772-47B3-42CC-8ABC-D1CC3E7BA70C}"/>
  <bookViews>
    <workbookView xWindow="2340" yWindow="2340" windowWidth="21600" windowHeight="12645" xr2:uid="{298C84A6-1A4E-47D2-BF1D-10E5868105DD}"/>
  </bookViews>
  <sheets>
    <sheet name="Oppdrag" sheetId="7" r:id="rId1"/>
    <sheet name="Fly" sheetId="8" r:id="rId2"/>
    <sheet name="OC" sheetId="9" r:id="rId3"/>
    <sheet name="Fightclub" sheetId="4" r:id="rId4"/>
    <sheet name="Bank" sheetId="6" r:id="rId5"/>
    <sheet name="Livvak" sheetId="3" r:id="rId6"/>
    <sheet name="The underground" sheetId="1" r:id="rId7"/>
    <sheet name="Hasjplantasje"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 i="1" l="1"/>
  <c r="D3" i="5"/>
  <c r="C3" i="5" s="1"/>
  <c r="B3" i="5" s="1"/>
  <c r="I4" i="5"/>
  <c r="J3" i="5"/>
  <c r="I3" i="5"/>
  <c r="H4" i="8"/>
  <c r="H5" i="8"/>
  <c r="H6" i="8"/>
  <c r="H7" i="8"/>
  <c r="H3" i="8"/>
  <c r="J3" i="1" a="1"/>
  <c r="J3" i="1" s="1"/>
  <c r="J4" i="1" s="1" a="1"/>
  <c r="J4" i="1" s="1"/>
  <c r="I3" i="1" a="1"/>
  <c r="I3" i="1" s="1"/>
  <c r="I4" i="1" s="1" a="1"/>
  <c r="I4" i="1" s="1"/>
  <c r="C28" i="3"/>
  <c r="E28" i="3" s="1"/>
  <c r="C27" i="3"/>
  <c r="C26" i="3"/>
  <c r="C25" i="3"/>
  <c r="E25" i="3" s="1"/>
  <c r="C24" i="3"/>
  <c r="C23" i="3"/>
  <c r="C22" i="3"/>
  <c r="C21" i="3"/>
  <c r="C20" i="3"/>
  <c r="E20" i="3" s="1"/>
  <c r="C19" i="3"/>
  <c r="C18" i="3"/>
  <c r="C17" i="3"/>
  <c r="E17" i="3" s="1"/>
  <c r="C16" i="3"/>
  <c r="E16" i="3" s="1"/>
  <c r="C15" i="3"/>
  <c r="C14" i="3"/>
  <c r="C13" i="3"/>
  <c r="C12" i="3"/>
  <c r="E12" i="3" s="1"/>
  <c r="C11" i="3"/>
  <c r="C10" i="3"/>
  <c r="C9" i="3"/>
  <c r="C8" i="3"/>
  <c r="C7" i="3"/>
  <c r="C6" i="3"/>
  <c r="C5" i="3"/>
  <c r="C4" i="3"/>
  <c r="C3" i="3"/>
  <c r="D28" i="3"/>
  <c r="D27" i="3"/>
  <c r="D26" i="3"/>
  <c r="E26" i="3" s="1"/>
  <c r="D25" i="3"/>
  <c r="D24" i="3"/>
  <c r="D23" i="3"/>
  <c r="D22" i="3"/>
  <c r="E22" i="3" s="1"/>
  <c r="D21" i="3"/>
  <c r="E21" i="3" s="1"/>
  <c r="D20" i="3"/>
  <c r="D19" i="3"/>
  <c r="D18" i="3"/>
  <c r="D17" i="3"/>
  <c r="D16" i="3"/>
  <c r="D15" i="3"/>
  <c r="D14" i="3"/>
  <c r="E14" i="3" s="1"/>
  <c r="D13" i="3"/>
  <c r="D12" i="3"/>
  <c r="D11" i="3"/>
  <c r="D10" i="3"/>
  <c r="D9" i="3"/>
  <c r="E9" i="3" s="1"/>
  <c r="D8" i="3"/>
  <c r="D7" i="3"/>
  <c r="E7" i="3" s="1"/>
  <c r="D6" i="3"/>
  <c r="D5" i="3"/>
  <c r="D4" i="3"/>
  <c r="D3" i="3"/>
  <c r="E3" i="3" s="1"/>
  <c r="E8" i="3"/>
  <c r="E11" i="3"/>
  <c r="E15" i="3"/>
  <c r="E18" i="3"/>
  <c r="E19" i="3"/>
  <c r="E23" i="3"/>
  <c r="E24" i="3"/>
  <c r="D14" i="1" a="1"/>
  <c r="D14" i="1" s="1"/>
  <c r="B12" i="6"/>
  <c r="D9" i="6"/>
  <c r="D3" i="6"/>
  <c r="C15" i="5"/>
  <c r="B15" i="5" s="1"/>
  <c r="C9" i="5"/>
  <c r="B9" i="5" s="1"/>
  <c r="E4" i="4"/>
  <c r="E5" i="4"/>
  <c r="E3" i="4"/>
  <c r="E27" i="3" l="1"/>
  <c r="E13" i="3"/>
  <c r="E10" i="3"/>
  <c r="E6" i="3"/>
  <c r="E5" i="3"/>
  <c r="E4" i="3"/>
  <c r="C30" i="3"/>
  <c r="D30" i="3"/>
  <c r="K4" i="1"/>
  <c r="K7" i="1"/>
  <c r="K11" i="1"/>
  <c r="K10" i="1"/>
  <c r="K9" i="1"/>
  <c r="K8" i="1"/>
  <c r="K6" i="1"/>
  <c r="K5" i="1"/>
  <c r="E31" i="3" l="1"/>
  <c r="E30" i="3"/>
  <c r="E14" i="1"/>
  <c r="G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<sst xmlns="http://schemas.openxmlformats.org/spreadsheetml/2006/main" count="171" uniqueCount="147">
  <si>
    <t>The underground</t>
  </si>
  <si>
    <t>London</t>
  </si>
  <si>
    <t>Tv-apparat</t>
  </si>
  <si>
    <t>Plasma-Tv</t>
  </si>
  <si>
    <t>Kredittkort</t>
  </si>
  <si>
    <t>Laptop</t>
  </si>
  <si>
    <t>Passport</t>
  </si>
  <si>
    <t>Sofa</t>
  </si>
  <si>
    <t>Stress less</t>
  </si>
  <si>
    <t>Kingsize bed</t>
  </si>
  <si>
    <t>Vare</t>
  </si>
  <si>
    <t>Fra</t>
  </si>
  <si>
    <t>Til</t>
  </si>
  <si>
    <t>Stocholm</t>
  </si>
  <si>
    <t>Oslo</t>
  </si>
  <si>
    <t>København</t>
  </si>
  <si>
    <t>Moskva</t>
  </si>
  <si>
    <t>Helsinki</t>
  </si>
  <si>
    <t xml:space="preserve"> </t>
  </si>
  <si>
    <t>Lucky Luciano</t>
  </si>
  <si>
    <t>Allan Smiley</t>
  </si>
  <si>
    <t>Sammy G</t>
  </si>
  <si>
    <t>Sheen Ching-Jing</t>
  </si>
  <si>
    <t>Joseph 'Joe Butch' Corrao</t>
  </si>
  <si>
    <t>Danny 'The Irishman' Greene</t>
  </si>
  <si>
    <t>Sammy The Bull</t>
  </si>
  <si>
    <t>Frankie Loc</t>
  </si>
  <si>
    <t>Joe Porrello</t>
  </si>
  <si>
    <t>Salvatore 'Sam The Bull' Grevi</t>
  </si>
  <si>
    <t>Big Paul</t>
  </si>
  <si>
    <t>Santo Traficante, Jr</t>
  </si>
  <si>
    <t>Michael 'Mikey Scars' DiLeonardo</t>
  </si>
  <si>
    <t>Nicholas Morello</t>
  </si>
  <si>
    <t>Onur Ozbizerdik</t>
  </si>
  <si>
    <t>Fat Tony</t>
  </si>
  <si>
    <t>Chihuahua</t>
  </si>
  <si>
    <t>Doberman</t>
  </si>
  <si>
    <t>Karate Kid</t>
  </si>
  <si>
    <t>Juan Jose Quintero</t>
  </si>
  <si>
    <t>Dawood Ibrahim Kaskar</t>
  </si>
  <si>
    <t>Jimmy 'the Gent' Burke</t>
  </si>
  <si>
    <t>Terry Adams</t>
  </si>
  <si>
    <t>Fat Tony junior</t>
  </si>
  <si>
    <t>Bernt 'Tøffen' Orderud</t>
  </si>
  <si>
    <t>John 'The Executioner' Gotti</t>
  </si>
  <si>
    <t>Pris</t>
  </si>
  <si>
    <t>Tjener</t>
  </si>
  <si>
    <t>Dager før profitt</t>
  </si>
  <si>
    <t>Navn</t>
  </si>
  <si>
    <t>Total</t>
  </si>
  <si>
    <t>Trening</t>
  </si>
  <si>
    <t>11 pullups</t>
  </si>
  <si>
    <t>5 beknpress</t>
  </si>
  <si>
    <t>25 pushups</t>
  </si>
  <si>
    <t>Effekt %</t>
  </si>
  <si>
    <t>Hviletid Min</t>
  </si>
  <si>
    <t>Effekt pr Min</t>
  </si>
  <si>
    <t>Antall arbeidere</t>
  </si>
  <si>
    <t>Pris pr arbeider</t>
  </si>
  <si>
    <t>Produksjon</t>
  </si>
  <si>
    <t>Fortjeneste</t>
  </si>
  <si>
    <t>Penger å bruke</t>
  </si>
  <si>
    <t>Total pris</t>
  </si>
  <si>
    <r>
      <t>Antall m</t>
    </r>
    <r>
      <rPr>
        <vertAlign val="superscript"/>
        <sz val="11"/>
        <color theme="1"/>
        <rFont val="Aptos Narrow"/>
        <family val="2"/>
        <scheme val="minor"/>
      </rPr>
      <t>3</t>
    </r>
  </si>
  <si>
    <r>
      <t>M</t>
    </r>
    <r>
      <rPr>
        <vertAlign val="superscript"/>
        <sz val="11"/>
        <color theme="1"/>
        <rFont val="Aptos Narrow"/>
        <family val="2"/>
        <scheme val="minor"/>
      </rPr>
      <t>3</t>
    </r>
  </si>
  <si>
    <r>
      <t>Pris pr m</t>
    </r>
    <r>
      <rPr>
        <vertAlign val="superscript"/>
        <sz val="11"/>
        <color theme="1"/>
        <rFont val="Aptos Narrow"/>
        <family val="2"/>
        <scheme val="minor"/>
      </rPr>
      <t>3</t>
    </r>
  </si>
  <si>
    <t>Dager</t>
  </si>
  <si>
    <t>Innskudd</t>
  </si>
  <si>
    <t>Rente</t>
  </si>
  <si>
    <t>Sende penger</t>
  </si>
  <si>
    <t>Beløp</t>
  </si>
  <si>
    <t>Avgift</t>
  </si>
  <si>
    <t>Mottaker får</t>
  </si>
  <si>
    <t>Mottaker skal ha</t>
  </si>
  <si>
    <t>Beløp som sendes</t>
  </si>
  <si>
    <t>Inntjening av startpris</t>
  </si>
  <si>
    <t>Fortjeneste pr.</t>
  </si>
  <si>
    <t>Antall</t>
  </si>
  <si>
    <t>Tot fortjeneste</t>
  </si>
  <si>
    <t>Kjøpt 1=ja 0=nei</t>
  </si>
  <si>
    <r>
      <t>Inntjening pr m</t>
    </r>
    <r>
      <rPr>
        <vertAlign val="superscript"/>
        <sz val="11"/>
        <color theme="1"/>
        <rFont val="Aptos Narrow"/>
        <family val="2"/>
        <scheme val="minor"/>
      </rPr>
      <t>3</t>
    </r>
  </si>
  <si>
    <t>#1 - Kongen av Bastøy</t>
  </si>
  <si>
    <t>I dette oppdraget skal du reise til Oslo å bryte ut 30 spillere fra fengselet.</t>
  </si>
  <si>
    <t>Belønning: 250,000 kr og 1 kule.</t>
  </si>
  <si>
    <t>Oppdrag #2 - IKEA</t>
  </si>
  <si>
    <t>Her skal du frakte 100 Sofaer fra Stockholm til London. Om mulig, kjøp deg flyet "Boeing 737-300" for 15.000.000,- Da vil dette oppdraget gå mye fortere. Så er det egentlig bare å fly frem og tilbake med sofaer. Husk å sende sofaene til London før du flyr! Kjøp Sofaene det på "The Underground" i Stockholm, sender de til London på samme side, og selges på "The Underground" igjen når du har kommet til London. For litt mer fortjeneste på oppdraget kan du fra London til Stockholm ta med deg så mye du kan av "Passport", det er 3300,- dyrere pr. stk. i Stockholm enn London. Om du har ledig plass p på siste tur, kan du tjene litt ekstra ved å ta med deg så mye du kan av "Kingsize Bed" fra Stockholm til London, den er 2100,- dyrere pr. stk. i London enn Stockholm.</t>
  </si>
  <si>
    <t>Belønning: 350,000 kr.</t>
  </si>
  <si>
    <t>Oppdrag #3 - From Russia with Love</t>
  </si>
  <si>
    <t>Belønning: 605,000 kr og 4,000 kuler.</t>
  </si>
  <si>
    <t>Oppdrag #4 - Jensen</t>
  </si>
  <si>
    <t>I dette oppdraget skal du bryte ut Henrik Jensen fra fengsel. Under oppdraget vil du ikke ha muligheten til å bli hjulpet ut av fengsel av de andre spillerne, fengselsstraffen din er på 9 minutter. Normalt tar det ca. 20 forsøk før du klarer å bryte Jensen ut av fengsel. Du kan bryte ut Jensen i alle byer. Om du fortsatt oppholder deg i Helsinki, kan du etter dette oppdraget ta med deg så mye du kan av "Passport" til Oslo hvor du i neste oppdrag skal frakte TV-er, det vil gi deg en fortjeneste på 5200,- pr. "Passport" når du selger de i Oslo.</t>
  </si>
  <si>
    <t>Belønning: 1,000,000 kr og 9,000 kuler.</t>
  </si>
  <si>
    <t>Oppdrag #5 - Lefdal</t>
  </si>
  <si>
    <t>Her skal frakte 10 tv'er fra Oslo til København og 10 tv'er fra Oslo til Helsinki. "Grunnet surr vet du derimot ikke hvilken type som skal hvor." Oppdraget endrer på hvilke TV'er som skal hvor for hver gang. Du skal ha 10 Plasma-TV'er til København eller Helsinki og 10 TV-Apparat til København eller Helsinki. Det sies at det oftest er Plasma-TV som skal til København og TV-apparat som skal til Helsinki. Mange mener det beste her vil være å dele 50/50 mellom byene på første frakt, men om du ikke kan bære så mange varer samtidig, er det like greit å sende det du kan til en av byene, da finner du ut av det med en gang hva som skal hvor, og du ender opp med å måtte ta en del turer uansett. Husk å sende varene før du flyr!</t>
  </si>
  <si>
    <t>Belønning: 950,000kr og 7,900 kuler.</t>
  </si>
  <si>
    <t>Oppdrag #6 - Dårlig planlagt ran</t>
  </si>
  <si>
    <t>Du skal bryte ut 4 personer i dette oppdraget. Paul Castellano, Aniello Dellacroce, Joe Porrello og Anthony Spero. I dette oppdraget må du finne ut av hvilken by de forskjellige befinner seg i. Det er helt tilfeldig hvilken by de befinner seg i. Alle befinner seg stort sett i forskjellige byer, men det hender også at opptil 3 av de er i samme byen. Også her trenger du ca. 20 forsøk på hver for å få brutt de ut av fengselet. Fengselsstraffen din om du misslykkes er også i dette oppdraget 9 minutter.</t>
  </si>
  <si>
    <t>Belønning: 590,000 kr og 8,600 kuler</t>
  </si>
  <si>
    <t>Oppdrag #7 - Mordet på de tre familiehodene</t>
  </si>
  <si>
    <t>I dette oppdraget skal du drepe 3 personer.</t>
  </si>
  <si>
    <t>Don Gotti, Don Pedrino &amp; Don Luciano.</t>
  </si>
  <si>
    <t>Det første du må gjøre er å søke opp alle 3 i alle byer, det er nok å søke i 3 timer.</t>
  </si>
  <si>
    <t>Du søker etter dem med søkefunksjonen som finnes under "Drep" på spillet, du kan ikke bruke "Aktiv Detektiv" på oppdragene. For mer info om drap og detektivsøk, se siden på "Drep" i menyen til venstre.</t>
  </si>
  <si>
    <t>Når søket kommer inn noterer du det ned, og dreper de i sine respektive byer.</t>
  </si>
  <si>
    <t>De beveger ikke på seg etter de er funnet, så det kan være lurt å notere ned hvem som er hvor.</t>
  </si>
  <si>
    <t>De flytter på seg mellom hver gang du tar oppdraget, men ikke under selve oppdraget.</t>
  </si>
  <si>
    <t>Når du skal drepe de 3 personene, trenger du bil med max 20% skade og 8000 kuler per person.</t>
  </si>
  <si>
    <t>Du trenger ikke skytetrening eller våpen for å drepe personer i oppdrag.</t>
  </si>
  <si>
    <t>Om en av de befinner seg i London, er det lurt å ta han til slutt ettersom neste oppdrag starter i London.</t>
  </si>
  <si>
    <t>Belønning: 2,500,000 kr og 36,900 kuler.</t>
  </si>
  <si>
    <t>I dette oppdraget skal du frakte varer fra London til Oslo, det varierer hvor mange av hver vare du må frakte.</t>
  </si>
  <si>
    <t>Varetypene du skal frakte er: "Passport", "Stress Less", "Plasma-TV" &amp; "Laptop"</t>
  </si>
  <si>
    <t>I enkelte tilfeller kan det oppstå problemer i tollen, du må da bestikke Politiet med 3.800.000,-</t>
  </si>
  <si>
    <t>for å kunne fortsette ellers havner du i fengsel. Varene overleveres i det du lander i Oslo.</t>
  </si>
  <si>
    <t>Du må huske å sende varene til Oslo før du flyr!</t>
  </si>
  <si>
    <t>Belønning: 11,000,000 kr og 10,000 kuler.</t>
  </si>
  <si>
    <t>Oppdrag #9 - Organisasjonen</t>
  </si>
  <si>
    <t>I Dette oppdraget er delt opp i 3 deler. Det første du skal gjøre er å delta i et "Streetrace" mot Alex Phantom. Det står i oppdraget at dette skal skje i København, men du kan utføre denne delen i alle byer. Du må da modifisere en Lamborghini Gallardo, og gi den 4200hk (12 x 350hk) Du kan deretter kjøre mot Alex. Når du vinner, åpnes neste del av oppdraget. I neste del blir du stilt ovenfor et dilemma. Du skal drepe enten Gudfaren eller Alex Phantom. Du må her velge om du skal drepe Gudfaren, og bli medlem av "Organisasjonen", eller om du skal drepe Alex Phantom og fortsette for Gudfaren. Det som er lurt å gjøre her er å søke opp begge to, og se på Salg/Søknad forum hvem de andre har drept, du må nemlig samarbeide med 2 andre spillere som har tatt samme valget som deg i del 3 av oppdraget. Når du har funnet ut av hvem du skal drepe, flyr du til den byen de befinner seg i. Du må bruke 80.000 Kuler og bil med max 20% skade på drapet. Siste del av oppdraget går ut på å opprette eller bli del av en Lobby sammen med 2 andre spillere. Du må da enten opprette en tråd på Salg/Søknad forum for å få med deg andre spillere på oppdraget, eller kontakte andre som leter etter spillere til sin lobby. Den som oppretter lobby må når alle medlemmer er på plass, trykke på "Fullfør oppdraget", så er oppdraget over.</t>
  </si>
  <si>
    <t>Belønning: 90,000,000 kr og 20,000 kuler.</t>
  </si>
  <si>
    <t>Denne oppdrag's Guiden er laget av: Saxe</t>
  </si>
  <si>
    <t>Oppdrag #8 - Tower Café &amp; Kebab house</t>
  </si>
  <si>
    <t>Her skal du frakte 8 Mercedes Benz SL 500 fra Helsinki til Moskva. Det er ett par ting som er lurt å huske på her. Alle bilene må være fra Helsinki. Du må sende alle bilene fra Helsinki, det går ikke å kjøpe en Mercedes fra Helsinki i Oslo og sende den direkte til Moskva, den må innom Helsinki igjen først. Om du velger å kjøpe Mercedes fra Helsinki i en annen by enn Helsinki, husk at politiet kan finne bilen når den kommer til Helsinki igjen, så du må derfor være rask til å sende bilen videre til Moskva. Når du stjeler bilene selv, er det best å velge "Stjel fra en offentligparkeringsplass"(Nederste valget). Det er det valget du har best mulighet for å få disse bilene på. Om du skal ta oppdragene på nytt igjen etter du har vært gjennom alle, kan det være lurt å holde seg i Helsinki når du har mulighet for det og samle opp noen Mercedes Benz til neste gang du kommer til dette oppdraget.</t>
  </si>
  <si>
    <t>Paul Castellano</t>
  </si>
  <si>
    <t>Aniello Dellacroce</t>
  </si>
  <si>
    <t>Anthony Spero</t>
  </si>
  <si>
    <t>Don Gotti</t>
  </si>
  <si>
    <t>Don Pedrino</t>
  </si>
  <si>
    <t>Don Luciano</t>
  </si>
  <si>
    <t>Cessna Skyhawk SP</t>
  </si>
  <si>
    <r>
      <t>70</t>
    </r>
    <r>
      <rPr>
        <sz val="8"/>
        <color theme="1"/>
        <rFont val="Verdana"/>
        <family val="2"/>
      </rPr>
      <t> min</t>
    </r>
  </si>
  <si>
    <t>Piper PA34 Seneca 2</t>
  </si>
  <si>
    <r>
      <t>50</t>
    </r>
    <r>
      <rPr>
        <sz val="8"/>
        <color theme="1"/>
        <rFont val="Verdana"/>
        <family val="2"/>
      </rPr>
      <t> min</t>
    </r>
  </si>
  <si>
    <t>Bombardier Learjet 45</t>
  </si>
  <si>
    <r>
      <t>35</t>
    </r>
    <r>
      <rPr>
        <sz val="8"/>
        <color theme="1"/>
        <rFont val="Verdana"/>
        <family val="2"/>
      </rPr>
      <t> min</t>
    </r>
  </si>
  <si>
    <t>Boeing 737-300</t>
  </si>
  <si>
    <r>
      <t>20</t>
    </r>
    <r>
      <rPr>
        <sz val="8"/>
        <color theme="1"/>
        <rFont val="Verdana"/>
        <family val="2"/>
      </rPr>
      <t> min</t>
    </r>
  </si>
  <si>
    <t>Boeing 787</t>
  </si>
  <si>
    <r>
      <t>17</t>
    </r>
    <r>
      <rPr>
        <sz val="8"/>
        <color theme="1"/>
        <rFont val="Verdana"/>
        <family val="2"/>
      </rPr>
      <t> min</t>
    </r>
  </si>
  <si>
    <t>Billett pris</t>
  </si>
  <si>
    <t>Drivstoff pris</t>
  </si>
  <si>
    <t>Fly</t>
  </si>
  <si>
    <t>Ventetid</t>
  </si>
  <si>
    <t>Km pris</t>
  </si>
  <si>
    <t>Drivstoff kappasitet</t>
  </si>
  <si>
    <t>Drivstoff forbruk l/km</t>
  </si>
  <si>
    <t>Avkastning</t>
  </si>
  <si>
    <t>kuler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</si>
</sst>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4" formatCode="_-&quot;kr&quot;\ * #,##0.00_-;\-&quot;kr&quot;\ * #,##0.00_-;_-&quot;kr&quot;\ * &quot;-&quot;??_-;_-@_-"/>
    <numFmt numFmtId="43" formatCode="_-* #,##0.00_-;\-* #,##0.00_-;_-* &quot;-&quot;??_-;_-@_-"/>
    <numFmt numFmtId="164" formatCode="0.0"/>
    <numFmt numFmtId="165" formatCode="_-* #,##0_-;\-* #,##0_-;_-* &quot;-&quot;??_-;_-@_-"/>
    <numFmt numFmtId="166" formatCode="_-&quot;kr&quot;\ * #,##0_-;\-&quot;kr&quot;\ * #,##0_-;_-&quot;kr&quot;\ * &quot;-&quot;??_-;_-@_-"/>
    <numFmt numFmtId="167" formatCode="0.0\ %"/>
    <numFmt numFmtId="168" formatCode="#,##0.00000000000000000000"/>
  </numFmts>
  <fonts count="8" x14ac:knownFonts="1">
    <font>
      <sz val="11"/>
      <color theme="1"/>
      <name val="Aptos Narrow"/>
      <family val="2"/>
      <scheme val="minor"/>
    </font>
    <font>
      <sz val="11"/>
      <color rgb="FFFF0000"/>
      <name val="Aptos Narrow"/>
      <family val="2"/>
      <scheme val="minor"/>
    </font>
    <font>
      <sz val="8"/>
      <color rgb="FFFF0000"/>
      <name val="Verdana"/>
      <family val="2"/>
    </font>
    <font>
      <sz val="11"/>
      <color theme="1"/>
      <name val="Aptos Narrow"/>
      <family val="2"/>
      <scheme val="minor"/>
    </font>
    <font>
      <b/>
      <sz val="11"/>
      <color theme="1"/>
      <name val="Aptos Narrow"/>
      <family val="2"/>
      <scheme val="minor"/>
    </font>
    <font>
      <vertAlign val="superscript"/>
      <sz val="11"/>
      <color theme="1"/>
      <name val="Aptos Narrow"/>
      <family val="2"/>
      <scheme val="minor"/>
    </font>
    <font>
      <b/>
      <sz val="8"/>
      <color rgb="FFFF0000"/>
      <name val="Verdana"/>
      <family val="2"/>
    </font>
    <font>
      <sz val="8"/>
      <color theme="1"/>
      <name val="Verdan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1">
    <xf numFmtId="0" fontId="0" fillId="0" borderId="0" xfId="0"/>
    <xf numFmtId="164" fontId="0" fillId="0" borderId="0" xfId="0" applyNumberFormat="1"/>
    <xf numFmtId="41" fontId="0" fillId="0" borderId="0" xfId="0" applyNumberFormat="1"/>
    <xf numFmtId="0" fontId="1" fillId="0" borderId="0" xfId="0" applyFont="1"/>
    <xf numFmtId="0" fontId="2" fillId="0" borderId="0" xfId="0" applyFont="1"/>
    <xf numFmtId="10" fontId="0" fillId="0" borderId="0" xfId="2" applyNumberFormat="1" applyFont="1" applyAlignment="1">
      <alignment horizontal="left"/>
    </xf>
    <xf numFmtId="0" fontId="0" fillId="0" borderId="0" xfId="0" quotePrefix="1"/>
    <xf numFmtId="0" fontId="0" fillId="0" borderId="1" xfId="0" applyBorder="1"/>
    <xf numFmtId="166" fontId="0" fillId="0" borderId="1" xfId="0" applyNumberFormat="1" applyBorder="1"/>
    <xf numFmtId="0" fontId="0" fillId="2" borderId="1" xfId="0" applyFill="1" applyBorder="1"/>
    <xf numFmtId="41" fontId="0" fillId="0" borderId="1" xfId="0" applyNumberFormat="1" applyBorder="1"/>
    <xf numFmtId="164" fontId="0" fillId="0" borderId="1" xfId="0" applyNumberFormat="1" applyBorder="1"/>
    <xf numFmtId="0" fontId="4" fillId="0" borderId="1" xfId="0" applyFont="1" applyBorder="1"/>
    <xf numFmtId="41" fontId="4" fillId="0" borderId="1" xfId="0" applyNumberFormat="1" applyFont="1" applyBorder="1"/>
    <xf numFmtId="164" fontId="4" fillId="0" borderId="1" xfId="0" applyNumberFormat="1" applyFont="1" applyBorder="1"/>
    <xf numFmtId="3" fontId="0" fillId="0" borderId="1" xfId="0" applyNumberFormat="1" applyBorder="1"/>
    <xf numFmtId="166" fontId="0" fillId="2" borderId="1" xfId="0" applyNumberFormat="1" applyFill="1" applyBorder="1"/>
    <xf numFmtId="166" fontId="0" fillId="0" borderId="1" xfId="1" applyNumberFormat="1" applyFont="1" applyBorder="1"/>
    <xf numFmtId="3" fontId="0" fillId="2" borderId="1" xfId="0" applyNumberFormat="1" applyFill="1" applyBorder="1"/>
    <xf numFmtId="165" fontId="0" fillId="0" borderId="1" xfId="1" applyNumberFormat="1" applyFont="1" applyBorder="1"/>
    <xf numFmtId="165" fontId="0" fillId="2" borderId="1" xfId="1" applyNumberFormat="1" applyFont="1" applyFill="1" applyBorder="1"/>
    <xf numFmtId="0" fontId="0" fillId="0" borderId="1" xfId="0" applyBorder="1" applyAlignment="1">
      <alignment horizontal="right"/>
    </xf>
    <xf numFmtId="1" fontId="0" fillId="0" borderId="1" xfId="0" applyNumberFormat="1" applyBorder="1" applyAlignment="1">
      <alignment horizontal="left"/>
    </xf>
    <xf numFmtId="9" fontId="0" fillId="0" borderId="1" xfId="2" applyFont="1" applyBorder="1"/>
    <xf numFmtId="44" fontId="0" fillId="0" borderId="1" xfId="0" applyNumberFormat="1" applyBorder="1"/>
    <xf numFmtId="44" fontId="0" fillId="2" borderId="1" xfId="0" applyNumberFormat="1" applyFill="1" applyBorder="1"/>
    <xf numFmtId="9" fontId="0" fillId="0" borderId="1" xfId="0" applyNumberFormat="1" applyBorder="1"/>
    <xf numFmtId="0" fontId="0" fillId="0" borderId="2" xfId="0" applyBorder="1"/>
    <xf numFmtId="166" fontId="0" fillId="0" borderId="2" xfId="0" applyNumberFormat="1" applyBorder="1"/>
    <xf numFmtId="0" fontId="6"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2" borderId="0" xfId="0" applyFill="1"/>
    <xf numFmtId="167" fontId="0" fillId="0" borderId="1" xfId="2" applyNumberFormat="1" applyFont="1" applyBorder="1" applyAlignment="1">
      <alignment horizontal="left"/>
    </xf>
    <xf numFmtId="4" fontId="0" fillId="0" borderId="0" xfId="0" applyNumberFormat="1"/>
    <xf numFmtId="168" fontId="0" fillId="0" borderId="0" xfId="0" applyNumberFormat="1"/>
    <xf numFmtId="167" fontId="4" fillId="0" borderId="1" xfId="2" applyNumberFormat="1" applyFont="1" applyBorder="1"/>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cellXfs>
  <cellStyles count="3">
    <cellStyle name="Komma" xfId="1" builtinId="3"/>
    <cellStyle name="Normal" xfId="0" builtinId="0"/>
    <cellStyle name="Prosent" xfId="2" builtinId="5"/>
  </cellStyles>
  <dxfs count="1">
    <dxf>
      <font>
        <b/>
        <i val="0"/>
        <strike val="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nordicmafia.org/index.php?p=buyplane&amp;dobuy&amp;id=4" TargetMode="External"/><Relationship Id="rId2" Type="http://schemas.openxmlformats.org/officeDocument/2006/relationships/hyperlink" Target="https://nordicmafia.org/index.php?p=buyplane&amp;dobuy&amp;id=3" TargetMode="External"/><Relationship Id="rId1" Type="http://schemas.openxmlformats.org/officeDocument/2006/relationships/hyperlink" Target="https://nordicmafia.org/index.php?p=buyplane&amp;dobuy&amp;id=2" TargetMode="External"/><Relationship Id="rId4" Type="http://schemas.openxmlformats.org/officeDocument/2006/relationships/hyperlink" Target="https://nordicmafia.org/index.php?p=buyplane&amp;dobuy&amp;id=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6F01-2EBA-42C1-B74A-3E08B62788E4}">
  <dimension ref="B3:G80"/>
  <sheetViews>
    <sheetView tabSelected="1" topLeftCell="B29" workbookViewId="0">
      <selection activeCell="D39" sqref="D39"/>
    </sheetView>
  </sheetViews>
  <sheetFormatPr baseColWidth="10" defaultRowHeight="15" x14ac:dyDescent="0.25"/>
  <cols>
    <col min="2" max="2" width="114.5703125" style="32" customWidth="1"/>
    <col min="4" max="4" width="15.140625" bestFit="1" customWidth="1"/>
    <col min="5" max="5" width="17.140625" bestFit="1" customWidth="1"/>
    <col min="6" max="6" width="12.140625" bestFit="1" customWidth="1"/>
    <col min="7" max="7" width="13.7109375" bestFit="1" customWidth="1"/>
  </cols>
  <sheetData>
    <row r="3" spans="2:2" x14ac:dyDescent="0.25">
      <c r="B3" s="29" t="s">
        <v>81</v>
      </c>
    </row>
    <row r="4" spans="2:2" x14ac:dyDescent="0.25">
      <c r="B4" s="30" t="s">
        <v>82</v>
      </c>
    </row>
    <row r="5" spans="2:2" x14ac:dyDescent="0.25">
      <c r="B5" s="30"/>
    </row>
    <row r="6" spans="2:2" x14ac:dyDescent="0.25">
      <c r="B6" s="29" t="s">
        <v>83</v>
      </c>
    </row>
    <row r="10" spans="2:2" x14ac:dyDescent="0.25">
      <c r="B10" s="29" t="s">
        <v>84</v>
      </c>
    </row>
    <row r="11" spans="2:2" ht="64.5" x14ac:dyDescent="0.25">
      <c r="B11" s="30" t="s">
        <v>85</v>
      </c>
    </row>
    <row r="12" spans="2:2" x14ac:dyDescent="0.25">
      <c r="B12" s="30"/>
    </row>
    <row r="13" spans="2:2" x14ac:dyDescent="0.25">
      <c r="B13" s="29" t="s">
        <v>86</v>
      </c>
    </row>
    <row r="17" spans="2:5" x14ac:dyDescent="0.25">
      <c r="B17" s="29" t="s">
        <v>87</v>
      </c>
    </row>
    <row r="18" spans="2:5" ht="75" x14ac:dyDescent="0.25">
      <c r="B18" s="30" t="s">
        <v>121</v>
      </c>
    </row>
    <row r="19" spans="2:5" x14ac:dyDescent="0.25">
      <c r="B19" s="30"/>
    </row>
    <row r="20" spans="2:5" x14ac:dyDescent="0.25">
      <c r="B20" s="29" t="s">
        <v>88</v>
      </c>
    </row>
    <row r="24" spans="2:5" x14ac:dyDescent="0.25">
      <c r="B24" s="29" t="s">
        <v>89</v>
      </c>
    </row>
    <row r="25" spans="2:5" ht="54" x14ac:dyDescent="0.25">
      <c r="B25" s="30" t="s">
        <v>90</v>
      </c>
    </row>
    <row r="26" spans="2:5" x14ac:dyDescent="0.25">
      <c r="B26" s="30"/>
    </row>
    <row r="27" spans="2:5" x14ac:dyDescent="0.25">
      <c r="B27" s="29" t="s">
        <v>91</v>
      </c>
    </row>
    <row r="31" spans="2:5" x14ac:dyDescent="0.25">
      <c r="B31" s="29" t="s">
        <v>92</v>
      </c>
      <c r="D31" t="s">
        <v>15</v>
      </c>
      <c r="E31" t="s">
        <v>17</v>
      </c>
    </row>
    <row r="32" spans="2:5" ht="64.5" x14ac:dyDescent="0.25">
      <c r="B32" s="30" t="s">
        <v>93</v>
      </c>
      <c r="D32" s="33" t="s">
        <v>3</v>
      </c>
      <c r="E32" s="33" t="s">
        <v>3</v>
      </c>
    </row>
    <row r="33" spans="2:7" x14ac:dyDescent="0.25">
      <c r="B33" s="30"/>
    </row>
    <row r="34" spans="2:7" x14ac:dyDescent="0.25">
      <c r="B34" s="29" t="s">
        <v>94</v>
      </c>
    </row>
    <row r="38" spans="2:7" x14ac:dyDescent="0.25">
      <c r="B38" s="29" t="s">
        <v>95</v>
      </c>
      <c r="D38" t="s">
        <v>122</v>
      </c>
      <c r="E38" t="s">
        <v>123</v>
      </c>
      <c r="F38" t="s">
        <v>27</v>
      </c>
      <c r="G38" t="s">
        <v>124</v>
      </c>
    </row>
    <row r="39" spans="2:7" ht="43.5" x14ac:dyDescent="0.25">
      <c r="B39" s="30" t="s">
        <v>96</v>
      </c>
      <c r="D39" s="33" t="s">
        <v>1</v>
      </c>
      <c r="E39" s="33" t="s">
        <v>17</v>
      </c>
      <c r="F39" s="33" t="s">
        <v>13</v>
      </c>
      <c r="G39" s="33" t="s">
        <v>16</v>
      </c>
    </row>
    <row r="40" spans="2:7" x14ac:dyDescent="0.25">
      <c r="B40" s="30"/>
    </row>
    <row r="41" spans="2:7" x14ac:dyDescent="0.25">
      <c r="B41" s="29" t="s">
        <v>97</v>
      </c>
    </row>
    <row r="45" spans="2:7" x14ac:dyDescent="0.25">
      <c r="B45" s="29" t="s">
        <v>98</v>
      </c>
    </row>
    <row r="46" spans="2:7" x14ac:dyDescent="0.25">
      <c r="B46" s="30" t="s">
        <v>99</v>
      </c>
    </row>
    <row r="47" spans="2:7" x14ac:dyDescent="0.25">
      <c r="B47" s="30" t="s">
        <v>100</v>
      </c>
    </row>
    <row r="48" spans="2:7" x14ac:dyDescent="0.25">
      <c r="B48" s="30" t="s">
        <v>101</v>
      </c>
      <c r="D48" t="s">
        <v>125</v>
      </c>
      <c r="E48" t="s">
        <v>126</v>
      </c>
      <c r="F48" t="s">
        <v>127</v>
      </c>
    </row>
    <row r="49" spans="2:6" ht="22.5" x14ac:dyDescent="0.25">
      <c r="B49" s="30" t="s">
        <v>102</v>
      </c>
      <c r="D49" s="33"/>
      <c r="E49" s="33"/>
      <c r="F49" s="33"/>
    </row>
    <row r="50" spans="2:6" x14ac:dyDescent="0.25">
      <c r="B50" s="30" t="s">
        <v>103</v>
      </c>
    </row>
    <row r="51" spans="2:6" x14ac:dyDescent="0.25">
      <c r="B51" s="30" t="s">
        <v>104</v>
      </c>
    </row>
    <row r="52" spans="2:6" x14ac:dyDescent="0.25">
      <c r="B52" s="31"/>
    </row>
    <row r="53" spans="2:6" x14ac:dyDescent="0.25">
      <c r="B53" s="30" t="s">
        <v>105</v>
      </c>
    </row>
    <row r="54" spans="2:6" x14ac:dyDescent="0.25">
      <c r="B54" s="30" t="s">
        <v>106</v>
      </c>
    </row>
    <row r="55" spans="2:6" x14ac:dyDescent="0.25">
      <c r="B55" s="30" t="s">
        <v>107</v>
      </c>
    </row>
    <row r="56" spans="2:6" x14ac:dyDescent="0.25">
      <c r="B56" s="30" t="s">
        <v>108</v>
      </c>
    </row>
    <row r="57" spans="2:6" x14ac:dyDescent="0.25">
      <c r="B57" s="30"/>
    </row>
    <row r="58" spans="2:6" x14ac:dyDescent="0.25">
      <c r="B58" s="29" t="s">
        <v>109</v>
      </c>
    </row>
    <row r="62" spans="2:6" x14ac:dyDescent="0.25">
      <c r="B62" s="29" t="s">
        <v>120</v>
      </c>
    </row>
    <row r="63" spans="2:6" x14ac:dyDescent="0.25">
      <c r="B63" s="31"/>
    </row>
    <row r="64" spans="2:6" x14ac:dyDescent="0.25">
      <c r="B64" s="30" t="s">
        <v>110</v>
      </c>
    </row>
    <row r="65" spans="2:2" x14ac:dyDescent="0.25">
      <c r="B65" s="30" t="s">
        <v>111</v>
      </c>
    </row>
    <row r="66" spans="2:2" x14ac:dyDescent="0.25">
      <c r="B66" s="30" t="s">
        <v>112</v>
      </c>
    </row>
    <row r="67" spans="2:2" x14ac:dyDescent="0.25">
      <c r="B67" s="30" t="s">
        <v>113</v>
      </c>
    </row>
    <row r="68" spans="2:2" x14ac:dyDescent="0.25">
      <c r="B68" s="30" t="s">
        <v>114</v>
      </c>
    </row>
    <row r="69" spans="2:2" x14ac:dyDescent="0.25">
      <c r="B69" s="30"/>
    </row>
    <row r="70" spans="2:2" x14ac:dyDescent="0.25">
      <c r="B70" s="29" t="s">
        <v>115</v>
      </c>
    </row>
    <row r="74" spans="2:2" x14ac:dyDescent="0.25">
      <c r="B74" s="29" t="s">
        <v>116</v>
      </c>
    </row>
    <row r="75" spans="2:2" ht="117" x14ac:dyDescent="0.25">
      <c r="B75" s="30" t="s">
        <v>117</v>
      </c>
    </row>
    <row r="76" spans="2:2" x14ac:dyDescent="0.25">
      <c r="B76" s="30"/>
    </row>
    <row r="77" spans="2:2" x14ac:dyDescent="0.25">
      <c r="B77" s="29" t="s">
        <v>118</v>
      </c>
    </row>
    <row r="80" spans="2:2" x14ac:dyDescent="0.25">
      <c r="B80" s="29" t="s">
        <v>119</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B1EB0C9-2719-4A0A-AC83-CE2510BBA0A3}">
          <x14:formula1>
            <xm:f>'The underground'!$B$4:$B$5</xm:f>
          </x14:formula1>
          <xm:sqref>D32:E32</xm:sqref>
        </x14:dataValidation>
        <x14:dataValidation type="list" allowBlank="1" showInputMessage="1" showErrorMessage="1" xr:uid="{04869E4C-888B-4E73-8DA9-1BA5E18B6EDA}">
          <x14:formula1>
            <xm:f>'The underground'!$C$3:$H$3</xm:f>
          </x14:formula1>
          <xm:sqref>D39:G39 D49:F49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C373-1A20-45DD-BFEB-1FF48F1543FC}">
  <dimension ref="B2:I7"/>
  <sheetViews>
    <sheetView workbookViewId="0">
      <selection activeCell="F3" sqref="F3"/>
    </sheetView>
  </sheetViews>
  <sheetFormatPr baseColWidth="10" defaultRowHeight="15" x14ac:dyDescent="0.25"/>
  <cols>
    <col min="2" max="2" width="20.42578125" bestFit="1" customWidth="1"/>
    <col min="3" max="3" width="9.7109375" bestFit="1" customWidth="1"/>
    <col min="4" max="4" width="14.42578125" bestFit="1" customWidth="1"/>
    <col min="5" max="5" width="10.140625" bestFit="1" customWidth="1"/>
    <col min="6" max="6" width="20.5703125" bestFit="1" customWidth="1"/>
    <col min="7" max="7" width="12.85546875" bestFit="1" customWidth="1"/>
    <col min="9" max="9" width="19" bestFit="1" customWidth="1"/>
  </cols>
  <sheetData>
    <row r="2" spans="2:9" x14ac:dyDescent="0.25">
      <c r="B2" s="12" t="s">
        <v>140</v>
      </c>
      <c r="C2" s="12" t="s">
        <v>141</v>
      </c>
      <c r="D2" s="12" t="s">
        <v>45</v>
      </c>
      <c r="E2" s="12" t="s">
        <v>138</v>
      </c>
      <c r="F2" s="12" t="s">
        <v>144</v>
      </c>
      <c r="G2" s="12" t="s">
        <v>139</v>
      </c>
      <c r="H2" s="12" t="s">
        <v>142</v>
      </c>
      <c r="I2" s="12" t="s">
        <v>143</v>
      </c>
    </row>
    <row r="3" spans="2:9" x14ac:dyDescent="0.25">
      <c r="B3" s="7" t="s">
        <v>128</v>
      </c>
      <c r="C3" s="7" t="s">
        <v>129</v>
      </c>
      <c r="D3" s="8">
        <v>4000000</v>
      </c>
      <c r="E3" s="8">
        <v>750</v>
      </c>
      <c r="F3" s="7">
        <v>2.2999999999999998</v>
      </c>
      <c r="G3" s="8">
        <v>50</v>
      </c>
      <c r="H3" s="8">
        <f>G3*F3</f>
        <v>114.99999999999999</v>
      </c>
      <c r="I3" s="15">
        <v>70000</v>
      </c>
    </row>
    <row r="4" spans="2:9" x14ac:dyDescent="0.25">
      <c r="B4" s="7" t="s">
        <v>130</v>
      </c>
      <c r="C4" s="7" t="s">
        <v>131</v>
      </c>
      <c r="D4" s="8">
        <v>7000000</v>
      </c>
      <c r="E4" s="8"/>
      <c r="F4" s="7"/>
      <c r="G4" s="8">
        <v>50</v>
      </c>
      <c r="H4" s="8">
        <f t="shared" ref="H4:H7" si="0">G4*F4</f>
        <v>0</v>
      </c>
      <c r="I4" s="7"/>
    </row>
    <row r="5" spans="2:9" x14ac:dyDescent="0.25">
      <c r="B5" s="7" t="s">
        <v>132</v>
      </c>
      <c r="C5" s="7" t="s">
        <v>133</v>
      </c>
      <c r="D5" s="8">
        <v>10000000</v>
      </c>
      <c r="E5" s="8"/>
      <c r="F5" s="7"/>
      <c r="G5" s="8">
        <v>50</v>
      </c>
      <c r="H5" s="8">
        <f t="shared" si="0"/>
        <v>0</v>
      </c>
      <c r="I5" s="7"/>
    </row>
    <row r="6" spans="2:9" x14ac:dyDescent="0.25">
      <c r="B6" s="7" t="s">
        <v>134</v>
      </c>
      <c r="C6" s="7" t="s">
        <v>135</v>
      </c>
      <c r="D6" s="8">
        <v>15000000</v>
      </c>
      <c r="E6" s="8"/>
      <c r="F6" s="7"/>
      <c r="G6" s="8">
        <v>50</v>
      </c>
      <c r="H6" s="8">
        <f t="shared" si="0"/>
        <v>0</v>
      </c>
      <c r="I6" s="7"/>
    </row>
    <row r="7" spans="2:9" x14ac:dyDescent="0.25">
      <c r="B7" s="7" t="s">
        <v>136</v>
      </c>
      <c r="C7" s="7" t="s">
        <v>137</v>
      </c>
      <c r="D7" s="8">
        <v>150000000</v>
      </c>
      <c r="E7" s="8"/>
      <c r="F7" s="7"/>
      <c r="G7" s="8">
        <v>50</v>
      </c>
      <c r="H7" s="8">
        <f t="shared" si="0"/>
        <v>0</v>
      </c>
      <c r="I7" s="7"/>
    </row>
  </sheetData>
  <hyperlinks>
    <hyperlink ref="B4" r:id="rId1" display="https://nordicmafia.org/index.php?p=buyplane&amp;dobuy&amp;id=2" xr:uid="{E8745083-3CFC-4608-953B-4468908567D5}"/>
    <hyperlink ref="B5" r:id="rId2" display="https://nordicmafia.org/index.php?p=buyplane&amp;dobuy&amp;id=3" xr:uid="{46B966F4-5C5E-4FC5-BD48-0B7DD3B610EA}"/>
    <hyperlink ref="B6" r:id="rId3" display="https://nordicmafia.org/index.php?p=buyplane&amp;dobuy&amp;id=4" xr:uid="{40908372-3422-474F-BBCE-B1D302FA2923}"/>
    <hyperlink ref="B7" r:id="rId4" display="https://nordicmafia.org/index.php?p=buyplane&amp;dobuy&amp;id=5" xr:uid="{9F8744DF-EF86-4FBE-A600-5DB6BCC3F1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702F-15C1-4F9C-8D8E-1BF81712FE0D}">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EF89E-5197-4D27-8906-78C5A18C48DA}">
  <dimension ref="B2:K12"/>
  <sheetViews>
    <sheetView workbookViewId="0">
      <selection activeCell="B4" sqref="B4"/>
    </sheetView>
  </sheetViews>
  <sheetFormatPr baseColWidth="10" defaultRowHeight="15" x14ac:dyDescent="0.25"/>
  <sheetData>
    <row r="2" spans="2:11" x14ac:dyDescent="0.25">
      <c r="B2" s="7" t="s">
        <v>50</v>
      </c>
      <c r="C2" s="7" t="s">
        <v>54</v>
      </c>
      <c r="D2" s="7" t="s">
        <v>55</v>
      </c>
      <c r="E2" s="7" t="s">
        <v>56</v>
      </c>
    </row>
    <row r="3" spans="2:11" x14ac:dyDescent="0.25">
      <c r="B3" s="7" t="s">
        <v>51</v>
      </c>
      <c r="C3" s="7">
        <v>14</v>
      </c>
      <c r="D3" s="7">
        <v>11</v>
      </c>
      <c r="E3" s="11">
        <f>C3/D3</f>
        <v>1.2727272727272727</v>
      </c>
    </row>
    <row r="4" spans="2:11" x14ac:dyDescent="0.25">
      <c r="B4" s="7" t="s">
        <v>52</v>
      </c>
      <c r="C4" s="7">
        <v>8</v>
      </c>
      <c r="D4" s="7">
        <v>5</v>
      </c>
      <c r="E4" s="11">
        <f t="shared" ref="E4:E5" si="0">C4/D4</f>
        <v>1.6</v>
      </c>
    </row>
    <row r="5" spans="2:11" x14ac:dyDescent="0.25">
      <c r="B5" s="7" t="s">
        <v>53</v>
      </c>
      <c r="C5" s="7">
        <v>5</v>
      </c>
      <c r="D5" s="7">
        <v>2</v>
      </c>
      <c r="E5" s="11">
        <f t="shared" si="0"/>
        <v>2.5</v>
      </c>
    </row>
    <row r="9" spans="2:11" x14ac:dyDescent="0.25">
      <c r="K9" s="1"/>
    </row>
    <row r="10" spans="2:11" x14ac:dyDescent="0.25">
      <c r="K10" s="1"/>
    </row>
    <row r="11" spans="2:11" x14ac:dyDescent="0.25">
      <c r="K11" s="1"/>
    </row>
    <row r="12" spans="2:11" x14ac:dyDescent="0.25">
      <c r="K1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DC56-065E-4EA0-8237-9D87B33CBB94}">
  <dimension ref="B2:D12"/>
  <sheetViews>
    <sheetView workbookViewId="0">
      <selection activeCell="B10" sqref="B10"/>
    </sheetView>
  </sheetViews>
  <sheetFormatPr baseColWidth="10" defaultRowHeight="15" x14ac:dyDescent="0.25"/>
  <cols>
    <col min="2" max="2" width="17.140625" bestFit="1" customWidth="1"/>
    <col min="4" max="4" width="15.5703125" bestFit="1" customWidth="1"/>
  </cols>
  <sheetData>
    <row r="2" spans="2:4" x14ac:dyDescent="0.25">
      <c r="B2" s="7" t="s">
        <v>67</v>
      </c>
      <c r="C2" s="7" t="s">
        <v>68</v>
      </c>
      <c r="D2" s="7" t="s">
        <v>49</v>
      </c>
    </row>
    <row r="3" spans="2:4" x14ac:dyDescent="0.25">
      <c r="B3" s="16">
        <v>100000</v>
      </c>
      <c r="C3" s="23">
        <v>0.02</v>
      </c>
      <c r="D3" s="24">
        <f>B3*C3+B3</f>
        <v>102000</v>
      </c>
    </row>
    <row r="6" spans="2:4" x14ac:dyDescent="0.25">
      <c r="B6" s="38" t="s">
        <v>69</v>
      </c>
      <c r="C6" s="38"/>
      <c r="D6" s="38"/>
    </row>
    <row r="8" spans="2:4" x14ac:dyDescent="0.25">
      <c r="B8" s="7" t="s">
        <v>70</v>
      </c>
      <c r="C8" s="7" t="s">
        <v>71</v>
      </c>
      <c r="D8" s="7" t="s">
        <v>72</v>
      </c>
    </row>
    <row r="9" spans="2:4" x14ac:dyDescent="0.25">
      <c r="B9" s="25">
        <v>11111.11</v>
      </c>
      <c r="C9" s="26">
        <v>0.1</v>
      </c>
      <c r="D9" s="24">
        <f>B9-(C9*B9)</f>
        <v>9999.9989999999998</v>
      </c>
    </row>
    <row r="11" spans="2:4" x14ac:dyDescent="0.25">
      <c r="B11" s="7" t="s">
        <v>74</v>
      </c>
      <c r="C11" s="7" t="s">
        <v>71</v>
      </c>
      <c r="D11" s="7" t="s">
        <v>73</v>
      </c>
    </row>
    <row r="12" spans="2:4" x14ac:dyDescent="0.25">
      <c r="B12" s="24">
        <f>D12/(1-C12)</f>
        <v>11111.111111111111</v>
      </c>
      <c r="C12" s="26">
        <v>0.1</v>
      </c>
      <c r="D12" s="25">
        <v>10000</v>
      </c>
    </row>
  </sheetData>
  <mergeCells count="1">
    <mergeCell ref="B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A469-7C52-4389-A1D1-D21EA74916DC}">
  <dimension ref="B2:H31"/>
  <sheetViews>
    <sheetView workbookViewId="0">
      <selection activeCell="F27" sqref="F27"/>
    </sheetView>
  </sheetViews>
  <sheetFormatPr baseColWidth="10" defaultRowHeight="15" x14ac:dyDescent="0.25"/>
  <cols>
    <col min="2" max="2" width="30.85546875" bestFit="1" customWidth="1"/>
    <col min="5" max="5" width="14.7109375" bestFit="1" customWidth="1"/>
    <col min="6" max="6" width="14.85546875" bestFit="1" customWidth="1"/>
    <col min="7" max="8" width="11.42578125" customWidth="1"/>
  </cols>
  <sheetData>
    <row r="2" spans="2:8" x14ac:dyDescent="0.25">
      <c r="B2" s="12" t="s">
        <v>48</v>
      </c>
      <c r="C2" s="12" t="s">
        <v>45</v>
      </c>
      <c r="D2" s="12" t="s">
        <v>46</v>
      </c>
      <c r="E2" s="12" t="s">
        <v>47</v>
      </c>
      <c r="F2" s="12" t="s">
        <v>79</v>
      </c>
    </row>
    <row r="3" spans="2:8" x14ac:dyDescent="0.25">
      <c r="B3" s="7" t="s">
        <v>19</v>
      </c>
      <c r="C3" s="10">
        <f>F3*1500</f>
        <v>1500</v>
      </c>
      <c r="D3" s="10">
        <f>F3*450</f>
        <v>450</v>
      </c>
      <c r="E3" s="11">
        <f t="shared" ref="E3:E23" si="0">IF(F3=0,,C3/D3)</f>
        <v>3.3333333333333335</v>
      </c>
      <c r="F3" s="9">
        <v>1</v>
      </c>
      <c r="G3" s="2"/>
      <c r="H3" s="2"/>
    </row>
    <row r="4" spans="2:8" x14ac:dyDescent="0.25">
      <c r="B4" s="7" t="s">
        <v>20</v>
      </c>
      <c r="C4" s="10">
        <f>F4*2000</f>
        <v>2000</v>
      </c>
      <c r="D4" s="10">
        <f>F4*540</f>
        <v>540</v>
      </c>
      <c r="E4" s="11">
        <f t="shared" si="0"/>
        <v>3.7037037037037037</v>
      </c>
      <c r="F4" s="9">
        <v>1</v>
      </c>
      <c r="G4" s="2"/>
      <c r="H4" s="2"/>
    </row>
    <row r="5" spans="2:8" x14ac:dyDescent="0.25">
      <c r="B5" s="7" t="s">
        <v>21</v>
      </c>
      <c r="C5" s="10">
        <f>F5*2500</f>
        <v>2500</v>
      </c>
      <c r="D5" s="10">
        <f>F5*650</f>
        <v>650</v>
      </c>
      <c r="E5" s="11">
        <f t="shared" si="0"/>
        <v>3.8461538461538463</v>
      </c>
      <c r="F5" s="9">
        <v>1</v>
      </c>
      <c r="G5" s="2"/>
      <c r="H5" s="2"/>
    </row>
    <row r="6" spans="2:8" x14ac:dyDescent="0.25">
      <c r="B6" s="7" t="s">
        <v>22</v>
      </c>
      <c r="C6" s="10">
        <f>F6*3000</f>
        <v>3000</v>
      </c>
      <c r="D6" s="10">
        <f>F6*780</f>
        <v>780</v>
      </c>
      <c r="E6" s="11">
        <f t="shared" si="0"/>
        <v>3.8461538461538463</v>
      </c>
      <c r="F6" s="9">
        <v>1</v>
      </c>
      <c r="G6" s="2"/>
      <c r="H6" s="2"/>
    </row>
    <row r="7" spans="2:8" x14ac:dyDescent="0.25">
      <c r="B7" s="7" t="s">
        <v>23</v>
      </c>
      <c r="C7" s="10">
        <f>F7*3500</f>
        <v>3500</v>
      </c>
      <c r="D7" s="10">
        <f>F7*910</f>
        <v>910</v>
      </c>
      <c r="E7" s="11">
        <f t="shared" si="0"/>
        <v>3.8461538461538463</v>
      </c>
      <c r="F7" s="9">
        <v>1</v>
      </c>
      <c r="G7" s="2"/>
      <c r="H7" s="2"/>
    </row>
    <row r="8" spans="2:8" x14ac:dyDescent="0.25">
      <c r="B8" s="7" t="s">
        <v>24</v>
      </c>
      <c r="C8" s="10">
        <f>F8*4000</f>
        <v>4000</v>
      </c>
      <c r="D8" s="10">
        <f>F8*960</f>
        <v>960</v>
      </c>
      <c r="E8" s="11">
        <f t="shared" si="0"/>
        <v>4.166666666666667</v>
      </c>
      <c r="F8" s="9">
        <v>1</v>
      </c>
      <c r="G8" s="2"/>
      <c r="H8" s="2"/>
    </row>
    <row r="9" spans="2:8" x14ac:dyDescent="0.25">
      <c r="B9" s="7" t="s">
        <v>25</v>
      </c>
      <c r="C9" s="10">
        <f>F9*5000</f>
        <v>5000</v>
      </c>
      <c r="D9" s="10">
        <f>F9*1150</f>
        <v>1150</v>
      </c>
      <c r="E9" s="11">
        <f t="shared" si="0"/>
        <v>4.3478260869565215</v>
      </c>
      <c r="F9" s="9">
        <v>1</v>
      </c>
      <c r="G9" s="2"/>
      <c r="H9" s="2"/>
    </row>
    <row r="10" spans="2:8" x14ac:dyDescent="0.25">
      <c r="B10" s="7" t="s">
        <v>26</v>
      </c>
      <c r="C10" s="10">
        <f>F10*6000</f>
        <v>6000</v>
      </c>
      <c r="D10" s="10">
        <f>F10*1320</f>
        <v>1320</v>
      </c>
      <c r="E10" s="11">
        <f t="shared" si="0"/>
        <v>4.5454545454545459</v>
      </c>
      <c r="F10" s="9">
        <v>1</v>
      </c>
      <c r="G10" s="2"/>
      <c r="H10" s="2"/>
    </row>
    <row r="11" spans="2:8" x14ac:dyDescent="0.25">
      <c r="B11" s="7" t="s">
        <v>27</v>
      </c>
      <c r="C11" s="10">
        <f>F11*7000</f>
        <v>7000</v>
      </c>
      <c r="D11" s="10">
        <f>F11*1470</f>
        <v>1470</v>
      </c>
      <c r="E11" s="11">
        <f t="shared" si="0"/>
        <v>4.7619047619047619</v>
      </c>
      <c r="F11" s="9">
        <v>1</v>
      </c>
      <c r="G11" s="2"/>
      <c r="H11" s="2"/>
    </row>
    <row r="12" spans="2:8" x14ac:dyDescent="0.25">
      <c r="B12" s="7" t="s">
        <v>28</v>
      </c>
      <c r="C12" s="10">
        <f>F12*8000</f>
        <v>8000</v>
      </c>
      <c r="D12" s="10">
        <f>F12*1600</f>
        <v>1600</v>
      </c>
      <c r="E12" s="11">
        <f t="shared" si="0"/>
        <v>5</v>
      </c>
      <c r="F12" s="9">
        <v>1</v>
      </c>
      <c r="G12" s="2"/>
      <c r="H12" s="2"/>
    </row>
    <row r="13" spans="2:8" x14ac:dyDescent="0.25">
      <c r="B13" s="7" t="s">
        <v>29</v>
      </c>
      <c r="C13" s="10">
        <f>F13*9000</f>
        <v>9000</v>
      </c>
      <c r="D13" s="10">
        <f>F13*1800</f>
        <v>1800</v>
      </c>
      <c r="E13" s="11">
        <f t="shared" si="0"/>
        <v>5</v>
      </c>
      <c r="F13" s="9">
        <v>1</v>
      </c>
      <c r="G13" s="2"/>
      <c r="H13" s="2"/>
    </row>
    <row r="14" spans="2:8" x14ac:dyDescent="0.25">
      <c r="B14" s="7" t="s">
        <v>30</v>
      </c>
      <c r="C14" s="10">
        <f>F14*11000</f>
        <v>11000</v>
      </c>
      <c r="D14" s="10">
        <f>F14*1980</f>
        <v>1980</v>
      </c>
      <c r="E14" s="11">
        <f t="shared" si="0"/>
        <v>5.5555555555555554</v>
      </c>
      <c r="F14" s="9">
        <v>1</v>
      </c>
      <c r="G14" s="2"/>
      <c r="H14" s="2"/>
    </row>
    <row r="15" spans="2:8" x14ac:dyDescent="0.25">
      <c r="B15" s="7" t="s">
        <v>31</v>
      </c>
      <c r="C15" s="10">
        <f>F15*12000</f>
        <v>12000</v>
      </c>
      <c r="D15" s="10">
        <f>F15*2040</f>
        <v>2040</v>
      </c>
      <c r="E15" s="11">
        <f t="shared" si="0"/>
        <v>5.882352941176471</v>
      </c>
      <c r="F15" s="9">
        <v>1</v>
      </c>
      <c r="G15" s="2"/>
      <c r="H15" s="2"/>
    </row>
    <row r="16" spans="2:8" x14ac:dyDescent="0.25">
      <c r="B16" s="7" t="s">
        <v>32</v>
      </c>
      <c r="C16" s="10">
        <f>F16*13000</f>
        <v>13000</v>
      </c>
      <c r="D16" s="10">
        <f>F16*2210</f>
        <v>2210</v>
      </c>
      <c r="E16" s="11">
        <f t="shared" si="0"/>
        <v>5.882352941176471</v>
      </c>
      <c r="F16" s="9">
        <v>1</v>
      </c>
      <c r="G16" s="2"/>
      <c r="H16" s="2"/>
    </row>
    <row r="17" spans="2:8" x14ac:dyDescent="0.25">
      <c r="B17" s="7" t="s">
        <v>33</v>
      </c>
      <c r="C17" s="10">
        <f>F17*14500</f>
        <v>14500</v>
      </c>
      <c r="D17" s="10">
        <f>F17*2465</f>
        <v>2465</v>
      </c>
      <c r="E17" s="11">
        <f t="shared" si="0"/>
        <v>5.882352941176471</v>
      </c>
      <c r="F17" s="9">
        <v>1</v>
      </c>
      <c r="G17" s="2"/>
      <c r="H17" s="2"/>
    </row>
    <row r="18" spans="2:8" x14ac:dyDescent="0.25">
      <c r="B18" s="7" t="s">
        <v>34</v>
      </c>
      <c r="C18" s="10">
        <f>F18*16000</f>
        <v>16000</v>
      </c>
      <c r="D18" s="10">
        <f>F18*2720</f>
        <v>2720</v>
      </c>
      <c r="E18" s="11">
        <f t="shared" si="0"/>
        <v>5.882352941176471</v>
      </c>
      <c r="F18" s="9">
        <v>1</v>
      </c>
      <c r="G18" s="2"/>
      <c r="H18" s="2"/>
    </row>
    <row r="19" spans="2:8" x14ac:dyDescent="0.25">
      <c r="B19" s="7" t="s">
        <v>35</v>
      </c>
      <c r="C19" s="10">
        <f>F19*17000</f>
        <v>17000</v>
      </c>
      <c r="D19" s="10">
        <f>F19*2890</f>
        <v>2890</v>
      </c>
      <c r="E19" s="11">
        <f t="shared" si="0"/>
        <v>5.882352941176471</v>
      </c>
      <c r="F19" s="9">
        <v>1</v>
      </c>
      <c r="G19" s="2"/>
      <c r="H19" s="2"/>
    </row>
    <row r="20" spans="2:8" x14ac:dyDescent="0.25">
      <c r="B20" s="7" t="s">
        <v>36</v>
      </c>
      <c r="C20" s="10">
        <f>F20*19000</f>
        <v>19000</v>
      </c>
      <c r="D20" s="10">
        <f>F20*3040</f>
        <v>3040</v>
      </c>
      <c r="E20" s="11">
        <f t="shared" si="0"/>
        <v>6.25</v>
      </c>
      <c r="F20" s="9">
        <v>1</v>
      </c>
      <c r="G20" s="2"/>
      <c r="H20" s="2"/>
    </row>
    <row r="21" spans="2:8" x14ac:dyDescent="0.25">
      <c r="B21" s="7" t="s">
        <v>37</v>
      </c>
      <c r="C21" s="10">
        <f>F21*22000</f>
        <v>22000</v>
      </c>
      <c r="D21" s="10">
        <f>F21*3520</f>
        <v>3520</v>
      </c>
      <c r="E21" s="11">
        <f t="shared" si="0"/>
        <v>6.25</v>
      </c>
      <c r="F21" s="9">
        <v>1</v>
      </c>
      <c r="G21" s="2"/>
      <c r="H21" s="2"/>
    </row>
    <row r="22" spans="2:8" x14ac:dyDescent="0.25">
      <c r="B22" s="7" t="s">
        <v>38</v>
      </c>
      <c r="C22" s="10">
        <f>F22*25000</f>
        <v>25000</v>
      </c>
      <c r="D22" s="10">
        <f>F22*4000</f>
        <v>4000</v>
      </c>
      <c r="E22" s="11">
        <f t="shared" si="0"/>
        <v>6.25</v>
      </c>
      <c r="F22" s="9">
        <v>1</v>
      </c>
      <c r="G22" s="2"/>
      <c r="H22" s="2"/>
    </row>
    <row r="23" spans="2:8" x14ac:dyDescent="0.25">
      <c r="B23" s="7" t="s">
        <v>39</v>
      </c>
      <c r="C23" s="10">
        <f>F23*50000</f>
        <v>50000</v>
      </c>
      <c r="D23" s="10">
        <f>F23*8000</f>
        <v>8000</v>
      </c>
      <c r="E23" s="11">
        <f t="shared" si="0"/>
        <v>6.25</v>
      </c>
      <c r="F23" s="9">
        <v>1</v>
      </c>
      <c r="G23" s="2"/>
      <c r="H23" s="2"/>
    </row>
    <row r="24" spans="2:8" x14ac:dyDescent="0.25">
      <c r="B24" s="7" t="s">
        <v>40</v>
      </c>
      <c r="C24" s="10">
        <f>F24*80000</f>
        <v>80000</v>
      </c>
      <c r="D24" s="10">
        <f>F24*12000</f>
        <v>12000</v>
      </c>
      <c r="E24" s="11">
        <f>IF(F24=0,,C24/D24)</f>
        <v>6.666666666666667</v>
      </c>
      <c r="F24" s="9">
        <v>1</v>
      </c>
      <c r="G24" s="2"/>
      <c r="H24" s="2"/>
    </row>
    <row r="25" spans="2:8" x14ac:dyDescent="0.25">
      <c r="B25" s="7" t="s">
        <v>41</v>
      </c>
      <c r="C25" s="10">
        <f>F25*120000</f>
        <v>120000</v>
      </c>
      <c r="D25" s="10">
        <f>F25*18000</f>
        <v>18000</v>
      </c>
      <c r="E25" s="11">
        <f t="shared" ref="E25:E28" si="1">IF(F25=0,,C25/D25)</f>
        <v>6.666666666666667</v>
      </c>
      <c r="F25" s="9">
        <v>1</v>
      </c>
      <c r="G25" s="2"/>
      <c r="H25" s="2"/>
    </row>
    <row r="26" spans="2:8" x14ac:dyDescent="0.25">
      <c r="B26" s="7" t="s">
        <v>42</v>
      </c>
      <c r="C26" s="10">
        <f>F26*220000</f>
        <v>0</v>
      </c>
      <c r="D26" s="10">
        <f>F26*33000</f>
        <v>0</v>
      </c>
      <c r="E26" s="11">
        <f t="shared" si="1"/>
        <v>0</v>
      </c>
      <c r="F26" s="9"/>
      <c r="G26" s="2"/>
      <c r="H26" s="2"/>
    </row>
    <row r="27" spans="2:8" x14ac:dyDescent="0.25">
      <c r="B27" s="7" t="s">
        <v>43</v>
      </c>
      <c r="C27" s="10">
        <f>F27*300000</f>
        <v>0</v>
      </c>
      <c r="D27" s="10">
        <f>F27*42000</f>
        <v>0</v>
      </c>
      <c r="E27" s="11">
        <f t="shared" si="1"/>
        <v>0</v>
      </c>
      <c r="F27" s="9"/>
      <c r="G27" s="2"/>
      <c r="H27" s="2"/>
    </row>
    <row r="28" spans="2:8" x14ac:dyDescent="0.25">
      <c r="B28" s="7" t="s">
        <v>44</v>
      </c>
      <c r="C28" s="10">
        <f>F28*480000</f>
        <v>0</v>
      </c>
      <c r="D28" s="10">
        <f>F28*67200</f>
        <v>0</v>
      </c>
      <c r="E28" s="11">
        <f t="shared" si="1"/>
        <v>0</v>
      </c>
      <c r="F28" s="9"/>
      <c r="G28" s="2"/>
      <c r="H28" s="2"/>
    </row>
    <row r="29" spans="2:8" x14ac:dyDescent="0.25">
      <c r="B29" s="7"/>
      <c r="C29" s="10"/>
      <c r="D29" s="10"/>
      <c r="E29" s="11"/>
      <c r="F29" s="7"/>
    </row>
    <row r="30" spans="2:8" x14ac:dyDescent="0.25">
      <c r="B30" s="12" t="s">
        <v>49</v>
      </c>
      <c r="C30" s="13">
        <f>SUM(C3:C28)</f>
        <v>451000</v>
      </c>
      <c r="D30" s="13">
        <f>SUM(D3:D28)</f>
        <v>74495</v>
      </c>
      <c r="E30" s="14">
        <f t="shared" ref="E30" si="2">C30/D30</f>
        <v>6.0540975904423115</v>
      </c>
      <c r="F30" s="7"/>
    </row>
    <row r="31" spans="2:8" x14ac:dyDescent="0.25">
      <c r="B31" s="12" t="s">
        <v>145</v>
      </c>
      <c r="C31" s="12"/>
      <c r="D31" s="12"/>
      <c r="E31" s="37">
        <f>D30/C30</f>
        <v>0.16517738359201775</v>
      </c>
      <c r="F3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11C44-A07E-40B0-8FF4-E04CF1E3AF87}">
  <dimension ref="B2:L24"/>
  <sheetViews>
    <sheetView workbookViewId="0">
      <selection activeCell="D17" sqref="D17"/>
    </sheetView>
  </sheetViews>
  <sheetFormatPr baseColWidth="10" defaultRowHeight="15" x14ac:dyDescent="0.25"/>
  <cols>
    <col min="2" max="8" width="13.28515625" customWidth="1"/>
    <col min="9" max="10" width="12.5703125" customWidth="1"/>
    <col min="11" max="11" width="11.5703125" customWidth="1"/>
  </cols>
  <sheetData>
    <row r="2" spans="2:12" x14ac:dyDescent="0.25">
      <c r="B2" s="39" t="s">
        <v>0</v>
      </c>
      <c r="C2" s="39"/>
      <c r="D2" s="39"/>
      <c r="E2" s="39"/>
      <c r="F2" s="39"/>
      <c r="G2" s="39"/>
      <c r="H2" s="39"/>
      <c r="I2" s="7" t="s">
        <v>11</v>
      </c>
      <c r="J2" s="7" t="s">
        <v>12</v>
      </c>
      <c r="K2" s="7" t="s">
        <v>60</v>
      </c>
    </row>
    <row r="3" spans="2:12" x14ac:dyDescent="0.25">
      <c r="B3" s="7" t="s">
        <v>18</v>
      </c>
      <c r="C3" s="7" t="s">
        <v>1</v>
      </c>
      <c r="D3" s="7" t="s">
        <v>13</v>
      </c>
      <c r="E3" s="7" t="s">
        <v>17</v>
      </c>
      <c r="F3" s="7" t="s">
        <v>15</v>
      </c>
      <c r="G3" s="7" t="s">
        <v>16</v>
      </c>
      <c r="H3" s="27" t="s">
        <v>14</v>
      </c>
      <c r="I3" s="7" t="str" cm="1">
        <f t="array" ref="I3">INDEX($C$3:$H$3,,MATCH(B14,C3:H3,0))</f>
        <v>Moskva</v>
      </c>
      <c r="J3" s="7" t="str" cm="1">
        <f t="array" ref="J3">INDEX($C$3:$H$3,,MATCH(C14,C3:H3,0))</f>
        <v>London</v>
      </c>
      <c r="K3" s="7"/>
    </row>
    <row r="4" spans="2:12" x14ac:dyDescent="0.25">
      <c r="B4" s="7" t="s">
        <v>2</v>
      </c>
      <c r="C4" s="8">
        <v>6200</v>
      </c>
      <c r="D4" s="8">
        <v>5400</v>
      </c>
      <c r="E4" s="8">
        <v>7800</v>
      </c>
      <c r="F4" s="8">
        <v>5500</v>
      </c>
      <c r="G4" s="8">
        <v>5390</v>
      </c>
      <c r="H4" s="28">
        <v>5000</v>
      </c>
      <c r="I4" s="8" cm="1">
        <f t="array" ref="I4:I11">INDEX(C4:H11,,MATCH(I3,C3:H3,0))</f>
        <v>5390</v>
      </c>
      <c r="J4" s="8" cm="1">
        <f t="array" ref="J4:J11">INDEX(C4:H11,,MATCH(J3,C3:H3,0))</f>
        <v>6200</v>
      </c>
      <c r="K4" s="8">
        <f t="shared" ref="K4:K11" si="0">J4-I4</f>
        <v>810</v>
      </c>
    </row>
    <row r="5" spans="2:12" x14ac:dyDescent="0.25">
      <c r="B5" s="7" t="s">
        <v>3</v>
      </c>
      <c r="C5" s="8">
        <v>43000</v>
      </c>
      <c r="D5" s="8">
        <v>48500</v>
      </c>
      <c r="E5" s="8">
        <v>41900</v>
      </c>
      <c r="F5" s="8">
        <v>44000</v>
      </c>
      <c r="G5" s="8">
        <v>42000</v>
      </c>
      <c r="H5" s="28">
        <v>41600</v>
      </c>
      <c r="I5" s="8">
        <v>42000</v>
      </c>
      <c r="J5" s="8">
        <v>43000</v>
      </c>
      <c r="K5" s="8">
        <f t="shared" si="0"/>
        <v>1000</v>
      </c>
    </row>
    <row r="6" spans="2:12" x14ac:dyDescent="0.25">
      <c r="B6" s="7" t="s">
        <v>4</v>
      </c>
      <c r="C6" s="8">
        <v>7640</v>
      </c>
      <c r="D6" s="8">
        <v>6550</v>
      </c>
      <c r="E6" s="8">
        <v>7190</v>
      </c>
      <c r="F6" s="8">
        <v>6450</v>
      </c>
      <c r="G6" s="8">
        <v>7300</v>
      </c>
      <c r="H6" s="28">
        <v>7150</v>
      </c>
      <c r="I6" s="8">
        <v>7300</v>
      </c>
      <c r="J6" s="8">
        <v>7640</v>
      </c>
      <c r="K6" s="8">
        <f t="shared" si="0"/>
        <v>340</v>
      </c>
    </row>
    <row r="7" spans="2:12" x14ac:dyDescent="0.25">
      <c r="B7" s="7" t="s">
        <v>5</v>
      </c>
      <c r="C7" s="8">
        <v>21950</v>
      </c>
      <c r="D7" s="8">
        <v>20800</v>
      </c>
      <c r="E7" s="8">
        <v>21700</v>
      </c>
      <c r="F7" s="8">
        <v>25800</v>
      </c>
      <c r="G7" s="8">
        <v>23400</v>
      </c>
      <c r="H7" s="28">
        <v>21250</v>
      </c>
      <c r="I7" s="8">
        <v>23400</v>
      </c>
      <c r="J7" s="8">
        <v>21950</v>
      </c>
      <c r="K7" s="8">
        <f t="shared" si="0"/>
        <v>-1450</v>
      </c>
    </row>
    <row r="8" spans="2:12" x14ac:dyDescent="0.25">
      <c r="B8" s="7" t="s">
        <v>6</v>
      </c>
      <c r="C8" s="8">
        <v>71500</v>
      </c>
      <c r="D8" s="8">
        <v>74800</v>
      </c>
      <c r="E8" s="8">
        <v>73700</v>
      </c>
      <c r="F8" s="8">
        <v>70700</v>
      </c>
      <c r="G8" s="8">
        <v>77500</v>
      </c>
      <c r="H8" s="28">
        <v>78900</v>
      </c>
      <c r="I8" s="8">
        <v>77500</v>
      </c>
      <c r="J8" s="8">
        <v>71500</v>
      </c>
      <c r="K8" s="8">
        <f t="shared" si="0"/>
        <v>-6000</v>
      </c>
    </row>
    <row r="9" spans="2:12" x14ac:dyDescent="0.25">
      <c r="B9" s="7" t="s">
        <v>7</v>
      </c>
      <c r="C9" s="8">
        <v>17000</v>
      </c>
      <c r="D9" s="8">
        <v>16900</v>
      </c>
      <c r="E9" s="8">
        <v>18960</v>
      </c>
      <c r="F9" s="8">
        <v>19000</v>
      </c>
      <c r="G9" s="8">
        <v>16700</v>
      </c>
      <c r="H9" s="28">
        <v>15300</v>
      </c>
      <c r="I9" s="8">
        <v>16700</v>
      </c>
      <c r="J9" s="8">
        <v>17000</v>
      </c>
      <c r="K9" s="8">
        <f t="shared" si="0"/>
        <v>300</v>
      </c>
    </row>
    <row r="10" spans="2:12" x14ac:dyDescent="0.25">
      <c r="B10" s="7" t="s">
        <v>8</v>
      </c>
      <c r="C10" s="8">
        <v>8400</v>
      </c>
      <c r="D10" s="8">
        <v>9600</v>
      </c>
      <c r="E10" s="8">
        <v>9800</v>
      </c>
      <c r="F10" s="8">
        <v>10700</v>
      </c>
      <c r="G10" s="8">
        <v>11000</v>
      </c>
      <c r="H10" s="28">
        <v>11300</v>
      </c>
      <c r="I10" s="8">
        <v>11000</v>
      </c>
      <c r="J10" s="8">
        <v>8400</v>
      </c>
      <c r="K10" s="8">
        <f t="shared" si="0"/>
        <v>-2600</v>
      </c>
    </row>
    <row r="11" spans="2:12" x14ac:dyDescent="0.25">
      <c r="B11" s="7" t="s">
        <v>9</v>
      </c>
      <c r="C11" s="8">
        <v>38000</v>
      </c>
      <c r="D11" s="8">
        <v>35900</v>
      </c>
      <c r="E11" s="8">
        <v>33500</v>
      </c>
      <c r="F11" s="8">
        <v>33900</v>
      </c>
      <c r="G11" s="8">
        <v>35000</v>
      </c>
      <c r="H11" s="28">
        <v>36700</v>
      </c>
      <c r="I11" s="8">
        <v>35000</v>
      </c>
      <c r="J11" s="8">
        <v>38000</v>
      </c>
      <c r="K11" s="8">
        <f t="shared" si="0"/>
        <v>3000</v>
      </c>
    </row>
    <row r="13" spans="2:12" x14ac:dyDescent="0.25">
      <c r="B13" s="7" t="s">
        <v>11</v>
      </c>
      <c r="C13" s="7" t="s">
        <v>12</v>
      </c>
      <c r="D13" s="7" t="s">
        <v>10</v>
      </c>
      <c r="E13" s="7" t="s">
        <v>76</v>
      </c>
      <c r="F13" s="7" t="s">
        <v>77</v>
      </c>
      <c r="G13" s="7" t="s">
        <v>78</v>
      </c>
      <c r="K13" t="s">
        <v>146</v>
      </c>
      <c r="L13">
        <v>1000</v>
      </c>
    </row>
    <row r="14" spans="2:12" x14ac:dyDescent="0.25">
      <c r="B14" s="9" t="s">
        <v>16</v>
      </c>
      <c r="C14" s="9" t="s">
        <v>1</v>
      </c>
      <c r="D14" s="7" t="str" cm="1">
        <f t="array" ref="D14">INDEX($B$4:$B$11, MATCH(MAX(INDEX(C4:H11,,MATCH(INDEX($C$3:$H$3,,MATCH(C14,C3:H3,0)),C3:H3,0))-INDEX(C4:H11,,MATCH(INDEX($C$3:$H$3,,MATCH(B14,C3:H3,0)),C3:H3,0))), INDEX(C4:H11,,MATCH(INDEX($C$3:$H$3,,MATCH(C14,C3:H3,0)),C3:H3,0))-INDEX(C4:H11,,MATCH(INDEX($C$3:$H$3,,MATCH(B14,C3:H3,0)),C3:H3,0)), 0))</f>
        <v>Kingsize bed</v>
      </c>
      <c r="E14" s="8">
        <f>MAX(K4:K11)</f>
        <v>3000</v>
      </c>
      <c r="F14" s="9">
        <v>15</v>
      </c>
      <c r="G14" s="8">
        <f>E14*F14</f>
        <v>45000</v>
      </c>
      <c r="K14" t="s">
        <v>45</v>
      </c>
      <c r="L14">
        <v>200</v>
      </c>
    </row>
    <row r="15" spans="2:12" x14ac:dyDescent="0.25">
      <c r="F15" s="6"/>
      <c r="L15">
        <f>L14*L13</f>
        <v>200000</v>
      </c>
    </row>
    <row r="22" spans="7:12" x14ac:dyDescent="0.25">
      <c r="G22" s="6"/>
    </row>
    <row r="23" spans="7:12" x14ac:dyDescent="0.25">
      <c r="G23" s="6"/>
      <c r="L23" s="6"/>
    </row>
    <row r="24" spans="7:12" x14ac:dyDescent="0.25">
      <c r="G24" s="6"/>
      <c r="L24" s="6"/>
    </row>
  </sheetData>
  <mergeCells count="1">
    <mergeCell ref="B2:H2"/>
  </mergeCells>
  <conditionalFormatting sqref="K4:K11">
    <cfRule type="top10" dxfId="0" priority="1" rank="1"/>
  </conditionalFormatting>
  <dataValidations count="1">
    <dataValidation type="list" allowBlank="1" showInputMessage="1" showErrorMessage="1" sqref="C14 B14" xr:uid="{A297D7B2-22A2-41EE-9E30-CAC74FAD283C}">
      <formula1>$C$3:$H$3</formula1>
    </dataValidation>
  </dataValidations>
  <pageMargins left="0.7" right="0.7" top="0.75" bottom="0.75" header="0.3" footer="0.3"/>
  <ignoredErrors>
    <ignoredError sqref="D4:D11" calculatedColumn="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82B1-C188-486E-A804-43B4FA527C22}">
  <dimension ref="B2:O57"/>
  <sheetViews>
    <sheetView workbookViewId="0">
      <selection activeCell="E36" sqref="E36"/>
    </sheetView>
  </sheetViews>
  <sheetFormatPr baseColWidth="10" defaultRowHeight="15" x14ac:dyDescent="0.25"/>
  <cols>
    <col min="2" max="5" width="23.7109375" customWidth="1"/>
    <col min="8" max="8" width="10.5703125" bestFit="1" customWidth="1"/>
    <col min="9" max="9" width="5.5703125" bestFit="1" customWidth="1"/>
    <col min="10" max="10" width="8.28515625" customWidth="1"/>
    <col min="15" max="15" width="11.42578125" customWidth="1"/>
  </cols>
  <sheetData>
    <row r="2" spans="2:15" ht="16.5" x14ac:dyDescent="0.25">
      <c r="B2" s="7" t="s">
        <v>62</v>
      </c>
      <c r="C2" s="7" t="s">
        <v>57</v>
      </c>
      <c r="D2" s="7" t="s">
        <v>63</v>
      </c>
      <c r="E2" s="7" t="s">
        <v>61</v>
      </c>
      <c r="H2" s="40" t="s">
        <v>80</v>
      </c>
      <c r="I2" s="40"/>
      <c r="J2" s="40" t="s">
        <v>75</v>
      </c>
      <c r="K2" s="40"/>
    </row>
    <row r="3" spans="2:15" x14ac:dyDescent="0.25">
      <c r="B3" s="8">
        <f>(C3*C5)+(D3*D5)</f>
        <v>78700000000</v>
      </c>
      <c r="C3" s="15">
        <f>D3*2</f>
        <v>2000000</v>
      </c>
      <c r="D3" s="15">
        <f>ROUNDDOWN(E3/1.80919540229885/(43500),0)</f>
        <v>1000000</v>
      </c>
      <c r="E3" s="16">
        <v>78700000000</v>
      </c>
      <c r="H3" s="21" t="s">
        <v>66</v>
      </c>
      <c r="I3" s="22">
        <f>78700/1870</f>
        <v>42.085561497326204</v>
      </c>
      <c r="J3" s="22">
        <f>(4000000-78700)/1870</f>
        <v>2096.9518716577541</v>
      </c>
      <c r="K3" s="7"/>
      <c r="O3" s="3"/>
    </row>
    <row r="4" spans="2:15" ht="16.5" x14ac:dyDescent="0.25">
      <c r="C4" s="7" t="s">
        <v>58</v>
      </c>
      <c r="D4" s="7" t="s">
        <v>65</v>
      </c>
      <c r="H4" s="21" t="s">
        <v>145</v>
      </c>
      <c r="I4" s="34">
        <f>1870/78700</f>
        <v>2.3761118170266837E-2</v>
      </c>
      <c r="J4" s="5"/>
      <c r="O4" s="4"/>
    </row>
    <row r="5" spans="2:15" x14ac:dyDescent="0.25">
      <c r="C5" s="17">
        <v>17600</v>
      </c>
      <c r="D5" s="17">
        <v>43500</v>
      </c>
      <c r="O5" s="4"/>
    </row>
    <row r="6" spans="2:15" x14ac:dyDescent="0.25">
      <c r="E6" s="35"/>
      <c r="O6" s="4"/>
    </row>
    <row r="7" spans="2:15" x14ac:dyDescent="0.25">
      <c r="E7" s="35"/>
      <c r="O7" s="4"/>
    </row>
    <row r="8" spans="2:15" ht="16.5" x14ac:dyDescent="0.25">
      <c r="B8" s="7" t="s">
        <v>62</v>
      </c>
      <c r="C8" s="7" t="s">
        <v>57</v>
      </c>
      <c r="D8" s="7" t="s">
        <v>63</v>
      </c>
      <c r="E8" s="36"/>
      <c r="O8" s="4"/>
    </row>
    <row r="9" spans="2:15" x14ac:dyDescent="0.25">
      <c r="B9" s="8">
        <f>(C9*C11)+(D9*D11)</f>
        <v>78700</v>
      </c>
      <c r="C9" s="15">
        <f>D9*2</f>
        <v>2</v>
      </c>
      <c r="D9" s="18">
        <v>1</v>
      </c>
      <c r="O9" s="4"/>
    </row>
    <row r="10" spans="2:15" ht="16.5" x14ac:dyDescent="0.25">
      <c r="C10" s="7" t="s">
        <v>58</v>
      </c>
      <c r="D10" s="7" t="s">
        <v>65</v>
      </c>
      <c r="O10" s="4"/>
    </row>
    <row r="11" spans="2:15" x14ac:dyDescent="0.25">
      <c r="C11" s="17">
        <v>17600</v>
      </c>
      <c r="D11" s="17">
        <v>43500</v>
      </c>
      <c r="O11" s="3"/>
    </row>
    <row r="12" spans="2:15" x14ac:dyDescent="0.25">
      <c r="O12" s="3"/>
    </row>
    <row r="13" spans="2:15" x14ac:dyDescent="0.25">
      <c r="O13" s="3"/>
    </row>
    <row r="14" spans="2:15" ht="16.5" x14ac:dyDescent="0.25">
      <c r="B14" s="7" t="s">
        <v>60</v>
      </c>
      <c r="C14" s="7" t="s">
        <v>59</v>
      </c>
      <c r="D14" s="7" t="s">
        <v>64</v>
      </c>
      <c r="O14" s="3"/>
    </row>
    <row r="15" spans="2:15" x14ac:dyDescent="0.25">
      <c r="B15" s="17">
        <f>C15*85</f>
        <v>1870</v>
      </c>
      <c r="C15" s="19">
        <f>D15*22</f>
        <v>22</v>
      </c>
      <c r="D15" s="20">
        <v>1</v>
      </c>
      <c r="O15" s="3"/>
    </row>
    <row r="16" spans="2:15" x14ac:dyDescent="0.25">
      <c r="O16" s="3"/>
    </row>
    <row r="17" spans="15:15" x14ac:dyDescent="0.25">
      <c r="O17" s="3"/>
    </row>
    <row r="18" spans="15:15" x14ac:dyDescent="0.25">
      <c r="O18" s="3"/>
    </row>
    <row r="19" spans="15:15" x14ac:dyDescent="0.25">
      <c r="O19" s="3"/>
    </row>
    <row r="20" spans="15:15" x14ac:dyDescent="0.25">
      <c r="O20" s="3"/>
    </row>
    <row r="21" spans="15:15" x14ac:dyDescent="0.25">
      <c r="O21" s="3"/>
    </row>
    <row r="22" spans="15:15" x14ac:dyDescent="0.25">
      <c r="O22" s="3"/>
    </row>
    <row r="23" spans="15:15" x14ac:dyDescent="0.25">
      <c r="O23" s="3"/>
    </row>
    <row r="24" spans="15:15" x14ac:dyDescent="0.25">
      <c r="O24" s="3"/>
    </row>
    <row r="25" spans="15:15" x14ac:dyDescent="0.25">
      <c r="O25" s="3"/>
    </row>
    <row r="26" spans="15:15" x14ac:dyDescent="0.25">
      <c r="O26" s="3"/>
    </row>
    <row r="27" spans="15:15" x14ac:dyDescent="0.25">
      <c r="O27" s="3"/>
    </row>
    <row r="28" spans="15:15" x14ac:dyDescent="0.25">
      <c r="O28" s="3"/>
    </row>
    <row r="29" spans="15:15" x14ac:dyDescent="0.25">
      <c r="O29" s="3"/>
    </row>
    <row r="30" spans="15:15" x14ac:dyDescent="0.25">
      <c r="O30" s="3"/>
    </row>
    <row r="31" spans="15:15" x14ac:dyDescent="0.25">
      <c r="O31" s="3"/>
    </row>
    <row r="32" spans="15:15" x14ac:dyDescent="0.25">
      <c r="O32" s="3"/>
    </row>
    <row r="33" spans="15:15" x14ac:dyDescent="0.25">
      <c r="O33" s="3"/>
    </row>
    <row r="34" spans="15:15" x14ac:dyDescent="0.25">
      <c r="O34" s="3"/>
    </row>
    <row r="35" spans="15:15" x14ac:dyDescent="0.25">
      <c r="O35" s="3"/>
    </row>
    <row r="36" spans="15:15" x14ac:dyDescent="0.25">
      <c r="O36" s="3"/>
    </row>
    <row r="37" spans="15:15" x14ac:dyDescent="0.25">
      <c r="O37" s="3"/>
    </row>
    <row r="38" spans="15:15" x14ac:dyDescent="0.25">
      <c r="O38" s="3"/>
    </row>
    <row r="39" spans="15:15" x14ac:dyDescent="0.25">
      <c r="O39" s="3"/>
    </row>
    <row r="40" spans="15:15" x14ac:dyDescent="0.25">
      <c r="O40" s="3"/>
    </row>
    <row r="41" spans="15:15" x14ac:dyDescent="0.25">
      <c r="O41" s="3"/>
    </row>
    <row r="42" spans="15:15" x14ac:dyDescent="0.25">
      <c r="O42" s="3"/>
    </row>
    <row r="43" spans="15:15" x14ac:dyDescent="0.25">
      <c r="O43" s="3"/>
    </row>
    <row r="44" spans="15:15" x14ac:dyDescent="0.25">
      <c r="O44" s="3"/>
    </row>
    <row r="45" spans="15:15" x14ac:dyDescent="0.25">
      <c r="O45" s="3"/>
    </row>
    <row r="46" spans="15:15" x14ac:dyDescent="0.25">
      <c r="O46" s="3"/>
    </row>
    <row r="47" spans="15:15" x14ac:dyDescent="0.25">
      <c r="O47" s="3"/>
    </row>
    <row r="48" spans="15:15" x14ac:dyDescent="0.25">
      <c r="O48" s="3"/>
    </row>
    <row r="49" spans="15:15" x14ac:dyDescent="0.25">
      <c r="O49" s="3"/>
    </row>
    <row r="50" spans="15:15" x14ac:dyDescent="0.25">
      <c r="O50" s="3"/>
    </row>
    <row r="51" spans="15:15" x14ac:dyDescent="0.25">
      <c r="O51" s="3"/>
    </row>
    <row r="52" spans="15:15" x14ac:dyDescent="0.25">
      <c r="O52" s="3"/>
    </row>
    <row r="53" spans="15:15" x14ac:dyDescent="0.25">
      <c r="O53" s="3"/>
    </row>
    <row r="54" spans="15:15" x14ac:dyDescent="0.25">
      <c r="O54" s="3"/>
    </row>
    <row r="55" spans="15:15" x14ac:dyDescent="0.25">
      <c r="O55" s="3"/>
    </row>
    <row r="56" spans="15:15" x14ac:dyDescent="0.25">
      <c r="O56" s="3"/>
    </row>
    <row r="57" spans="15:15" x14ac:dyDescent="0.25">
      <c r="O57" s="3"/>
    </row>
  </sheetData>
  <mergeCells count="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8</vt:i4>
      </vt:variant>
    </vt:vector>
  </HeadingPairs>
  <TitlesOfParts>
    <vt:vector size="8" baseType="lpstr">
      <vt:lpstr>Oppdrag</vt:lpstr>
      <vt:lpstr>Fly</vt:lpstr>
      <vt:lpstr>OC</vt:lpstr>
      <vt:lpstr>Fightclub</vt:lpstr>
      <vt:lpstr>Bank</vt:lpstr>
      <vt:lpstr>Livvak</vt:lpstr>
      <vt:lpstr>The underground</vt:lpstr>
      <vt:lpstr>Hasjplantasje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Ørjan Johnsen</dc:creator>
  <cp:lastModifiedBy>Ørjan Johnsen</cp:lastModifiedBy>
  <dcterms:created xsi:type="dcterms:W3CDTF">2024-03-06T18:53:05Z</dcterms:created>
  <dcterms:modified xsi:type="dcterms:W3CDTF">2024-03-11T21:47:07Z</dcterms:modified>
</cp:coreProperties>
</file>