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staticus.sharepoint.com/sites/ConceptDesignDepartment/CD DOCUMENT TEMPLATES/22. Wind Load/"/>
    </mc:Choice>
  </mc:AlternateContent>
  <xr:revisionPtr revIDLastSave="193" documentId="13_ncr:1_{69E1824C-A186-487F-B0B9-D4439100CD32}" xr6:coauthVersionLast="47" xr6:coauthVersionMax="47" xr10:uidLastSave="{21D85EF1-E139-49C4-BE41-3E5B9A2D7D67}"/>
  <bookViews>
    <workbookView xWindow="-120" yWindow="-120" windowWidth="29040" windowHeight="15720" xr2:uid="{00000000-000D-0000-FFFF-FFFF00000000}"/>
  </bookViews>
  <sheets>
    <sheet name="Vėjo slėgio skaičiuoklė" sheetId="2" r:id="rId1"/>
    <sheet name="Notes on using excel sheet" sheetId="3" r:id="rId2"/>
  </sheets>
  <definedNames>
    <definedName name="_xlnm.Print_Area" localSheetId="0">'Vėjo slėgio skaičiuoklė'!$A$1:$M$50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 l="1"/>
  <c r="B48" i="2"/>
  <c r="H3" i="2" l="1"/>
  <c r="AL4" i="2" l="1"/>
  <c r="CQ35" i="2"/>
  <c r="CQ36" i="2"/>
  <c r="CQ34" i="2"/>
  <c r="CX32" i="2"/>
  <c r="B4" i="2"/>
  <c r="AN27" i="2" l="1"/>
  <c r="AN26" i="2"/>
  <c r="Q29" i="2"/>
  <c r="R29" i="2"/>
  <c r="Q28" i="2"/>
  <c r="R28" i="2"/>
  <c r="D80" i="2" l="1"/>
  <c r="D54" i="2"/>
  <c r="U9" i="2"/>
  <c r="U8" i="2"/>
  <c r="Y218" i="2" l="1"/>
  <c r="Y217" i="2"/>
  <c r="Y216" i="2"/>
  <c r="Y215" i="2"/>
  <c r="Y214" i="2"/>
  <c r="Y213" i="2"/>
  <c r="Y212" i="2"/>
  <c r="Y211" i="2"/>
  <c r="Y210" i="2"/>
  <c r="Y204" i="2"/>
  <c r="Y205" i="2"/>
  <c r="Y185" i="2"/>
  <c r="Y186" i="2"/>
  <c r="Y187" i="2"/>
  <c r="Y188" i="2"/>
  <c r="Y189" i="2"/>
  <c r="Y190" i="2"/>
  <c r="Y191" i="2"/>
  <c r="Y192" i="2"/>
  <c r="Y197" i="2"/>
  <c r="Y198" i="2"/>
  <c r="Y199" i="2"/>
  <c r="Y200" i="2"/>
  <c r="Y201" i="2"/>
  <c r="Y202" i="2"/>
  <c r="Y203" i="2"/>
  <c r="I71" i="2"/>
  <c r="I72" i="2"/>
  <c r="G24" i="2" l="1"/>
  <c r="D20" i="2"/>
  <c r="E20" i="2"/>
  <c r="F20" i="2"/>
  <c r="AB26" i="2"/>
  <c r="AC26" i="2"/>
  <c r="AB27" i="2"/>
  <c r="AC27" i="2"/>
  <c r="AB28" i="2"/>
  <c r="AC28" i="2"/>
  <c r="AB29" i="2"/>
  <c r="AC29" i="2"/>
  <c r="AC25" i="2"/>
  <c r="AB25" i="2"/>
  <c r="Y184" i="2"/>
  <c r="B5" i="2" l="1"/>
  <c r="E117" i="2"/>
  <c r="AN21" i="2" l="1"/>
  <c r="AN22" i="2" s="1"/>
  <c r="B44" i="2" l="1"/>
  <c r="Y167" i="2"/>
  <c r="Y168" i="2"/>
  <c r="Y160" i="2"/>
  <c r="Y161" i="2"/>
  <c r="Y162" i="2"/>
  <c r="Y166" i="2"/>
  <c r="Y163" i="2"/>
  <c r="Y165" i="2"/>
  <c r="Y141" i="2"/>
  <c r="Y130" i="2"/>
  <c r="Y131" i="2"/>
  <c r="Y132" i="2"/>
  <c r="Y133" i="2"/>
  <c r="Y134" i="2"/>
  <c r="Y135" i="2"/>
  <c r="Y136" i="2"/>
  <c r="Y137" i="2"/>
  <c r="Y138" i="2"/>
  <c r="Y139" i="2"/>
  <c r="Y140" i="2"/>
  <c r="B30" i="2" l="1"/>
  <c r="B31" i="2"/>
  <c r="E65" i="2"/>
  <c r="C65" i="2"/>
  <c r="B68" i="2"/>
  <c r="B65" i="2"/>
  <c r="B64" i="2"/>
  <c r="Y129" i="2"/>
  <c r="Y128" i="2" l="1"/>
  <c r="Y159" i="2"/>
  <c r="Y127" i="2"/>
  <c r="S28" i="2"/>
  <c r="B39" i="2"/>
  <c r="B55" i="2"/>
  <c r="B81" i="2"/>
  <c r="E84" i="2"/>
  <c r="C84" i="2"/>
  <c r="J79" i="2"/>
  <c r="E40" i="2" l="1"/>
  <c r="B43" i="2"/>
  <c r="C33" i="2"/>
  <c r="D58" i="2"/>
  <c r="B40" i="2"/>
  <c r="C40" i="2"/>
  <c r="B56" i="2" l="1"/>
  <c r="S8" i="2"/>
  <c r="H40" i="2"/>
  <c r="AF20" i="2" l="1"/>
  <c r="AF25" i="2"/>
  <c r="AJ25" i="2" s="1"/>
  <c r="F41" i="2" s="1" a="1"/>
  <c r="F41" i="2" s="1"/>
  <c r="AJ17" i="2"/>
  <c r="AJ16" i="2"/>
  <c r="AJ15" i="2"/>
  <c r="AI17" i="2"/>
  <c r="AI16" i="2"/>
  <c r="AI15" i="2"/>
  <c r="AH17" i="2"/>
  <c r="AH16" i="2"/>
  <c r="AH15" i="2"/>
  <c r="AG17" i="2"/>
  <c r="AG16" i="2"/>
  <c r="AG15" i="2"/>
  <c r="AJ20" i="2" l="1"/>
  <c r="D41" i="2" s="1" a="1"/>
  <c r="D41" i="2" s="1"/>
  <c r="O33" i="2" l="1"/>
  <c r="AD37" i="2"/>
  <c r="AD36" i="2"/>
  <c r="B13" i="2"/>
  <c r="AE84" i="2"/>
  <c r="AE86" i="2"/>
  <c r="AE87" i="2"/>
  <c r="AI84" i="2" l="1"/>
  <c r="AI85" i="2"/>
  <c r="AE85" i="2" s="1"/>
  <c r="F61" i="2" s="1"/>
  <c r="AI86" i="2"/>
  <c r="AI87" i="2"/>
  <c r="AI83" i="2"/>
  <c r="AE83" i="2" s="1"/>
  <c r="F59" i="2" s="1"/>
  <c r="F60" i="2"/>
  <c r="F62" i="2"/>
  <c r="F63" i="2"/>
  <c r="O52" i="2" l="1"/>
  <c r="P65" i="2"/>
  <c r="K80" i="2"/>
  <c r="K81" i="2"/>
  <c r="K82" i="2"/>
  <c r="K83" i="2"/>
  <c r="B82" i="2"/>
  <c r="K85" i="2"/>
  <c r="AF29" i="2"/>
  <c r="AF28" i="2"/>
  <c r="AF27" i="2" s="1"/>
  <c r="K84" i="2"/>
  <c r="D84" i="2"/>
  <c r="B84" i="2"/>
  <c r="AF26" i="2" l="1"/>
  <c r="B45" i="2" l="1"/>
  <c r="S7" i="2"/>
  <c r="S6" i="2"/>
  <c r="BP35" i="2"/>
  <c r="BP36" i="2"/>
  <c r="BP37" i="2"/>
  <c r="BP38" i="2"/>
  <c r="BP39" i="2"/>
  <c r="BP40" i="2"/>
  <c r="BP41" i="2"/>
  <c r="BP42" i="2"/>
  <c r="BP43" i="2"/>
  <c r="BP44" i="2"/>
  <c r="BP45" i="2"/>
  <c r="BP46" i="2"/>
  <c r="BP47" i="2"/>
  <c r="BP48" i="2"/>
  <c r="BP49" i="2"/>
  <c r="BP50" i="2"/>
  <c r="BP51" i="2"/>
  <c r="BP52" i="2"/>
  <c r="BP53" i="2"/>
  <c r="BP54" i="2"/>
  <c r="BP55" i="2"/>
  <c r="BP56" i="2"/>
  <c r="BP57" i="2"/>
  <c r="BP58" i="2"/>
  <c r="BP59" i="2"/>
  <c r="BP60" i="2"/>
  <c r="BP61" i="2"/>
  <c r="BP62" i="2"/>
  <c r="BP63" i="2"/>
  <c r="BP64" i="2"/>
  <c r="BP34" i="2"/>
  <c r="B10" i="2"/>
  <c r="S12" i="2" s="1"/>
  <c r="B9" i="2"/>
  <c r="S11" i="2" s="1"/>
  <c r="S14" i="2"/>
  <c r="AA4" i="2" l="1"/>
  <c r="C58" i="2" l="1"/>
  <c r="B58" i="2"/>
  <c r="AC87" i="2"/>
  <c r="AC86" i="2"/>
  <c r="AC85" i="2"/>
  <c r="AC84" i="2"/>
  <c r="AC83" i="2"/>
  <c r="AA80" i="2"/>
  <c r="AN7" i="2"/>
  <c r="AN4" i="2"/>
  <c r="AB17" i="2" l="1"/>
  <c r="D35" i="2"/>
  <c r="X9" i="2" l="1"/>
  <c r="AL9" i="2" s="1"/>
  <c r="X6" i="2"/>
  <c r="AL6" i="2" s="1"/>
  <c r="BW32" i="2"/>
  <c r="CO32" i="2"/>
  <c r="X32" i="2"/>
  <c r="Y34" i="2"/>
  <c r="F18" i="2" l="1"/>
  <c r="X35" i="2"/>
  <c r="X36" i="2"/>
  <c r="X34" i="2"/>
  <c r="AG20" i="2" l="1"/>
  <c r="B29" i="2"/>
  <c r="B14" i="2" l="1"/>
  <c r="S15" i="2" l="1"/>
  <c r="B46" i="2"/>
  <c r="D32" i="2"/>
  <c r="B18" i="2"/>
  <c r="B17" i="2"/>
  <c r="F33" i="2"/>
  <c r="E33" i="2"/>
  <c r="D33" i="2"/>
  <c r="B33" i="2"/>
  <c r="S27" i="2"/>
  <c r="S26" i="2"/>
  <c r="S4" i="2"/>
  <c r="S25" i="2"/>
  <c r="Q2" i="2"/>
  <c r="B27" i="2"/>
  <c r="B16" i="2"/>
  <c r="B15" i="2"/>
  <c r="S13" i="2"/>
  <c r="B12" i="2"/>
  <c r="S10" i="2" s="1"/>
  <c r="B11" i="2"/>
  <c r="S9" i="2" s="1"/>
  <c r="B7" i="2"/>
  <c r="B2" i="2"/>
  <c r="AG25" i="2" l="1"/>
  <c r="AA25" i="2"/>
  <c r="AA29" i="2"/>
  <c r="D25" i="2" s="1"/>
  <c r="AA28" i="2"/>
  <c r="D24" i="2" s="1"/>
  <c r="AA27" i="2"/>
  <c r="D23" i="2" s="1"/>
  <c r="AA26" i="2"/>
  <c r="D22" i="2" s="1"/>
  <c r="AB16" i="2"/>
  <c r="AA21" i="2" s="1"/>
  <c r="AA16" i="2"/>
  <c r="AP14" i="2" l="1"/>
  <c r="AW26" i="2" s="1"/>
  <c r="D21" i="2"/>
  <c r="AG28" i="2" a="1"/>
  <c r="AG28" i="2" s="1"/>
  <c r="AG26" i="2" a="1"/>
  <c r="AG26" i="2" s="1"/>
  <c r="AU24" i="2"/>
  <c r="AC16" i="2"/>
  <c r="AD20" i="2" s="1"/>
  <c r="D37" i="2"/>
  <c r="D38" i="2"/>
  <c r="AB19" i="2"/>
  <c r="D34" i="2"/>
  <c r="D36" i="2"/>
  <c r="AD17" i="2"/>
  <c r="AA18" i="2"/>
  <c r="AA19" i="2"/>
  <c r="AA20" i="2"/>
  <c r="AA17" i="2"/>
  <c r="AC17" i="2" s="1"/>
  <c r="AB21" i="2"/>
  <c r="AB20" i="2"/>
  <c r="AB18" i="2"/>
  <c r="AD16" i="2"/>
  <c r="AU5" i="2"/>
  <c r="AG31" i="2" l="1"/>
  <c r="AG29" i="2"/>
  <c r="AG30" i="2" s="1"/>
  <c r="AD21" i="2"/>
  <c r="AC7" i="2"/>
  <c r="E34" i="2" s="1"/>
  <c r="AC21" i="2"/>
  <c r="AC20" i="2"/>
  <c r="AC10" i="2" s="1"/>
  <c r="E37" i="2" s="1"/>
  <c r="AD18" i="2"/>
  <c r="AD19" i="2" s="1"/>
  <c r="AC18" i="2"/>
  <c r="S17" i="2"/>
  <c r="G85" i="2" l="1"/>
  <c r="H85" i="2" s="1"/>
  <c r="AC11" i="2"/>
  <c r="E38" i="2" s="1"/>
  <c r="AC8" i="2"/>
  <c r="E35" i="2" s="1"/>
  <c r="AC19" i="2"/>
  <c r="AC9" i="2" s="1"/>
  <c r="E36" i="2" s="1"/>
  <c r="F11" i="2"/>
  <c r="F17" i="2"/>
  <c r="F16" i="2"/>
  <c r="F15" i="2"/>
  <c r="F14" i="2"/>
  <c r="BA14" i="2" l="1"/>
  <c r="B28" i="2"/>
  <c r="AD83" i="2" l="1"/>
  <c r="AD86" i="2"/>
  <c r="AD87" i="2"/>
  <c r="AD85" i="2"/>
  <c r="AD84" i="2"/>
  <c r="F13" i="2"/>
  <c r="AD7" i="2"/>
  <c r="F34" i="2" s="1"/>
  <c r="AD8" i="2"/>
  <c r="F35" i="2" s="1"/>
  <c r="AD11" i="2"/>
  <c r="F38" i="2" s="1"/>
  <c r="AD10" i="2"/>
  <c r="F37" i="2" s="1"/>
  <c r="AD9" i="2"/>
  <c r="F36" i="2" s="1"/>
  <c r="AK17" i="2" l="1"/>
  <c r="AH20" i="2"/>
  <c r="AH27" i="2" s="1" a="1"/>
  <c r="AH27" i="2" s="1"/>
  <c r="AK16" i="2"/>
  <c r="AK25" i="2" s="1"/>
  <c r="F42" i="2" s="1" a="1"/>
  <c r="F42" i="2" s="1"/>
  <c r="AK15" i="2"/>
  <c r="AK20" i="2" l="1"/>
  <c r="D42" i="2" s="1" a="1"/>
  <c r="D42" i="2" s="1"/>
  <c r="AH25" i="2"/>
  <c r="AI20" i="2"/>
  <c r="AI25" i="2"/>
  <c r="AU13" i="2"/>
  <c r="AU19" i="2" s="1"/>
  <c r="AT24" i="2"/>
  <c r="AH28" i="2" l="1" a="1"/>
  <c r="AH28" i="2" s="1"/>
  <c r="AH26" i="2" a="1"/>
  <c r="AH26" i="2" s="1"/>
  <c r="AI28" i="2" a="1"/>
  <c r="AI28" i="2" s="1"/>
  <c r="AI26" i="2" a="1"/>
  <c r="AI26" i="2" s="1"/>
  <c r="S21" i="2"/>
  <c r="S20" i="2"/>
  <c r="S19" i="2"/>
  <c r="S18" i="2"/>
  <c r="AI31" i="2" l="1"/>
  <c r="AH31" i="2"/>
  <c r="AH29" i="2"/>
  <c r="AH30" i="2" s="1"/>
  <c r="AI29" i="2"/>
  <c r="AI30" i="2" s="1"/>
  <c r="AU20" i="2"/>
  <c r="AU21" i="2"/>
  <c r="AU22" i="2" s="1"/>
  <c r="T28" i="2"/>
  <c r="G87" i="2" l="1"/>
  <c r="H87" i="2" s="1"/>
  <c r="G86" i="2"/>
  <c r="H86" i="2" s="1"/>
  <c r="DG32" i="2"/>
  <c r="X8" i="2"/>
  <c r="AL8" i="2" s="1"/>
  <c r="X7" i="2"/>
  <c r="BN32" i="2"/>
  <c r="X5" i="2"/>
  <c r="AL5" i="2" s="1"/>
  <c r="Y53" i="2"/>
  <c r="X49" i="2"/>
  <c r="Y39" i="2"/>
  <c r="X39" i="2"/>
  <c r="X42" i="2"/>
  <c r="X46" i="2"/>
  <c r="Y35" i="2"/>
  <c r="Y46" i="2"/>
  <c r="Y52" i="2"/>
  <c r="Y62" i="2"/>
  <c r="X57" i="2"/>
  <c r="X38" i="2"/>
  <c r="X65" i="2"/>
  <c r="X63" i="2"/>
  <c r="Y57" i="2"/>
  <c r="Y55" i="2"/>
  <c r="X56" i="2"/>
  <c r="Y40" i="2"/>
  <c r="Y58" i="2"/>
  <c r="Y56" i="2"/>
  <c r="Y45" i="2"/>
  <c r="Y47" i="2"/>
  <c r="X58" i="2"/>
  <c r="X52" i="2"/>
  <c r="X55" i="2"/>
  <c r="Y51" i="2"/>
  <c r="Y44" i="2"/>
  <c r="Y54" i="2"/>
  <c r="X50" i="2"/>
  <c r="Y48" i="2"/>
  <c r="X62" i="2"/>
  <c r="X45" i="2"/>
  <c r="Y43" i="2"/>
  <c r="X48" i="2"/>
  <c r="Y59" i="2"/>
  <c r="Y38" i="2"/>
  <c r="Y61" i="2"/>
  <c r="X41" i="2"/>
  <c r="Y37" i="2"/>
  <c r="X53" i="2"/>
  <c r="R27" i="2" l="1"/>
  <c r="C22" i="2"/>
  <c r="U5" i="2"/>
  <c r="P23" i="2"/>
  <c r="Q25" i="2"/>
  <c r="Q27" i="2"/>
  <c r="C24" i="2" s="1"/>
  <c r="R26" i="2"/>
  <c r="P24" i="2"/>
  <c r="Q24" i="2"/>
  <c r="R25" i="2"/>
  <c r="Q26" i="2"/>
  <c r="C23" i="2" s="1"/>
  <c r="AL7" i="2"/>
  <c r="U16" i="2"/>
  <c r="U30" i="2"/>
  <c r="U29" i="2"/>
  <c r="S29" i="2"/>
  <c r="T29" i="2"/>
  <c r="F12" i="2"/>
  <c r="Y64" i="2"/>
  <c r="X47" i="2"/>
  <c r="X44" i="2"/>
  <c r="Y63" i="2"/>
  <c r="X54" i="2"/>
  <c r="Y65" i="2"/>
  <c r="X37" i="2"/>
  <c r="Y60" i="2"/>
  <c r="X64" i="2"/>
  <c r="Y41" i="2"/>
  <c r="Y36" i="2"/>
  <c r="X43" i="2"/>
  <c r="Y49" i="2"/>
  <c r="X61" i="2"/>
  <c r="X51" i="2"/>
  <c r="X40" i="2"/>
  <c r="Y42" i="2"/>
  <c r="Y50" i="2"/>
  <c r="X60" i="2"/>
  <c r="X59" i="2"/>
  <c r="T11" i="2" l="1"/>
  <c r="G37" i="2" l="1"/>
  <c r="G62" i="2" s="1"/>
  <c r="AU8" i="2"/>
  <c r="G38" i="2"/>
  <c r="G63" i="2" s="1"/>
  <c r="AU7" i="2"/>
  <c r="AU17" i="2" s="1"/>
  <c r="AU26" i="2" s="1"/>
  <c r="F9" i="2"/>
  <c r="G35" i="2"/>
  <c r="G60" i="2" s="1"/>
  <c r="G36" i="2"/>
  <c r="G61" i="2" s="1"/>
  <c r="G34" i="2"/>
  <c r="G59" i="2" s="1"/>
  <c r="R24" i="2" l="1"/>
  <c r="C25" i="2"/>
  <c r="G88" i="2"/>
  <c r="H88" i="2" s="1"/>
  <c r="G89" i="2"/>
  <c r="H89" i="2" s="1"/>
  <c r="AU18" i="2"/>
  <c r="AU29" i="2" s="1"/>
  <c r="BC18" i="2"/>
  <c r="BC19" i="2"/>
  <c r="AU27" i="2"/>
  <c r="T12" i="2" l="1"/>
  <c r="F10" i="2" s="1"/>
  <c r="AU28" i="2"/>
  <c r="AM3" i="2" s="1"/>
  <c r="BC17" i="2" l="1"/>
  <c r="AA85" i="2"/>
  <c r="AA9" i="2"/>
  <c r="AB83" i="2"/>
  <c r="AA7" i="2"/>
  <c r="C85" i="2" s="1" a="1"/>
  <c r="C85" i="2" s="1"/>
  <c r="AB87" i="2"/>
  <c r="AA83" i="2"/>
  <c r="C59" i="2" s="1"/>
  <c r="AA87" i="2"/>
  <c r="AB86" i="2"/>
  <c r="AA86" i="2"/>
  <c r="AB85" i="2"/>
  <c r="AB84" i="2"/>
  <c r="AA84" i="2"/>
  <c r="AB9" i="2"/>
  <c r="D29" i="2"/>
  <c r="AA11" i="2"/>
  <c r="C42" i="2" s="1"/>
  <c r="AA10" i="2"/>
  <c r="C41" i="2" s="1"/>
  <c r="AA8" i="2"/>
  <c r="AB10" i="2"/>
  <c r="AB11" i="2"/>
  <c r="AB7" i="2"/>
  <c r="AB8" i="2"/>
  <c r="C87" i="2" l="1" a="1"/>
  <c r="C87" i="2" s="1"/>
  <c r="C86" i="2" a="1"/>
  <c r="C86" i="2" s="1"/>
  <c r="E66" i="2"/>
  <c r="F66" i="2" s="1"/>
  <c r="E42" i="2"/>
  <c r="E41" i="2"/>
  <c r="E67" i="2"/>
  <c r="C66" i="2"/>
  <c r="D66" i="2" s="1"/>
  <c r="C67" i="2"/>
  <c r="D67" i="2" s="1"/>
  <c r="C61" i="2"/>
  <c r="D87" i="2" s="1"/>
  <c r="C35" i="2"/>
  <c r="C60" i="2"/>
  <c r="D86" i="2" s="1"/>
  <c r="C62" i="2"/>
  <c r="D88" i="2" s="1"/>
  <c r="C63" i="2"/>
  <c r="D89" i="2" s="1"/>
  <c r="D85" i="2"/>
  <c r="E85" i="2" s="1"/>
  <c r="C36" i="2"/>
  <c r="C34" i="2"/>
  <c r="D59" i="2" s="1"/>
  <c r="C38" i="2"/>
  <c r="C89" i="2" s="1"/>
  <c r="C37" i="2"/>
  <c r="C88" i="2" s="1"/>
  <c r="F67" i="2" l="1"/>
  <c r="E87" i="2"/>
  <c r="D61" i="2"/>
  <c r="E86" i="2"/>
  <c r="E88" i="2"/>
  <c r="E89" i="2"/>
  <c r="D63" i="2"/>
  <c r="D60" i="2"/>
  <c r="D6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Marius Kantautas</author>
  </authors>
  <commentList>
    <comment ref="AP4" authorId="0" shapeId="0" xr:uid="{00000000-0006-0000-0000-000001000000}">
      <text>
        <r>
          <rPr>
            <b/>
            <sz val="8"/>
            <color indexed="81"/>
            <rFont val="Tahoma"/>
            <family val="2"/>
            <charset val="186"/>
          </rPr>
          <t>Author:</t>
        </r>
        <r>
          <rPr>
            <sz val="8"/>
            <color indexed="81"/>
            <rFont val="Tahoma"/>
            <family val="2"/>
            <charset val="186"/>
          </rPr>
          <t xml:space="preserve">
2% metine atsitikimo tikimybe</t>
        </r>
      </text>
    </comment>
    <comment ref="AP5" authorId="0" shapeId="0" xr:uid="{00000000-0006-0000-0000-000002000000}">
      <text>
        <r>
          <rPr>
            <b/>
            <sz val="8"/>
            <color indexed="81"/>
            <rFont val="Tahoma"/>
            <family val="2"/>
            <charset val="186"/>
          </rPr>
          <t>Author:</t>
        </r>
        <r>
          <rPr>
            <sz val="8"/>
            <color indexed="81"/>
            <rFont val="Tahoma"/>
            <family val="2"/>
            <charset val="186"/>
          </rPr>
          <t xml:space="preserve">
Zr na prieda</t>
        </r>
      </text>
    </comment>
    <comment ref="U6" authorId="0" shapeId="0" xr:uid="{E4B150D7-9967-4088-94FB-DE12D5187142}">
      <text>
        <r>
          <rPr>
            <b/>
            <sz val="9"/>
            <color indexed="81"/>
            <rFont val="Tahoma"/>
            <family val="2"/>
            <charset val="186"/>
          </rPr>
          <t>Author:</t>
        </r>
        <r>
          <rPr>
            <sz val="9"/>
            <color indexed="81"/>
            <rFont val="Tahoma"/>
            <family val="2"/>
            <charset val="186"/>
          </rPr>
          <t xml:space="preserve">
If selected "UK NA" addtional parameters: "Altitude A" ; "Ce(z)" ; "Ce,T" must be calculated by NA and entered in to table "Input if UK NA"
</t>
        </r>
      </text>
    </comment>
    <comment ref="AP6" authorId="0" shapeId="0" xr:uid="{00000000-0006-0000-0000-000003000000}">
      <text>
        <r>
          <rPr>
            <b/>
            <sz val="8"/>
            <color indexed="81"/>
            <rFont val="Tahoma"/>
            <family val="2"/>
            <charset val="186"/>
          </rPr>
          <t>Author:</t>
        </r>
        <r>
          <rPr>
            <sz val="8"/>
            <color indexed="81"/>
            <rFont val="Tahoma"/>
            <family val="2"/>
            <charset val="186"/>
          </rPr>
          <t xml:space="preserve">
Zr na prieda</t>
        </r>
      </text>
    </comment>
    <comment ref="T8" authorId="0" shapeId="0" xr:uid="{F50A59BA-7D5D-4027-B45A-7EE193620B74}">
      <text>
        <r>
          <rPr>
            <b/>
            <sz val="9"/>
            <color indexed="81"/>
            <rFont val="Tahoma"/>
            <family val="2"/>
            <charset val="186"/>
          </rPr>
          <t>Author:</t>
        </r>
        <r>
          <rPr>
            <sz val="9"/>
            <color indexed="81"/>
            <rFont val="Tahoma"/>
            <family val="2"/>
            <charset val="186"/>
          </rPr>
          <t xml:space="preserve">
Oro tankis ρ=1,25 [EUROCODE]
Air density ρ=1,226 [UK NA]</t>
        </r>
      </text>
    </comment>
    <comment ref="AP8" authorId="0" shapeId="0" xr:uid="{00000000-0006-0000-0000-000004000000}">
      <text>
        <r>
          <rPr>
            <b/>
            <sz val="8"/>
            <color indexed="81"/>
            <rFont val="Tahoma"/>
            <family val="2"/>
            <charset val="186"/>
          </rPr>
          <t>Author:</t>
        </r>
        <r>
          <rPr>
            <sz val="8"/>
            <color indexed="81"/>
            <rFont val="Tahoma"/>
            <family val="2"/>
            <charset val="186"/>
          </rPr>
          <t xml:space="preserve">
Zr na prieda</t>
        </r>
      </text>
    </comment>
    <comment ref="AP9" authorId="0" shapeId="0" xr:uid="{00000000-0006-0000-0000-000005000000}">
      <text>
        <r>
          <rPr>
            <b/>
            <sz val="8"/>
            <color indexed="81"/>
            <rFont val="Tahoma"/>
            <family val="2"/>
            <charset val="186"/>
          </rPr>
          <t>Author:</t>
        </r>
        <r>
          <rPr>
            <sz val="8"/>
            <color indexed="81"/>
            <rFont val="Tahoma"/>
            <family val="2"/>
            <charset val="186"/>
          </rPr>
          <t xml:space="preserve">
Zr na prieda</t>
        </r>
      </text>
    </comment>
    <comment ref="T10" authorId="1" shapeId="0" xr:uid="{D83C4B36-77CB-4BC3-85FA-8358C90FCF5B}">
      <text>
        <r>
          <rPr>
            <b/>
            <sz val="9"/>
            <color indexed="81"/>
            <rFont val="Tahoma"/>
            <family val="2"/>
            <charset val="186"/>
          </rPr>
          <t>Marius Kantautas:</t>
        </r>
        <r>
          <rPr>
            <sz val="9"/>
            <color indexed="81"/>
            <rFont val="Tahoma"/>
            <family val="2"/>
            <charset val="186"/>
          </rPr>
          <t xml:space="preserve">
The illustrations only for informative purpose. If building height exceeds 15m, evaluate surrounding buildings height and use Procedure2 for category selection.</t>
        </r>
      </text>
    </comment>
    <comment ref="U10" authorId="0" shapeId="0" xr:uid="{67535DE2-BDDC-4051-B1F4-02B8B850C3E3}">
      <text>
        <r>
          <rPr>
            <b/>
            <sz val="9"/>
            <color indexed="81"/>
            <rFont val="Tahoma"/>
            <family val="2"/>
            <charset val="186"/>
          </rPr>
          <t>Author:</t>
        </r>
        <r>
          <rPr>
            <sz val="9"/>
            <color indexed="81"/>
            <rFont val="Tahoma"/>
            <family val="2"/>
            <charset val="186"/>
          </rPr>
          <t xml:space="preserve">
If [EU Table] selected, custom (z0) (zmin) values can be manualy entered for different terrain categories according current country NA, when other values submitted for these categories.</t>
        </r>
      </text>
    </comment>
    <comment ref="T12" authorId="0" shapeId="0" xr:uid="{610CD7BE-6F97-4E91-AE4B-A1ACA58F0FEE}">
      <text>
        <r>
          <rPr>
            <b/>
            <sz val="9"/>
            <color indexed="81"/>
            <rFont val="Tahoma"/>
            <family val="2"/>
            <charset val="186"/>
          </rPr>
          <t>Author:</t>
        </r>
        <r>
          <rPr>
            <sz val="9"/>
            <color indexed="81"/>
            <rFont val="Tahoma"/>
            <family val="2"/>
            <charset val="186"/>
          </rPr>
          <t xml:space="preserve">
qb=0,5*ρ*vb^2
Select ρ for EU or UK</t>
        </r>
      </text>
    </comment>
    <comment ref="T14" authorId="0" shapeId="0" xr:uid="{00000000-0006-0000-0000-000006000000}">
      <text>
        <r>
          <rPr>
            <b/>
            <sz val="9"/>
            <color indexed="81"/>
            <rFont val="Tahoma"/>
            <family val="2"/>
            <charset val="186"/>
          </rPr>
          <t>Author:  Classes acc. EN13830 Curtain walling standard table C.3</t>
        </r>
        <r>
          <rPr>
            <sz val="9"/>
            <color indexed="81"/>
            <rFont val="Tahoma"/>
            <family val="2"/>
            <charset val="186"/>
          </rPr>
          <t xml:space="preserve">
CW FFC - Curtain Walling Framework. Fixings and Cleats.
                #Non structural element not covered by Eurocodes
                [Apdaro karkasas, tvirtinimai ir laikikliai - 
                #Ne konstrukcinis elementas, kuris neįeina į Eurokodus]
Infill panel - [Užpildas - 
                    #Non structural element not covered by Eurocodes
                    #In case of glass infill panels see prEN 16612
                    #Ne konstrukcinis elementas, kuris neįeina į Eurokodus;
                    #Bei Stiklo paketų užpildams žiūrėti reiktų į prEN 16612, 
                     t.y. Stiklo paketų užpildams taikoma kita koeficientų lentelė]</t>
        </r>
      </text>
    </comment>
    <comment ref="U16" authorId="0" shapeId="0" xr:uid="{69AAE751-A329-4332-B558-0D5ACDAB1535}">
      <text>
        <r>
          <rPr>
            <b/>
            <sz val="9"/>
            <color indexed="81"/>
            <rFont val="Tahoma"/>
            <family val="2"/>
            <charset val="186"/>
          </rPr>
          <t>Author:</t>
        </r>
        <r>
          <rPr>
            <sz val="9"/>
            <color indexed="81"/>
            <rFont val="Tahoma"/>
            <family val="2"/>
            <charset val="186"/>
          </rPr>
          <t xml:space="preserve">
Only for UK, otherwise UK results will be incorrect.
Skirta tik UK, kitaip UK skaič. rezultatai bus netikslūs.</t>
        </r>
      </text>
    </comment>
    <comment ref="E23" authorId="0" shapeId="0" xr:uid="{9C4A128C-D496-4B1C-949B-3CE63AE44CA6}">
      <text>
        <r>
          <rPr>
            <b/>
            <sz val="9"/>
            <color indexed="81"/>
            <rFont val="Tahoma"/>
            <family val="2"/>
            <charset val="186"/>
          </rPr>
          <t>Author:</t>
        </r>
        <r>
          <rPr>
            <sz val="9"/>
            <color indexed="81"/>
            <rFont val="Tahoma"/>
            <family val="2"/>
            <charset val="186"/>
          </rPr>
          <t xml:space="preserve">
If [EU Table] selected, custom (z0) (zmin) values can be manualy entered for different terrain categories according current country NA, when other values submitted for these categories.</t>
        </r>
      </text>
    </comment>
    <comment ref="C33" authorId="0" shapeId="0" xr:uid="{00000000-0006-0000-0000-000007000000}">
      <text>
        <r>
          <rPr>
            <b/>
            <sz val="9"/>
            <color indexed="81"/>
            <rFont val="Tahoma"/>
            <family val="2"/>
            <charset val="186"/>
          </rPr>
          <t>Author:</t>
        </r>
        <r>
          <rPr>
            <sz val="9"/>
            <color indexed="81"/>
            <rFont val="Tahoma"/>
            <family val="2"/>
            <charset val="186"/>
          </rPr>
          <t xml:space="preserve">
Vėjo slėgio apkrovos atsirandančios skirtingose fasado zonose 
nurodytame atskaitos ukštyje - z 
vėjui pučiant pagrindiniu greičiu šiaurės pietų kryptimi.</t>
        </r>
      </text>
    </comment>
    <comment ref="D33" authorId="0" shapeId="0" xr:uid="{00000000-0006-0000-0000-000008000000}">
      <text>
        <r>
          <rPr>
            <b/>
            <sz val="9"/>
            <color indexed="81"/>
            <rFont val="Tahoma"/>
            <family val="2"/>
            <charset val="186"/>
          </rPr>
          <t>Author:</t>
        </r>
        <r>
          <rPr>
            <sz val="9"/>
            <color indexed="81"/>
            <rFont val="Tahoma"/>
            <family val="2"/>
            <charset val="186"/>
          </rPr>
          <t xml:space="preserve">
Gabaritinis zonos ilgis nuo pastato kampo vertikalios briaunos. Kai vėjas pučia pastovia,  nurodyta skaičiuojamoje schemoje,
 kryptimi.</t>
        </r>
      </text>
    </comment>
    <comment ref="E33" authorId="0" shapeId="0" xr:uid="{00000000-0006-0000-0000-000009000000}">
      <text>
        <r>
          <rPr>
            <b/>
            <sz val="9"/>
            <color indexed="81"/>
            <rFont val="Tahoma"/>
            <family val="2"/>
            <charset val="186"/>
          </rPr>
          <t>Author:</t>
        </r>
        <r>
          <rPr>
            <sz val="9"/>
            <color indexed="81"/>
            <rFont val="Tahoma"/>
            <family val="2"/>
            <charset val="186"/>
          </rPr>
          <t xml:space="preserve">
Bendras zonos ilgis visu pastato perimetru, kai vėjas pučia Šiaurės Pietų kryptimi.</t>
        </r>
      </text>
    </comment>
    <comment ref="F33" authorId="0" shapeId="0" xr:uid="{00000000-0006-0000-0000-00000A000000}">
      <text>
        <r>
          <rPr>
            <b/>
            <sz val="9"/>
            <color indexed="81"/>
            <rFont val="Tahoma"/>
            <family val="2"/>
            <charset val="186"/>
          </rPr>
          <t>Author:</t>
        </r>
        <r>
          <rPr>
            <sz val="9"/>
            <color indexed="81"/>
            <rFont val="Tahoma"/>
            <family val="2"/>
            <charset val="186"/>
          </rPr>
          <t xml:space="preserve">
Bendras zonos ilgis procentais visu pastato perimetru, kai vėjas pučia Šiaurės Pietų kryptimi.</t>
        </r>
      </text>
    </comment>
    <comment ref="C41" authorId="0" shapeId="0" xr:uid="{47E7FD07-AF0A-4AA6-BBE8-1D96028BFA26}">
      <text>
        <r>
          <rPr>
            <b/>
            <sz val="9"/>
            <color indexed="81"/>
            <rFont val="Tahoma"/>
            <family val="2"/>
            <charset val="186"/>
          </rPr>
          <t>Author:</t>
        </r>
        <r>
          <rPr>
            <sz val="9"/>
            <color indexed="81"/>
            <rFont val="Tahoma"/>
            <family val="2"/>
            <charset val="186"/>
          </rPr>
          <t xml:space="preserve">
Pressure to D zone acc. Figuree 2 and 1
Slėgis į D zoną pagal Schemas 2 ir 1</t>
        </r>
      </text>
    </comment>
    <comment ref="C42" authorId="0" shapeId="0" xr:uid="{436A8DE8-2869-4A5E-91D0-95DB5C128D5D}">
      <text>
        <r>
          <rPr>
            <b/>
            <sz val="9"/>
            <color indexed="81"/>
            <rFont val="Tahoma"/>
            <family val="2"/>
            <charset val="186"/>
          </rPr>
          <t>Author:</t>
        </r>
        <r>
          <rPr>
            <sz val="9"/>
            <color indexed="81"/>
            <rFont val="Tahoma"/>
            <family val="2"/>
            <charset val="186"/>
          </rPr>
          <t xml:space="preserve">
Pressure to E zone acc. Figuree 2 and 1
Slėgis į E zoną pagal Schemas 2 ir 1</t>
        </r>
      </text>
    </comment>
    <comment ref="B53" authorId="0" shapeId="0" xr:uid="{BDBDD496-96FA-4204-8E4E-FA67AD167E58}">
      <text>
        <r>
          <rPr>
            <b/>
            <sz val="9"/>
            <color indexed="81"/>
            <rFont val="Tahoma"/>
            <family val="2"/>
            <charset val="186"/>
          </rPr>
          <t xml:space="preserve">
</t>
        </r>
      </text>
    </comment>
    <comment ref="C58" authorId="0" shapeId="0" xr:uid="{6CF1ED1D-3609-4A17-B44C-AE532D8D7951}">
      <text>
        <r>
          <rPr>
            <b/>
            <sz val="9"/>
            <color indexed="81"/>
            <rFont val="Tahoma"/>
            <family val="2"/>
            <charset val="186"/>
          </rPr>
          <t>Author:</t>
        </r>
        <r>
          <rPr>
            <sz val="9"/>
            <color indexed="81"/>
            <rFont val="Tahoma"/>
            <family val="2"/>
            <charset val="186"/>
          </rPr>
          <t xml:space="preserve">
Vidinio Oro slėgio apkrovos atsirandančios skirtingose fasado zonose vėjui pučiant pasirinkta kryptimi.</t>
        </r>
      </text>
    </comment>
    <comment ref="D58" authorId="0" shapeId="0" xr:uid="{589594AB-BBA7-4229-8333-DD573DA52F7F}">
      <text>
        <r>
          <rPr>
            <b/>
            <sz val="9"/>
            <color indexed="81"/>
            <rFont val="Tahoma"/>
            <family val="2"/>
            <charset val="186"/>
          </rPr>
          <t>Author:</t>
        </r>
        <r>
          <rPr>
            <sz val="9"/>
            <color indexed="81"/>
            <rFont val="Tahoma"/>
            <family val="2"/>
            <charset val="186"/>
          </rPr>
          <t xml:space="preserve">
Vėjo slėgio apkrovos atsirandančios skirtingose fasado zonose 
nurodytame atskaitos ukštyje - z 
vėjui pučiant pagrindiniu greičiu šiaurės pietų kryptimi.</t>
        </r>
      </text>
    </comment>
    <comment ref="C66" authorId="0" shapeId="0" xr:uid="{E06E8EB4-4183-426E-B391-12BC02CE0C89}">
      <text>
        <r>
          <rPr>
            <b/>
            <sz val="9"/>
            <color indexed="81"/>
            <rFont val="Tahoma"/>
            <family val="2"/>
            <charset val="186"/>
          </rPr>
          <t>Author:</t>
        </r>
        <r>
          <rPr>
            <sz val="9"/>
            <color indexed="81"/>
            <rFont val="Tahoma"/>
            <family val="2"/>
            <charset val="186"/>
          </rPr>
          <t xml:space="preserve">
Pressure to D zone acc. Figuree 2 and 1
Slėgis į D zoną pagal Schemas 2 ir 1</t>
        </r>
      </text>
    </comment>
    <comment ref="C67" authorId="0" shapeId="0" xr:uid="{F3D489D1-8409-4B49-9FB4-E59A62B140FA}">
      <text>
        <r>
          <rPr>
            <b/>
            <sz val="9"/>
            <color indexed="81"/>
            <rFont val="Tahoma"/>
            <family val="2"/>
            <charset val="186"/>
          </rPr>
          <t>Author:</t>
        </r>
        <r>
          <rPr>
            <sz val="9"/>
            <color indexed="81"/>
            <rFont val="Tahoma"/>
            <family val="2"/>
            <charset val="186"/>
          </rPr>
          <t xml:space="preserve">
Pressure to E zone acc. Figuree 2 and 1
Slėgis į E zoną pagal Schemas 2 ir 1</t>
        </r>
      </text>
    </comment>
    <comment ref="L79" authorId="0" shapeId="0" xr:uid="{C559871C-497B-4A1B-8305-E3A0E2DC24E3}">
      <text>
        <r>
          <rPr>
            <b/>
            <sz val="9"/>
            <color indexed="81"/>
            <rFont val="Tahoma"/>
            <family val="2"/>
            <charset val="186"/>
          </rPr>
          <t>Author:</t>
        </r>
        <r>
          <rPr>
            <sz val="9"/>
            <color indexed="81"/>
            <rFont val="Tahoma"/>
            <family val="2"/>
            <charset val="186"/>
          </rPr>
          <t xml:space="preserve">
Manual input parameters, if known (Acc. situation plans/ Google maps).
If there risk of funneling effect, but imposible to estimate, the Intermediate or Most critical effect must be chosen according the situation and risk.</t>
        </r>
      </text>
    </comment>
    <comment ref="C84" authorId="0" shapeId="0" xr:uid="{E36AEF30-C23D-4AAC-829D-46A9D49B4BA8}">
      <text>
        <r>
          <rPr>
            <b/>
            <sz val="9"/>
            <color indexed="81"/>
            <rFont val="Tahoma"/>
            <family val="2"/>
            <charset val="186"/>
          </rPr>
          <t>Author:</t>
        </r>
        <r>
          <rPr>
            <sz val="9"/>
            <color indexed="81"/>
            <rFont val="Tahoma"/>
            <family val="2"/>
            <charset val="186"/>
          </rPr>
          <t xml:space="preserve">
Vėjo slėgio apkrovos atsirandančios skirtingose fasado zonose 
nurodytame atskaitos aukštyje - z 
vėjui pučiant pagrindiniu greičiu šiaurės pietų kryptimi.</t>
        </r>
      </text>
    </comment>
    <comment ref="D84" authorId="0" shapeId="0" xr:uid="{D959BD34-3D2A-44F9-BD50-7192796A658D}">
      <text>
        <r>
          <rPr>
            <b/>
            <sz val="9"/>
            <color indexed="81"/>
            <rFont val="Tahoma"/>
            <family val="2"/>
            <charset val="186"/>
          </rPr>
          <t>Author:</t>
        </r>
        <r>
          <rPr>
            <sz val="9"/>
            <color indexed="81"/>
            <rFont val="Tahoma"/>
            <family val="2"/>
            <charset val="186"/>
          </rPr>
          <t xml:space="preserve">
Vidinio Oro slėgio apkrovos atsirandančios skirtingose fasado zonose vėjui pučiant pasirinkta kryptimi.</t>
        </r>
      </text>
    </comment>
    <comment ref="E84" authorId="0" shapeId="0" xr:uid="{438DE30D-0CFC-4B5A-879F-F84C39D2CC39}">
      <text>
        <r>
          <rPr>
            <b/>
            <sz val="9"/>
            <color indexed="81"/>
            <rFont val="Tahoma"/>
            <family val="2"/>
            <charset val="186"/>
          </rPr>
          <t>Author:</t>
        </r>
        <r>
          <rPr>
            <sz val="9"/>
            <color indexed="81"/>
            <rFont val="Tahoma"/>
            <family val="2"/>
            <charset val="186"/>
          </rPr>
          <t xml:space="preserve">
Vėjo slėgio apkrovos atsirandančios skirtingose fasado zonose 
nurodytame atskaitos aukštyje - z 
vėjui pučiant pagrindiniu greičiu šiaurės pietų kryptimi.</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9769B4-A030-4DE8-AA5C-0723875F3C85}" keepAlive="1" name="Query - EU" description="Connection to the 'EU' query in the workbook." type="5" refreshedVersion="6" background="1">
    <dbPr connection="Provider=Microsoft.Mashup.OleDb.1;Data Source=$Workbook$;Location=EU;Extended Properties=&quot;&quot;" command="SELECT * FROM [EU]"/>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<sst xmlns="http://schemas.openxmlformats.org/spreadsheetml/2006/main" count="713" uniqueCount="313">
  <si>
    <t>Cdir - krypties koeficientas</t>
  </si>
  <si>
    <t>Cseason- metu laiko koeficientas</t>
  </si>
  <si>
    <t>P - oro tankis</t>
  </si>
  <si>
    <t>m/s</t>
  </si>
  <si>
    <t>Qb=P/2*Vb2</t>
  </si>
  <si>
    <t>kn/m2</t>
  </si>
  <si>
    <t>Kr - vietoves koeficientas</t>
  </si>
  <si>
    <t>z(0,II)</t>
  </si>
  <si>
    <t>Kr=0,19*(z0/z02)^0,07</t>
  </si>
  <si>
    <t>z(0) - siurksciojo ruozo ilgis</t>
  </si>
  <si>
    <t>v(b) - pagrindinis vejo greitis</t>
  </si>
  <si>
    <t>v(b)=Cdir*Cseason*v(b,0)</t>
  </si>
  <si>
    <t>cr(z) - siurkstumo koeficientas</t>
  </si>
  <si>
    <t>cr(z)=kr*ln(z/z0)</t>
  </si>
  <si>
    <t>Qp - virsutinis greicio slegis atskaitos auksciui</t>
  </si>
  <si>
    <t>???</t>
  </si>
  <si>
    <t>cr(z)=kr*ln(zmin/z0)</t>
  </si>
  <si>
    <t>pasitikrinimui ar geros reiksmes</t>
  </si>
  <si>
    <t>Gaunama</t>
  </si>
  <si>
    <t xml:space="preserve">Pagal lentele * Qb </t>
  </si>
  <si>
    <t>Jei pastato aukstis &gt; uz zmin, tada 1 reiksme, jei ne, tada 2 reiksme.</t>
  </si>
  <si>
    <t>A</t>
  </si>
  <si>
    <t>B</t>
  </si>
  <si>
    <t>C</t>
  </si>
  <si>
    <t>D</t>
  </si>
  <si>
    <t>E</t>
  </si>
  <si>
    <t>Ruozas</t>
  </si>
  <si>
    <t>e=</t>
  </si>
  <si>
    <t>perimetras m'</t>
  </si>
  <si>
    <t>K</t>
  </si>
  <si>
    <t>n</t>
  </si>
  <si>
    <t>p</t>
  </si>
  <si>
    <t>Cprob</t>
  </si>
  <si>
    <t>Fasado zonos</t>
  </si>
  <si>
    <t>ilgis %</t>
  </si>
  <si>
    <t>Vietovės kategorija</t>
  </si>
  <si>
    <t>Aukšto zonos</t>
  </si>
  <si>
    <t>Apkrova kN/m2</t>
  </si>
  <si>
    <t>m'</t>
  </si>
  <si>
    <r>
      <t>m</t>
    </r>
    <r>
      <rPr>
        <sz val="10"/>
        <color theme="1"/>
        <rFont val="Calibri"/>
        <family val="2"/>
        <charset val="186"/>
      </rPr>
      <t>²</t>
    </r>
  </si>
  <si>
    <t>I</t>
  </si>
  <si>
    <t>II</t>
  </si>
  <si>
    <t>III</t>
  </si>
  <si>
    <t>IV</t>
  </si>
  <si>
    <t>LT</t>
  </si>
  <si>
    <t>SE</t>
  </si>
  <si>
    <t>NO</t>
  </si>
  <si>
    <t>UK</t>
  </si>
  <si>
    <t>Custom</t>
  </si>
  <si>
    <t>Miestai</t>
  </si>
  <si>
    <t>Vėjo greitis</t>
  </si>
  <si>
    <t>Default Saugumo klasės koeficientas</t>
  </si>
  <si>
    <t>Vilnius</t>
  </si>
  <si>
    <t>Kaunas</t>
  </si>
  <si>
    <t>Klaipėda</t>
  </si>
  <si>
    <t>-</t>
  </si>
  <si>
    <t>Stockholm</t>
  </si>
  <si>
    <t>London</t>
  </si>
  <si>
    <t>Miestas??</t>
  </si>
  <si>
    <t>Error'as:</t>
  </si>
  <si>
    <t>m²</t>
  </si>
  <si>
    <t>Papl.1</t>
  </si>
  <si>
    <t>Papl.2</t>
  </si>
  <si>
    <t>Papl.3</t>
  </si>
  <si>
    <t>Papl.4</t>
  </si>
  <si>
    <t>Papl.5</t>
  </si>
  <si>
    <t>CC1</t>
  </si>
  <si>
    <t>CC2</t>
  </si>
  <si>
    <t>CC3</t>
  </si>
  <si>
    <t>chr. Qp aukštyje z</t>
  </si>
  <si>
    <t>H/d</t>
  </si>
  <si>
    <t>Kfi</t>
  </si>
  <si>
    <t>CC0.*</t>
  </si>
  <si>
    <t>**</t>
  </si>
  <si>
    <t>CW FFC</t>
  </si>
  <si>
    <t>Infill panel</t>
  </si>
  <si>
    <t>Type of element to be calculated</t>
  </si>
  <si>
    <t>Table C.3</t>
  </si>
  <si>
    <t>Tipas ??</t>
  </si>
  <si>
    <t>Gama Q sup (from Table C.3)</t>
  </si>
  <si>
    <t>Pasekmių klasės</t>
  </si>
  <si>
    <t>Vėjo apkrovos reikšmės</t>
  </si>
  <si>
    <t>Cpe10</t>
  </si>
  <si>
    <t>Cpe1</t>
  </si>
  <si>
    <t>Santykis</t>
  </si>
  <si>
    <t>Cpe-10.1 nuo A</t>
  </si>
  <si>
    <t xml:space="preserve">Back to </t>
  </si>
  <si>
    <t>e=min( b arba 2 h)</t>
  </si>
  <si>
    <t>Oslo</t>
  </si>
  <si>
    <t>Stavanger</t>
  </si>
  <si>
    <t>Bergen</t>
  </si>
  <si>
    <t>Trondheim</t>
  </si>
  <si>
    <t>Ålesund</t>
  </si>
  <si>
    <t>Bodø</t>
  </si>
  <si>
    <t>Tromsø</t>
  </si>
  <si>
    <t>Narvik</t>
  </si>
  <si>
    <t>Frederikstad</t>
  </si>
  <si>
    <t>Lillehammer</t>
  </si>
  <si>
    <t>Kristiansand</t>
  </si>
  <si>
    <t>Utena</t>
  </si>
  <si>
    <t>Šiauliai</t>
  </si>
  <si>
    <t>Panevėžys</t>
  </si>
  <si>
    <t>Alytus</t>
  </si>
  <si>
    <t>Marijampolė</t>
  </si>
  <si>
    <t>Rokiškis</t>
  </si>
  <si>
    <t>Malmö</t>
  </si>
  <si>
    <t>Göteborg</t>
  </si>
  <si>
    <t>Jönköping</t>
  </si>
  <si>
    <t>Linköping</t>
  </si>
  <si>
    <t>Norrköping</t>
  </si>
  <si>
    <t>Örebro</t>
  </si>
  <si>
    <t>Västerås</t>
  </si>
  <si>
    <t>Uppsala</t>
  </si>
  <si>
    <t>Sundsvall</t>
  </si>
  <si>
    <t>Umeå</t>
  </si>
  <si>
    <t>Kiruna</t>
  </si>
  <si>
    <t>Luleå</t>
  </si>
  <si>
    <t>Skellefteå</t>
  </si>
  <si>
    <t>Storuman</t>
  </si>
  <si>
    <t>Östresund</t>
  </si>
  <si>
    <t>Borlänge</t>
  </si>
  <si>
    <t>Gävle</t>
  </si>
  <si>
    <t>Karlstad</t>
  </si>
  <si>
    <t>Kalmar</t>
  </si>
  <si>
    <t>Kretinga</t>
  </si>
  <si>
    <t>Šilutė</t>
  </si>
  <si>
    <t>Pasvalys</t>
  </si>
  <si>
    <t>Pakruojis</t>
  </si>
  <si>
    <t>Trakai</t>
  </si>
  <si>
    <t>Biržai</t>
  </si>
  <si>
    <t>Manchester</t>
  </si>
  <si>
    <t>Liverpool</t>
  </si>
  <si>
    <t>Edinburgh</t>
  </si>
  <si>
    <t>Glasgow</t>
  </si>
  <si>
    <t>Moss</t>
  </si>
  <si>
    <t>Birmingham</t>
  </si>
  <si>
    <t>Belfast</t>
  </si>
  <si>
    <t>Newcastle</t>
  </si>
  <si>
    <t>Šalį pasirink !</t>
  </si>
  <si>
    <t>H/b</t>
  </si>
  <si>
    <t>e nuo d=</t>
  </si>
  <si>
    <t>b atkarpose</t>
  </si>
  <si>
    <t>d atkarpose</t>
  </si>
  <si>
    <t>O</t>
  </si>
  <si>
    <t>Bendras</t>
  </si>
  <si>
    <t>TOTAL</t>
  </si>
  <si>
    <t>b atk.Abu galai</t>
  </si>
  <si>
    <t>d atk.Abu galai</t>
  </si>
  <si>
    <t>bd</t>
  </si>
  <si>
    <t>db</t>
  </si>
  <si>
    <t>Lietuvių</t>
  </si>
  <si>
    <t>English</t>
  </si>
  <si>
    <t>Kalbos:</t>
  </si>
  <si>
    <t>kN/m2</t>
  </si>
  <si>
    <t>EU</t>
  </si>
  <si>
    <t>e/4</t>
  </si>
  <si>
    <t>e/2</t>
  </si>
  <si>
    <t>gap</t>
  </si>
  <si>
    <t>e</t>
  </si>
  <si>
    <t>Cpe-10.1 internal preassure</t>
  </si>
  <si>
    <t>Cpi=+0; Cpi=-0,3</t>
  </si>
  <si>
    <t>Segmentavimas neleidžiamas darant prielaidą, kad vėjo srautas gali aplenkti pastatą ne tik pro šonus ir viršų, bet ir sūkuriais leistis žemyn.</t>
  </si>
  <si>
    <t xml:space="preserve">EN 1991-1-4 negali būti taikomas be tos šalies NA (nacionalinio priedo). </t>
  </si>
  <si>
    <t>CHARACTERISTIC</t>
  </si>
  <si>
    <t>DESIGN (Skaičiuotinė)</t>
  </si>
  <si>
    <t>SELECT EN/LT LANGUAGE:</t>
  </si>
  <si>
    <t>Cpi=+0,2;Cpi=-0,3</t>
  </si>
  <si>
    <t>Zone-</t>
  </si>
  <si>
    <t>Šalis / Kontinentas</t>
  </si>
  <si>
    <t>m</t>
  </si>
  <si>
    <t>b</t>
  </si>
  <si>
    <t>d</t>
  </si>
  <si>
    <t>Select e:</t>
  </si>
  <si>
    <t>2 * Gap</t>
  </si>
  <si>
    <t>Refer to EN 1991-1-4 Section  7.2.9 Internal pressure</t>
  </si>
  <si>
    <t>2*H</t>
  </si>
  <si>
    <t>2*H2(d2)</t>
  </si>
  <si>
    <t>b1</t>
  </si>
  <si>
    <t>d2</t>
  </si>
  <si>
    <t>Gap1</t>
  </si>
  <si>
    <t>Gap2</t>
  </si>
  <si>
    <t>Gap3</t>
  </si>
  <si>
    <t>2*H1(b1)</t>
  </si>
  <si>
    <t>Most critical value when Gap=e/2</t>
  </si>
  <si>
    <t>Intermediate effect</t>
  </si>
  <si>
    <t>No effect</t>
  </si>
  <si>
    <t>Input parameters</t>
  </si>
  <si>
    <t>For UK projects - internal pressures within the building are generated in line with BS EN 1991-1-4, Section 7.2.9,Note 2:</t>
  </si>
  <si>
    <t>Select coefficient:</t>
  </si>
  <si>
    <t>No effect when Gap&lt;e/4 or Gap&gt;e</t>
  </si>
  <si>
    <t>m  (input)</t>
  </si>
  <si>
    <t>Cpi internal</t>
  </si>
  <si>
    <t>Manual Cpi input</t>
  </si>
  <si>
    <t>Internal selection</t>
  </si>
  <si>
    <t>Funneling selection</t>
  </si>
  <si>
    <t>For information</t>
  </si>
  <si>
    <r>
      <t xml:space="preserve">Cpe10.1 </t>
    </r>
    <r>
      <rPr>
        <sz val="10"/>
        <rFont val="Arial"/>
        <family val="2"/>
        <charset val="186"/>
      </rPr>
      <t>funneling</t>
    </r>
  </si>
  <si>
    <t>Selected</t>
  </si>
  <si>
    <t>Manual Cpi par.</t>
  </si>
  <si>
    <t>(INPUT)</t>
  </si>
  <si>
    <t>"+0 -0"</t>
  </si>
  <si>
    <t>"+0 -0,3"</t>
  </si>
  <si>
    <t>"+0,2 -0,3"</t>
  </si>
  <si>
    <t>Refer to NA of BS 1991-1-4 NA.2.27 Values of external pressure coefficients for vertical walls</t>
  </si>
  <si>
    <t>Pasėkmių klasė??</t>
  </si>
  <si>
    <t>Advanced wind pressure design, if additional parameters are provided and current wind influence is required by NA or project specification:</t>
  </si>
  <si>
    <t>No effect (+0 -0)</t>
  </si>
  <si>
    <t>Detaliau žiūrėti EN 1991-1-4 skyrius 7.2.9 Vidinis slėgis</t>
  </si>
  <si>
    <t>Dažnai vidinio slėgio įtaką gana sunku apsakičiuoti, jei jį įvertinti reikalauja šalių Nacionaliniai priedai NA (pvz UK) ar projekto specifikacija, tada rekomenduojama vadovautis 2 pastaba.</t>
  </si>
  <si>
    <r>
      <t xml:space="preserve">*Jei nereikalauja rekomenduojama vidinio slėgio nevertinti </t>
    </r>
    <r>
      <rPr>
        <b/>
        <sz val="11"/>
        <color rgb="FF0070C0"/>
        <rFont val="Arial"/>
        <family val="2"/>
        <charset val="186"/>
      </rPr>
      <t>[No effect (+0 -0)]</t>
    </r>
  </si>
  <si>
    <t>Cp net</t>
  </si>
  <si>
    <t>Cpe-Cpi</t>
  </si>
  <si>
    <t>Cpe H/b</t>
  </si>
  <si>
    <t>Cpe H/d</t>
  </si>
  <si>
    <t>Wind to b</t>
  </si>
  <si>
    <t>Wind to d</t>
  </si>
  <si>
    <t>MAX</t>
  </si>
  <si>
    <t>Cpe external (Max H/d H/b)</t>
  </si>
  <si>
    <t>(db)</t>
  </si>
  <si>
    <t>(bd)</t>
  </si>
  <si>
    <t>UK NA</t>
  </si>
  <si>
    <t>NET* (Ext - Int)</t>
  </si>
  <si>
    <t>External press.
on ext. panels</t>
  </si>
  <si>
    <t>Cpe10.1 fun - Cpi</t>
  </si>
  <si>
    <t>H1(b1)</t>
  </si>
  <si>
    <t>H2(d2)</t>
  </si>
  <si>
    <t>(D)**</t>
  </si>
  <si>
    <t>( D )**</t>
  </si>
  <si>
    <t>( E )**</t>
  </si>
  <si>
    <t>UK vėjo apkrovoms yra skirtas tikslesnis BS 6399 ; PD6688-1-4:2009 (praktiškai jie į savo NA ir sudėjo visą tą standartą, kaip daugelis šalių taip su savo nacionaliniais dokumentais ir padarė). Kadangi jis nesikerta su EC, gali būti naudojamas kaip papildomas dokumentas (EC tai leidžia). Standartas apima sudėtingesnes pastatų formas ir pan.</t>
  </si>
  <si>
    <t>(E)**</t>
  </si>
  <si>
    <t>Select Gap:</t>
  </si>
  <si>
    <t>[ Int ] Internal</t>
  </si>
  <si>
    <t>Wind pressure with funneling</t>
  </si>
  <si>
    <t>Internal air/wind pressure loads</t>
  </si>
  <si>
    <t>Ext External</t>
  </si>
  <si>
    <t>Selected:</t>
  </si>
  <si>
    <t>[ Ext ] External with funneling</t>
  </si>
  <si>
    <r>
      <rPr>
        <b/>
        <sz val="10"/>
        <color rgb="FFFF0000"/>
        <rFont val="Arial"/>
        <family val="2"/>
        <charset val="186"/>
      </rPr>
      <t>NET*</t>
    </r>
    <r>
      <rPr>
        <b/>
        <sz val="10"/>
        <color rgb="FF0070C0"/>
        <rFont val="Arial"/>
        <family val="2"/>
        <charset val="186"/>
      </rPr>
      <t xml:space="preserve"> (Ext with funneling - Int)</t>
    </r>
  </si>
  <si>
    <r>
      <rPr>
        <b/>
        <sz val="10"/>
        <color rgb="FFFF0000"/>
        <rFont val="Arial"/>
        <family val="2"/>
        <charset val="186"/>
      </rPr>
      <t>NET*</t>
    </r>
    <r>
      <rPr>
        <b/>
        <sz val="10"/>
        <color rgb="FF0070C0"/>
        <rFont val="Arial"/>
        <family val="2"/>
        <charset val="186"/>
      </rPr>
      <t xml:space="preserve"> (Ext - Int)</t>
    </r>
  </si>
  <si>
    <t>Skaičiuojant apkrovas fasadams neleidžiamas horizontalus vėjo apkrovų segmentavimas (nepriklausomai nuo h ir b santykio). Kitaip sakant, viršūninį vėjo greičio slėgį aukštyje z (z=h) turime taikyti per visą pastato aukštį. (Segmentavimas taikomas konstruktyvo skaičiavimui, kadangi didžiausią lenkimo momentą ties pamatu sukuria didžiausias vėjo slėgis viršuje, o apačioje beveik neturi įtakos).</t>
  </si>
  <si>
    <t>Keletas patarimų/taisyklių susijusių su vėjo apkrovomis fasaduose (pabrėžiu fasaduose, nes tai šiek tiek skiriasi nuo vėjo apkrovų skaičiavimo pastato konstruktyvui):</t>
  </si>
  <si>
    <r>
      <t>Cp_</t>
    </r>
    <r>
      <rPr>
        <b/>
        <sz val="10"/>
        <color rgb="FFFF0000"/>
        <rFont val="Arial"/>
        <family val="2"/>
        <charset val="186"/>
      </rPr>
      <t>net</t>
    </r>
  </si>
  <si>
    <t>Funneling coeff. Cpe</t>
  </si>
  <si>
    <t>(on ref. height z)</t>
  </si>
  <si>
    <t>Calt</t>
  </si>
  <si>
    <t>Altitude A, m</t>
  </si>
  <si>
    <t>chr. Qp aukštyje z UK</t>
  </si>
  <si>
    <t>Minor effect</t>
  </si>
  <si>
    <t>(Eurocode)</t>
  </si>
  <si>
    <t>Ce(z)</t>
  </si>
  <si>
    <t>Ce,T</t>
  </si>
  <si>
    <r>
      <rPr>
        <b/>
        <sz val="9"/>
        <color rgb="FFFF0000"/>
        <rFont val="Arial"/>
        <family val="2"/>
        <charset val="186"/>
      </rPr>
      <t xml:space="preserve">NET </t>
    </r>
    <r>
      <rPr>
        <b/>
        <sz val="9"/>
        <color rgb="FF0070C0"/>
        <rFont val="Arial"/>
        <family val="2"/>
        <charset val="186"/>
      </rPr>
      <t>pressure on CW, Glass units</t>
    </r>
  </si>
  <si>
    <t>Note: Funneling also occurs on bridge openings between two blocks of building or openings to internal courtyard.</t>
  </si>
  <si>
    <t>Note: In complex shapes and indentations the ~20% increase of funneling is possible - Zone A (-1,9) B/C (-1,1) D(+1,0)</t>
  </si>
  <si>
    <t>Terrain category</t>
  </si>
  <si>
    <t>z0, m</t>
  </si>
  <si>
    <t>zmin, m</t>
  </si>
  <si>
    <t>BRE Digest 436 Part 1 Wind loading on buildings. Brief guidance for using BS 6399-2:1997</t>
  </si>
  <si>
    <t>(EU Table)</t>
  </si>
  <si>
    <t>Eurocode table</t>
  </si>
  <si>
    <t>High effect</t>
  </si>
  <si>
    <t>(recommended always to calculate infuence of this effect for UK projects)</t>
  </si>
  <si>
    <t>Maximum effect</t>
  </si>
  <si>
    <t>Dist. to Sea</t>
  </si>
  <si>
    <t>Dist. into Town</t>
  </si>
  <si>
    <t>km</t>
  </si>
  <si>
    <t>(UK NA Figure)</t>
  </si>
  <si>
    <t/>
  </si>
  <si>
    <t>Bristol</t>
  </si>
  <si>
    <t>NA to BS EN 1991-1-4:2005+A1:2010</t>
  </si>
  <si>
    <t>prEN 166112:2013</t>
  </si>
  <si>
    <t>Figure NA.1 Value of fundamental basic wind velocity vb,map (m/s) before the altitude corrextion is applied</t>
  </si>
  <si>
    <t>NL</t>
  </si>
  <si>
    <t>DE</t>
  </si>
  <si>
    <t>CH (SW)</t>
  </si>
  <si>
    <t>AT</t>
  </si>
  <si>
    <t>BE</t>
  </si>
  <si>
    <t>I-</t>
  </si>
  <si>
    <t>II-</t>
  </si>
  <si>
    <t>III-</t>
  </si>
  <si>
    <t>Z-</t>
  </si>
  <si>
    <t>NL - Netherlands NEN-EN 1991-1-4</t>
  </si>
  <si>
    <t>Algorithm:</t>
  </si>
  <si>
    <t>[UK NA]</t>
  </si>
  <si>
    <t>[Eurocode]</t>
  </si>
  <si>
    <t>UK NA factors:</t>
  </si>
  <si>
    <t>IT CONTAINS CONFIDENTIAL UAB STATICUS INFORMATION, ANY COPYING OR DISTRIBUTION OF THIS FILE IS STRICTLY PROHIBITED AND UNLAWFUL !!!</t>
  </si>
  <si>
    <r>
      <rPr>
        <i/>
        <u/>
        <sz val="20"/>
        <color rgb="FF0070C0"/>
        <rFont val="Arial"/>
        <family val="2"/>
        <charset val="186"/>
      </rPr>
      <t>StaticusLab</t>
    </r>
    <r>
      <rPr>
        <i/>
        <sz val="20"/>
        <color rgb="FF0070C0"/>
        <rFont val="Arial"/>
        <family val="2"/>
        <charset val="186"/>
      </rPr>
      <t xml:space="preserve"> S-Wind 3.0_Mind</t>
    </r>
  </si>
  <si>
    <t>The illustrations only for informative purpose. If building height exceeds 15m, evaluate surrounding buildings height and use Procedure2 for cat. selection.</t>
  </si>
  <si>
    <t>e(b)=min((b ; 2*H)or(b1 ; 2*H2(b1)))</t>
  </si>
  <si>
    <t>e(d)=min((d ; 2*H)or(d2 ; 2*H2(d2)))</t>
  </si>
  <si>
    <t>Design criteria</t>
  </si>
  <si>
    <t>Requirement</t>
  </si>
  <si>
    <t>Ref. Document</t>
  </si>
  <si>
    <t>Paste all Project base references here:</t>
  </si>
  <si>
    <t xml:space="preserve">Wind load kN/m2 </t>
  </si>
  <si>
    <t xml:space="preserve">Wind load (Localised) kN/m2 </t>
  </si>
  <si>
    <t>Snow load kN/m2</t>
  </si>
  <si>
    <t xml:space="preserve">Building occupant loads applied vertically </t>
  </si>
  <si>
    <t>Building occupant loads applied horizontally</t>
  </si>
  <si>
    <t>Access and maintenance loads applies horizontally</t>
  </si>
  <si>
    <t>Calculation Process notes:</t>
  </si>
  <si>
    <t>Wind load calculation:</t>
  </si>
  <si>
    <t>Wind load peak velocity</t>
  </si>
  <si>
    <t>Calculation of wind peak velocity pressure - UK &amp; Irish National Annex (eurocodeapplied.com)</t>
  </si>
  <si>
    <t>Altitude of the site above mean sea level</t>
  </si>
  <si>
    <t>https://www.freemaptools.com/elevation-finder.htm</t>
  </si>
  <si>
    <t>Upwind distance to shoreline along the examined wind direction</t>
  </si>
  <si>
    <t>https://www.doogal.co.uk/DistanceToSea</t>
  </si>
  <si>
    <t>Notes on how to fill online tool:</t>
  </si>
  <si>
    <t>Also need to input qb in excel spreadsheet</t>
  </si>
  <si>
    <t>Also need to input Ce(Z) in excel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</si>
</sst>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00\ _€_-;\-* #,##0.00\ _€_-;_-* &quot;-&quot;??\ _€_-;_-@_-"/>
    <numFmt numFmtId="165" formatCode="_-* #,##0.000\ _€_-;\-* #,##0.000\ _€_-;_-* &quot;-&quot;??\ _€_-;_-@_-"/>
    <numFmt numFmtId="166" formatCode="_-* #,##0.000\ _€_-;\-* #,##0.000\ _€_-;_-* &quot;-&quot;???\ _€_-;_-@_-"/>
    <numFmt numFmtId="167" formatCode="_-* #,##0.0000\ _€_-;\-* #,##0.0000\ _€_-;_-* &quot;-&quot;???\ _€_-;_-@_-"/>
    <numFmt numFmtId="168" formatCode="_-* #,##0.0000\ _€_-;\-* #,##0.0000\ _€_-;_-* &quot;-&quot;????\ _€_-;_-@_-"/>
    <numFmt numFmtId="169" formatCode="_-* #,##0.000\ _€_-;\-* #,##0.000\ _€_-;_-* &quot;-&quot;????\ _€_-;_-@_-"/>
    <numFmt numFmtId="170" formatCode="0.0"/>
    <numFmt numFmtId="171" formatCode="0.000"/>
  </numFmts>
  <fonts count="66" x14ac:knownFonts="1">
    <font>
      <sz val="11"/>
      <color theme="1"/>
      <name val="Calibri"/>
      <family val="2"/>
      <scheme val="minor"/>
    </font>
    <font>
      <sz val="11"/>
      <color theme="1"/>
      <name val="Calibri"/>
      <family val="2"/>
      <scheme val="minor"/>
    </font>
    <font>
      <sz val="8"/>
      <color indexed="81"/>
      <name val="Tahoma"/>
      <family val="2"/>
      <charset val="186"/>
    </font>
    <font>
      <b/>
      <sz val="8"/>
      <color indexed="81"/>
      <name val="Tahoma"/>
      <family val="2"/>
      <charset val="186"/>
    </font>
    <font>
      <b/>
      <sz val="11"/>
      <color theme="1"/>
      <name val="Calibri"/>
      <family val="2"/>
      <charset val="186"/>
      <scheme val="minor"/>
    </font>
    <font>
      <sz val="10"/>
      <color theme="1"/>
      <name val="Arial"/>
      <family val="2"/>
      <charset val="186"/>
    </font>
    <font>
      <sz val="9"/>
      <color theme="1"/>
      <name val="Arial"/>
      <family val="2"/>
      <charset val="186"/>
    </font>
    <font>
      <i/>
      <sz val="10"/>
      <color theme="1"/>
      <name val="Arial"/>
      <family val="2"/>
      <charset val="186"/>
    </font>
    <font>
      <b/>
      <i/>
      <sz val="10"/>
      <color theme="1"/>
      <name val="Arial"/>
      <family val="2"/>
      <charset val="186"/>
    </font>
    <font>
      <i/>
      <sz val="12"/>
      <color theme="1"/>
      <name val="Arial"/>
      <family val="2"/>
      <charset val="186"/>
    </font>
    <font>
      <b/>
      <sz val="10"/>
      <color theme="1"/>
      <name val="Arial"/>
      <family val="2"/>
      <charset val="186"/>
    </font>
    <font>
      <sz val="10"/>
      <color theme="1"/>
      <name val="Calibri"/>
      <family val="2"/>
      <charset val="186"/>
    </font>
    <font>
      <sz val="10"/>
      <color theme="1"/>
      <name val="Times New Roman"/>
      <family val="1"/>
      <charset val="186"/>
    </font>
    <font>
      <b/>
      <i/>
      <u/>
      <sz val="10"/>
      <color theme="1"/>
      <name val="Arial"/>
      <family val="2"/>
      <charset val="186"/>
    </font>
    <font>
      <b/>
      <sz val="10"/>
      <color rgb="FF7030A0"/>
      <name val="Arial"/>
      <family val="2"/>
      <charset val="186"/>
    </font>
    <font>
      <sz val="10"/>
      <name val="Arial"/>
      <family val="2"/>
      <charset val="186"/>
    </font>
    <font>
      <b/>
      <sz val="10"/>
      <name val="Arial"/>
      <family val="2"/>
      <charset val="186"/>
    </font>
    <font>
      <b/>
      <sz val="10"/>
      <color rgb="FFC00000"/>
      <name val="Arial"/>
      <family val="2"/>
      <charset val="186"/>
    </font>
    <font>
      <sz val="9"/>
      <color indexed="81"/>
      <name val="Tahoma"/>
      <family val="2"/>
      <charset val="186"/>
    </font>
    <font>
      <b/>
      <sz val="9"/>
      <color indexed="81"/>
      <name val="Tahoma"/>
      <family val="2"/>
      <charset val="186"/>
    </font>
    <font>
      <sz val="10"/>
      <color theme="1"/>
      <name val="Wingdings"/>
      <charset val="2"/>
    </font>
    <font>
      <b/>
      <sz val="10"/>
      <color theme="0" tint="-4.9989318521683403E-2"/>
      <name val="Arial"/>
      <family val="2"/>
      <charset val="186"/>
    </font>
    <font>
      <b/>
      <i/>
      <sz val="10"/>
      <color rgb="FFFF0000"/>
      <name val="Arial"/>
      <family val="2"/>
      <charset val="186"/>
    </font>
    <font>
      <sz val="10"/>
      <color rgb="FFFF0000"/>
      <name val="Arial"/>
      <family val="2"/>
      <charset val="186"/>
    </font>
    <font>
      <b/>
      <sz val="10"/>
      <color theme="2" tint="-0.749992370372631"/>
      <name val="Arial"/>
      <family val="2"/>
      <charset val="186"/>
    </font>
    <font>
      <sz val="10"/>
      <color theme="1"/>
      <name val="Calibri"/>
      <family val="2"/>
      <scheme val="minor"/>
    </font>
    <font>
      <sz val="10"/>
      <name val="Calibri"/>
      <family val="2"/>
      <scheme val="minor"/>
    </font>
    <font>
      <b/>
      <sz val="10"/>
      <color rgb="FF002060"/>
      <name val="Arial"/>
      <family val="2"/>
      <charset val="186"/>
    </font>
    <font>
      <sz val="10"/>
      <color rgb="FFC00000"/>
      <name val="Arial"/>
      <family val="2"/>
      <charset val="186"/>
    </font>
    <font>
      <b/>
      <i/>
      <sz val="10"/>
      <color rgb="FFC00000"/>
      <name val="Arial"/>
      <family val="2"/>
      <charset val="186"/>
    </font>
    <font>
      <i/>
      <sz val="9"/>
      <color rgb="FFC00000"/>
      <name val="Calibri"/>
      <family val="2"/>
      <charset val="186"/>
      <scheme val="minor"/>
    </font>
    <font>
      <b/>
      <sz val="10"/>
      <color theme="7" tint="0.79998168889431442"/>
      <name val="Arial"/>
      <family val="2"/>
      <charset val="186"/>
    </font>
    <font>
      <b/>
      <i/>
      <sz val="10"/>
      <color theme="7" tint="0.79998168889431442"/>
      <name val="Arial"/>
      <family val="2"/>
      <charset val="186"/>
    </font>
    <font>
      <b/>
      <i/>
      <sz val="9"/>
      <name val="Arial"/>
      <family val="2"/>
      <charset val="186"/>
    </font>
    <font>
      <b/>
      <i/>
      <sz val="10"/>
      <color rgb="FF002060"/>
      <name val="Arial"/>
      <family val="2"/>
      <charset val="186"/>
    </font>
    <font>
      <b/>
      <sz val="9"/>
      <color rgb="FF0070C0"/>
      <name val="Arial"/>
      <family val="2"/>
      <charset val="186"/>
    </font>
    <font>
      <i/>
      <sz val="10"/>
      <color rgb="FF002060"/>
      <name val="Arial"/>
      <family val="2"/>
      <charset val="186"/>
    </font>
    <font>
      <b/>
      <sz val="10"/>
      <color theme="0"/>
      <name val="Arial"/>
      <family val="2"/>
      <charset val="186"/>
    </font>
    <font>
      <sz val="10"/>
      <color theme="0"/>
      <name val="Arial"/>
      <family val="2"/>
      <charset val="186"/>
    </font>
    <font>
      <sz val="8"/>
      <name val="Calibri"/>
      <family val="2"/>
      <scheme val="minor"/>
    </font>
    <font>
      <b/>
      <sz val="10"/>
      <color rgb="FFFF0000"/>
      <name val="Arial"/>
      <family val="2"/>
      <charset val="186"/>
    </font>
    <font>
      <b/>
      <sz val="10"/>
      <color rgb="FF0070C0"/>
      <name val="Arial"/>
      <family val="2"/>
      <charset val="186"/>
    </font>
    <font>
      <b/>
      <sz val="9"/>
      <color rgb="FFFF0000"/>
      <name val="Arial"/>
      <family val="2"/>
      <charset val="186"/>
    </font>
    <font>
      <b/>
      <sz val="8"/>
      <color rgb="FFFF0000"/>
      <name val="Arial"/>
      <family val="2"/>
      <charset val="186"/>
    </font>
    <font>
      <b/>
      <u/>
      <sz val="10"/>
      <color theme="1"/>
      <name val="Arial"/>
      <family val="2"/>
      <charset val="186"/>
    </font>
    <font>
      <b/>
      <sz val="11"/>
      <name val="Arial"/>
      <family val="2"/>
      <charset val="186"/>
    </font>
    <font>
      <b/>
      <sz val="8"/>
      <name val="Arial"/>
      <family val="2"/>
      <charset val="186"/>
    </font>
    <font>
      <b/>
      <sz val="11"/>
      <color rgb="FFFF0000"/>
      <name val="Arial"/>
      <family val="2"/>
      <charset val="186"/>
    </font>
    <font>
      <b/>
      <sz val="11"/>
      <color rgb="FF0070C0"/>
      <name val="Arial"/>
      <family val="2"/>
      <charset val="186"/>
    </font>
    <font>
      <sz val="10"/>
      <color rgb="FF0070C0"/>
      <name val="Arial"/>
      <family val="2"/>
      <charset val="186"/>
    </font>
    <font>
      <i/>
      <sz val="11"/>
      <color rgb="FFC00000"/>
      <name val="Calibri"/>
      <family val="2"/>
      <charset val="186"/>
      <scheme val="minor"/>
    </font>
    <font>
      <b/>
      <i/>
      <sz val="9"/>
      <color theme="1"/>
      <name val="Arial"/>
      <family val="2"/>
      <charset val="186"/>
    </font>
    <font>
      <b/>
      <i/>
      <sz val="10"/>
      <color rgb="FF0070C0"/>
      <name val="Arial"/>
      <family val="2"/>
      <charset val="186"/>
    </font>
    <font>
      <i/>
      <sz val="20"/>
      <color rgb="FF0070C0"/>
      <name val="Arial"/>
      <family val="2"/>
      <charset val="186"/>
    </font>
    <font>
      <i/>
      <sz val="12"/>
      <color rgb="FFC00000"/>
      <name val="Calibri"/>
      <family val="2"/>
      <charset val="186"/>
      <scheme val="minor"/>
    </font>
    <font>
      <u/>
      <sz val="11"/>
      <color theme="10"/>
      <name val="Calibri"/>
      <family val="2"/>
      <scheme val="minor"/>
    </font>
    <font>
      <i/>
      <sz val="10"/>
      <color rgb="FF0070C0"/>
      <name val="Arial"/>
      <family val="2"/>
      <charset val="186"/>
    </font>
    <font>
      <i/>
      <sz val="10"/>
      <color rgb="FFC00000"/>
      <name val="Arial"/>
      <family val="2"/>
      <charset val="186"/>
    </font>
    <font>
      <b/>
      <u/>
      <sz val="11"/>
      <color theme="10"/>
      <name val="Calibri"/>
      <family val="2"/>
      <charset val="186"/>
      <scheme val="minor"/>
    </font>
    <font>
      <i/>
      <u/>
      <sz val="20"/>
      <color rgb="FF0070C0"/>
      <name val="Arial"/>
      <family val="2"/>
      <charset val="186"/>
    </font>
    <font>
      <b/>
      <sz val="11"/>
      <color theme="1"/>
      <name val="Calibri"/>
      <family val="2"/>
      <scheme val="minor"/>
    </font>
    <font>
      <sz val="10"/>
      <color rgb="FF000000"/>
      <name val="Times New Roman"/>
      <family val="1"/>
    </font>
    <font>
      <b/>
      <sz val="11"/>
      <name val="Arial"/>
      <family val="2"/>
    </font>
    <font>
      <b/>
      <sz val="11"/>
      <color rgb="FFFF0000"/>
      <name val="Calibri"/>
      <family val="2"/>
      <scheme val="minor"/>
    </font>
    <font>
      <sz val="11"/>
      <name val="Arial"/>
      <family val="2"/>
    </font>
    <font>
      <b/>
      <sz val="11"/>
      <color rgb="FFFF0000"/>
      <name val="Arial"/>
      <family val="2"/>
    </font>
  </fonts>
  <fills count="33">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rgb="FFC00000"/>
        <bgColor indexed="64"/>
      </patternFill>
    </fill>
    <fill>
      <patternFill patternType="solid">
        <fgColor theme="6"/>
        <bgColor theme="6"/>
      </patternFill>
    </fill>
    <fill>
      <patternFill patternType="solid">
        <fgColor rgb="FF92D050"/>
        <bgColor indexed="64"/>
      </patternFill>
    </fill>
    <fill>
      <patternFill patternType="solid">
        <fgColor theme="5"/>
        <bgColor theme="5"/>
      </patternFill>
    </fill>
    <fill>
      <patternFill patternType="solid">
        <fgColor theme="1"/>
        <bgColor theme="1"/>
      </patternFill>
    </fill>
    <fill>
      <patternFill patternType="solid">
        <fgColor theme="5" tint="-0.249977111117893"/>
        <bgColor theme="5" tint="-0.249977111117893"/>
      </patternFill>
    </fill>
    <fill>
      <patternFill patternType="solid">
        <fgColor theme="4" tint="0.59999389629810485"/>
        <bgColor indexed="64"/>
      </patternFill>
    </fill>
    <fill>
      <patternFill patternType="solid">
        <fgColor rgb="FFFF000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indexed="64"/>
      </left>
      <right style="thin">
        <color theme="0"/>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double">
        <color rgb="FF00B050"/>
      </right>
      <top/>
      <bottom/>
      <diagonal/>
    </border>
    <border>
      <left style="double">
        <color rgb="FF00B050"/>
      </left>
      <right/>
      <top/>
      <bottom/>
      <diagonal/>
    </border>
    <border>
      <left style="thin">
        <color theme="0"/>
      </left>
      <right/>
      <top style="thin">
        <color auto="1"/>
      </top>
      <bottom style="thin">
        <color theme="0"/>
      </bottom>
      <diagonal/>
    </border>
    <border>
      <left/>
      <right style="thin">
        <color auto="1"/>
      </right>
      <top style="thin">
        <color auto="1"/>
      </top>
      <bottom style="thin">
        <color theme="0"/>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rgb="FF00B050"/>
      </left>
      <right/>
      <top/>
      <bottom style="double">
        <color rgb="FF00B050"/>
      </bottom>
      <diagonal/>
    </border>
    <border>
      <left/>
      <right/>
      <top/>
      <bottom style="double">
        <color rgb="FF00B050"/>
      </bottom>
      <diagonal/>
    </border>
    <border>
      <left style="double">
        <color rgb="FF00B050"/>
      </left>
      <right/>
      <top style="double">
        <color rgb="FF00B050"/>
      </top>
      <bottom/>
      <diagonal/>
    </border>
    <border>
      <left/>
      <right/>
      <top style="double">
        <color rgb="FF00B050"/>
      </top>
      <bottom/>
      <diagonal/>
    </border>
    <border>
      <left/>
      <right style="thin">
        <color theme="0" tint="-0.499984740745262"/>
      </right>
      <top/>
      <bottom/>
      <diagonal/>
    </border>
    <border>
      <left/>
      <right style="hair">
        <color auto="1"/>
      </right>
      <top/>
      <bottom/>
      <diagonal/>
    </border>
    <border>
      <left style="thin">
        <color auto="1"/>
      </left>
      <right style="hair">
        <color auto="1"/>
      </right>
      <top/>
      <bottom/>
      <diagonal/>
    </border>
    <border>
      <left style="hair">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5"/>
      </left>
      <right style="thin">
        <color theme="5"/>
      </right>
      <top style="thin">
        <color theme="5"/>
      </top>
      <bottom style="thin">
        <color theme="5"/>
      </bottom>
      <diagonal/>
    </border>
    <border>
      <left/>
      <right/>
      <top style="thin">
        <color auto="1"/>
      </top>
      <bottom style="thin">
        <color theme="0"/>
      </bottom>
      <diagonal/>
    </border>
    <border>
      <left/>
      <right style="double">
        <color rgb="FF00B050"/>
      </right>
      <top/>
      <bottom style="double">
        <color rgb="FF00B050"/>
      </bottom>
      <diagonal/>
    </border>
    <border>
      <left/>
      <right style="double">
        <color rgb="FF00B050"/>
      </right>
      <top style="double">
        <color rgb="FF00B05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dotted">
        <color indexed="64"/>
      </left>
      <right style="thin">
        <color indexed="64"/>
      </right>
      <top style="thin">
        <color indexed="64"/>
      </top>
      <bottom style="thin">
        <color indexed="64"/>
      </bottom>
      <diagonal/>
    </border>
    <border>
      <left style="thin">
        <color theme="0"/>
      </left>
      <right style="thin">
        <color auto="1"/>
      </right>
      <top style="thin">
        <color theme="0"/>
      </top>
      <bottom/>
      <diagonal/>
    </border>
    <border>
      <left style="thin">
        <color auto="1"/>
      </left>
      <right/>
      <top style="double">
        <color auto="1"/>
      </top>
      <bottom/>
      <diagonal/>
    </border>
    <border>
      <left style="thin">
        <color theme="0"/>
      </left>
      <right/>
      <top/>
      <bottom/>
      <diagonal/>
    </border>
    <border>
      <left style="thin">
        <color theme="0"/>
      </left>
      <right style="thin">
        <color indexed="64"/>
      </right>
      <top/>
      <bottom/>
      <diagonal/>
    </border>
    <border>
      <left style="thin">
        <color indexed="64"/>
      </left>
      <right/>
      <top style="thick">
        <color theme="0"/>
      </top>
      <bottom/>
      <diagonal/>
    </border>
    <border>
      <left style="thin">
        <color theme="0"/>
      </left>
      <right/>
      <top style="thick">
        <color theme="0"/>
      </top>
      <bottom/>
      <diagonal/>
    </border>
    <border>
      <left style="thin">
        <color theme="0"/>
      </left>
      <right style="thin">
        <color indexed="64"/>
      </right>
      <top style="thick">
        <color theme="0"/>
      </top>
      <bottom/>
      <diagonal/>
    </border>
    <border>
      <left style="thin">
        <color indexed="64"/>
      </left>
      <right/>
      <top style="thin">
        <color theme="0"/>
      </top>
      <bottom/>
      <diagonal/>
    </border>
    <border>
      <left style="thin">
        <color theme="0"/>
      </left>
      <right/>
      <top style="double">
        <color auto="1"/>
      </top>
      <bottom/>
      <diagonal/>
    </border>
    <border>
      <left style="thin">
        <color theme="0"/>
      </left>
      <right style="thin">
        <color indexed="64"/>
      </right>
      <top style="double">
        <color auto="1"/>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style="thin">
        <color indexed="64"/>
      </left>
      <right style="medium">
        <color theme="0"/>
      </right>
      <top/>
      <bottom style="thin">
        <color indexed="64"/>
      </bottom>
      <diagonal/>
    </border>
    <border>
      <left style="thin">
        <color theme="0"/>
      </left>
      <right style="thin">
        <color indexed="64"/>
      </right>
      <top style="thin">
        <color indexed="64"/>
      </top>
      <bottom/>
      <diagonal/>
    </border>
    <border>
      <left style="thin">
        <color theme="0"/>
      </left>
      <right/>
      <top style="thin">
        <color indexed="64"/>
      </top>
      <bottom/>
      <diagonal/>
    </border>
    <border>
      <left/>
      <right style="double">
        <color rgb="FF00B050"/>
      </right>
      <top/>
      <bottom style="medium">
        <color theme="1"/>
      </bottom>
      <diagonal/>
    </border>
    <border>
      <left style="medium">
        <color indexed="64"/>
      </left>
      <right/>
      <top/>
      <bottom style="medium">
        <color indexed="64"/>
      </bottom>
      <diagonal/>
    </border>
    <border>
      <left style="medium">
        <color indexed="64"/>
      </left>
      <right/>
      <top/>
      <bottom/>
      <diagonal/>
    </border>
    <border>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tint="-0.499984740745262"/>
      </left>
      <right style="slantDashDot">
        <color theme="1"/>
      </right>
      <top style="thin">
        <color theme="0" tint="-0.499984740745262"/>
      </top>
      <bottom style="thin">
        <color theme="0" tint="-0.499984740745262"/>
      </bottom>
      <diagonal/>
    </border>
    <border>
      <left/>
      <right/>
      <top style="medium">
        <color indexed="64"/>
      </top>
      <bottom style="thin">
        <color indexed="64"/>
      </bottom>
      <diagonal/>
    </border>
    <border>
      <left/>
      <right/>
      <top/>
      <bottom style="double">
        <color auto="1"/>
      </bottom>
      <diagonal/>
    </border>
    <border>
      <left style="thin">
        <color theme="0" tint="-0.499984740745262"/>
      </left>
      <right style="slantDashDot">
        <color auto="1"/>
      </right>
      <top style="thin">
        <color theme="0" tint="-0.499984740745262"/>
      </top>
      <bottom style="thin">
        <color theme="0" tint="-0.499984740745262"/>
      </bottom>
      <diagonal/>
    </border>
    <border>
      <left style="double">
        <color rgb="FF00B050"/>
      </left>
      <right/>
      <top/>
      <bottom style="thin">
        <color indexed="64"/>
      </bottom>
      <diagonal/>
    </border>
    <border>
      <left/>
      <right style="double">
        <color rgb="FF00B050"/>
      </right>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55" fillId="0" borderId="0" applyNumberFormat="0" applyFill="0" applyBorder="0" applyAlignment="0" applyProtection="0"/>
    <xf numFmtId="0" fontId="61" fillId="0" borderId="0"/>
  </cellStyleXfs>
  <cellXfs count="404">
    <xf numFmtId="0" fontId="0" fillId="0" borderId="0" xfId="0"/>
    <xf numFmtId="0" fontId="5" fillId="0" borderId="0" xfId="0" applyFont="1"/>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2" xfId="0" applyFont="1" applyBorder="1"/>
    <xf numFmtId="0" fontId="5" fillId="0" borderId="11" xfId="0" applyFont="1" applyBorder="1"/>
    <xf numFmtId="0" fontId="5" fillId="0" borderId="1" xfId="0" applyFont="1" applyBorder="1"/>
    <xf numFmtId="0" fontId="5" fillId="0" borderId="8" xfId="0" applyFont="1" applyBorder="1" applyAlignment="1">
      <alignment horizontal="center"/>
    </xf>
    <xf numFmtId="0" fontId="5" fillId="0" borderId="3" xfId="0" applyFont="1" applyBorder="1" applyProtection="1">
      <protection hidden="1"/>
    </xf>
    <xf numFmtId="0" fontId="5" fillId="0" borderId="0" xfId="0" applyFont="1" applyProtection="1">
      <protection hidden="1"/>
    </xf>
    <xf numFmtId="0" fontId="5" fillId="0" borderId="15" xfId="0" applyFont="1" applyBorder="1" applyProtection="1">
      <protection hidden="1"/>
    </xf>
    <xf numFmtId="0" fontId="5" fillId="0" borderId="16" xfId="0" applyFont="1" applyBorder="1" applyProtection="1">
      <protection hidden="1"/>
    </xf>
    <xf numFmtId="0" fontId="5" fillId="0" borderId="4" xfId="0" applyFont="1" applyBorder="1" applyProtection="1">
      <protection hidden="1"/>
    </xf>
    <xf numFmtId="0" fontId="5" fillId="7" borderId="19" xfId="0" applyFont="1" applyFill="1" applyBorder="1" applyProtection="1">
      <protection hidden="1"/>
    </xf>
    <xf numFmtId="0" fontId="5" fillId="7" borderId="20" xfId="0" applyFont="1" applyFill="1" applyBorder="1" applyProtection="1">
      <protection hidden="1"/>
    </xf>
    <xf numFmtId="0" fontId="13" fillId="7" borderId="20" xfId="0" applyFont="1" applyFill="1" applyBorder="1" applyAlignment="1" applyProtection="1">
      <alignment horizontal="right"/>
      <protection hidden="1"/>
    </xf>
    <xf numFmtId="0" fontId="5" fillId="7" borderId="21" xfId="0" applyFont="1" applyFill="1" applyBorder="1" applyProtection="1">
      <protection hidden="1"/>
    </xf>
    <xf numFmtId="0" fontId="5" fillId="7" borderId="22" xfId="0" applyFont="1" applyFill="1" applyBorder="1" applyProtection="1">
      <protection hidden="1"/>
    </xf>
    <xf numFmtId="0" fontId="5" fillId="7" borderId="0" xfId="0" applyFont="1" applyFill="1" applyProtection="1">
      <protection hidden="1"/>
    </xf>
    <xf numFmtId="0" fontId="5" fillId="7" borderId="23" xfId="0" applyFont="1" applyFill="1" applyBorder="1" applyProtection="1">
      <protection hidden="1"/>
    </xf>
    <xf numFmtId="0" fontId="5" fillId="0" borderId="1" xfId="0" applyFont="1" applyBorder="1" applyProtection="1">
      <protection hidden="1"/>
    </xf>
    <xf numFmtId="0" fontId="5" fillId="0" borderId="5" xfId="0" applyFont="1" applyBorder="1" applyProtection="1">
      <protection hidden="1"/>
    </xf>
    <xf numFmtId="0" fontId="5" fillId="0" borderId="6" xfId="0" applyFont="1" applyBorder="1" applyProtection="1">
      <protection hidden="1"/>
    </xf>
    <xf numFmtId="0" fontId="5" fillId="0" borderId="7" xfId="0" applyFont="1" applyBorder="1" applyProtection="1">
      <protection hidden="1"/>
    </xf>
    <xf numFmtId="0" fontId="5" fillId="7" borderId="0" xfId="0" applyFont="1" applyFill="1" applyAlignment="1" applyProtection="1">
      <alignment horizontal="right"/>
      <protection hidden="1"/>
    </xf>
    <xf numFmtId="0" fontId="5" fillId="0" borderId="8" xfId="0" applyFont="1" applyBorder="1" applyProtection="1">
      <protection hidden="1"/>
    </xf>
    <xf numFmtId="0" fontId="8" fillId="6" borderId="5" xfId="0" applyFont="1" applyFill="1" applyBorder="1" applyProtection="1">
      <protection hidden="1"/>
    </xf>
    <xf numFmtId="0" fontId="5" fillId="6" borderId="6" xfId="0" applyFont="1" applyFill="1" applyBorder="1" applyProtection="1">
      <protection hidden="1"/>
    </xf>
    <xf numFmtId="0" fontId="5" fillId="6" borderId="7" xfId="0" applyFont="1" applyFill="1" applyBorder="1" applyAlignment="1" applyProtection="1">
      <alignment horizontal="left"/>
      <protection hidden="1"/>
    </xf>
    <xf numFmtId="0" fontId="5" fillId="0" borderId="9" xfId="0" applyFont="1" applyBorder="1" applyProtection="1">
      <protection hidden="1"/>
    </xf>
    <xf numFmtId="0" fontId="5" fillId="6" borderId="8" xfId="0" applyFont="1" applyFill="1" applyBorder="1" applyProtection="1">
      <protection hidden="1"/>
    </xf>
    <xf numFmtId="0" fontId="5" fillId="6" borderId="0" xfId="0" applyFont="1" applyFill="1" applyProtection="1">
      <protection hidden="1"/>
    </xf>
    <xf numFmtId="0" fontId="5" fillId="6" borderId="9" xfId="0" applyFont="1" applyFill="1" applyBorder="1" applyAlignment="1" applyProtection="1">
      <alignment horizontal="left"/>
      <protection hidden="1"/>
    </xf>
    <xf numFmtId="0" fontId="5" fillId="6" borderId="9" xfId="0" applyFont="1" applyFill="1" applyBorder="1" applyAlignment="1" applyProtection="1">
      <alignment horizontal="left" vertical="center"/>
      <protection hidden="1"/>
    </xf>
    <xf numFmtId="0" fontId="12" fillId="6" borderId="9" xfId="0" applyFont="1" applyFill="1" applyBorder="1" applyAlignment="1" applyProtection="1">
      <alignment horizontal="left" vertical="center"/>
      <protection hidden="1"/>
    </xf>
    <xf numFmtId="0" fontId="5" fillId="7" borderId="22" xfId="0" applyFont="1" applyFill="1" applyBorder="1" applyAlignment="1" applyProtection="1">
      <alignment vertical="center"/>
      <protection hidden="1"/>
    </xf>
    <xf numFmtId="0" fontId="5" fillId="7" borderId="0" xfId="0" applyFont="1" applyFill="1" applyAlignment="1" applyProtection="1">
      <alignment vertical="center"/>
      <protection hidden="1"/>
    </xf>
    <xf numFmtId="0" fontId="5" fillId="7" borderId="31" xfId="0" applyFont="1" applyFill="1" applyBorder="1" applyAlignment="1" applyProtection="1">
      <alignment horizontal="right" vertical="center"/>
      <protection hidden="1"/>
    </xf>
    <xf numFmtId="0" fontId="5" fillId="7" borderId="23" xfId="0" applyFont="1" applyFill="1" applyBorder="1" applyAlignment="1" applyProtection="1">
      <alignment vertical="center"/>
      <protection hidden="1"/>
    </xf>
    <xf numFmtId="2" fontId="5" fillId="6" borderId="9" xfId="0" applyNumberFormat="1" applyFont="1" applyFill="1" applyBorder="1" applyAlignment="1" applyProtection="1">
      <alignment horizontal="left" vertical="center"/>
      <protection hidden="1"/>
    </xf>
    <xf numFmtId="2" fontId="15" fillId="6" borderId="14" xfId="0" applyNumberFormat="1" applyFont="1" applyFill="1" applyBorder="1" applyAlignment="1" applyProtection="1">
      <alignment horizontal="center" vertical="center"/>
      <protection hidden="1"/>
    </xf>
    <xf numFmtId="0" fontId="20" fillId="7" borderId="23" xfId="0" applyFont="1" applyFill="1" applyBorder="1" applyProtection="1">
      <protection hidden="1"/>
    </xf>
    <xf numFmtId="0" fontId="5" fillId="7" borderId="22" xfId="0" applyFont="1" applyFill="1" applyBorder="1" applyAlignment="1" applyProtection="1">
      <alignment horizontal="right" vertical="center"/>
      <protection hidden="1"/>
    </xf>
    <xf numFmtId="0" fontId="5" fillId="7" borderId="0" xfId="0" applyFont="1" applyFill="1" applyAlignment="1" applyProtection="1">
      <alignment horizontal="right" vertical="center"/>
      <protection hidden="1"/>
    </xf>
    <xf numFmtId="0" fontId="5" fillId="0" borderId="1" xfId="0" applyFont="1" applyBorder="1" applyAlignment="1" applyProtection="1">
      <alignment horizontal="center"/>
      <protection hidden="1"/>
    </xf>
    <xf numFmtId="0" fontId="5" fillId="6" borderId="10" xfId="0" applyFont="1" applyFill="1" applyBorder="1" applyProtection="1">
      <protection hidden="1"/>
    </xf>
    <xf numFmtId="0" fontId="5" fillId="6" borderId="2" xfId="0" applyFont="1" applyFill="1" applyBorder="1" applyProtection="1">
      <protection hidden="1"/>
    </xf>
    <xf numFmtId="0" fontId="5" fillId="6" borderId="11" xfId="0" applyFont="1" applyFill="1" applyBorder="1" applyAlignment="1" applyProtection="1">
      <alignment horizontal="left"/>
      <protection hidden="1"/>
    </xf>
    <xf numFmtId="0" fontId="5" fillId="7" borderId="24" xfId="0" applyFont="1" applyFill="1" applyBorder="1" applyProtection="1">
      <protection hidden="1"/>
    </xf>
    <xf numFmtId="0" fontId="5" fillId="7" borderId="25" xfId="0" applyFont="1" applyFill="1" applyBorder="1" applyProtection="1">
      <protection hidden="1"/>
    </xf>
    <xf numFmtId="0" fontId="5" fillId="7" borderId="26" xfId="0" applyFont="1" applyFill="1" applyBorder="1" applyProtection="1">
      <protection hidden="1"/>
    </xf>
    <xf numFmtId="0" fontId="5" fillId="0" borderId="10" xfId="0" applyFont="1" applyBorder="1" applyProtection="1">
      <protection hidden="1"/>
    </xf>
    <xf numFmtId="0" fontId="5" fillId="0" borderId="2" xfId="0" applyFont="1" applyBorder="1" applyProtection="1">
      <protection hidden="1"/>
    </xf>
    <xf numFmtId="0" fontId="5" fillId="0" borderId="11" xfId="0" applyFont="1" applyBorder="1" applyProtection="1">
      <protection hidden="1"/>
    </xf>
    <xf numFmtId="0" fontId="7" fillId="11" borderId="5" xfId="0" applyFont="1" applyFill="1" applyBorder="1" applyProtection="1">
      <protection hidden="1"/>
    </xf>
    <xf numFmtId="0" fontId="5" fillId="11" borderId="6" xfId="0" applyFont="1" applyFill="1" applyBorder="1" applyProtection="1">
      <protection hidden="1"/>
    </xf>
    <xf numFmtId="0" fontId="5" fillId="11" borderId="7" xfId="0" applyFont="1" applyFill="1" applyBorder="1" applyProtection="1">
      <protection hidden="1"/>
    </xf>
    <xf numFmtId="0" fontId="5" fillId="11" borderId="8" xfId="0" applyFont="1" applyFill="1" applyBorder="1" applyAlignment="1" applyProtection="1">
      <alignment horizontal="right"/>
      <protection hidden="1"/>
    </xf>
    <xf numFmtId="0" fontId="5" fillId="11" borderId="9" xfId="0" applyFont="1" applyFill="1" applyBorder="1" applyProtection="1">
      <protection hidden="1"/>
    </xf>
    <xf numFmtId="0" fontId="4" fillId="0" borderId="9" xfId="0" applyFont="1" applyBorder="1" applyProtection="1">
      <protection hidden="1"/>
    </xf>
    <xf numFmtId="0" fontId="5" fillId="11" borderId="10" xfId="0" applyFont="1" applyFill="1" applyBorder="1" applyAlignment="1" applyProtection="1">
      <alignment horizontal="right"/>
      <protection hidden="1"/>
    </xf>
    <xf numFmtId="171" fontId="10" fillId="9" borderId="2" xfId="0" applyNumberFormat="1" applyFont="1" applyFill="1" applyBorder="1" applyProtection="1">
      <protection hidden="1"/>
    </xf>
    <xf numFmtId="0" fontId="5" fillId="11" borderId="11" xfId="0" applyFont="1" applyFill="1" applyBorder="1" applyProtection="1">
      <protection hidden="1"/>
    </xf>
    <xf numFmtId="0" fontId="4" fillId="0" borderId="9" xfId="0" applyFont="1" applyBorder="1" applyAlignment="1" applyProtection="1">
      <alignment horizontal="center" vertical="center" wrapText="1"/>
      <protection hidden="1"/>
    </xf>
    <xf numFmtId="9" fontId="0" fillId="0" borderId="9" xfId="2" applyFont="1" applyBorder="1" applyAlignment="1" applyProtection="1">
      <alignment horizontal="center"/>
      <protection hidden="1"/>
    </xf>
    <xf numFmtId="0" fontId="5" fillId="0" borderId="27" xfId="0" applyFont="1" applyBorder="1" applyProtection="1">
      <protection hidden="1"/>
    </xf>
    <xf numFmtId="0" fontId="5" fillId="0" borderId="28" xfId="0" applyFont="1" applyBorder="1" applyProtection="1">
      <protection hidden="1"/>
    </xf>
    <xf numFmtId="0" fontId="5" fillId="0" borderId="29" xfId="0" applyFont="1" applyBorder="1" applyProtection="1">
      <protection hidden="1"/>
    </xf>
    <xf numFmtId="49" fontId="14" fillId="8" borderId="30" xfId="0" applyNumberFormat="1" applyFont="1" applyFill="1" applyBorder="1" applyProtection="1">
      <protection hidden="1"/>
    </xf>
    <xf numFmtId="0" fontId="5" fillId="0" borderId="30" xfId="0" applyFont="1" applyBorder="1" applyProtection="1">
      <protection hidden="1"/>
    </xf>
    <xf numFmtId="0" fontId="14" fillId="5" borderId="30" xfId="0" applyFont="1" applyFill="1" applyBorder="1" applyProtection="1">
      <protection hidden="1"/>
    </xf>
    <xf numFmtId="0" fontId="6" fillId="0" borderId="33" xfId="0" applyFont="1" applyBorder="1" applyAlignment="1" applyProtection="1">
      <alignment horizontal="center" vertical="center" wrapText="1"/>
      <protection hidden="1"/>
    </xf>
    <xf numFmtId="0" fontId="6" fillId="0" borderId="34" xfId="0" applyFont="1" applyBorder="1" applyAlignment="1" applyProtection="1">
      <alignment horizontal="center" vertical="center" wrapText="1"/>
      <protection hidden="1"/>
    </xf>
    <xf numFmtId="0" fontId="6" fillId="0" borderId="9" xfId="0" applyFont="1" applyBorder="1" applyAlignment="1" applyProtection="1">
      <alignment horizontal="center" vertical="center" wrapText="1"/>
      <protection hidden="1"/>
    </xf>
    <xf numFmtId="0" fontId="6" fillId="0" borderId="12" xfId="0" applyFont="1" applyBorder="1" applyAlignment="1" applyProtection="1">
      <alignment horizontal="center" vertical="center"/>
      <protection hidden="1"/>
    </xf>
    <xf numFmtId="0" fontId="6" fillId="0" borderId="5" xfId="0" applyFont="1" applyBorder="1" applyAlignment="1" applyProtection="1">
      <alignment horizontal="center" vertical="center" wrapText="1"/>
      <protection hidden="1"/>
    </xf>
    <xf numFmtId="0" fontId="6" fillId="0" borderId="8" xfId="0" applyFont="1" applyBorder="1" applyAlignment="1" applyProtection="1">
      <alignment horizontal="center" vertical="center" wrapText="1"/>
      <protection hidden="1"/>
    </xf>
    <xf numFmtId="0" fontId="6" fillId="0" borderId="6" xfId="0" applyFont="1" applyBorder="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0" fontId="6" fillId="0" borderId="0" xfId="0" applyFont="1" applyAlignment="1" applyProtection="1">
      <alignment horizontal="center" vertical="center"/>
      <protection hidden="1"/>
    </xf>
    <xf numFmtId="0" fontId="5" fillId="8" borderId="32" xfId="0" applyFont="1" applyFill="1" applyBorder="1" applyProtection="1">
      <protection hidden="1"/>
    </xf>
    <xf numFmtId="0" fontId="5" fillId="8" borderId="34" xfId="0" applyFont="1" applyFill="1" applyBorder="1" applyProtection="1">
      <protection hidden="1"/>
    </xf>
    <xf numFmtId="0" fontId="5" fillId="8" borderId="33" xfId="0" applyFont="1" applyFill="1" applyBorder="1" applyAlignment="1" applyProtection="1">
      <alignment horizontal="center"/>
      <protection hidden="1"/>
    </xf>
    <xf numFmtId="0" fontId="10" fillId="9" borderId="34" xfId="0" applyFont="1" applyFill="1" applyBorder="1" applyAlignment="1" applyProtection="1">
      <alignment horizontal="center"/>
      <protection hidden="1"/>
    </xf>
    <xf numFmtId="0" fontId="5" fillId="8" borderId="33" xfId="0" applyFont="1" applyFill="1" applyBorder="1" applyProtection="1">
      <protection hidden="1"/>
    </xf>
    <xf numFmtId="0" fontId="10" fillId="0" borderId="9" xfId="0" applyFont="1" applyBorder="1" applyAlignment="1" applyProtection="1">
      <alignment horizontal="center"/>
      <protection hidden="1"/>
    </xf>
    <xf numFmtId="0" fontId="5" fillId="0" borderId="8" xfId="0" applyFont="1" applyBorder="1" applyAlignment="1" applyProtection="1">
      <alignment horizontal="center"/>
      <protection hidden="1"/>
    </xf>
    <xf numFmtId="0" fontId="5" fillId="0" borderId="33" xfId="0" applyFont="1" applyBorder="1" applyAlignment="1" applyProtection="1">
      <alignment horizontal="center"/>
      <protection hidden="1"/>
    </xf>
    <xf numFmtId="0" fontId="5" fillId="0" borderId="34" xfId="0" applyFont="1" applyBorder="1" applyAlignment="1" applyProtection="1">
      <alignment horizontal="center"/>
      <protection hidden="1"/>
    </xf>
    <xf numFmtId="0" fontId="5" fillId="0" borderId="33" xfId="0" applyFont="1" applyBorder="1" applyProtection="1">
      <protection hidden="1"/>
    </xf>
    <xf numFmtId="49" fontId="5" fillId="6" borderId="14" xfId="0" applyNumberFormat="1" applyFont="1" applyFill="1" applyBorder="1" applyAlignment="1">
      <alignment horizontal="center" vertical="center"/>
    </xf>
    <xf numFmtId="1" fontId="5" fillId="6" borderId="14" xfId="0" applyNumberFormat="1" applyFont="1" applyFill="1" applyBorder="1" applyAlignment="1">
      <alignment horizontal="center" vertical="center"/>
    </xf>
    <xf numFmtId="49" fontId="12" fillId="6" borderId="14" xfId="0" applyNumberFormat="1" applyFont="1" applyFill="1" applyBorder="1" applyAlignment="1">
      <alignment horizontal="center" vertical="center"/>
    </xf>
    <xf numFmtId="2" fontId="5" fillId="6" borderId="14" xfId="0" applyNumberFormat="1" applyFont="1" applyFill="1" applyBorder="1" applyAlignment="1">
      <alignment horizontal="center" vertical="center"/>
    </xf>
    <xf numFmtId="170" fontId="5" fillId="6" borderId="14" xfId="0" applyNumberFormat="1" applyFont="1" applyFill="1" applyBorder="1" applyAlignment="1">
      <alignment horizontal="center" vertical="center"/>
    </xf>
    <xf numFmtId="171" fontId="5" fillId="10" borderId="14" xfId="0" applyNumberFormat="1" applyFont="1" applyFill="1" applyBorder="1"/>
    <xf numFmtId="0" fontId="21" fillId="12" borderId="34" xfId="0" applyFont="1" applyFill="1" applyBorder="1" applyAlignment="1" applyProtection="1">
      <alignment horizontal="center"/>
      <protection hidden="1"/>
    </xf>
    <xf numFmtId="0" fontId="10" fillId="7" borderId="0" xfId="0" applyFont="1" applyFill="1" applyAlignment="1" applyProtection="1">
      <alignment horizontal="right"/>
      <protection hidden="1"/>
    </xf>
    <xf numFmtId="0" fontId="17" fillId="8" borderId="0" xfId="0" applyFont="1" applyFill="1" applyProtection="1">
      <protection hidden="1"/>
    </xf>
    <xf numFmtId="0" fontId="6" fillId="0" borderId="12" xfId="0" applyFont="1" applyBorder="1" applyAlignment="1" applyProtection="1">
      <alignment horizontal="center" vertical="center" wrapText="1"/>
      <protection hidden="1"/>
    </xf>
    <xf numFmtId="0" fontId="5" fillId="4" borderId="8" xfId="0" applyFont="1" applyFill="1" applyBorder="1"/>
    <xf numFmtId="170" fontId="5" fillId="2" borderId="0" xfId="0" applyNumberFormat="1" applyFont="1" applyFill="1"/>
    <xf numFmtId="0" fontId="5" fillId="2" borderId="0" xfId="0" applyFont="1" applyFill="1"/>
    <xf numFmtId="0" fontId="5" fillId="0" borderId="0" xfId="0" applyFont="1" applyAlignment="1">
      <alignment horizontal="right"/>
    </xf>
    <xf numFmtId="165" fontId="5" fillId="2" borderId="0" xfId="1" applyNumberFormat="1" applyFont="1" applyFill="1" applyBorder="1"/>
    <xf numFmtId="0" fontId="5" fillId="11" borderId="0" xfId="0" applyFont="1" applyFill="1"/>
    <xf numFmtId="168" fontId="5" fillId="11" borderId="0" xfId="0" applyNumberFormat="1" applyFont="1" applyFill="1"/>
    <xf numFmtId="166" fontId="5" fillId="11" borderId="0" xfId="0" applyNumberFormat="1" applyFont="1" applyFill="1"/>
    <xf numFmtId="167" fontId="5" fillId="2" borderId="0" xfId="0" applyNumberFormat="1" applyFont="1" applyFill="1"/>
    <xf numFmtId="0" fontId="23" fillId="0" borderId="0" xfId="0" applyFont="1"/>
    <xf numFmtId="167" fontId="5" fillId="0" borderId="0" xfId="0" applyNumberFormat="1" applyFont="1"/>
    <xf numFmtId="164" fontId="5" fillId="2" borderId="0" xfId="1" applyFont="1" applyFill="1" applyBorder="1"/>
    <xf numFmtId="0" fontId="5" fillId="0" borderId="0" xfId="0" applyFont="1" applyAlignment="1">
      <alignment horizontal="left"/>
    </xf>
    <xf numFmtId="168" fontId="5" fillId="2" borderId="0" xfId="0" applyNumberFormat="1" applyFont="1" applyFill="1"/>
    <xf numFmtId="168" fontId="10" fillId="0" borderId="2" xfId="0" applyNumberFormat="1" applyFont="1" applyBorder="1"/>
    <xf numFmtId="0" fontId="23" fillId="0" borderId="2" xfId="0" applyFont="1" applyBorder="1"/>
    <xf numFmtId="0" fontId="10" fillId="0" borderId="1" xfId="0" applyFont="1" applyBorder="1"/>
    <xf numFmtId="9" fontId="5" fillId="0" borderId="1" xfId="2" applyFont="1" applyBorder="1" applyAlignment="1">
      <alignment horizontal="center"/>
    </xf>
    <xf numFmtId="0" fontId="16" fillId="0" borderId="1" xfId="0" applyFont="1" applyBorder="1"/>
    <xf numFmtId="9" fontId="15" fillId="0" borderId="1" xfId="2" applyFont="1" applyBorder="1" applyAlignment="1">
      <alignment horizontal="center"/>
    </xf>
    <xf numFmtId="0" fontId="10" fillId="0" borderId="1" xfId="0" applyFont="1" applyBorder="1" applyAlignment="1">
      <alignment horizontal="center" vertical="center"/>
    </xf>
    <xf numFmtId="168" fontId="10" fillId="3" borderId="1" xfId="0" applyNumberFormat="1" applyFont="1" applyFill="1" applyBorder="1"/>
    <xf numFmtId="9" fontId="25" fillId="0" borderId="9" xfId="2" applyFont="1" applyBorder="1" applyAlignment="1" applyProtection="1">
      <alignment horizontal="center"/>
      <protection hidden="1"/>
    </xf>
    <xf numFmtId="9" fontId="26" fillId="0" borderId="9" xfId="2" applyFont="1" applyBorder="1" applyAlignment="1" applyProtection="1">
      <alignment horizontal="center"/>
      <protection hidden="1"/>
    </xf>
    <xf numFmtId="0" fontId="5" fillId="0" borderId="36" xfId="0" applyFont="1" applyBorder="1" applyProtection="1">
      <protection hidden="1"/>
    </xf>
    <xf numFmtId="0" fontId="5" fillId="0" borderId="38" xfId="0" applyFont="1" applyBorder="1" applyProtection="1">
      <protection hidden="1"/>
    </xf>
    <xf numFmtId="170" fontId="5" fillId="0" borderId="1" xfId="0" applyNumberFormat="1" applyFont="1" applyBorder="1" applyAlignment="1" applyProtection="1">
      <alignment horizontal="center"/>
      <protection hidden="1"/>
    </xf>
    <xf numFmtId="170" fontId="5" fillId="0" borderId="37" xfId="0" applyNumberFormat="1" applyFont="1" applyBorder="1" applyAlignment="1" applyProtection="1">
      <alignment horizontal="center"/>
      <protection hidden="1"/>
    </xf>
    <xf numFmtId="170" fontId="5" fillId="0" borderId="35" xfId="0" applyNumberFormat="1" applyFont="1" applyBorder="1" applyAlignment="1" applyProtection="1">
      <alignment horizontal="center"/>
      <protection hidden="1"/>
    </xf>
    <xf numFmtId="170" fontId="5" fillId="0" borderId="5" xfId="0" applyNumberFormat="1" applyFont="1" applyBorder="1" applyAlignment="1" applyProtection="1">
      <alignment horizontal="center"/>
      <protection hidden="1"/>
    </xf>
    <xf numFmtId="0" fontId="10" fillId="0" borderId="0" xfId="0" applyFont="1" applyProtection="1">
      <protection hidden="1"/>
    </xf>
    <xf numFmtId="168" fontId="27" fillId="6" borderId="39" xfId="0" applyNumberFormat="1" applyFont="1" applyFill="1" applyBorder="1" applyProtection="1">
      <protection hidden="1"/>
    </xf>
    <xf numFmtId="0" fontId="5" fillId="0" borderId="5" xfId="0" applyFont="1" applyBorder="1" applyAlignment="1">
      <alignment horizontal="center"/>
    </xf>
    <xf numFmtId="0" fontId="5" fillId="0" borderId="10" xfId="0" applyFont="1" applyBorder="1" applyAlignment="1">
      <alignment horizontal="center"/>
    </xf>
    <xf numFmtId="0" fontId="5" fillId="0" borderId="0" xfId="0" applyFont="1" applyAlignment="1">
      <alignment horizontal="center"/>
    </xf>
    <xf numFmtId="171" fontId="28" fillId="0" borderId="1" xfId="0" applyNumberFormat="1" applyFont="1" applyBorder="1" applyProtection="1">
      <protection hidden="1"/>
    </xf>
    <xf numFmtId="171" fontId="28" fillId="0" borderId="35" xfId="0" applyNumberFormat="1" applyFont="1" applyBorder="1" applyProtection="1">
      <protection hidden="1"/>
    </xf>
    <xf numFmtId="170" fontId="28" fillId="0" borderId="1" xfId="0" applyNumberFormat="1" applyFont="1" applyBorder="1" applyProtection="1">
      <protection hidden="1"/>
    </xf>
    <xf numFmtId="170" fontId="28" fillId="0" borderId="37" xfId="0" applyNumberFormat="1" applyFont="1" applyBorder="1" applyProtection="1">
      <protection hidden="1"/>
    </xf>
    <xf numFmtId="170" fontId="28" fillId="0" borderId="5" xfId="0" applyNumberFormat="1" applyFont="1" applyBorder="1" applyProtection="1">
      <protection hidden="1"/>
    </xf>
    <xf numFmtId="171" fontId="5" fillId="0" borderId="35" xfId="0" applyNumberFormat="1" applyFont="1" applyBorder="1" applyProtection="1">
      <protection hidden="1"/>
    </xf>
    <xf numFmtId="171" fontId="5" fillId="0" borderId="5" xfId="0" applyNumberFormat="1" applyFont="1" applyBorder="1" applyProtection="1">
      <protection hidden="1"/>
    </xf>
    <xf numFmtId="0" fontId="5" fillId="0" borderId="0" xfId="0" applyFont="1" applyAlignment="1">
      <alignment vertical="center" wrapText="1"/>
    </xf>
    <xf numFmtId="168" fontId="10" fillId="0" borderId="0" xfId="0" applyNumberFormat="1" applyFont="1"/>
    <xf numFmtId="0" fontId="15" fillId="13" borderId="13" xfId="0" applyFont="1" applyFill="1" applyBorder="1" applyAlignment="1" applyProtection="1">
      <alignment vertical="center"/>
      <protection hidden="1"/>
    </xf>
    <xf numFmtId="171" fontId="5" fillId="0" borderId="0" xfId="0" applyNumberFormat="1" applyFont="1"/>
    <xf numFmtId="0" fontId="29" fillId="0" borderId="0" xfId="0" applyFont="1"/>
    <xf numFmtId="0" fontId="29" fillId="0" borderId="0" xfId="0" applyFont="1" applyProtection="1">
      <protection hidden="1"/>
    </xf>
    <xf numFmtId="0" fontId="30" fillId="0" borderId="0" xfId="0" applyFont="1" applyProtection="1">
      <protection hidden="1"/>
    </xf>
    <xf numFmtId="0" fontId="5" fillId="0" borderId="41" xfId="0" applyFont="1" applyBorder="1" applyProtection="1">
      <protection hidden="1"/>
    </xf>
    <xf numFmtId="0" fontId="5" fillId="0" borderId="42" xfId="0" applyFont="1" applyBorder="1" applyProtection="1">
      <protection hidden="1"/>
    </xf>
    <xf numFmtId="0" fontId="10" fillId="0" borderId="30" xfId="0" applyFont="1" applyBorder="1" applyProtection="1">
      <protection hidden="1"/>
    </xf>
    <xf numFmtId="49" fontId="5" fillId="6" borderId="14" xfId="0" applyNumberFormat="1" applyFont="1" applyFill="1" applyBorder="1" applyAlignment="1">
      <alignment horizontal="left" vertical="center"/>
    </xf>
    <xf numFmtId="0" fontId="8" fillId="0" borderId="0" xfId="0" applyFont="1" applyProtection="1">
      <protection hidden="1"/>
    </xf>
    <xf numFmtId="0" fontId="8" fillId="0" borderId="6" xfId="0" applyFont="1" applyBorder="1" applyProtection="1">
      <protection hidden="1"/>
    </xf>
    <xf numFmtId="0" fontId="7" fillId="0" borderId="30" xfId="0" applyFont="1" applyBorder="1" applyProtection="1">
      <protection hidden="1"/>
    </xf>
    <xf numFmtId="0" fontId="22" fillId="0" borderId="0" xfId="0" applyFont="1"/>
    <xf numFmtId="0" fontId="5" fillId="14" borderId="0" xfId="0" applyFont="1" applyFill="1" applyAlignment="1">
      <alignment horizontal="left"/>
    </xf>
    <xf numFmtId="0" fontId="10" fillId="14" borderId="0" xfId="0" applyFont="1" applyFill="1" applyProtection="1">
      <protection hidden="1"/>
    </xf>
    <xf numFmtId="169" fontId="5" fillId="15" borderId="43" xfId="0" applyNumberFormat="1" applyFont="1" applyFill="1" applyBorder="1" applyAlignment="1">
      <alignment horizontal="center" vertical="center"/>
    </xf>
    <xf numFmtId="169" fontId="5" fillId="16" borderId="43" xfId="0" applyNumberFormat="1" applyFont="1" applyFill="1" applyBorder="1" applyAlignment="1">
      <alignment horizontal="center" vertical="center"/>
    </xf>
    <xf numFmtId="169" fontId="5" fillId="15" borderId="43" xfId="1" applyNumberFormat="1" applyFont="1" applyFill="1" applyBorder="1" applyAlignment="1">
      <alignment horizontal="center" vertical="center"/>
    </xf>
    <xf numFmtId="169" fontId="15" fillId="16" borderId="43" xfId="0" applyNumberFormat="1" applyFont="1" applyFill="1" applyBorder="1" applyAlignment="1">
      <alignment horizontal="center" vertical="center"/>
    </xf>
    <xf numFmtId="170" fontId="5" fillId="14" borderId="0" xfId="0" applyNumberFormat="1" applyFont="1" applyFill="1"/>
    <xf numFmtId="170" fontId="31" fillId="22" borderId="1" xfId="0" applyNumberFormat="1" applyFont="1" applyFill="1" applyBorder="1" applyAlignment="1">
      <alignment horizontal="center"/>
    </xf>
    <xf numFmtId="0" fontId="32" fillId="22" borderId="1" xfId="0" applyFont="1" applyFill="1" applyBorder="1" applyAlignment="1">
      <alignment horizontal="center" vertical="center"/>
    </xf>
    <xf numFmtId="0" fontId="5" fillId="8" borderId="1" xfId="0" applyFont="1" applyFill="1" applyBorder="1" applyAlignment="1">
      <alignment horizontal="center"/>
    </xf>
    <xf numFmtId="0" fontId="5" fillId="8" borderId="36" xfId="0" applyFont="1" applyFill="1" applyBorder="1" applyAlignment="1">
      <alignment horizontal="center"/>
    </xf>
    <xf numFmtId="0" fontId="28" fillId="7" borderId="1" xfId="0" applyFont="1" applyFill="1" applyBorder="1" applyAlignment="1">
      <alignment horizontal="center"/>
    </xf>
    <xf numFmtId="0" fontId="28" fillId="7" borderId="36" xfId="0" applyFont="1" applyFill="1" applyBorder="1" applyAlignment="1">
      <alignment horizontal="center"/>
    </xf>
    <xf numFmtId="0" fontId="22" fillId="7" borderId="0" xfId="0" applyFont="1" applyFill="1"/>
    <xf numFmtId="0" fontId="5" fillId="23" borderId="1" xfId="0" applyFont="1" applyFill="1" applyBorder="1" applyAlignment="1" applyProtection="1">
      <alignment horizontal="right"/>
      <protection hidden="1"/>
    </xf>
    <xf numFmtId="0" fontId="5" fillId="21" borderId="0" xfId="0" applyFont="1" applyFill="1" applyProtection="1">
      <protection hidden="1"/>
    </xf>
    <xf numFmtId="170" fontId="31" fillId="20" borderId="1" xfId="0" applyNumberFormat="1" applyFont="1" applyFill="1" applyBorder="1" applyAlignment="1">
      <alignment horizontal="right"/>
    </xf>
    <xf numFmtId="170" fontId="31" fillId="20" borderId="1" xfId="2" applyNumberFormat="1" applyFont="1" applyFill="1" applyBorder="1" applyAlignment="1">
      <alignment horizontal="right"/>
    </xf>
    <xf numFmtId="170" fontId="31" fillId="19" borderId="1" xfId="0" applyNumberFormat="1" applyFont="1" applyFill="1" applyBorder="1" applyAlignment="1">
      <alignment horizontal="right"/>
    </xf>
    <xf numFmtId="170" fontId="31" fillId="19" borderId="1" xfId="2" applyNumberFormat="1" applyFont="1" applyFill="1" applyBorder="1" applyAlignment="1">
      <alignment horizontal="right"/>
    </xf>
    <xf numFmtId="170" fontId="10" fillId="8" borderId="1" xfId="0" applyNumberFormat="1" applyFont="1" applyFill="1" applyBorder="1" applyAlignment="1">
      <alignment horizontal="right" vertical="center"/>
    </xf>
    <xf numFmtId="170" fontId="10" fillId="8" borderId="36" xfId="0" applyNumberFormat="1" applyFont="1" applyFill="1" applyBorder="1" applyAlignment="1">
      <alignment horizontal="right"/>
    </xf>
    <xf numFmtId="170" fontId="10" fillId="18" borderId="1" xfId="0" applyNumberFormat="1" applyFont="1" applyFill="1" applyBorder="1" applyAlignment="1">
      <alignment horizontal="right"/>
    </xf>
    <xf numFmtId="170" fontId="10" fillId="18" borderId="36" xfId="0" applyNumberFormat="1" applyFont="1" applyFill="1" applyBorder="1" applyAlignment="1">
      <alignment horizontal="right" vertical="center"/>
    </xf>
    <xf numFmtId="170" fontId="10" fillId="18" borderId="36" xfId="1" applyNumberFormat="1" applyFont="1" applyFill="1" applyBorder="1" applyAlignment="1">
      <alignment horizontal="right" vertical="center"/>
    </xf>
    <xf numFmtId="170" fontId="31" fillId="22" borderId="1" xfId="0" applyNumberFormat="1" applyFont="1" applyFill="1" applyBorder="1" applyAlignment="1">
      <alignment horizontal="right"/>
    </xf>
    <xf numFmtId="170" fontId="31" fillId="22" borderId="36" xfId="0" applyNumberFormat="1" applyFont="1" applyFill="1" applyBorder="1" applyAlignment="1">
      <alignment horizontal="right" vertical="center"/>
    </xf>
    <xf numFmtId="0" fontId="8" fillId="25" borderId="1" xfId="0" applyFont="1" applyFill="1" applyBorder="1" applyAlignment="1">
      <alignment horizontal="center" vertical="center"/>
    </xf>
    <xf numFmtId="0" fontId="8" fillId="25" borderId="1" xfId="0" applyFont="1" applyFill="1" applyBorder="1" applyAlignment="1" applyProtection="1">
      <alignment horizontal="center" vertical="center"/>
      <protection hidden="1"/>
    </xf>
    <xf numFmtId="169" fontId="5" fillId="15" borderId="44" xfId="0" applyNumberFormat="1" applyFont="1" applyFill="1" applyBorder="1" applyAlignment="1">
      <alignment horizontal="center" vertical="center"/>
    </xf>
    <xf numFmtId="0" fontId="34" fillId="27" borderId="47" xfId="0" applyFont="1" applyFill="1" applyBorder="1" applyAlignment="1" applyProtection="1">
      <alignment horizontal="center" vertical="center"/>
      <protection hidden="1"/>
    </xf>
    <xf numFmtId="0" fontId="15" fillId="6" borderId="9" xfId="0" applyFont="1" applyFill="1" applyBorder="1" applyAlignment="1" applyProtection="1">
      <alignment horizontal="left" vertical="center"/>
      <protection hidden="1"/>
    </xf>
    <xf numFmtId="168" fontId="8" fillId="8" borderId="1" xfId="0" applyNumberFormat="1" applyFont="1" applyFill="1" applyBorder="1" applyAlignment="1" applyProtection="1">
      <alignment horizontal="center" vertical="center" wrapText="1"/>
      <protection hidden="1"/>
    </xf>
    <xf numFmtId="0" fontId="16" fillId="26" borderId="8" xfId="0" applyFont="1" applyFill="1" applyBorder="1" applyAlignment="1" applyProtection="1">
      <alignment horizontal="center" vertical="top" wrapText="1"/>
      <protection hidden="1"/>
    </xf>
    <xf numFmtId="0" fontId="16" fillId="26" borderId="50" xfId="0" applyFont="1" applyFill="1" applyBorder="1" applyAlignment="1" applyProtection="1">
      <alignment horizontal="center" vertical="top" wrapText="1"/>
      <protection hidden="1"/>
    </xf>
    <xf numFmtId="0" fontId="35" fillId="26" borderId="50" xfId="0" applyFont="1" applyFill="1" applyBorder="1" applyAlignment="1" applyProtection="1">
      <alignment horizontal="center" vertical="center" wrapText="1"/>
      <protection hidden="1"/>
    </xf>
    <xf numFmtId="0" fontId="17" fillId="26" borderId="50" xfId="0" applyFont="1" applyFill="1" applyBorder="1" applyAlignment="1" applyProtection="1">
      <alignment horizontal="center" vertical="center" wrapText="1"/>
      <protection hidden="1"/>
    </xf>
    <xf numFmtId="0" fontId="17" fillId="26" borderId="51" xfId="0" applyFont="1" applyFill="1" applyBorder="1" applyAlignment="1" applyProtection="1">
      <alignment horizontal="center" vertical="center" wrapText="1"/>
      <protection hidden="1"/>
    </xf>
    <xf numFmtId="0" fontId="24" fillId="24" borderId="52" xfId="0" applyFont="1" applyFill="1" applyBorder="1" applyAlignment="1" applyProtection="1">
      <alignment horizontal="center" vertical="center"/>
      <protection hidden="1"/>
    </xf>
    <xf numFmtId="171" fontId="5" fillId="15" borderId="53" xfId="0" applyNumberFormat="1" applyFont="1" applyFill="1" applyBorder="1" applyAlignment="1" applyProtection="1">
      <alignment horizontal="center" vertical="center"/>
      <protection hidden="1"/>
    </xf>
    <xf numFmtId="170" fontId="33" fillId="5" borderId="53" xfId="0" applyNumberFormat="1" applyFont="1" applyFill="1" applyBorder="1" applyAlignment="1" applyProtection="1">
      <alignment horizontal="center" vertical="center"/>
      <protection hidden="1"/>
    </xf>
    <xf numFmtId="170" fontId="16" fillId="7" borderId="53" xfId="0" applyNumberFormat="1" applyFont="1" applyFill="1" applyBorder="1" applyAlignment="1" applyProtection="1">
      <alignment horizontal="center" vertical="center"/>
      <protection hidden="1"/>
    </xf>
    <xf numFmtId="9" fontId="10" fillId="7" borderId="54" xfId="2" applyFont="1" applyFill="1" applyBorder="1" applyAlignment="1" applyProtection="1">
      <alignment horizontal="center" vertical="center"/>
      <protection hidden="1"/>
    </xf>
    <xf numFmtId="0" fontId="24" fillId="24" borderId="55" xfId="0" applyFont="1" applyFill="1" applyBorder="1" applyAlignment="1" applyProtection="1">
      <alignment horizontal="center" vertical="center"/>
      <protection hidden="1"/>
    </xf>
    <xf numFmtId="171" fontId="5" fillId="16" borderId="46" xfId="0" applyNumberFormat="1" applyFont="1" applyFill="1" applyBorder="1" applyAlignment="1" applyProtection="1">
      <alignment horizontal="center" vertical="center"/>
      <protection hidden="1"/>
    </xf>
    <xf numFmtId="170" fontId="33" fillId="5" borderId="46" xfId="0" applyNumberFormat="1" applyFont="1" applyFill="1" applyBorder="1" applyAlignment="1" applyProtection="1">
      <alignment horizontal="center" vertical="center"/>
      <protection hidden="1"/>
    </xf>
    <xf numFmtId="170" fontId="16" fillId="7" borderId="46" xfId="0" applyNumberFormat="1" applyFont="1" applyFill="1" applyBorder="1" applyAlignment="1" applyProtection="1">
      <alignment horizontal="center" vertical="center"/>
      <protection hidden="1"/>
    </xf>
    <xf numFmtId="9" fontId="10" fillId="7" borderId="48" xfId="2" applyFont="1" applyFill="1" applyBorder="1" applyAlignment="1" applyProtection="1">
      <alignment horizontal="center" vertical="center"/>
      <protection hidden="1"/>
    </xf>
    <xf numFmtId="171" fontId="5" fillId="15" borderId="46" xfId="1" applyNumberFormat="1" applyFont="1" applyFill="1" applyBorder="1" applyAlignment="1" applyProtection="1">
      <alignment horizontal="center" vertical="center"/>
      <protection hidden="1"/>
    </xf>
    <xf numFmtId="0" fontId="24" fillId="26" borderId="49" xfId="0" applyFont="1" applyFill="1" applyBorder="1" applyAlignment="1" applyProtection="1">
      <alignment horizontal="center" vertical="center"/>
      <protection hidden="1"/>
    </xf>
    <xf numFmtId="171" fontId="15" fillId="16" borderId="56" xfId="0" applyNumberFormat="1" applyFont="1" applyFill="1" applyBorder="1" applyAlignment="1" applyProtection="1">
      <alignment horizontal="center" vertical="center"/>
      <protection hidden="1"/>
    </xf>
    <xf numFmtId="170" fontId="33" fillId="18" borderId="56" xfId="0" applyNumberFormat="1" applyFont="1" applyFill="1" applyBorder="1" applyAlignment="1" applyProtection="1">
      <alignment horizontal="center" vertical="center"/>
      <protection hidden="1"/>
    </xf>
    <xf numFmtId="170" fontId="16" fillId="17" borderId="56" xfId="0" applyNumberFormat="1" applyFont="1" applyFill="1" applyBorder="1" applyAlignment="1" applyProtection="1">
      <alignment horizontal="center" vertical="center"/>
      <protection hidden="1"/>
    </xf>
    <xf numFmtId="9" fontId="16" fillId="17" borderId="57" xfId="2" applyFont="1" applyFill="1" applyBorder="1" applyAlignment="1" applyProtection="1">
      <alignment horizontal="center" vertical="center"/>
      <protection hidden="1"/>
    </xf>
    <xf numFmtId="0" fontId="24" fillId="26" borderId="58" xfId="0" applyFont="1" applyFill="1" applyBorder="1" applyAlignment="1" applyProtection="1">
      <alignment horizontal="center" vertical="center"/>
      <protection hidden="1"/>
    </xf>
    <xf numFmtId="171" fontId="5" fillId="15" borderId="59" xfId="0" applyNumberFormat="1" applyFont="1" applyFill="1" applyBorder="1" applyAlignment="1" applyProtection="1">
      <alignment horizontal="center" vertical="center"/>
      <protection hidden="1"/>
    </xf>
    <xf numFmtId="170" fontId="33" fillId="18" borderId="59" xfId="0" applyNumberFormat="1" applyFont="1" applyFill="1" applyBorder="1" applyAlignment="1" applyProtection="1">
      <alignment horizontal="center" vertical="center"/>
      <protection hidden="1"/>
    </xf>
    <xf numFmtId="170" fontId="10" fillId="17" borderId="59" xfId="0" applyNumberFormat="1" applyFont="1" applyFill="1" applyBorder="1" applyAlignment="1" applyProtection="1">
      <alignment horizontal="center" vertical="center"/>
      <protection hidden="1"/>
    </xf>
    <xf numFmtId="9" fontId="10" fillId="17" borderId="45" xfId="2" applyFont="1" applyFill="1" applyBorder="1" applyAlignment="1" applyProtection="1">
      <alignment horizontal="center" vertical="center"/>
      <protection hidden="1"/>
    </xf>
    <xf numFmtId="170" fontId="10" fillId="9" borderId="34" xfId="0" applyNumberFormat="1" applyFont="1" applyFill="1" applyBorder="1" applyAlignment="1" applyProtection="1">
      <alignment horizontal="center"/>
      <protection hidden="1"/>
    </xf>
    <xf numFmtId="170" fontId="5" fillId="7" borderId="23" xfId="0" applyNumberFormat="1" applyFont="1" applyFill="1" applyBorder="1" applyAlignment="1" applyProtection="1">
      <alignment horizontal="left"/>
      <protection hidden="1"/>
    </xf>
    <xf numFmtId="0" fontId="10" fillId="0" borderId="0" xfId="0" applyFont="1"/>
    <xf numFmtId="169" fontId="5" fillId="15" borderId="0" xfId="0" applyNumberFormat="1" applyFont="1" applyFill="1" applyAlignment="1">
      <alignment horizontal="center" vertical="center"/>
    </xf>
    <xf numFmtId="170" fontId="31" fillId="22" borderId="0" xfId="0" applyNumberFormat="1" applyFont="1" applyFill="1" applyAlignment="1">
      <alignment horizontal="center"/>
    </xf>
    <xf numFmtId="9" fontId="5" fillId="0" borderId="0" xfId="2" applyFont="1" applyBorder="1" applyAlignment="1">
      <alignment horizontal="center"/>
    </xf>
    <xf numFmtId="170" fontId="5" fillId="0" borderId="0" xfId="0" applyNumberFormat="1" applyFont="1" applyAlignment="1" applyProtection="1">
      <alignment horizontal="center"/>
      <protection hidden="1"/>
    </xf>
    <xf numFmtId="171" fontId="5" fillId="0" borderId="0" xfId="0" applyNumberFormat="1" applyFont="1" applyProtection="1">
      <protection hidden="1"/>
    </xf>
    <xf numFmtId="0" fontId="40" fillId="0" borderId="0" xfId="0" applyFont="1" applyProtection="1">
      <protection hidden="1"/>
    </xf>
    <xf numFmtId="0" fontId="16" fillId="26" borderId="51" xfId="0" applyFont="1" applyFill="1" applyBorder="1" applyAlignment="1" applyProtection="1">
      <alignment horizontal="center" vertical="top" wrapText="1"/>
      <protection hidden="1"/>
    </xf>
    <xf numFmtId="171" fontId="40" fillId="15" borderId="54" xfId="0" applyNumberFormat="1" applyFont="1" applyFill="1" applyBorder="1" applyAlignment="1" applyProtection="1">
      <alignment horizontal="center" vertical="center"/>
      <protection hidden="1"/>
    </xf>
    <xf numFmtId="171" fontId="5" fillId="16" borderId="48" xfId="0" applyNumberFormat="1" applyFont="1" applyFill="1" applyBorder="1" applyAlignment="1" applyProtection="1">
      <alignment horizontal="center" vertical="center"/>
      <protection hidden="1"/>
    </xf>
    <xf numFmtId="171" fontId="5" fillId="15" borderId="48" xfId="1" applyNumberFormat="1" applyFont="1" applyFill="1" applyBorder="1" applyAlignment="1" applyProtection="1">
      <alignment horizontal="center" vertical="center"/>
      <protection hidden="1"/>
    </xf>
    <xf numFmtId="171" fontId="40" fillId="16" borderId="57" xfId="0" applyNumberFormat="1" applyFont="1" applyFill="1" applyBorder="1" applyAlignment="1" applyProtection="1">
      <alignment horizontal="center" vertical="center"/>
      <protection hidden="1"/>
    </xf>
    <xf numFmtId="171" fontId="5" fillId="15" borderId="45" xfId="0" applyNumberFormat="1" applyFont="1" applyFill="1" applyBorder="1" applyAlignment="1" applyProtection="1">
      <alignment horizontal="center" vertical="center"/>
      <protection hidden="1"/>
    </xf>
    <xf numFmtId="0" fontId="17" fillId="26" borderId="49" xfId="0" applyFont="1" applyFill="1" applyBorder="1" applyAlignment="1" applyProtection="1">
      <alignment horizontal="center" vertical="center"/>
      <protection hidden="1"/>
    </xf>
    <xf numFmtId="0" fontId="17" fillId="24" borderId="52" xfId="0" applyFont="1" applyFill="1" applyBorder="1" applyAlignment="1" applyProtection="1">
      <alignment horizontal="center" vertical="center"/>
      <protection hidden="1"/>
    </xf>
    <xf numFmtId="170" fontId="16" fillId="6" borderId="14" xfId="0" applyNumberFormat="1" applyFont="1" applyFill="1" applyBorder="1" applyAlignment="1" applyProtection="1">
      <alignment horizontal="center" vertical="center"/>
      <protection hidden="1"/>
    </xf>
    <xf numFmtId="171" fontId="16" fillId="6" borderId="14" xfId="0" applyNumberFormat="1" applyFont="1" applyFill="1" applyBorder="1" applyAlignment="1" applyProtection="1">
      <alignment horizontal="center" vertical="center"/>
      <protection hidden="1"/>
    </xf>
    <xf numFmtId="0" fontId="37" fillId="29" borderId="1" xfId="0" applyFont="1" applyFill="1" applyBorder="1"/>
    <xf numFmtId="171" fontId="37" fillId="30" borderId="60" xfId="0" applyNumberFormat="1" applyFont="1" applyFill="1" applyBorder="1"/>
    <xf numFmtId="170" fontId="38" fillId="28" borderId="1" xfId="0" applyNumberFormat="1" applyFont="1" applyFill="1" applyBorder="1"/>
    <xf numFmtId="0" fontId="10" fillId="7" borderId="0" xfId="0" applyFont="1" applyFill="1" applyProtection="1">
      <protection hidden="1"/>
    </xf>
    <xf numFmtId="0" fontId="43" fillId="7" borderId="0" xfId="0" applyFont="1" applyFill="1" applyProtection="1">
      <protection hidden="1"/>
    </xf>
    <xf numFmtId="0" fontId="42" fillId="0" borderId="0" xfId="0" applyFont="1" applyProtection="1">
      <protection hidden="1"/>
    </xf>
    <xf numFmtId="0" fontId="44" fillId="6" borderId="14" xfId="0" applyFont="1" applyFill="1" applyBorder="1" applyAlignment="1">
      <alignment horizontal="left" vertical="center"/>
    </xf>
    <xf numFmtId="0" fontId="23" fillId="0" borderId="0" xfId="0" applyFont="1" applyAlignment="1" applyProtection="1">
      <alignment horizontal="right"/>
      <protection hidden="1"/>
    </xf>
    <xf numFmtId="0" fontId="40" fillId="14" borderId="1" xfId="0" applyFont="1" applyFill="1" applyBorder="1" applyAlignment="1" applyProtection="1">
      <alignment horizontal="center"/>
      <protection hidden="1"/>
    </xf>
    <xf numFmtId="170" fontId="40" fillId="0" borderId="0" xfId="0" applyNumberFormat="1" applyFont="1" applyAlignment="1" applyProtection="1">
      <alignment horizontal="center"/>
      <protection hidden="1"/>
    </xf>
    <xf numFmtId="171" fontId="5" fillId="0" borderId="1" xfId="0" applyNumberFormat="1" applyFont="1" applyBorder="1" applyAlignment="1" applyProtection="1">
      <alignment horizontal="center"/>
      <protection hidden="1"/>
    </xf>
    <xf numFmtId="0" fontId="16" fillId="0" borderId="1" xfId="0" applyFont="1" applyBorder="1" applyAlignment="1" applyProtection="1">
      <alignment horizontal="center" vertical="top" wrapText="1"/>
      <protection hidden="1"/>
    </xf>
    <xf numFmtId="0" fontId="41" fillId="0" borderId="0" xfId="0" applyFont="1" applyProtection="1">
      <protection hidden="1"/>
    </xf>
    <xf numFmtId="0" fontId="41" fillId="0" borderId="6" xfId="0" applyFont="1" applyBorder="1" applyProtection="1">
      <protection hidden="1"/>
    </xf>
    <xf numFmtId="0" fontId="46" fillId="7" borderId="1" xfId="0" applyFont="1" applyFill="1" applyBorder="1" applyAlignment="1" applyProtection="1">
      <alignment horizontal="left" vertical="center"/>
      <protection hidden="1"/>
    </xf>
    <xf numFmtId="0" fontId="46" fillId="14" borderId="1" xfId="0" applyFont="1" applyFill="1" applyBorder="1" applyAlignment="1" applyProtection="1">
      <alignment horizontal="left" vertical="center"/>
      <protection hidden="1"/>
    </xf>
    <xf numFmtId="0" fontId="41" fillId="26" borderId="61" xfId="0" applyFont="1" applyFill="1" applyBorder="1" applyAlignment="1" applyProtection="1">
      <alignment horizontal="center" vertical="top" wrapText="1"/>
      <protection hidden="1"/>
    </xf>
    <xf numFmtId="0" fontId="41" fillId="26" borderId="62" xfId="0" applyFont="1" applyFill="1" applyBorder="1" applyAlignment="1" applyProtection="1">
      <alignment horizontal="center" vertical="top" wrapText="1"/>
      <protection hidden="1"/>
    </xf>
    <xf numFmtId="0" fontId="16" fillId="17" borderId="1" xfId="0" applyFont="1" applyFill="1" applyBorder="1" applyAlignment="1" applyProtection="1">
      <alignment horizontal="center" vertical="top" wrapText="1"/>
      <protection hidden="1"/>
    </xf>
    <xf numFmtId="0" fontId="35" fillId="17" borderId="1" xfId="0" applyFont="1" applyFill="1" applyBorder="1" applyAlignment="1" applyProtection="1">
      <alignment horizontal="center" vertical="top" wrapText="1"/>
      <protection hidden="1"/>
    </xf>
    <xf numFmtId="0" fontId="5" fillId="7" borderId="1" xfId="0" applyFont="1" applyFill="1" applyBorder="1" applyProtection="1">
      <protection hidden="1"/>
    </xf>
    <xf numFmtId="0" fontId="5" fillId="7" borderId="1" xfId="0" applyFont="1" applyFill="1" applyBorder="1" applyAlignment="1" applyProtection="1">
      <alignment horizontal="center"/>
      <protection hidden="1"/>
    </xf>
    <xf numFmtId="0" fontId="5" fillId="31" borderId="1" xfId="0" applyFont="1" applyFill="1" applyBorder="1" applyProtection="1">
      <protection hidden="1"/>
    </xf>
    <xf numFmtId="2" fontId="5" fillId="0" borderId="0" xfId="0" applyNumberFormat="1" applyFont="1" applyAlignment="1" applyProtection="1">
      <alignment horizontal="left"/>
      <protection hidden="1"/>
    </xf>
    <xf numFmtId="0" fontId="5" fillId="0" borderId="0" xfId="0" applyFont="1" applyAlignment="1" applyProtection="1">
      <alignment horizontal="left"/>
      <protection hidden="1"/>
    </xf>
    <xf numFmtId="0" fontId="41" fillId="7" borderId="37" xfId="0" applyFont="1" applyFill="1" applyBorder="1" applyAlignment="1" applyProtection="1">
      <alignment horizontal="left" vertical="center"/>
      <protection hidden="1"/>
    </xf>
    <xf numFmtId="0" fontId="41" fillId="7" borderId="36" xfId="0" applyFont="1" applyFill="1" applyBorder="1" applyAlignment="1" applyProtection="1">
      <alignment horizontal="left" vertical="center"/>
      <protection hidden="1"/>
    </xf>
    <xf numFmtId="2" fontId="5" fillId="0" borderId="1" xfId="0" applyNumberFormat="1" applyFont="1" applyBorder="1" applyProtection="1">
      <protection hidden="1"/>
    </xf>
    <xf numFmtId="0" fontId="40" fillId="0" borderId="1" xfId="0" applyFont="1" applyBorder="1" applyAlignment="1" applyProtection="1">
      <alignment horizontal="center"/>
      <protection hidden="1"/>
    </xf>
    <xf numFmtId="0" fontId="16" fillId="17" borderId="1" xfId="0" applyFont="1" applyFill="1" applyBorder="1" applyAlignment="1" applyProtection="1">
      <alignment horizontal="center" vertical="center" wrapText="1"/>
      <protection hidden="1"/>
    </xf>
    <xf numFmtId="0" fontId="35" fillId="0" borderId="0" xfId="0" applyFont="1" applyProtection="1">
      <protection hidden="1"/>
    </xf>
    <xf numFmtId="0" fontId="10" fillId="0" borderId="0" xfId="0" applyFont="1" applyAlignment="1" applyProtection="1">
      <alignment horizontal="right"/>
      <protection hidden="1"/>
    </xf>
    <xf numFmtId="0" fontId="5" fillId="0" borderId="63" xfId="0" applyFont="1" applyBorder="1" applyProtection="1">
      <protection hidden="1"/>
    </xf>
    <xf numFmtId="0" fontId="23" fillId="0" borderId="0" xfId="0" applyFont="1" applyAlignment="1" applyProtection="1">
      <alignment wrapText="1"/>
      <protection hidden="1"/>
    </xf>
    <xf numFmtId="0" fontId="23" fillId="0" borderId="15" xfId="0" applyFont="1" applyBorder="1" applyAlignment="1" applyProtection="1">
      <alignment wrapText="1"/>
      <protection hidden="1"/>
    </xf>
    <xf numFmtId="0" fontId="47" fillId="0" borderId="3" xfId="0" applyFont="1" applyBorder="1" applyAlignment="1" applyProtection="1">
      <alignment vertical="center"/>
      <protection hidden="1"/>
    </xf>
    <xf numFmtId="0" fontId="5" fillId="0" borderId="65" xfId="0" applyFont="1" applyBorder="1" applyProtection="1">
      <protection hidden="1"/>
    </xf>
    <xf numFmtId="0" fontId="5" fillId="0" borderId="64" xfId="0" applyFont="1" applyBorder="1" applyProtection="1">
      <protection hidden="1"/>
    </xf>
    <xf numFmtId="170" fontId="5" fillId="31" borderId="1" xfId="0" applyNumberFormat="1" applyFont="1" applyFill="1" applyBorder="1" applyAlignment="1" applyProtection="1">
      <alignment horizontal="center"/>
      <protection hidden="1"/>
    </xf>
    <xf numFmtId="0" fontId="5" fillId="0" borderId="0" xfId="0" applyFont="1" applyAlignment="1" applyProtection="1">
      <alignment vertical="top" wrapText="1"/>
      <protection hidden="1"/>
    </xf>
    <xf numFmtId="0" fontId="5" fillId="0" borderId="2" xfId="0" applyFont="1" applyBorder="1" applyAlignment="1" applyProtection="1">
      <alignment vertical="top" wrapText="1"/>
      <protection hidden="1"/>
    </xf>
    <xf numFmtId="0" fontId="5" fillId="0" borderId="11" xfId="0" applyFont="1" applyBorder="1" applyAlignment="1" applyProtection="1">
      <alignment vertical="top" wrapText="1"/>
      <protection hidden="1"/>
    </xf>
    <xf numFmtId="0" fontId="16" fillId="0" borderId="1" xfId="0" applyFont="1" applyBorder="1" applyAlignment="1" applyProtection="1">
      <alignment horizontal="center" vertical="center" wrapText="1"/>
      <protection hidden="1"/>
    </xf>
    <xf numFmtId="171" fontId="5" fillId="0" borderId="1" xfId="0" applyNumberFormat="1" applyFont="1" applyBorder="1" applyAlignment="1" applyProtection="1">
      <alignment horizontal="center" vertical="center"/>
      <protection hidden="1"/>
    </xf>
    <xf numFmtId="2" fontId="5" fillId="31" borderId="1" xfId="0" applyNumberFormat="1" applyFont="1" applyFill="1" applyBorder="1" applyAlignment="1" applyProtection="1">
      <alignment horizontal="center" vertical="center"/>
      <protection hidden="1"/>
    </xf>
    <xf numFmtId="2" fontId="16" fillId="17" borderId="1" xfId="0" applyNumberFormat="1" applyFont="1" applyFill="1" applyBorder="1" applyAlignment="1" applyProtection="1">
      <alignment horizontal="center" vertical="center" wrapText="1"/>
      <protection hidden="1"/>
    </xf>
    <xf numFmtId="171" fontId="16" fillId="17" borderId="1" xfId="0" applyNumberFormat="1" applyFont="1" applyFill="1" applyBorder="1" applyAlignment="1" applyProtection="1">
      <alignment horizontal="center" vertical="top" wrapText="1"/>
      <protection hidden="1"/>
    </xf>
    <xf numFmtId="0" fontId="5" fillId="0" borderId="0" xfId="0" applyFont="1" applyAlignment="1" applyProtection="1">
      <alignment wrapText="1"/>
      <protection hidden="1"/>
    </xf>
    <xf numFmtId="0" fontId="5" fillId="0" borderId="0" xfId="0" applyFont="1" applyAlignment="1" applyProtection="1">
      <alignment vertical="center"/>
      <protection hidden="1"/>
    </xf>
    <xf numFmtId="0" fontId="5" fillId="0" borderId="66" xfId="0" applyFont="1" applyBorder="1" applyProtection="1">
      <protection hidden="1"/>
    </xf>
    <xf numFmtId="171" fontId="5" fillId="6" borderId="14" xfId="0" applyNumberFormat="1" applyFont="1" applyFill="1" applyBorder="1" applyAlignment="1">
      <alignment horizontal="center" vertical="center"/>
    </xf>
    <xf numFmtId="170" fontId="10" fillId="31" borderId="1" xfId="0" applyNumberFormat="1" applyFont="1" applyFill="1" applyBorder="1" applyAlignment="1" applyProtection="1">
      <alignment horizontal="center"/>
      <protection hidden="1"/>
    </xf>
    <xf numFmtId="0" fontId="49" fillId="0" borderId="0" xfId="0" applyFont="1" applyAlignment="1" applyProtection="1">
      <alignment vertical="center" wrapText="1"/>
      <protection hidden="1"/>
    </xf>
    <xf numFmtId="0" fontId="49" fillId="0" borderId="0" xfId="0" applyFont="1" applyAlignment="1" applyProtection="1">
      <alignment vertical="center"/>
      <protection hidden="1"/>
    </xf>
    <xf numFmtId="0" fontId="40" fillId="0" borderId="1" xfId="0" applyFont="1" applyBorder="1" applyAlignment="1" applyProtection="1">
      <alignment horizontal="center" vertical="center"/>
      <protection hidden="1"/>
    </xf>
    <xf numFmtId="0" fontId="5" fillId="31" borderId="0" xfId="0" applyFont="1" applyFill="1" applyProtection="1">
      <protection hidden="1"/>
    </xf>
    <xf numFmtId="171" fontId="5" fillId="31" borderId="0" xfId="0" applyNumberFormat="1" applyFont="1" applyFill="1"/>
    <xf numFmtId="171" fontId="5" fillId="31" borderId="0" xfId="0" applyNumberFormat="1" applyFont="1" applyFill="1" applyProtection="1">
      <protection hidden="1"/>
    </xf>
    <xf numFmtId="0" fontId="8" fillId="7" borderId="1" xfId="0" applyFont="1" applyFill="1" applyBorder="1" applyAlignment="1">
      <alignment horizontal="center" vertical="center"/>
    </xf>
    <xf numFmtId="0" fontId="10" fillId="0" borderId="1" xfId="0" applyFont="1" applyBorder="1" applyAlignment="1" applyProtection="1">
      <alignment horizontal="center"/>
      <protection hidden="1"/>
    </xf>
    <xf numFmtId="0" fontId="41" fillId="26" borderId="62" xfId="0" applyFont="1" applyFill="1" applyBorder="1" applyAlignment="1" applyProtection="1">
      <alignment horizontal="center" vertical="center" wrapText="1"/>
      <protection hidden="1"/>
    </xf>
    <xf numFmtId="0" fontId="40" fillId="7" borderId="1" xfId="0" applyFont="1" applyFill="1" applyBorder="1" applyAlignment="1" applyProtection="1">
      <alignment horizontal="center"/>
      <protection hidden="1"/>
    </xf>
    <xf numFmtId="0" fontId="43" fillId="7" borderId="1" xfId="0" applyFont="1" applyFill="1" applyBorder="1" applyAlignment="1" applyProtection="1">
      <alignment horizontal="center"/>
      <protection hidden="1"/>
    </xf>
    <xf numFmtId="0" fontId="41" fillId="26" borderId="67" xfId="0" applyFont="1" applyFill="1" applyBorder="1" applyAlignment="1" applyProtection="1">
      <alignment horizontal="center" vertical="top" wrapText="1"/>
      <protection hidden="1"/>
    </xf>
    <xf numFmtId="0" fontId="41" fillId="26" borderId="68" xfId="0" applyFont="1" applyFill="1" applyBorder="1" applyAlignment="1" applyProtection="1">
      <alignment horizontal="center" vertical="top" wrapText="1"/>
      <protection hidden="1"/>
    </xf>
    <xf numFmtId="0" fontId="50" fillId="0" borderId="0" xfId="0" applyFont="1" applyProtection="1">
      <protection hidden="1"/>
    </xf>
    <xf numFmtId="0" fontId="23" fillId="7" borderId="23" xfId="0" applyFont="1" applyFill="1" applyBorder="1" applyAlignment="1" applyProtection="1">
      <alignment horizontal="right"/>
      <protection hidden="1"/>
    </xf>
    <xf numFmtId="0" fontId="30" fillId="0" borderId="0" xfId="0" applyFont="1" applyAlignment="1" applyProtection="1">
      <alignment horizontal="right"/>
      <protection hidden="1"/>
    </xf>
    <xf numFmtId="0" fontId="28" fillId="0" borderId="0" xfId="0" applyFont="1" applyAlignment="1" applyProtection="1">
      <alignment horizontal="right"/>
      <protection hidden="1"/>
    </xf>
    <xf numFmtId="0" fontId="28" fillId="0" borderId="0" xfId="0" applyFont="1" applyAlignment="1" applyProtection="1">
      <alignment horizontal="left"/>
      <protection hidden="1"/>
    </xf>
    <xf numFmtId="170" fontId="17" fillId="0" borderId="0" xfId="0" applyNumberFormat="1" applyFont="1" applyAlignment="1" applyProtection="1">
      <alignment horizontal="right"/>
      <protection hidden="1"/>
    </xf>
    <xf numFmtId="2" fontId="10" fillId="31" borderId="1" xfId="0" applyNumberFormat="1" applyFont="1" applyFill="1" applyBorder="1" applyAlignment="1" applyProtection="1">
      <alignment horizontal="center" vertical="center"/>
      <protection hidden="1"/>
    </xf>
    <xf numFmtId="2" fontId="10" fillId="31" borderId="1" xfId="0" applyNumberFormat="1" applyFont="1" applyFill="1" applyBorder="1" applyAlignment="1" applyProtection="1">
      <alignment horizontal="center" vertical="center" wrapText="1"/>
      <protection hidden="1"/>
    </xf>
    <xf numFmtId="0" fontId="49" fillId="0" borderId="0" xfId="0" applyFont="1" applyProtection="1">
      <protection hidden="1"/>
    </xf>
    <xf numFmtId="170" fontId="15" fillId="0" borderId="1" xfId="0" applyNumberFormat="1" applyFont="1" applyBorder="1" applyAlignment="1" applyProtection="1">
      <alignment horizontal="center" vertical="center"/>
      <protection hidden="1"/>
    </xf>
    <xf numFmtId="0" fontId="5" fillId="0" borderId="9" xfId="0" applyFont="1" applyBorder="1" applyAlignment="1" applyProtection="1">
      <alignment vertical="top" wrapText="1"/>
      <protection hidden="1"/>
    </xf>
    <xf numFmtId="0" fontId="8" fillId="0" borderId="1" xfId="0" applyFont="1" applyBorder="1" applyAlignment="1">
      <alignment horizontal="center" vertical="center"/>
    </xf>
    <xf numFmtId="0" fontId="51" fillId="0" borderId="1" xfId="0" applyFont="1" applyBorder="1" applyAlignment="1">
      <alignment horizontal="center" vertical="center"/>
    </xf>
    <xf numFmtId="0" fontId="52" fillId="26" borderId="68" xfId="0" applyFont="1" applyFill="1" applyBorder="1" applyAlignment="1" applyProtection="1">
      <alignment horizontal="center" vertical="top"/>
      <protection hidden="1"/>
    </xf>
    <xf numFmtId="0" fontId="41" fillId="26" borderId="68" xfId="0" applyFont="1" applyFill="1" applyBorder="1" applyAlignment="1" applyProtection="1">
      <alignment horizontal="center" vertical="top"/>
      <protection hidden="1"/>
    </xf>
    <xf numFmtId="0" fontId="23" fillId="0" borderId="0" xfId="0" applyFont="1" applyProtection="1">
      <protection hidden="1"/>
    </xf>
    <xf numFmtId="170" fontId="5" fillId="31" borderId="1" xfId="0" applyNumberFormat="1" applyFont="1" applyFill="1" applyBorder="1" applyProtection="1">
      <protection hidden="1"/>
    </xf>
    <xf numFmtId="0" fontId="43" fillId="0" borderId="0" xfId="0" applyFont="1" applyAlignment="1" applyProtection="1">
      <alignment horizontal="left"/>
      <protection hidden="1"/>
    </xf>
    <xf numFmtId="0" fontId="46" fillId="0" borderId="0" xfId="0" applyFont="1" applyAlignment="1" applyProtection="1">
      <alignment horizontal="left"/>
      <protection hidden="1"/>
    </xf>
    <xf numFmtId="0" fontId="5" fillId="0" borderId="1" xfId="0" applyFont="1" applyBorder="1" applyAlignment="1" applyProtection="1">
      <alignment horizontal="left"/>
      <protection hidden="1"/>
    </xf>
    <xf numFmtId="165" fontId="5" fillId="32" borderId="0" xfId="1" applyNumberFormat="1" applyFont="1" applyFill="1" applyBorder="1"/>
    <xf numFmtId="0" fontId="5" fillId="32" borderId="0" xfId="0" applyFont="1" applyFill="1"/>
    <xf numFmtId="171" fontId="10" fillId="15" borderId="53" xfId="0" applyNumberFormat="1" applyFont="1" applyFill="1" applyBorder="1" applyAlignment="1" applyProtection="1">
      <alignment horizontal="center" vertical="center"/>
      <protection hidden="1"/>
    </xf>
    <xf numFmtId="0" fontId="53" fillId="0" borderId="3" xfId="0" applyFont="1" applyBorder="1" applyProtection="1">
      <protection hidden="1"/>
    </xf>
    <xf numFmtId="0" fontId="53" fillId="0" borderId="4" xfId="0" applyFont="1" applyBorder="1" applyProtection="1">
      <protection hidden="1"/>
    </xf>
    <xf numFmtId="0" fontId="53" fillId="0" borderId="0" xfId="0" applyFont="1" applyProtection="1">
      <protection hidden="1"/>
    </xf>
    <xf numFmtId="0" fontId="54" fillId="0" borderId="0" xfId="0" applyFont="1" applyProtection="1">
      <protection hidden="1"/>
    </xf>
    <xf numFmtId="0" fontId="6" fillId="0" borderId="0" xfId="0" applyFont="1" applyProtection="1">
      <protection hidden="1"/>
    </xf>
    <xf numFmtId="0" fontId="5" fillId="0" borderId="9" xfId="0" applyFont="1" applyBorder="1" applyAlignment="1" applyProtection="1">
      <alignment horizontal="right" vertical="top"/>
      <protection hidden="1"/>
    </xf>
    <xf numFmtId="0" fontId="5" fillId="31" borderId="1" xfId="0" applyFont="1" applyFill="1" applyBorder="1" applyAlignment="1" applyProtection="1">
      <alignment horizontal="left"/>
      <protection hidden="1"/>
    </xf>
    <xf numFmtId="165" fontId="5" fillId="31" borderId="1" xfId="0" applyNumberFormat="1" applyFont="1" applyFill="1" applyBorder="1" applyAlignment="1" applyProtection="1">
      <alignment horizontal="left"/>
      <protection hidden="1"/>
    </xf>
    <xf numFmtId="171" fontId="5" fillId="6" borderId="9" xfId="0" applyNumberFormat="1" applyFont="1" applyFill="1" applyBorder="1" applyAlignment="1" applyProtection="1">
      <alignment horizontal="left" vertical="center"/>
      <protection hidden="1"/>
    </xf>
    <xf numFmtId="0" fontId="56" fillId="0" borderId="0" xfId="0" applyFont="1" applyProtection="1">
      <protection hidden="1"/>
    </xf>
    <xf numFmtId="0" fontId="57" fillId="0" borderId="0" xfId="0" applyFont="1" applyProtection="1">
      <protection hidden="1"/>
    </xf>
    <xf numFmtId="0" fontId="49" fillId="0" borderId="0" xfId="0" applyFont="1" applyAlignment="1" applyProtection="1">
      <alignment wrapText="1"/>
      <protection hidden="1"/>
    </xf>
    <xf numFmtId="0" fontId="53" fillId="0" borderId="70" xfId="0" applyFont="1" applyBorder="1" applyProtection="1">
      <protection hidden="1"/>
    </xf>
    <xf numFmtId="0" fontId="15" fillId="0" borderId="0" xfId="0" applyFont="1" applyProtection="1">
      <protection hidden="1"/>
    </xf>
    <xf numFmtId="0" fontId="5" fillId="0" borderId="5" xfId="0" applyFont="1" applyBorder="1" applyAlignment="1" applyProtection="1">
      <alignment horizontal="center"/>
      <protection hidden="1"/>
    </xf>
    <xf numFmtId="0" fontId="5" fillId="0" borderId="10" xfId="0" applyFont="1" applyBorder="1" applyAlignment="1" applyProtection="1">
      <alignment horizontal="center"/>
      <protection hidden="1"/>
    </xf>
    <xf numFmtId="0" fontId="5" fillId="0" borderId="2" xfId="0" applyFont="1" applyBorder="1" applyAlignment="1" applyProtection="1">
      <alignment horizontal="left"/>
      <protection hidden="1"/>
    </xf>
    <xf numFmtId="0" fontId="5" fillId="0" borderId="9" xfId="0" applyFont="1" applyBorder="1" applyAlignment="1" applyProtection="1">
      <alignment horizontal="left"/>
      <protection hidden="1"/>
    </xf>
    <xf numFmtId="0" fontId="5" fillId="0" borderId="11" xfId="0" applyFont="1" applyBorder="1" applyAlignment="1" applyProtection="1">
      <alignment horizontal="left"/>
      <protection hidden="1"/>
    </xf>
    <xf numFmtId="0" fontId="7" fillId="0" borderId="70" xfId="0" applyFont="1" applyBorder="1" applyAlignment="1" applyProtection="1">
      <alignment vertical="center"/>
      <protection hidden="1"/>
    </xf>
    <xf numFmtId="2" fontId="15" fillId="6" borderId="69" xfId="0" applyNumberFormat="1" applyFont="1" applyFill="1" applyBorder="1" applyAlignment="1" applyProtection="1">
      <alignment horizontal="left" vertical="center"/>
      <protection hidden="1"/>
    </xf>
    <xf numFmtId="0" fontId="5" fillId="6" borderId="72" xfId="0" applyFont="1" applyFill="1" applyBorder="1" applyAlignment="1" applyProtection="1">
      <alignment vertical="center"/>
      <protection hidden="1"/>
    </xf>
    <xf numFmtId="0" fontId="16" fillId="0" borderId="0" xfId="0" applyFont="1" applyAlignment="1" applyProtection="1">
      <alignment wrapText="1"/>
      <protection hidden="1"/>
    </xf>
    <xf numFmtId="0" fontId="16" fillId="0" borderId="0" xfId="0" applyFont="1" applyProtection="1">
      <protection hidden="1"/>
    </xf>
    <xf numFmtId="0" fontId="58" fillId="7" borderId="23" xfId="3" applyFont="1" applyFill="1" applyBorder="1" applyAlignment="1" applyProtection="1">
      <alignment horizontal="left"/>
      <protection hidden="1"/>
    </xf>
    <xf numFmtId="0" fontId="36" fillId="11" borderId="37" xfId="0" applyFont="1" applyFill="1" applyBorder="1" applyAlignment="1" applyProtection="1">
      <alignment horizontal="right" vertical="center" wrapText="1"/>
      <protection hidden="1"/>
    </xf>
    <xf numFmtId="0" fontId="5" fillId="0" borderId="73" xfId="0" applyFont="1" applyBorder="1" applyProtection="1">
      <protection hidden="1"/>
    </xf>
    <xf numFmtId="0" fontId="5" fillId="0" borderId="74" xfId="0" applyFont="1" applyBorder="1" applyProtection="1">
      <protection hidden="1"/>
    </xf>
    <xf numFmtId="0" fontId="5" fillId="0" borderId="0" xfId="0" applyFont="1" applyAlignment="1">
      <alignment vertical="center"/>
    </xf>
    <xf numFmtId="0" fontId="40" fillId="0" borderId="16" xfId="0" applyFont="1" applyBorder="1" applyProtection="1">
      <protection hidden="1"/>
    </xf>
    <xf numFmtId="2" fontId="5" fillId="31" borderId="1" xfId="0" applyNumberFormat="1" applyFont="1" applyFill="1" applyBorder="1" applyAlignment="1" applyProtection="1">
      <alignment horizontal="center"/>
      <protection hidden="1"/>
    </xf>
    <xf numFmtId="0" fontId="5" fillId="0" borderId="35" xfId="0" applyFont="1" applyBorder="1" applyProtection="1">
      <protection hidden="1"/>
    </xf>
    <xf numFmtId="0" fontId="10" fillId="0" borderId="1" xfId="0" applyFont="1" applyBorder="1" applyProtection="1">
      <protection hidden="1"/>
    </xf>
    <xf numFmtId="0" fontId="62" fillId="0" borderId="75" xfId="4" applyFont="1" applyBorder="1" applyAlignment="1">
      <alignment horizontal="left" vertical="center" wrapText="1"/>
    </xf>
    <xf numFmtId="0" fontId="62" fillId="0" borderId="75" xfId="4" applyFont="1" applyBorder="1" applyAlignment="1">
      <alignment horizontal="center" vertical="center" wrapText="1"/>
    </xf>
    <xf numFmtId="0" fontId="63" fillId="14" borderId="0" xfId="0" applyFont="1" applyFill="1"/>
    <xf numFmtId="0" fontId="0" fillId="14" borderId="0" xfId="0" applyFill="1"/>
    <xf numFmtId="0" fontId="64" fillId="0" borderId="75" xfId="4" applyFont="1" applyBorder="1" applyAlignment="1">
      <alignment horizontal="left" vertical="center" wrapText="1"/>
    </xf>
    <xf numFmtId="49" fontId="64" fillId="0" borderId="75" xfId="4" applyNumberFormat="1" applyFont="1" applyBorder="1" applyAlignment="1">
      <alignment horizontal="center" vertical="center" wrapText="1"/>
    </xf>
    <xf numFmtId="0" fontId="0" fillId="0" borderId="75" xfId="0" applyBorder="1"/>
    <xf numFmtId="0" fontId="0" fillId="0" borderId="0" xfId="0" applyAlignment="1">
      <alignment wrapText="1"/>
    </xf>
    <xf numFmtId="0" fontId="64" fillId="0" borderId="75" xfId="4" applyFont="1" applyBorder="1" applyAlignment="1">
      <alignment horizontal="center" vertical="center" wrapText="1"/>
    </xf>
    <xf numFmtId="0" fontId="65" fillId="14" borderId="0" xfId="4" applyFont="1" applyFill="1" applyAlignment="1">
      <alignment horizontal="left" vertical="center" wrapText="1"/>
    </xf>
    <xf numFmtId="0" fontId="62" fillId="0" borderId="0" xfId="4" applyFont="1" applyAlignment="1">
      <alignment horizontal="left" vertical="center" wrapText="1"/>
    </xf>
    <xf numFmtId="0" fontId="64" fillId="0" borderId="0" xfId="4" applyFont="1" applyAlignment="1">
      <alignment horizontal="left" vertical="center" wrapText="1"/>
    </xf>
    <xf numFmtId="0" fontId="55" fillId="0" borderId="0" xfId="3"/>
    <xf numFmtId="0" fontId="55" fillId="0" borderId="0" xfId="3" applyAlignment="1">
      <alignment vertical="center"/>
    </xf>
    <xf numFmtId="0" fontId="60" fillId="0" borderId="0" xfId="0" applyFont="1"/>
    <xf numFmtId="0" fontId="23" fillId="0" borderId="0" xfId="0" applyFont="1" applyAlignment="1" applyProtection="1">
      <alignment horizontal="left" wrapText="1"/>
      <protection hidden="1"/>
    </xf>
    <xf numFmtId="0" fontId="41" fillId="0" borderId="0" xfId="0" applyFont="1" applyAlignment="1" applyProtection="1">
      <alignment horizontal="left" wrapText="1"/>
      <protection hidden="1"/>
    </xf>
    <xf numFmtId="0" fontId="49" fillId="0" borderId="0" xfId="0" applyFont="1" applyAlignment="1" applyProtection="1">
      <alignment horizontal="left" wrapText="1"/>
      <protection hidden="1"/>
    </xf>
    <xf numFmtId="0" fontId="10" fillId="0" borderId="1" xfId="0" applyFont="1" applyBorder="1" applyAlignment="1">
      <alignment horizontal="center"/>
    </xf>
    <xf numFmtId="0" fontId="9" fillId="0" borderId="3" xfId="0" applyFont="1" applyBorder="1" applyAlignment="1" applyProtection="1">
      <alignment horizontal="left"/>
      <protection hidden="1"/>
    </xf>
    <xf numFmtId="0" fontId="5" fillId="6" borderId="8" xfId="0" applyFont="1" applyFill="1" applyBorder="1" applyAlignment="1" applyProtection="1">
      <alignment horizontal="right" vertical="center"/>
      <protection hidden="1"/>
    </xf>
    <xf numFmtId="0" fontId="5" fillId="6" borderId="0" xfId="0" applyFont="1" applyFill="1" applyAlignment="1" applyProtection="1">
      <alignment horizontal="right" vertical="center"/>
      <protection hidden="1"/>
    </xf>
    <xf numFmtId="0" fontId="10" fillId="0" borderId="37" xfId="0" applyFont="1" applyBorder="1" applyAlignment="1">
      <alignment horizontal="center"/>
    </xf>
    <xf numFmtId="0" fontId="10" fillId="0" borderId="36" xfId="0" applyFont="1" applyBorder="1" applyAlignment="1">
      <alignment horizontal="center"/>
    </xf>
    <xf numFmtId="0" fontId="41" fillId="0" borderId="1" xfId="0" applyFont="1" applyBorder="1" applyAlignment="1" applyProtection="1">
      <alignment horizontal="center"/>
      <protection hidden="1"/>
    </xf>
    <xf numFmtId="0" fontId="41" fillId="7" borderId="37" xfId="0" applyFont="1" applyFill="1" applyBorder="1" applyAlignment="1" applyProtection="1">
      <alignment horizontal="left" vertical="center"/>
      <protection hidden="1"/>
    </xf>
    <xf numFmtId="0" fontId="41" fillId="7" borderId="36" xfId="0" applyFont="1" applyFill="1" applyBorder="1" applyAlignment="1" applyProtection="1">
      <alignment horizontal="left" vertical="center"/>
      <protection hidden="1"/>
    </xf>
    <xf numFmtId="0" fontId="15" fillId="6" borderId="8" xfId="0" applyFont="1" applyFill="1" applyBorder="1" applyAlignment="1" applyProtection="1">
      <alignment horizontal="right" vertical="center"/>
      <protection hidden="1"/>
    </xf>
    <xf numFmtId="0" fontId="15" fillId="6" borderId="0" xfId="0" applyFont="1" applyFill="1" applyAlignment="1" applyProtection="1">
      <alignment horizontal="right" vertical="center"/>
      <protection hidden="1"/>
    </xf>
    <xf numFmtId="0" fontId="10" fillId="7" borderId="1" xfId="0" applyFont="1" applyFill="1" applyBorder="1" applyAlignment="1" applyProtection="1">
      <alignment horizontal="center" vertical="center" wrapText="1"/>
      <protection hidden="1"/>
    </xf>
    <xf numFmtId="0" fontId="40" fillId="0" borderId="0" xfId="0" applyFont="1" applyAlignment="1" applyProtection="1">
      <alignment horizontal="left" wrapText="1"/>
      <protection hidden="1"/>
    </xf>
    <xf numFmtId="0" fontId="40" fillId="0" borderId="15" xfId="0" applyFont="1" applyBorder="1" applyAlignment="1" applyProtection="1">
      <alignment horizontal="left" wrapText="1"/>
      <protection hidden="1"/>
    </xf>
    <xf numFmtId="0" fontId="5" fillId="0" borderId="0" xfId="0" applyFont="1" applyAlignment="1" applyProtection="1">
      <alignment horizontal="left" wrapText="1"/>
      <protection hidden="1"/>
    </xf>
    <xf numFmtId="0" fontId="5" fillId="0" borderId="9" xfId="0" applyFont="1" applyBorder="1" applyAlignment="1" applyProtection="1">
      <alignment horizontal="left" wrapText="1"/>
      <protection hidden="1"/>
    </xf>
    <xf numFmtId="0" fontId="45" fillId="27" borderId="1" xfId="0" applyFont="1" applyFill="1" applyBorder="1" applyAlignment="1" applyProtection="1">
      <alignment horizontal="center" vertical="center" textRotation="90"/>
      <protection hidden="1"/>
    </xf>
    <xf numFmtId="0" fontId="16" fillId="14" borderId="1" xfId="0" applyFont="1" applyFill="1" applyBorder="1" applyAlignment="1" applyProtection="1">
      <alignment horizontal="center" textRotation="90"/>
      <protection hidden="1"/>
    </xf>
    <xf numFmtId="0" fontId="22" fillId="0" borderId="8" xfId="0" applyFont="1" applyBorder="1" applyAlignment="1" applyProtection="1">
      <alignment horizontal="left" vertical="top" wrapText="1"/>
      <protection hidden="1"/>
    </xf>
    <xf numFmtId="0" fontId="22" fillId="0" borderId="0" xfId="0" applyFont="1" applyAlignment="1" applyProtection="1">
      <alignment horizontal="left" vertical="top" wrapText="1"/>
      <protection hidden="1"/>
    </xf>
    <xf numFmtId="0" fontId="22" fillId="0" borderId="15" xfId="0" applyFont="1" applyBorder="1" applyAlignment="1" applyProtection="1">
      <alignment horizontal="left" vertical="top" wrapText="1"/>
      <protection hidden="1"/>
    </xf>
    <xf numFmtId="0" fontId="16" fillId="13" borderId="17" xfId="0" applyFont="1" applyFill="1" applyBorder="1" applyAlignment="1" applyProtection="1">
      <alignment horizontal="center" vertical="center"/>
      <protection hidden="1"/>
    </xf>
    <xf numFmtId="0" fontId="16" fillId="13" borderId="40" xfId="0" applyFont="1" applyFill="1" applyBorder="1" applyAlignment="1" applyProtection="1">
      <alignment horizontal="center" vertical="center"/>
      <protection hidden="1"/>
    </xf>
    <xf numFmtId="0" fontId="16" fillId="13" borderId="18" xfId="0" applyFont="1" applyFill="1" applyBorder="1" applyAlignment="1" applyProtection="1">
      <alignment horizontal="center" vertical="center"/>
      <protection hidden="1"/>
    </xf>
    <xf numFmtId="0" fontId="35" fillId="0" borderId="6" xfId="0" applyFont="1" applyBorder="1" applyAlignment="1" applyProtection="1">
      <alignment horizontal="center" vertical="center" wrapText="1"/>
      <protection hidden="1"/>
    </xf>
    <xf numFmtId="0" fontId="35" fillId="0" borderId="71" xfId="0" applyFont="1" applyBorder="1" applyAlignment="1" applyProtection="1">
      <alignment horizontal="center" vertical="center" wrapText="1"/>
      <protection hidden="1"/>
    </xf>
  </cellXfs>
  <cellStyles count="5">
    <cellStyle name="Comma" xfId="1" builtinId="3"/>
    <cellStyle name="Hyperlink" xfId="3" builtinId="8"/>
    <cellStyle name="Normal" xfId="0" builtinId="0"/>
    <cellStyle name="Normal 2" xfId="4" xr:uid="{01E1AC92-D0AC-4C7D-ADAD-5A76E8A0FB73}"/>
    <cellStyle name="Percent" xfId="2" builtinId="5"/>
  </cellStyles>
  <dxfs count="165">
    <dxf>
      <font>
        <b/>
        <i val="0"/>
      </font>
    </dxf>
    <dxf>
      <font>
        <b/>
        <i val="0"/>
      </font>
    </dxf>
    <dxf>
      <font>
        <b/>
        <i val="0"/>
      </font>
    </dxf>
    <dxf>
      <font>
        <b/>
        <i val="0"/>
      </font>
    </dxf>
    <dxf>
      <fill>
        <patternFill>
          <bgColor rgb="FFFF9933"/>
        </patternFill>
      </fill>
    </dxf>
    <dxf>
      <font>
        <color theme="1"/>
      </font>
      <fill>
        <patternFill>
          <bgColor rgb="FFFF9933"/>
        </patternFill>
      </fill>
      <border>
        <right style="dashDotDot">
          <color auto="1"/>
        </right>
      </border>
    </dxf>
    <dxf>
      <font>
        <color theme="1"/>
      </font>
      <fill>
        <patternFill>
          <bgColor rgb="FFFF9933"/>
        </patternFill>
      </fill>
    </dxf>
    <dxf>
      <font>
        <color theme="7" tint="0.59996337778862885"/>
      </font>
      <fill>
        <patternFill>
          <bgColor theme="7" tint="0.59996337778862885"/>
        </patternFill>
      </fill>
      <border>
        <left/>
        <right/>
        <vertical/>
        <horizontal/>
      </border>
    </dxf>
    <dxf>
      <font>
        <color theme="1"/>
      </font>
      <fill>
        <patternFill>
          <bgColor theme="7" tint="0.79998168889431442"/>
        </patternFill>
      </fill>
    </dxf>
    <dxf>
      <fill>
        <patternFill>
          <bgColor rgb="FFFF9933"/>
        </patternFill>
      </fill>
    </dxf>
    <dxf>
      <font>
        <b/>
        <i val="0"/>
        <color rgb="FFC00000"/>
      </font>
    </dxf>
    <dxf>
      <fill>
        <patternFill>
          <bgColor rgb="FFFF9933"/>
        </patternFill>
      </fill>
    </dxf>
    <dxf>
      <font>
        <b/>
        <i val="0"/>
        <color rgb="FFC00000"/>
      </font>
      <fill>
        <patternFill>
          <bgColor theme="5" tint="0.59996337778862885"/>
        </patternFill>
      </fill>
    </dxf>
    <dxf>
      <fill>
        <patternFill>
          <bgColor theme="9"/>
        </patternFill>
      </fill>
    </dxf>
    <dxf>
      <fill>
        <patternFill>
          <bgColor rgb="FFFF9933"/>
        </patternFill>
      </fill>
    </dxf>
    <dxf>
      <fill>
        <patternFill>
          <bgColor rgb="FF00B0F0"/>
        </patternFill>
      </fill>
    </dxf>
    <dxf>
      <font>
        <color theme="7" tint="0.59996337778862885"/>
      </font>
      <fill>
        <patternFill>
          <bgColor theme="7" tint="0.59996337778862885"/>
        </patternFill>
      </fill>
      <border>
        <left/>
        <right/>
        <vertical/>
        <horizontal/>
      </border>
    </dxf>
    <dxf>
      <font>
        <b/>
        <i val="0"/>
      </font>
    </dxf>
    <dxf>
      <font>
        <b/>
        <i val="0"/>
        <color rgb="FFC00000"/>
      </font>
      <fill>
        <patternFill>
          <bgColor theme="5" tint="0.59996337778862885"/>
        </patternFill>
      </fill>
    </dxf>
    <dxf>
      <font>
        <color theme="7" tint="0.59996337778862885"/>
      </font>
      <fill>
        <patternFill>
          <bgColor theme="7" tint="0.59996337778862885"/>
        </patternFill>
      </fill>
      <border>
        <left/>
        <right/>
        <bottom/>
        <vertical/>
        <horizontal/>
      </border>
    </dxf>
    <dxf>
      <font>
        <color theme="4" tint="0.59996337778862885"/>
      </font>
      <fill>
        <patternFill>
          <bgColor theme="4" tint="0.59996337778862885"/>
        </patternFill>
      </fill>
    </dxf>
    <dxf>
      <font>
        <color theme="1"/>
      </font>
    </dxf>
    <dxf>
      <font>
        <color theme="4" tint="0.59996337778862885"/>
      </font>
      <fill>
        <patternFill>
          <bgColor theme="4" tint="0.59996337778862885"/>
        </patternFill>
      </fill>
    </dxf>
    <dxf>
      <font>
        <color theme="1"/>
      </font>
    </dxf>
    <dxf>
      <font>
        <color theme="1"/>
      </font>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rgb="FFFF0000"/>
      </font>
      <fill>
        <patternFill>
          <fgColor auto="1"/>
          <bgColor rgb="FFFFCCFF"/>
        </patternFill>
      </fill>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theme="0"/>
      </font>
      <fill>
        <patternFill patternType="none">
          <bgColor auto="1"/>
        </patternFill>
      </fill>
    </dxf>
    <dxf>
      <font>
        <b/>
        <i val="0"/>
      </font>
    </dxf>
    <dxf>
      <font>
        <b/>
        <i val="0"/>
      </font>
    </dxf>
    <dxf>
      <font>
        <b/>
        <i val="0"/>
      </font>
    </dxf>
    <dxf>
      <font>
        <b/>
        <i val="0"/>
      </font>
    </dxf>
    <dxf>
      <font>
        <b/>
        <i val="0"/>
      </font>
    </dxf>
    <dxf>
      <font>
        <color theme="0"/>
      </font>
      <fill>
        <patternFill patternType="none">
          <bgColor auto="1"/>
        </patternFill>
      </fill>
    </dxf>
    <dxf>
      <font>
        <b/>
        <i val="0"/>
        <color rgb="FFC00000"/>
      </font>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border diagonalUp="0" diagonalDown="0">
        <left style="thin">
          <color auto="1"/>
        </left>
        <right style="thin">
          <color auto="1"/>
        </right>
        <top style="thin">
          <color auto="1"/>
        </top>
        <bottom/>
      </border>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protection locked="1" hidden="1"/>
    </dxf>
    <dxf>
      <border diagonalUp="0" diagonalDown="0">
        <left style="thin">
          <color auto="1"/>
        </left>
        <right style="thin">
          <color auto="1"/>
        </right>
        <top style="thin">
          <color auto="1"/>
        </top>
        <bottom/>
      </border>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style="thin">
          <color auto="1"/>
        </left>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style="thin">
          <color auto="1"/>
        </left>
        <right style="thin">
          <color auto="1"/>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style="thin">
          <color auto="1"/>
        </left>
        <right style="thin">
          <color auto="1"/>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style="thin">
          <color auto="1"/>
        </left>
        <right style="thin">
          <color auto="1"/>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right style="thin">
          <color auto="1"/>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fill>
        <patternFill patternType="none">
          <fgColor indexed="64"/>
          <bgColor auto="1"/>
        </patternFill>
      </fill>
      <border diagonalUp="0" diagonalDown="0"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protection locked="1" hidden="1"/>
    </dxf>
    <dxf>
      <border outline="0">
        <bottom style="thin">
          <color auto="1"/>
        </bottom>
      </border>
    </dxf>
    <dxf>
      <font>
        <b val="0"/>
        <i val="0"/>
        <strike val="0"/>
        <condense val="0"/>
        <extend val="0"/>
        <outline val="0"/>
        <shadow val="0"/>
        <u val="none"/>
        <vertAlign val="baseline"/>
        <sz val="10"/>
        <color theme="1"/>
        <name val="Arial"/>
        <scheme val="none"/>
      </font>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style="thin">
          <color auto="1"/>
        </left>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style="thin">
          <color auto="1"/>
        </left>
        <right style="thin">
          <color auto="1"/>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style="thin">
          <color auto="1"/>
        </left>
        <right style="thin">
          <color auto="1"/>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style="thin">
          <color auto="1"/>
        </left>
        <right style="thin">
          <color auto="1"/>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border diagonalUp="0" diagonalDown="0" outline="0">
        <left/>
        <right style="thin">
          <color auto="1"/>
        </right>
        <top style="thin">
          <color auto="1"/>
        </top>
        <bottom/>
      </border>
      <protection locked="1" hidden="1"/>
    </dxf>
    <dxf>
      <font>
        <b val="0"/>
        <i val="0"/>
        <strike val="0"/>
        <condense val="0"/>
        <extend val="0"/>
        <outline val="0"/>
        <shadow val="0"/>
        <u val="none"/>
        <vertAlign val="baseline"/>
        <sz val="10"/>
        <color theme="1"/>
        <name val="Arial"/>
        <scheme val="none"/>
      </font>
      <numFmt numFmtId="171" formatCode="0.000"/>
      <fill>
        <patternFill patternType="none">
          <fgColor indexed="64"/>
          <bgColor auto="1"/>
        </patternFill>
      </fill>
      <border diagonalUp="0" diagonalDown="0"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protection locked="1" hidden="1"/>
    </dxf>
    <dxf>
      <border outline="0">
        <bottom style="thin">
          <color auto="1"/>
        </bottom>
      </border>
    </dxf>
    <dxf>
      <font>
        <b val="0"/>
        <i val="0"/>
        <strike val="0"/>
        <condense val="0"/>
        <extend val="0"/>
        <outline val="0"/>
        <shadow val="0"/>
        <u val="none"/>
        <vertAlign val="baseline"/>
        <sz val="10"/>
        <color theme="1"/>
        <name val="Arial"/>
        <scheme val="none"/>
      </font>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0"/>
        <color rgb="FFC00000"/>
        <name val="Arial"/>
        <scheme val="none"/>
      </font>
      <numFmt numFmtId="170" formatCode="0.0"/>
      <border diagonalUp="0" diagonalDown="0" outline="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0"/>
        <color rgb="FFC00000"/>
        <name val="Arial"/>
        <scheme val="none"/>
      </font>
      <numFmt numFmtId="171" formatCode="0.00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rgb="FFC00000"/>
        <name val="Arial"/>
        <scheme val="none"/>
      </font>
      <numFmt numFmtId="170" formatCode="0.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rgb="FFC00000"/>
        <name val="Arial"/>
        <scheme val="none"/>
      </font>
      <numFmt numFmtId="171" formatCode="0.00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rgb="FFC00000"/>
        <name val="Arial"/>
        <scheme val="none"/>
      </font>
      <numFmt numFmtId="171" formatCode="0.00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border diagonalUp="0" diagonalDown="0"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protection locked="1" hidden="1"/>
    </dxf>
    <dxf>
      <border outline="0">
        <bottom style="thin">
          <color auto="1"/>
        </bottom>
      </border>
    </dxf>
    <dxf>
      <font>
        <b val="0"/>
        <i val="0"/>
        <strike val="0"/>
        <condense val="0"/>
        <extend val="0"/>
        <outline val="0"/>
        <shadow val="0"/>
        <u val="none"/>
        <vertAlign val="baseline"/>
        <sz val="10"/>
        <color theme="1"/>
        <name val="Arial"/>
        <scheme val="none"/>
      </font>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border diagonalUp="0" diagonalDown="0"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protection locked="1" hidden="1"/>
    </dxf>
    <dxf>
      <border outline="0">
        <bottom style="thin">
          <color auto="1"/>
        </bottom>
      </border>
    </dxf>
    <dxf>
      <font>
        <b val="0"/>
        <i val="0"/>
        <strike val="0"/>
        <condense val="0"/>
        <extend val="0"/>
        <outline val="0"/>
        <shadow val="0"/>
        <u val="none"/>
        <vertAlign val="baseline"/>
        <sz val="10"/>
        <color theme="1"/>
        <name val="Arial"/>
        <scheme val="none"/>
      </font>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numFmt numFmtId="170"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rial"/>
        <scheme val="none"/>
      </font>
      <border diagonalUp="0" diagonalDown="0"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protection locked="1" hidden="1"/>
    </dxf>
    <dxf>
      <border outline="0">
        <bottom style="thin">
          <color auto="1"/>
        </bottom>
      </border>
    </dxf>
    <dxf>
      <font>
        <b val="0"/>
        <i val="0"/>
        <strike val="0"/>
        <condense val="0"/>
        <extend val="0"/>
        <outline val="0"/>
        <shadow val="0"/>
        <u val="none"/>
        <vertAlign val="baseline"/>
        <sz val="10"/>
        <color theme="1"/>
        <name val="Arial"/>
        <scheme val="none"/>
      </font>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protection locked="1" hidden="1"/>
    </dxf>
    <dxf>
      <border diagonalUp="0" diagonalDown="0">
        <left style="thin">
          <color auto="1"/>
        </left>
        <right style="thin">
          <color auto="1"/>
        </right>
        <top style="thin">
          <color auto="1"/>
        </top>
        <bottom/>
      </border>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protection locked="1" hidden="1"/>
    </dxf>
    <dxf>
      <border diagonalUp="0" diagonalDown="0">
        <left style="thin">
          <color auto="1"/>
        </left>
        <right style="thin">
          <color auto="1"/>
        </right>
        <top style="thin">
          <color auto="1"/>
        </top>
        <bottom/>
      </border>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protection locked="1" hidden="1"/>
    </dxf>
    <dxf>
      <border diagonalUp="0" diagonalDown="0">
        <left style="thin">
          <color auto="1"/>
        </left>
        <right style="thin">
          <color auto="1"/>
        </right>
        <top style="thin">
          <color auto="1"/>
        </top>
        <bottom/>
      </border>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right style="thin">
          <color auto="1"/>
        </right>
        <top/>
        <bottom/>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top/>
        <bottom/>
        <vertical/>
        <horizontal/>
      </border>
      <protection locked="1" hidden="1"/>
    </dxf>
    <dxf>
      <border diagonalUp="0" diagonalDown="0">
        <left style="thin">
          <color auto="1"/>
        </left>
        <right style="thin">
          <color auto="1"/>
        </right>
        <top style="thin">
          <color auto="1"/>
        </top>
        <bottom/>
      </border>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theme="1"/>
        <name val="Arial"/>
        <scheme val="none"/>
      </font>
      <border>
        <left style="thin">
          <color auto="1"/>
        </left>
      </border>
      <protection locked="1" hidden="1"/>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hair">
          <color auto="1"/>
        </left>
        <right style="thin">
          <color auto="1"/>
        </right>
        <top/>
        <bottom/>
        <vertical style="hair">
          <color auto="1"/>
        </vertical>
        <horizontal/>
      </border>
      <protection locked="1" hidden="1"/>
    </dxf>
    <dxf>
      <font>
        <b val="0"/>
        <i val="0"/>
        <strike val="0"/>
        <condense val="0"/>
        <extend val="0"/>
        <outline val="0"/>
        <shadow val="0"/>
        <u val="none"/>
        <vertAlign val="baseline"/>
        <sz val="10"/>
        <color theme="1"/>
        <name val="Arial"/>
        <scheme val="none"/>
      </font>
      <border diagonalUp="0" diagonalDown="0">
        <left style="thin">
          <color auto="1"/>
        </left>
        <right style="hair">
          <color auto="1"/>
        </right>
        <top/>
        <bottom/>
        <vertical style="hair">
          <color auto="1"/>
        </vertical>
        <horizontal/>
      </border>
      <protection locked="1" hidden="1"/>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hair">
          <color auto="1"/>
        </left>
        <right style="thin">
          <color auto="1"/>
        </right>
        <top/>
        <bottom/>
      </border>
      <protection locked="1" hidden="1"/>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thin">
          <color auto="1"/>
        </left>
        <right style="hair">
          <color auto="1"/>
        </right>
        <top/>
        <bottom/>
      </border>
      <protection locked="1" hidden="1"/>
    </dxf>
    <dxf>
      <font>
        <b val="0"/>
        <i val="0"/>
        <strike val="0"/>
        <condense val="0"/>
        <extend val="0"/>
        <outline val="0"/>
        <shadow val="0"/>
        <u val="none"/>
        <vertAlign val="baseline"/>
        <sz val="10"/>
        <color theme="1"/>
        <name val="Arial"/>
        <scheme val="none"/>
      </font>
      <fill>
        <patternFill patternType="solid">
          <fgColor indexed="64"/>
          <bgColor theme="7" tint="0.39997558519241921"/>
        </patternFill>
      </fill>
      <border diagonalUp="0" diagonalDown="0">
        <left style="hair">
          <color auto="1"/>
        </left>
        <right style="thin">
          <color auto="1"/>
        </right>
        <top/>
        <bottom/>
      </border>
      <protection locked="1" hidden="1"/>
    </dxf>
    <dxf>
      <font>
        <b val="0"/>
        <i val="0"/>
        <strike val="0"/>
        <condense val="0"/>
        <extend val="0"/>
        <outline val="0"/>
        <shadow val="0"/>
        <u val="none"/>
        <vertAlign val="baseline"/>
        <sz val="10"/>
        <color theme="1"/>
        <name val="Arial"/>
        <scheme val="none"/>
      </font>
      <numFmt numFmtId="0" formatCode="General"/>
      <fill>
        <patternFill patternType="solid">
          <fgColor indexed="64"/>
          <bgColor theme="7" tint="0.39997558519241921"/>
        </patternFill>
      </fill>
      <border diagonalUp="0" diagonalDown="0">
        <left/>
        <right style="hair">
          <color auto="1"/>
        </right>
        <top/>
        <bottom/>
        <vertical style="hair">
          <color auto="1"/>
        </vertical>
        <horizontal/>
      </border>
      <protection locked="1" hidden="1"/>
    </dxf>
    <dxf>
      <border diagonalUp="0" diagonalDown="0">
        <left style="thin">
          <color auto="1"/>
        </left>
        <right style="thin">
          <color auto="1"/>
        </right>
        <top style="thin">
          <color auto="1"/>
        </top>
        <bottom/>
      </border>
    </dxf>
    <dxf>
      <font>
        <b val="0"/>
        <i val="0"/>
        <strike val="0"/>
        <condense val="0"/>
        <extend val="0"/>
        <outline val="0"/>
        <shadow val="0"/>
        <u val="none"/>
        <vertAlign val="baseline"/>
        <sz val="10"/>
        <color theme="1"/>
        <name val="Arial"/>
        <scheme val="none"/>
      </font>
      <protection locked="1" hidden="1"/>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1" hidden="1"/>
    </dxf>
  </dxfs>
  <tableStyles count="1" defaultTableStyle="TableStyleMedium2" defaultPivotStyle="PivotStyleMedium9">
    <tableStyle name="Invisible" pivot="0" table="0" count="0" xr9:uid="{D2BBA95E-D6AB-48D7-A966-9124DEFB9252}"/>
  </tableStyles>
  <colors>
    <mruColors>
      <color rgb="FFFFF2CC"/>
      <color rgb="FFFF993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connections" Target="connections.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jpe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e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0" Type="http://schemas.openxmlformats.org/officeDocument/2006/relationships/image" Target="../media/image20.png"/><Relationship Id="rId41" Type="http://schemas.openxmlformats.org/officeDocument/2006/relationships/image" Target="../media/image4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 Id="rId5" Type="http://schemas.openxmlformats.org/officeDocument/2006/relationships/image" Target="../media/image52.png"/><Relationship Id="rId4" Type="http://schemas.openxmlformats.org/officeDocument/2006/relationships/image" Target="../media/image5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6.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7.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371475</xdr:rowOff>
    </xdr:from>
    <xdr:to>
      <xdr:col>1</xdr:col>
      <xdr:colOff>47625</xdr:colOff>
      <xdr:row>2</xdr:row>
      <xdr:rowOff>133350</xdr:rowOff>
    </xdr:to>
    <xdr:pic>
      <xdr:nvPicPr>
        <xdr:cNvPr id="8" name="Picture 3" descr="Untitled-3.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1475"/>
          <a:ext cx="257175"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36822</xdr:colOff>
      <xdr:row>68</xdr:row>
      <xdr:rowOff>64032</xdr:rowOff>
    </xdr:from>
    <xdr:to>
      <xdr:col>21</xdr:col>
      <xdr:colOff>169001</xdr:colOff>
      <xdr:row>80</xdr:row>
      <xdr:rowOff>149892</xdr:rowOff>
    </xdr:to>
    <xdr:pic>
      <xdr:nvPicPr>
        <xdr:cNvPr id="13" name="Picture 12">
          <a:extLst>
            <a:ext uri="{FF2B5EF4-FFF2-40B4-BE49-F238E27FC236}">
              <a16:creationId xmlns:a16="http://schemas.microsoft.com/office/drawing/2014/main" id="{55D86333-2BCC-4184-8C6C-3C222639D9EF}"/>
            </a:ext>
          </a:extLst>
        </xdr:cNvPr>
        <xdr:cNvPicPr>
          <a:picLocks noChangeAspect="1"/>
        </xdr:cNvPicPr>
      </xdr:nvPicPr>
      <xdr:blipFill>
        <a:blip xmlns:r="http://schemas.openxmlformats.org/officeDocument/2006/relationships" r:embed="rId2"/>
        <a:stretch>
          <a:fillRect/>
        </a:stretch>
      </xdr:blipFill>
      <xdr:spPr>
        <a:xfrm>
          <a:off x="9180822" y="12704267"/>
          <a:ext cx="5247552" cy="2024478"/>
        </a:xfrm>
        <a:prstGeom prst="rect">
          <a:avLst/>
        </a:prstGeom>
      </xdr:spPr>
    </xdr:pic>
    <xdr:clientData/>
  </xdr:twoCellAnchor>
  <xdr:twoCellAnchor editAs="oneCell">
    <xdr:from>
      <xdr:col>6</xdr:col>
      <xdr:colOff>28574</xdr:colOff>
      <xdr:row>5</xdr:row>
      <xdr:rowOff>115690</xdr:rowOff>
    </xdr:from>
    <xdr:to>
      <xdr:col>12</xdr:col>
      <xdr:colOff>207727</xdr:colOff>
      <xdr:row>22</xdr:row>
      <xdr:rowOff>149499</xdr:rowOff>
    </xdr:to>
    <xdr:pic>
      <xdr:nvPicPr>
        <xdr:cNvPr id="14" name="Picture 13">
          <a:extLst>
            <a:ext uri="{FF2B5EF4-FFF2-40B4-BE49-F238E27FC236}">
              <a16:creationId xmlns:a16="http://schemas.microsoft.com/office/drawing/2014/main" id="{70AD1879-03C7-4E93-9FE4-E3D13F7B1E6A}"/>
            </a:ext>
          </a:extLst>
        </xdr:cNvPr>
        <xdr:cNvPicPr>
          <a:picLocks noChangeAspect="1"/>
        </xdr:cNvPicPr>
      </xdr:nvPicPr>
      <xdr:blipFill>
        <a:blip xmlns:r="http://schemas.openxmlformats.org/officeDocument/2006/relationships" r:embed="rId3"/>
        <a:stretch>
          <a:fillRect/>
        </a:stretch>
      </xdr:blipFill>
      <xdr:spPr>
        <a:xfrm>
          <a:off x="5039552" y="1200712"/>
          <a:ext cx="3864252" cy="2858177"/>
        </a:xfrm>
        <a:prstGeom prst="rect">
          <a:avLst/>
        </a:prstGeom>
        <a:ln w="12700">
          <a:noFill/>
        </a:ln>
      </xdr:spPr>
    </xdr:pic>
    <xdr:clientData/>
  </xdr:twoCellAnchor>
  <xdr:twoCellAnchor editAs="oneCell">
    <xdr:from>
      <xdr:col>7</xdr:col>
      <xdr:colOff>56027</xdr:colOff>
      <xdr:row>28</xdr:row>
      <xdr:rowOff>6235</xdr:rowOff>
    </xdr:from>
    <xdr:to>
      <xdr:col>12</xdr:col>
      <xdr:colOff>170072</xdr:colOff>
      <xdr:row>37</xdr:row>
      <xdr:rowOff>98422</xdr:rowOff>
    </xdr:to>
    <xdr:pic>
      <xdr:nvPicPr>
        <xdr:cNvPr id="15" name="Picture 14">
          <a:extLst>
            <a:ext uri="{FF2B5EF4-FFF2-40B4-BE49-F238E27FC236}">
              <a16:creationId xmlns:a16="http://schemas.microsoft.com/office/drawing/2014/main" id="{8B1DA76E-8F9A-4B50-A8EB-72143E5BD3A8}"/>
            </a:ext>
          </a:extLst>
        </xdr:cNvPr>
        <xdr:cNvPicPr>
          <a:picLocks noChangeAspect="1"/>
        </xdr:cNvPicPr>
      </xdr:nvPicPr>
      <xdr:blipFill>
        <a:blip xmlns:r="http://schemas.openxmlformats.org/officeDocument/2006/relationships" r:embed="rId4"/>
        <a:stretch>
          <a:fillRect/>
        </a:stretch>
      </xdr:blipFill>
      <xdr:spPr>
        <a:xfrm>
          <a:off x="5714998" y="4365323"/>
          <a:ext cx="3151063" cy="2203375"/>
        </a:xfrm>
        <a:prstGeom prst="rect">
          <a:avLst/>
        </a:prstGeom>
      </xdr:spPr>
    </xdr:pic>
    <xdr:clientData/>
  </xdr:twoCellAnchor>
  <xdr:twoCellAnchor editAs="oneCell">
    <xdr:from>
      <xdr:col>8</xdr:col>
      <xdr:colOff>140216</xdr:colOff>
      <xdr:row>52</xdr:row>
      <xdr:rowOff>9525</xdr:rowOff>
    </xdr:from>
    <xdr:to>
      <xdr:col>12</xdr:col>
      <xdr:colOff>207493</xdr:colOff>
      <xdr:row>62</xdr:row>
      <xdr:rowOff>134121</xdr:rowOff>
    </xdr:to>
    <xdr:pic>
      <xdr:nvPicPr>
        <xdr:cNvPr id="19" name="Picture 18">
          <a:extLst>
            <a:ext uri="{FF2B5EF4-FFF2-40B4-BE49-F238E27FC236}">
              <a16:creationId xmlns:a16="http://schemas.microsoft.com/office/drawing/2014/main" id="{69B23922-D153-43EE-9EF8-4F7E52A6A423}"/>
            </a:ext>
          </a:extLst>
        </xdr:cNvPr>
        <xdr:cNvPicPr>
          <a:picLocks noChangeAspect="1"/>
        </xdr:cNvPicPr>
      </xdr:nvPicPr>
      <xdr:blipFill>
        <a:blip xmlns:r="http://schemas.openxmlformats.org/officeDocument/2006/relationships" r:embed="rId5"/>
        <a:stretch>
          <a:fillRect/>
        </a:stretch>
      </xdr:blipFill>
      <xdr:spPr>
        <a:xfrm>
          <a:off x="6388616" y="9115425"/>
          <a:ext cx="2505677" cy="2155326"/>
        </a:xfrm>
        <a:prstGeom prst="rect">
          <a:avLst/>
        </a:prstGeom>
        <a:ln w="12700">
          <a:solidFill>
            <a:schemeClr val="tx1"/>
          </a:solidFill>
        </a:ln>
      </xdr:spPr>
    </xdr:pic>
    <xdr:clientData/>
  </xdr:twoCellAnchor>
  <xdr:twoCellAnchor editAs="oneCell">
    <xdr:from>
      <xdr:col>8</xdr:col>
      <xdr:colOff>144977</xdr:colOff>
      <xdr:row>62</xdr:row>
      <xdr:rowOff>173936</xdr:rowOff>
    </xdr:from>
    <xdr:to>
      <xdr:col>12</xdr:col>
      <xdr:colOff>208360</xdr:colOff>
      <xdr:row>69</xdr:row>
      <xdr:rowOff>135176</xdr:rowOff>
    </xdr:to>
    <xdr:pic>
      <xdr:nvPicPr>
        <xdr:cNvPr id="21" name="Picture 20">
          <a:extLst>
            <a:ext uri="{FF2B5EF4-FFF2-40B4-BE49-F238E27FC236}">
              <a16:creationId xmlns:a16="http://schemas.microsoft.com/office/drawing/2014/main" id="{0860E093-C211-4518-A7F7-C338EDC9406C}"/>
            </a:ext>
          </a:extLst>
        </xdr:cNvPr>
        <xdr:cNvPicPr>
          <a:picLocks noChangeAspect="1"/>
        </xdr:cNvPicPr>
      </xdr:nvPicPr>
      <xdr:blipFill>
        <a:blip xmlns:r="http://schemas.openxmlformats.org/officeDocument/2006/relationships" r:embed="rId6"/>
        <a:stretch>
          <a:fillRect/>
        </a:stretch>
      </xdr:blipFill>
      <xdr:spPr>
        <a:xfrm>
          <a:off x="6389805" y="11294374"/>
          <a:ext cx="2492258" cy="1304978"/>
        </a:xfrm>
        <a:prstGeom prst="rect">
          <a:avLst/>
        </a:prstGeom>
        <a:ln w="12700">
          <a:solidFill>
            <a:schemeClr val="tx1"/>
          </a:solidFill>
        </a:ln>
      </xdr:spPr>
    </xdr:pic>
    <xdr:clientData/>
  </xdr:twoCellAnchor>
  <xdr:twoCellAnchor editAs="oneCell">
    <xdr:from>
      <xdr:col>15</xdr:col>
      <xdr:colOff>86548</xdr:colOff>
      <xdr:row>32</xdr:row>
      <xdr:rowOff>346582</xdr:rowOff>
    </xdr:from>
    <xdr:to>
      <xdr:col>21</xdr:col>
      <xdr:colOff>59312</xdr:colOff>
      <xdr:row>64</xdr:row>
      <xdr:rowOff>17792</xdr:rowOff>
    </xdr:to>
    <xdr:pic>
      <xdr:nvPicPr>
        <xdr:cNvPr id="23" name="Picture 22">
          <a:extLst>
            <a:ext uri="{FF2B5EF4-FFF2-40B4-BE49-F238E27FC236}">
              <a16:creationId xmlns:a16="http://schemas.microsoft.com/office/drawing/2014/main" id="{2C0FD160-E473-45A3-85A8-72C06AF75E94}"/>
            </a:ext>
          </a:extLst>
        </xdr:cNvPr>
        <xdr:cNvPicPr>
          <a:picLocks noChangeAspect="1"/>
        </xdr:cNvPicPr>
      </xdr:nvPicPr>
      <xdr:blipFill>
        <a:blip xmlns:r="http://schemas.openxmlformats.org/officeDocument/2006/relationships" r:embed="rId7"/>
        <a:stretch>
          <a:fillRect/>
        </a:stretch>
      </xdr:blipFill>
      <xdr:spPr>
        <a:xfrm>
          <a:off x="9461869" y="5925511"/>
          <a:ext cx="4867254" cy="6272307"/>
        </a:xfrm>
        <a:prstGeom prst="rect">
          <a:avLst/>
        </a:prstGeom>
      </xdr:spPr>
    </xdr:pic>
    <xdr:clientData/>
  </xdr:twoCellAnchor>
  <xdr:twoCellAnchor editAs="oneCell">
    <xdr:from>
      <xdr:col>123</xdr:col>
      <xdr:colOff>163284</xdr:colOff>
      <xdr:row>31</xdr:row>
      <xdr:rowOff>122463</xdr:rowOff>
    </xdr:from>
    <xdr:to>
      <xdr:col>131</xdr:col>
      <xdr:colOff>149678</xdr:colOff>
      <xdr:row>63</xdr:row>
      <xdr:rowOff>95671</xdr:rowOff>
    </xdr:to>
    <xdr:pic>
      <xdr:nvPicPr>
        <xdr:cNvPr id="12" name="Picture 11">
          <a:extLst>
            <a:ext uri="{FF2B5EF4-FFF2-40B4-BE49-F238E27FC236}">
              <a16:creationId xmlns:a16="http://schemas.microsoft.com/office/drawing/2014/main" id="{C265CFAD-CD9D-4398-A095-A7D2DE07EC34}"/>
            </a:ext>
          </a:extLst>
        </xdr:cNvPr>
        <xdr:cNvPicPr>
          <a:picLocks noChangeAspect="1"/>
        </xdr:cNvPicPr>
      </xdr:nvPicPr>
      <xdr:blipFill>
        <a:blip xmlns:r="http://schemas.openxmlformats.org/officeDocument/2006/relationships" r:embed="rId8"/>
        <a:stretch>
          <a:fillRect/>
        </a:stretch>
      </xdr:blipFill>
      <xdr:spPr>
        <a:xfrm>
          <a:off x="73750713" y="5034642"/>
          <a:ext cx="4884966" cy="6535181"/>
        </a:xfrm>
        <a:prstGeom prst="rect">
          <a:avLst/>
        </a:prstGeom>
      </xdr:spPr>
    </xdr:pic>
    <xdr:clientData/>
  </xdr:twoCellAnchor>
  <xdr:twoCellAnchor editAs="oneCell">
    <xdr:from>
      <xdr:col>135</xdr:col>
      <xdr:colOff>81644</xdr:colOff>
      <xdr:row>90</xdr:row>
      <xdr:rowOff>129331</xdr:rowOff>
    </xdr:from>
    <xdr:to>
      <xdr:col>144</xdr:col>
      <xdr:colOff>536865</xdr:colOff>
      <xdr:row>135</xdr:row>
      <xdr:rowOff>37811</xdr:rowOff>
    </xdr:to>
    <xdr:pic>
      <xdr:nvPicPr>
        <xdr:cNvPr id="22" name="Picture 21">
          <a:extLst>
            <a:ext uri="{FF2B5EF4-FFF2-40B4-BE49-F238E27FC236}">
              <a16:creationId xmlns:a16="http://schemas.microsoft.com/office/drawing/2014/main" id="{964AF6C1-2306-4AB6-AF3E-1A340CDC3B0D}"/>
            </a:ext>
          </a:extLst>
        </xdr:cNvPr>
        <xdr:cNvPicPr>
          <a:picLocks noChangeAspect="1"/>
        </xdr:cNvPicPr>
      </xdr:nvPicPr>
      <xdr:blipFill>
        <a:blip xmlns:r="http://schemas.openxmlformats.org/officeDocument/2006/relationships" r:embed="rId9"/>
        <a:stretch>
          <a:fillRect/>
        </a:stretch>
      </xdr:blipFill>
      <xdr:spPr>
        <a:xfrm>
          <a:off x="80472644" y="16910649"/>
          <a:ext cx="5910446" cy="7008936"/>
        </a:xfrm>
        <a:prstGeom prst="rect">
          <a:avLst/>
        </a:prstGeom>
      </xdr:spPr>
    </xdr:pic>
    <xdr:clientData/>
  </xdr:twoCellAnchor>
  <xdr:twoCellAnchor editAs="oneCell">
    <xdr:from>
      <xdr:col>113</xdr:col>
      <xdr:colOff>40822</xdr:colOff>
      <xdr:row>68</xdr:row>
      <xdr:rowOff>136072</xdr:rowOff>
    </xdr:from>
    <xdr:to>
      <xdr:col>122</xdr:col>
      <xdr:colOff>209527</xdr:colOff>
      <xdr:row>71</xdr:row>
      <xdr:rowOff>150552</xdr:rowOff>
    </xdr:to>
    <xdr:pic>
      <xdr:nvPicPr>
        <xdr:cNvPr id="30" name="Picture 29">
          <a:extLst>
            <a:ext uri="{FF2B5EF4-FFF2-40B4-BE49-F238E27FC236}">
              <a16:creationId xmlns:a16="http://schemas.microsoft.com/office/drawing/2014/main" id="{21A0B002-0BE8-41B1-B751-5DD1D36D1A02}"/>
            </a:ext>
          </a:extLst>
        </xdr:cNvPr>
        <xdr:cNvPicPr>
          <a:picLocks noChangeAspect="1"/>
        </xdr:cNvPicPr>
      </xdr:nvPicPr>
      <xdr:blipFill>
        <a:blip xmlns:r="http://schemas.openxmlformats.org/officeDocument/2006/relationships" r:embed="rId10"/>
        <a:stretch>
          <a:fillRect/>
        </a:stretch>
      </xdr:blipFill>
      <xdr:spPr>
        <a:xfrm>
          <a:off x="14559643" y="12368893"/>
          <a:ext cx="5687219" cy="533474"/>
        </a:xfrm>
        <a:prstGeom prst="rect">
          <a:avLst/>
        </a:prstGeom>
      </xdr:spPr>
    </xdr:pic>
    <xdr:clientData/>
  </xdr:twoCellAnchor>
  <xdr:twoCellAnchor editAs="oneCell">
    <xdr:from>
      <xdr:col>113</xdr:col>
      <xdr:colOff>52026</xdr:colOff>
      <xdr:row>72</xdr:row>
      <xdr:rowOff>56831</xdr:rowOff>
    </xdr:from>
    <xdr:to>
      <xdr:col>122</xdr:col>
      <xdr:colOff>592255</xdr:colOff>
      <xdr:row>74</xdr:row>
      <xdr:rowOff>77695</xdr:rowOff>
    </xdr:to>
    <xdr:pic>
      <xdr:nvPicPr>
        <xdr:cNvPr id="31" name="Picture 30">
          <a:extLst>
            <a:ext uri="{FF2B5EF4-FFF2-40B4-BE49-F238E27FC236}">
              <a16:creationId xmlns:a16="http://schemas.microsoft.com/office/drawing/2014/main" id="{2E4D947D-0D7A-42C6-84C5-CE2AAFFB3C05}"/>
            </a:ext>
          </a:extLst>
        </xdr:cNvPr>
        <xdr:cNvPicPr>
          <a:picLocks noChangeAspect="1"/>
        </xdr:cNvPicPr>
      </xdr:nvPicPr>
      <xdr:blipFill>
        <a:blip xmlns:r="http://schemas.openxmlformats.org/officeDocument/2006/relationships" r:embed="rId11"/>
        <a:stretch>
          <a:fillRect/>
        </a:stretch>
      </xdr:blipFill>
      <xdr:spPr>
        <a:xfrm>
          <a:off x="67208879" y="13335802"/>
          <a:ext cx="5974858" cy="368246"/>
        </a:xfrm>
        <a:prstGeom prst="rect">
          <a:avLst/>
        </a:prstGeom>
      </xdr:spPr>
    </xdr:pic>
    <xdr:clientData/>
  </xdr:twoCellAnchor>
  <xdr:oneCellAnchor>
    <xdr:from>
      <xdr:col>11</xdr:col>
      <xdr:colOff>381000</xdr:colOff>
      <xdr:row>18</xdr:row>
      <xdr:rowOff>4762</xdr:rowOff>
    </xdr:from>
    <xdr:ext cx="65" cy="172227"/>
    <xdr:sp macro="" textlink="">
      <xdr:nvSpPr>
        <xdr:cNvPr id="2" name="TextBox 1">
          <a:extLst>
            <a:ext uri="{FF2B5EF4-FFF2-40B4-BE49-F238E27FC236}">
              <a16:creationId xmlns:a16="http://schemas.microsoft.com/office/drawing/2014/main" id="{D1C587B5-56D0-4F87-9AB7-06A357AB7C68}"/>
            </a:ext>
          </a:extLst>
        </xdr:cNvPr>
        <xdr:cNvSpPr txBox="1"/>
      </xdr:nvSpPr>
      <xdr:spPr>
        <a:xfrm>
          <a:off x="8458200" y="29860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lt-LT" sz="1100"/>
        </a:p>
      </xdr:txBody>
    </xdr:sp>
    <xdr:clientData/>
  </xdr:oneCellAnchor>
  <xdr:twoCellAnchor editAs="oneCell">
    <xdr:from>
      <xdr:col>14</xdr:col>
      <xdr:colOff>85213</xdr:colOff>
      <xdr:row>146</xdr:row>
      <xdr:rowOff>46087</xdr:rowOff>
    </xdr:from>
    <xdr:to>
      <xdr:col>21</xdr:col>
      <xdr:colOff>92701</xdr:colOff>
      <xdr:row>174</xdr:row>
      <xdr:rowOff>17092</xdr:rowOff>
    </xdr:to>
    <xdr:pic>
      <xdr:nvPicPr>
        <xdr:cNvPr id="6" name="Picture 5">
          <a:extLst>
            <a:ext uri="{FF2B5EF4-FFF2-40B4-BE49-F238E27FC236}">
              <a16:creationId xmlns:a16="http://schemas.microsoft.com/office/drawing/2014/main" id="{8FC0A9EC-0708-41B5-8771-B58882C9A367}"/>
            </a:ext>
          </a:extLst>
        </xdr:cNvPr>
        <xdr:cNvPicPr>
          <a:picLocks noChangeAspect="1"/>
        </xdr:cNvPicPr>
      </xdr:nvPicPr>
      <xdr:blipFill>
        <a:blip xmlns:r="http://schemas.openxmlformats.org/officeDocument/2006/relationships" r:embed="rId12"/>
        <a:stretch>
          <a:fillRect/>
        </a:stretch>
      </xdr:blipFill>
      <xdr:spPr>
        <a:xfrm>
          <a:off x="9246531" y="25815542"/>
          <a:ext cx="5133670" cy="4398744"/>
        </a:xfrm>
        <a:prstGeom prst="rect">
          <a:avLst/>
        </a:prstGeom>
      </xdr:spPr>
    </xdr:pic>
    <xdr:clientData/>
  </xdr:twoCellAnchor>
  <xdr:twoCellAnchor editAs="oneCell">
    <xdr:from>
      <xdr:col>3</xdr:col>
      <xdr:colOff>805142</xdr:colOff>
      <xdr:row>95</xdr:row>
      <xdr:rowOff>33746</xdr:rowOff>
    </xdr:from>
    <xdr:to>
      <xdr:col>7</xdr:col>
      <xdr:colOff>515266</xdr:colOff>
      <xdr:row>116</xdr:row>
      <xdr:rowOff>19880</xdr:rowOff>
    </xdr:to>
    <xdr:pic>
      <xdr:nvPicPr>
        <xdr:cNvPr id="28" name="Picture 27">
          <a:extLst>
            <a:ext uri="{FF2B5EF4-FFF2-40B4-BE49-F238E27FC236}">
              <a16:creationId xmlns:a16="http://schemas.microsoft.com/office/drawing/2014/main" id="{8FC7893F-4E35-4414-A7BA-B1B9A586F258}"/>
            </a:ext>
          </a:extLst>
        </xdr:cNvPr>
        <xdr:cNvPicPr>
          <a:picLocks noChangeAspect="1"/>
        </xdr:cNvPicPr>
      </xdr:nvPicPr>
      <xdr:blipFill>
        <a:blip xmlns:r="http://schemas.openxmlformats.org/officeDocument/2006/relationships" r:embed="rId13"/>
        <a:stretch>
          <a:fillRect/>
        </a:stretch>
      </xdr:blipFill>
      <xdr:spPr>
        <a:xfrm>
          <a:off x="2990289" y="17649393"/>
          <a:ext cx="3172518" cy="3265423"/>
        </a:xfrm>
        <a:prstGeom prst="rect">
          <a:avLst/>
        </a:prstGeom>
        <a:ln w="12700">
          <a:solidFill>
            <a:schemeClr val="tx1"/>
          </a:solidFill>
        </a:ln>
      </xdr:spPr>
    </xdr:pic>
    <xdr:clientData/>
  </xdr:twoCellAnchor>
  <xdr:twoCellAnchor editAs="oneCell">
    <xdr:from>
      <xdr:col>8</xdr:col>
      <xdr:colOff>40950</xdr:colOff>
      <xdr:row>102</xdr:row>
      <xdr:rowOff>49865</xdr:rowOff>
    </xdr:from>
    <xdr:to>
      <xdr:col>12</xdr:col>
      <xdr:colOff>21147</xdr:colOff>
      <xdr:row>117</xdr:row>
      <xdr:rowOff>16767</xdr:rowOff>
    </xdr:to>
    <xdr:pic>
      <xdr:nvPicPr>
        <xdr:cNvPr id="36" name="Picture 35">
          <a:extLst>
            <a:ext uri="{FF2B5EF4-FFF2-40B4-BE49-F238E27FC236}">
              <a16:creationId xmlns:a16="http://schemas.microsoft.com/office/drawing/2014/main" id="{B7DE02E5-6797-45EA-8E3C-AFC8F79D286B}"/>
            </a:ext>
          </a:extLst>
        </xdr:cNvPr>
        <xdr:cNvPicPr>
          <a:picLocks noChangeAspect="1"/>
        </xdr:cNvPicPr>
      </xdr:nvPicPr>
      <xdr:blipFill>
        <a:blip xmlns:r="http://schemas.openxmlformats.org/officeDocument/2006/relationships" r:embed="rId14"/>
        <a:stretch>
          <a:fillRect/>
        </a:stretch>
      </xdr:blipFill>
      <xdr:spPr>
        <a:xfrm>
          <a:off x="6305038" y="18763689"/>
          <a:ext cx="2410193" cy="2314423"/>
        </a:xfrm>
        <a:prstGeom prst="rect">
          <a:avLst/>
        </a:prstGeom>
      </xdr:spPr>
    </xdr:pic>
    <xdr:clientData/>
  </xdr:twoCellAnchor>
  <xdr:twoCellAnchor editAs="oneCell">
    <xdr:from>
      <xdr:col>1</xdr:col>
      <xdr:colOff>26378</xdr:colOff>
      <xdr:row>107</xdr:row>
      <xdr:rowOff>34177</xdr:rowOff>
    </xdr:from>
    <xdr:to>
      <xdr:col>3</xdr:col>
      <xdr:colOff>625600</xdr:colOff>
      <xdr:row>117</xdr:row>
      <xdr:rowOff>57261</xdr:rowOff>
    </xdr:to>
    <xdr:pic>
      <xdr:nvPicPr>
        <xdr:cNvPr id="37" name="Picture 36">
          <a:extLst>
            <a:ext uri="{FF2B5EF4-FFF2-40B4-BE49-F238E27FC236}">
              <a16:creationId xmlns:a16="http://schemas.microsoft.com/office/drawing/2014/main" id="{DA4FB309-95FB-4485-9C4F-C9BCA869FBDC}"/>
            </a:ext>
          </a:extLst>
        </xdr:cNvPr>
        <xdr:cNvPicPr>
          <a:picLocks noChangeAspect="1"/>
        </xdr:cNvPicPr>
      </xdr:nvPicPr>
      <xdr:blipFill>
        <a:blip xmlns:r="http://schemas.openxmlformats.org/officeDocument/2006/relationships" r:embed="rId15"/>
        <a:stretch>
          <a:fillRect/>
        </a:stretch>
      </xdr:blipFill>
      <xdr:spPr>
        <a:xfrm>
          <a:off x="239290" y="19532412"/>
          <a:ext cx="2579077" cy="1576668"/>
        </a:xfrm>
        <a:prstGeom prst="rect">
          <a:avLst/>
        </a:prstGeom>
        <a:ln w="12700">
          <a:solidFill>
            <a:schemeClr val="tx1"/>
          </a:solidFill>
        </a:ln>
      </xdr:spPr>
    </xdr:pic>
    <xdr:clientData/>
  </xdr:twoCellAnchor>
  <xdr:twoCellAnchor editAs="oneCell">
    <xdr:from>
      <xdr:col>1</xdr:col>
      <xdr:colOff>27414</xdr:colOff>
      <xdr:row>95</xdr:row>
      <xdr:rowOff>33225</xdr:rowOff>
    </xdr:from>
    <xdr:to>
      <xdr:col>3</xdr:col>
      <xdr:colOff>630451</xdr:colOff>
      <xdr:row>107</xdr:row>
      <xdr:rowOff>16621</xdr:rowOff>
    </xdr:to>
    <xdr:pic>
      <xdr:nvPicPr>
        <xdr:cNvPr id="48" name="Picture 47">
          <a:extLst>
            <a:ext uri="{FF2B5EF4-FFF2-40B4-BE49-F238E27FC236}">
              <a16:creationId xmlns:a16="http://schemas.microsoft.com/office/drawing/2014/main" id="{733B6673-55F3-4F40-9371-429E15DEEA2E}"/>
            </a:ext>
          </a:extLst>
        </xdr:cNvPr>
        <xdr:cNvPicPr>
          <a:picLocks noChangeAspect="1"/>
        </xdr:cNvPicPr>
      </xdr:nvPicPr>
      <xdr:blipFill>
        <a:blip xmlns:r="http://schemas.openxmlformats.org/officeDocument/2006/relationships" r:embed="rId16"/>
        <a:stretch>
          <a:fillRect/>
        </a:stretch>
      </xdr:blipFill>
      <xdr:spPr>
        <a:xfrm>
          <a:off x="234479" y="18155573"/>
          <a:ext cx="2557733" cy="1978842"/>
        </a:xfrm>
        <a:prstGeom prst="rect">
          <a:avLst/>
        </a:prstGeom>
        <a:ln w="12700">
          <a:solidFill>
            <a:schemeClr val="tx1"/>
          </a:solidFill>
        </a:ln>
      </xdr:spPr>
    </xdr:pic>
    <xdr:clientData/>
  </xdr:twoCellAnchor>
  <xdr:twoCellAnchor editAs="oneCell">
    <xdr:from>
      <xdr:col>14</xdr:col>
      <xdr:colOff>42365</xdr:colOff>
      <xdr:row>120</xdr:row>
      <xdr:rowOff>144175</xdr:rowOff>
    </xdr:from>
    <xdr:to>
      <xdr:col>22</xdr:col>
      <xdr:colOff>0</xdr:colOff>
      <xdr:row>145</xdr:row>
      <xdr:rowOff>92307</xdr:rowOff>
    </xdr:to>
    <xdr:pic>
      <xdr:nvPicPr>
        <xdr:cNvPr id="49" name="Picture 48">
          <a:extLst>
            <a:ext uri="{FF2B5EF4-FFF2-40B4-BE49-F238E27FC236}">
              <a16:creationId xmlns:a16="http://schemas.microsoft.com/office/drawing/2014/main" id="{C5169D12-EC47-44EE-841A-38F8D9C98E81}"/>
            </a:ext>
          </a:extLst>
        </xdr:cNvPr>
        <xdr:cNvPicPr>
          <a:picLocks noChangeAspect="1"/>
        </xdr:cNvPicPr>
      </xdr:nvPicPr>
      <xdr:blipFill>
        <a:blip xmlns:r="http://schemas.openxmlformats.org/officeDocument/2006/relationships" r:embed="rId17"/>
        <a:stretch>
          <a:fillRect/>
        </a:stretch>
      </xdr:blipFill>
      <xdr:spPr>
        <a:xfrm>
          <a:off x="9203683" y="21826539"/>
          <a:ext cx="5343589" cy="3873644"/>
        </a:xfrm>
        <a:prstGeom prst="rect">
          <a:avLst/>
        </a:prstGeom>
      </xdr:spPr>
    </xdr:pic>
    <xdr:clientData/>
  </xdr:twoCellAnchor>
  <xdr:twoCellAnchor editAs="oneCell">
    <xdr:from>
      <xdr:col>113</xdr:col>
      <xdr:colOff>235323</xdr:colOff>
      <xdr:row>1</xdr:row>
      <xdr:rowOff>89648</xdr:rowOff>
    </xdr:from>
    <xdr:to>
      <xdr:col>122</xdr:col>
      <xdr:colOff>302558</xdr:colOff>
      <xdr:row>29</xdr:row>
      <xdr:rowOff>55669</xdr:rowOff>
    </xdr:to>
    <xdr:pic>
      <xdr:nvPicPr>
        <xdr:cNvPr id="53" name="Picture 52">
          <a:extLst>
            <a:ext uri="{FF2B5EF4-FFF2-40B4-BE49-F238E27FC236}">
              <a16:creationId xmlns:a16="http://schemas.microsoft.com/office/drawing/2014/main" id="{1024FC80-6B27-408F-953C-772A6C3F5596}"/>
            </a:ext>
          </a:extLst>
        </xdr:cNvPr>
        <xdr:cNvPicPr>
          <a:picLocks noChangeAspect="1"/>
        </xdr:cNvPicPr>
      </xdr:nvPicPr>
      <xdr:blipFill>
        <a:blip xmlns:r="http://schemas.openxmlformats.org/officeDocument/2006/relationships" r:embed="rId18"/>
        <a:stretch>
          <a:fillRect/>
        </a:stretch>
      </xdr:blipFill>
      <xdr:spPr>
        <a:xfrm>
          <a:off x="14758147" y="89648"/>
          <a:ext cx="5513294" cy="4724554"/>
        </a:xfrm>
        <a:prstGeom prst="rect">
          <a:avLst/>
        </a:prstGeom>
      </xdr:spPr>
    </xdr:pic>
    <xdr:clientData/>
  </xdr:twoCellAnchor>
  <xdr:twoCellAnchor editAs="oneCell">
    <xdr:from>
      <xdr:col>123</xdr:col>
      <xdr:colOff>311603</xdr:colOff>
      <xdr:row>1</xdr:row>
      <xdr:rowOff>88446</xdr:rowOff>
    </xdr:from>
    <xdr:to>
      <xdr:col>132</xdr:col>
      <xdr:colOff>402374</xdr:colOff>
      <xdr:row>10</xdr:row>
      <xdr:rowOff>20327</xdr:rowOff>
    </xdr:to>
    <xdr:pic>
      <xdr:nvPicPr>
        <xdr:cNvPr id="55" name="Picture 54">
          <a:extLst>
            <a:ext uri="{FF2B5EF4-FFF2-40B4-BE49-F238E27FC236}">
              <a16:creationId xmlns:a16="http://schemas.microsoft.com/office/drawing/2014/main" id="{407A15B5-49C0-4862-8C35-8FB76BC51C7E}"/>
            </a:ext>
          </a:extLst>
        </xdr:cNvPr>
        <xdr:cNvPicPr>
          <a:picLocks noChangeAspect="1"/>
        </xdr:cNvPicPr>
      </xdr:nvPicPr>
      <xdr:blipFill>
        <a:blip xmlns:r="http://schemas.openxmlformats.org/officeDocument/2006/relationships" r:embed="rId19"/>
        <a:stretch>
          <a:fillRect/>
        </a:stretch>
      </xdr:blipFill>
      <xdr:spPr>
        <a:xfrm>
          <a:off x="20914178" y="88446"/>
          <a:ext cx="5569553" cy="1654629"/>
        </a:xfrm>
        <a:prstGeom prst="rect">
          <a:avLst/>
        </a:prstGeom>
      </xdr:spPr>
    </xdr:pic>
    <xdr:clientData/>
  </xdr:twoCellAnchor>
  <xdr:twoCellAnchor editAs="oneCell">
    <xdr:from>
      <xdr:col>123</xdr:col>
      <xdr:colOff>371475</xdr:colOff>
      <xdr:row>10</xdr:row>
      <xdr:rowOff>148568</xdr:rowOff>
    </xdr:from>
    <xdr:to>
      <xdr:col>132</xdr:col>
      <xdr:colOff>342898</xdr:colOff>
      <xdr:row>29</xdr:row>
      <xdr:rowOff>172125</xdr:rowOff>
    </xdr:to>
    <xdr:pic>
      <xdr:nvPicPr>
        <xdr:cNvPr id="57" name="Picture 56">
          <a:extLst>
            <a:ext uri="{FF2B5EF4-FFF2-40B4-BE49-F238E27FC236}">
              <a16:creationId xmlns:a16="http://schemas.microsoft.com/office/drawing/2014/main" id="{31510667-4385-428F-B001-0275A3EDA660}"/>
            </a:ext>
          </a:extLst>
        </xdr:cNvPr>
        <xdr:cNvPicPr>
          <a:picLocks noChangeAspect="1"/>
        </xdr:cNvPicPr>
      </xdr:nvPicPr>
      <xdr:blipFill>
        <a:blip xmlns:r="http://schemas.openxmlformats.org/officeDocument/2006/relationships" r:embed="rId20"/>
        <a:stretch>
          <a:fillRect/>
        </a:stretch>
      </xdr:blipFill>
      <xdr:spPr>
        <a:xfrm>
          <a:off x="20974050" y="1834493"/>
          <a:ext cx="5457825" cy="3154144"/>
        </a:xfrm>
        <a:prstGeom prst="rect">
          <a:avLst/>
        </a:prstGeom>
      </xdr:spPr>
    </xdr:pic>
    <xdr:clientData/>
  </xdr:twoCellAnchor>
  <xdr:twoCellAnchor editAs="oneCell">
    <xdr:from>
      <xdr:col>113</xdr:col>
      <xdr:colOff>93721</xdr:colOff>
      <xdr:row>127</xdr:row>
      <xdr:rowOff>41769</xdr:rowOff>
    </xdr:from>
    <xdr:to>
      <xdr:col>122</xdr:col>
      <xdr:colOff>515694</xdr:colOff>
      <xdr:row>163</xdr:row>
      <xdr:rowOff>36352</xdr:rowOff>
    </xdr:to>
    <xdr:pic>
      <xdr:nvPicPr>
        <xdr:cNvPr id="58" name="Picture 57">
          <a:extLst>
            <a:ext uri="{FF2B5EF4-FFF2-40B4-BE49-F238E27FC236}">
              <a16:creationId xmlns:a16="http://schemas.microsoft.com/office/drawing/2014/main" id="{F5EC9991-66E5-4CE5-997F-16A6EB29A8B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7149721" y="22849814"/>
          <a:ext cx="5865770" cy="5709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40821</xdr:colOff>
      <xdr:row>106</xdr:row>
      <xdr:rowOff>107874</xdr:rowOff>
    </xdr:from>
    <xdr:to>
      <xdr:col>21</xdr:col>
      <xdr:colOff>190500</xdr:colOff>
      <xdr:row>118</xdr:row>
      <xdr:rowOff>58939</xdr:rowOff>
    </xdr:to>
    <xdr:pic>
      <xdr:nvPicPr>
        <xdr:cNvPr id="85" name="Picture 84">
          <a:extLst>
            <a:ext uri="{FF2B5EF4-FFF2-40B4-BE49-F238E27FC236}">
              <a16:creationId xmlns:a16="http://schemas.microsoft.com/office/drawing/2014/main" id="{05452DB4-65CA-49B7-9A1A-A81699535F22}"/>
            </a:ext>
          </a:extLst>
        </xdr:cNvPr>
        <xdr:cNvPicPr>
          <a:picLocks noChangeAspect="1"/>
        </xdr:cNvPicPr>
      </xdr:nvPicPr>
      <xdr:blipFill>
        <a:blip xmlns:r="http://schemas.openxmlformats.org/officeDocument/2006/relationships" r:embed="rId22"/>
        <a:stretch>
          <a:fillRect/>
        </a:stretch>
      </xdr:blipFill>
      <xdr:spPr>
        <a:xfrm>
          <a:off x="9198428" y="19185088"/>
          <a:ext cx="5252358" cy="1910492"/>
        </a:xfrm>
        <a:prstGeom prst="rect">
          <a:avLst/>
        </a:prstGeom>
      </xdr:spPr>
    </xdr:pic>
    <xdr:clientData/>
  </xdr:twoCellAnchor>
  <xdr:twoCellAnchor editAs="oneCell">
    <xdr:from>
      <xdr:col>14</xdr:col>
      <xdr:colOff>27214</xdr:colOff>
      <xdr:row>82</xdr:row>
      <xdr:rowOff>54428</xdr:rowOff>
    </xdr:from>
    <xdr:to>
      <xdr:col>21</xdr:col>
      <xdr:colOff>211999</xdr:colOff>
      <xdr:row>105</xdr:row>
      <xdr:rowOff>56026</xdr:rowOff>
    </xdr:to>
    <xdr:pic>
      <xdr:nvPicPr>
        <xdr:cNvPr id="86" name="Picture 85">
          <a:extLst>
            <a:ext uri="{FF2B5EF4-FFF2-40B4-BE49-F238E27FC236}">
              <a16:creationId xmlns:a16="http://schemas.microsoft.com/office/drawing/2014/main" id="{9317777A-E45A-43AB-AA56-170F39668FD5}"/>
            </a:ext>
          </a:extLst>
        </xdr:cNvPr>
        <xdr:cNvPicPr>
          <a:picLocks noChangeAspect="1"/>
        </xdr:cNvPicPr>
      </xdr:nvPicPr>
      <xdr:blipFill>
        <a:blip xmlns:r="http://schemas.openxmlformats.org/officeDocument/2006/relationships" r:embed="rId23"/>
        <a:stretch>
          <a:fillRect/>
        </a:stretch>
      </xdr:blipFill>
      <xdr:spPr>
        <a:xfrm>
          <a:off x="9184821" y="14831785"/>
          <a:ext cx="5293179" cy="4194279"/>
        </a:xfrm>
        <a:prstGeom prst="rect">
          <a:avLst/>
        </a:prstGeom>
      </xdr:spPr>
    </xdr:pic>
    <xdr:clientData/>
  </xdr:twoCellAnchor>
  <xdr:twoCellAnchor editAs="oneCell">
    <xdr:from>
      <xdr:col>6</xdr:col>
      <xdr:colOff>57979</xdr:colOff>
      <xdr:row>5</xdr:row>
      <xdr:rowOff>38100</xdr:rowOff>
    </xdr:from>
    <xdr:to>
      <xdr:col>8</xdr:col>
      <xdr:colOff>553121</xdr:colOff>
      <xdr:row>15</xdr:row>
      <xdr:rowOff>111748</xdr:rowOff>
    </xdr:to>
    <xdr:pic>
      <xdr:nvPicPr>
        <xdr:cNvPr id="54" name="Picture 53">
          <a:extLst>
            <a:ext uri="{FF2B5EF4-FFF2-40B4-BE49-F238E27FC236}">
              <a16:creationId xmlns:a16="http://schemas.microsoft.com/office/drawing/2014/main" id="{049315EF-1F50-4374-83B3-F04F95371064}"/>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5068957" y="1123122"/>
          <a:ext cx="1705728" cy="1730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359229</xdr:colOff>
      <xdr:row>29</xdr:row>
      <xdr:rowOff>163287</xdr:rowOff>
    </xdr:from>
    <xdr:ext cx="2184333" cy="530658"/>
    <xdr:sp macro="" textlink="">
      <xdr:nvSpPr>
        <xdr:cNvPr id="63" name="TextBox 62">
          <a:extLst>
            <a:ext uri="{FF2B5EF4-FFF2-40B4-BE49-F238E27FC236}">
              <a16:creationId xmlns:a16="http://schemas.microsoft.com/office/drawing/2014/main" id="{C48B5781-811F-486E-9DE6-1A0B2CDE8A0E}"/>
            </a:ext>
          </a:extLst>
        </xdr:cNvPr>
        <xdr:cNvSpPr txBox="1"/>
      </xdr:nvSpPr>
      <xdr:spPr>
        <a:xfrm rot="19833050">
          <a:off x="6607629" y="5192487"/>
          <a:ext cx="218433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lt-LT" sz="2400">
              <a:solidFill>
                <a:schemeClr val="bg1">
                  <a:lumMod val="85000"/>
                </a:schemeClr>
              </a:solidFill>
            </a:rPr>
            <a:t>StaticusLab</a:t>
          </a:r>
          <a:r>
            <a:rPr lang="lt-LT" sz="2800">
              <a:solidFill>
                <a:schemeClr val="bg1">
                  <a:lumMod val="85000"/>
                </a:schemeClr>
              </a:solidFill>
            </a:rPr>
            <a:t> </a:t>
          </a:r>
        </a:p>
      </xdr:txBody>
    </xdr:sp>
    <xdr:clientData/>
  </xdr:oneCellAnchor>
  <xdr:oneCellAnchor>
    <xdr:from>
      <xdr:col>9</xdr:col>
      <xdr:colOff>537483</xdr:colOff>
      <xdr:row>10</xdr:row>
      <xdr:rowOff>94585</xdr:rowOff>
    </xdr:from>
    <xdr:ext cx="2184333" cy="374141"/>
    <xdr:sp macro="" textlink="">
      <xdr:nvSpPr>
        <xdr:cNvPr id="66" name="TextBox 65">
          <a:extLst>
            <a:ext uri="{FF2B5EF4-FFF2-40B4-BE49-F238E27FC236}">
              <a16:creationId xmlns:a16="http://schemas.microsoft.com/office/drawing/2014/main" id="{CA7CF942-C7F9-4BB1-94AA-D2C7537DE740}"/>
            </a:ext>
          </a:extLst>
        </xdr:cNvPr>
        <xdr:cNvSpPr txBox="1"/>
      </xdr:nvSpPr>
      <xdr:spPr>
        <a:xfrm rot="19782623">
          <a:off x="7395483" y="2142460"/>
          <a:ext cx="21843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lt-LT" sz="1600">
              <a:solidFill>
                <a:schemeClr val="bg1">
                  <a:lumMod val="85000"/>
                </a:schemeClr>
              </a:solidFill>
            </a:rPr>
            <a:t>StaticusLab</a:t>
          </a:r>
          <a:r>
            <a:rPr lang="lt-LT" sz="1800">
              <a:solidFill>
                <a:schemeClr val="bg1">
                  <a:lumMod val="85000"/>
                </a:schemeClr>
              </a:solidFill>
            </a:rPr>
            <a:t> </a:t>
          </a:r>
        </a:p>
      </xdr:txBody>
    </xdr:sp>
    <xdr:clientData/>
  </xdr:oneCellAnchor>
  <xdr:oneCellAnchor>
    <xdr:from>
      <xdr:col>5</xdr:col>
      <xdr:colOff>634815</xdr:colOff>
      <xdr:row>95</xdr:row>
      <xdr:rowOff>2745</xdr:rowOff>
    </xdr:from>
    <xdr:ext cx="2184333" cy="468013"/>
    <xdr:sp macro="" textlink="">
      <xdr:nvSpPr>
        <xdr:cNvPr id="69" name="TextBox 68">
          <a:extLst>
            <a:ext uri="{FF2B5EF4-FFF2-40B4-BE49-F238E27FC236}">
              <a16:creationId xmlns:a16="http://schemas.microsoft.com/office/drawing/2014/main" id="{A44B008F-ACE3-43E9-8528-F0D3AB64ADD5}"/>
            </a:ext>
          </a:extLst>
        </xdr:cNvPr>
        <xdr:cNvSpPr txBox="1"/>
      </xdr:nvSpPr>
      <xdr:spPr>
        <a:xfrm rot="19833050">
          <a:off x="4792197" y="17539951"/>
          <a:ext cx="21843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lt-LT" sz="2000">
              <a:solidFill>
                <a:schemeClr val="bg1">
                  <a:lumMod val="85000"/>
                </a:schemeClr>
              </a:solidFill>
            </a:rPr>
            <a:t>StaticusLab</a:t>
          </a:r>
          <a:r>
            <a:rPr lang="lt-LT" sz="2400">
              <a:solidFill>
                <a:schemeClr val="bg1">
                  <a:lumMod val="85000"/>
                </a:schemeClr>
              </a:solidFill>
            </a:rPr>
            <a:t> </a:t>
          </a:r>
        </a:p>
      </xdr:txBody>
    </xdr:sp>
    <xdr:clientData/>
  </xdr:oneCellAnchor>
  <xdr:oneCellAnchor>
    <xdr:from>
      <xdr:col>3</xdr:col>
      <xdr:colOff>685800</xdr:colOff>
      <xdr:row>108</xdr:row>
      <xdr:rowOff>66676</xdr:rowOff>
    </xdr:from>
    <xdr:ext cx="2184333" cy="468013"/>
    <xdr:sp macro="" textlink="">
      <xdr:nvSpPr>
        <xdr:cNvPr id="71" name="TextBox 70">
          <a:extLst>
            <a:ext uri="{FF2B5EF4-FFF2-40B4-BE49-F238E27FC236}">
              <a16:creationId xmlns:a16="http://schemas.microsoft.com/office/drawing/2014/main" id="{B97B286E-8C08-41D7-AC87-09C9EFA9EE42}"/>
            </a:ext>
          </a:extLst>
        </xdr:cNvPr>
        <xdr:cNvSpPr txBox="1"/>
      </xdr:nvSpPr>
      <xdr:spPr>
        <a:xfrm rot="19833050">
          <a:off x="2849336" y="20327712"/>
          <a:ext cx="21843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lt-LT" sz="2000">
              <a:solidFill>
                <a:schemeClr val="bg1">
                  <a:lumMod val="85000"/>
                </a:schemeClr>
              </a:solidFill>
            </a:rPr>
            <a:t>StaticusLab</a:t>
          </a:r>
          <a:r>
            <a:rPr lang="lt-LT" sz="2400">
              <a:solidFill>
                <a:schemeClr val="bg1">
                  <a:lumMod val="85000"/>
                </a:schemeClr>
              </a:solidFill>
            </a:rPr>
            <a:t> </a:t>
          </a:r>
        </a:p>
      </xdr:txBody>
    </xdr:sp>
    <xdr:clientData/>
  </xdr:oneCellAnchor>
  <xdr:oneCellAnchor>
    <xdr:from>
      <xdr:col>3</xdr:col>
      <xdr:colOff>800099</xdr:colOff>
      <xdr:row>56</xdr:row>
      <xdr:rowOff>76201</xdr:rowOff>
    </xdr:from>
    <xdr:ext cx="2184333" cy="468013"/>
    <xdr:sp macro="" textlink="">
      <xdr:nvSpPr>
        <xdr:cNvPr id="87" name="TextBox 86">
          <a:extLst>
            <a:ext uri="{FF2B5EF4-FFF2-40B4-BE49-F238E27FC236}">
              <a16:creationId xmlns:a16="http://schemas.microsoft.com/office/drawing/2014/main" id="{4475308D-F85B-4EB7-87E1-8932087AA35F}"/>
            </a:ext>
          </a:extLst>
        </xdr:cNvPr>
        <xdr:cNvSpPr txBox="1"/>
      </xdr:nvSpPr>
      <xdr:spPr>
        <a:xfrm rot="19833050">
          <a:off x="2971799" y="10544176"/>
          <a:ext cx="21843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lt-LT" sz="2000">
              <a:solidFill>
                <a:schemeClr val="bg1">
                  <a:lumMod val="85000"/>
                </a:schemeClr>
              </a:solidFill>
            </a:rPr>
            <a:t>StaticusLab</a:t>
          </a:r>
          <a:r>
            <a:rPr lang="lt-LT" sz="2400">
              <a:solidFill>
                <a:schemeClr val="bg1">
                  <a:lumMod val="85000"/>
                </a:schemeClr>
              </a:solidFill>
            </a:rPr>
            <a:t> </a:t>
          </a:r>
        </a:p>
      </xdr:txBody>
    </xdr:sp>
    <xdr:clientData/>
  </xdr:oneCellAnchor>
  <xdr:oneCellAnchor>
    <xdr:from>
      <xdr:col>5</xdr:col>
      <xdr:colOff>683559</xdr:colOff>
      <xdr:row>65</xdr:row>
      <xdr:rowOff>33617</xdr:rowOff>
    </xdr:from>
    <xdr:ext cx="2184333" cy="468013"/>
    <xdr:sp macro="" textlink="">
      <xdr:nvSpPr>
        <xdr:cNvPr id="92" name="TextBox 91">
          <a:extLst>
            <a:ext uri="{FF2B5EF4-FFF2-40B4-BE49-F238E27FC236}">
              <a16:creationId xmlns:a16="http://schemas.microsoft.com/office/drawing/2014/main" id="{5C1F1CDA-CBB3-42F2-96E3-884BEECD27ED}"/>
            </a:ext>
          </a:extLst>
        </xdr:cNvPr>
        <xdr:cNvSpPr txBox="1"/>
      </xdr:nvSpPr>
      <xdr:spPr>
        <a:xfrm rot="19833050">
          <a:off x="4840941" y="12068735"/>
          <a:ext cx="21843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lt-LT" sz="2000">
              <a:solidFill>
                <a:schemeClr val="bg1">
                  <a:lumMod val="85000"/>
                </a:schemeClr>
              </a:solidFill>
            </a:rPr>
            <a:t>StaticusLab</a:t>
          </a:r>
          <a:r>
            <a:rPr lang="lt-LT" sz="2400">
              <a:solidFill>
                <a:schemeClr val="bg1">
                  <a:lumMod val="85000"/>
                </a:schemeClr>
              </a:solidFill>
            </a:rPr>
            <a:t> </a:t>
          </a:r>
        </a:p>
      </xdr:txBody>
    </xdr:sp>
    <xdr:clientData/>
  </xdr:oneCellAnchor>
  <xdr:twoCellAnchor editAs="oneCell">
    <xdr:from>
      <xdr:col>113</xdr:col>
      <xdr:colOff>44823</xdr:colOff>
      <xdr:row>105</xdr:row>
      <xdr:rowOff>56029</xdr:rowOff>
    </xdr:from>
    <xdr:to>
      <xdr:col>122</xdr:col>
      <xdr:colOff>517325</xdr:colOff>
      <xdr:row>128</xdr:row>
      <xdr:rowOff>20831</xdr:rowOff>
    </xdr:to>
    <xdr:pic>
      <xdr:nvPicPr>
        <xdr:cNvPr id="27" name="Picture 26">
          <a:extLst>
            <a:ext uri="{FF2B5EF4-FFF2-40B4-BE49-F238E27FC236}">
              <a16:creationId xmlns:a16="http://schemas.microsoft.com/office/drawing/2014/main" id="{8C6B2342-DFB0-4F13-97B7-F22D00A83B3E}"/>
            </a:ext>
          </a:extLst>
        </xdr:cNvPr>
        <xdr:cNvPicPr>
          <a:picLocks noChangeAspect="1"/>
        </xdr:cNvPicPr>
      </xdr:nvPicPr>
      <xdr:blipFill>
        <a:blip xmlns:r="http://schemas.openxmlformats.org/officeDocument/2006/relationships" r:embed="rId25"/>
        <a:stretch>
          <a:fillRect/>
        </a:stretch>
      </xdr:blipFill>
      <xdr:spPr>
        <a:xfrm>
          <a:off x="67201676" y="19162058"/>
          <a:ext cx="5924276" cy="3595551"/>
        </a:xfrm>
        <a:prstGeom prst="rect">
          <a:avLst/>
        </a:prstGeom>
      </xdr:spPr>
    </xdr:pic>
    <xdr:clientData/>
  </xdr:twoCellAnchor>
  <xdr:twoCellAnchor editAs="oneCell">
    <xdr:from>
      <xdr:col>113</xdr:col>
      <xdr:colOff>22412</xdr:colOff>
      <xdr:row>83</xdr:row>
      <xdr:rowOff>67235</xdr:rowOff>
    </xdr:from>
    <xdr:to>
      <xdr:col>122</xdr:col>
      <xdr:colOff>587466</xdr:colOff>
      <xdr:row>103</xdr:row>
      <xdr:rowOff>882</xdr:rowOff>
    </xdr:to>
    <xdr:pic>
      <xdr:nvPicPr>
        <xdr:cNvPr id="34" name="Picture 33">
          <a:extLst>
            <a:ext uri="{FF2B5EF4-FFF2-40B4-BE49-F238E27FC236}">
              <a16:creationId xmlns:a16="http://schemas.microsoft.com/office/drawing/2014/main" id="{500EB46A-469B-42E2-B2CB-F833D9043977}"/>
            </a:ext>
          </a:extLst>
        </xdr:cNvPr>
        <xdr:cNvPicPr>
          <a:picLocks noChangeAspect="1"/>
        </xdr:cNvPicPr>
      </xdr:nvPicPr>
      <xdr:blipFill>
        <a:blip xmlns:r="http://schemas.openxmlformats.org/officeDocument/2006/relationships" r:embed="rId26"/>
        <a:stretch>
          <a:fillRect/>
        </a:stretch>
      </xdr:blipFill>
      <xdr:spPr>
        <a:xfrm>
          <a:off x="67179265" y="15329647"/>
          <a:ext cx="6001588" cy="3458058"/>
        </a:xfrm>
        <a:prstGeom prst="rect">
          <a:avLst/>
        </a:prstGeom>
      </xdr:spPr>
    </xdr:pic>
    <xdr:clientData/>
  </xdr:twoCellAnchor>
  <xdr:twoCellAnchor editAs="oneCell">
    <xdr:from>
      <xdr:col>123</xdr:col>
      <xdr:colOff>96491</xdr:colOff>
      <xdr:row>66</xdr:row>
      <xdr:rowOff>97105</xdr:rowOff>
    </xdr:from>
    <xdr:to>
      <xdr:col>134</xdr:col>
      <xdr:colOff>571504</xdr:colOff>
      <xdr:row>111</xdr:row>
      <xdr:rowOff>131351</xdr:rowOff>
    </xdr:to>
    <xdr:pic>
      <xdr:nvPicPr>
        <xdr:cNvPr id="35" name="Picture 34">
          <a:extLst>
            <a:ext uri="{FF2B5EF4-FFF2-40B4-BE49-F238E27FC236}">
              <a16:creationId xmlns:a16="http://schemas.microsoft.com/office/drawing/2014/main" id="{234CFAAF-038D-4A45-9FC9-7EE3390CD755}"/>
            </a:ext>
          </a:extLst>
        </xdr:cNvPr>
        <xdr:cNvPicPr>
          <a:picLocks noChangeAspect="1"/>
        </xdr:cNvPicPr>
      </xdr:nvPicPr>
      <xdr:blipFill>
        <a:blip xmlns:r="http://schemas.openxmlformats.org/officeDocument/2006/relationships" r:embed="rId27"/>
        <a:stretch>
          <a:fillRect/>
        </a:stretch>
      </xdr:blipFill>
      <xdr:spPr>
        <a:xfrm>
          <a:off x="73724741" y="12622480"/>
          <a:ext cx="7285388" cy="7978505"/>
        </a:xfrm>
        <a:prstGeom prst="rect">
          <a:avLst/>
        </a:prstGeom>
      </xdr:spPr>
    </xdr:pic>
    <xdr:clientData/>
  </xdr:twoCellAnchor>
  <xdr:twoCellAnchor editAs="oneCell">
    <xdr:from>
      <xdr:col>123</xdr:col>
      <xdr:colOff>41438</xdr:colOff>
      <xdr:row>111</xdr:row>
      <xdr:rowOff>48208</xdr:rowOff>
    </xdr:from>
    <xdr:to>
      <xdr:col>134</xdr:col>
      <xdr:colOff>518159</xdr:colOff>
      <xdr:row>161</xdr:row>
      <xdr:rowOff>153371</xdr:rowOff>
    </xdr:to>
    <xdr:pic>
      <xdr:nvPicPr>
        <xdr:cNvPr id="39" name="Picture 38">
          <a:extLst>
            <a:ext uri="{FF2B5EF4-FFF2-40B4-BE49-F238E27FC236}">
              <a16:creationId xmlns:a16="http://schemas.microsoft.com/office/drawing/2014/main" id="{1F7955EE-88D4-4C2F-A380-3689D9A9F52B}"/>
            </a:ext>
          </a:extLst>
        </xdr:cNvPr>
        <xdr:cNvPicPr>
          <a:picLocks noChangeAspect="1"/>
        </xdr:cNvPicPr>
      </xdr:nvPicPr>
      <xdr:blipFill>
        <a:blip xmlns:r="http://schemas.openxmlformats.org/officeDocument/2006/relationships" r:embed="rId28"/>
        <a:stretch>
          <a:fillRect/>
        </a:stretch>
      </xdr:blipFill>
      <xdr:spPr>
        <a:xfrm>
          <a:off x="73669688" y="20646021"/>
          <a:ext cx="7292811" cy="8461185"/>
        </a:xfrm>
        <a:prstGeom prst="rect">
          <a:avLst/>
        </a:prstGeom>
      </xdr:spPr>
    </xdr:pic>
    <xdr:clientData/>
  </xdr:twoCellAnchor>
  <xdr:twoCellAnchor editAs="oneCell">
    <xdr:from>
      <xdr:col>113</xdr:col>
      <xdr:colOff>168089</xdr:colOff>
      <xdr:row>31</xdr:row>
      <xdr:rowOff>100853</xdr:rowOff>
    </xdr:from>
    <xdr:to>
      <xdr:col>122</xdr:col>
      <xdr:colOff>477837</xdr:colOff>
      <xdr:row>64</xdr:row>
      <xdr:rowOff>154454</xdr:rowOff>
    </xdr:to>
    <xdr:pic>
      <xdr:nvPicPr>
        <xdr:cNvPr id="43" name="Picture 42">
          <a:extLst>
            <a:ext uri="{FF2B5EF4-FFF2-40B4-BE49-F238E27FC236}">
              <a16:creationId xmlns:a16="http://schemas.microsoft.com/office/drawing/2014/main" id="{398A7777-6685-4E71-868E-71ACF5343EC8}"/>
            </a:ext>
          </a:extLst>
        </xdr:cNvPr>
        <xdr:cNvPicPr>
          <a:picLocks noChangeAspect="1"/>
        </xdr:cNvPicPr>
      </xdr:nvPicPr>
      <xdr:blipFill>
        <a:blip xmlns:r="http://schemas.openxmlformats.org/officeDocument/2006/relationships" r:embed="rId29"/>
        <a:stretch>
          <a:fillRect/>
        </a:stretch>
      </xdr:blipFill>
      <xdr:spPr>
        <a:xfrm>
          <a:off x="67324942" y="5345206"/>
          <a:ext cx="5744377" cy="6687483"/>
        </a:xfrm>
        <a:prstGeom prst="rect">
          <a:avLst/>
        </a:prstGeom>
      </xdr:spPr>
    </xdr:pic>
    <xdr:clientData/>
  </xdr:twoCellAnchor>
  <xdr:twoCellAnchor editAs="oneCell">
    <xdr:from>
      <xdr:col>135</xdr:col>
      <xdr:colOff>30738</xdr:colOff>
      <xdr:row>135</xdr:row>
      <xdr:rowOff>87456</xdr:rowOff>
    </xdr:from>
    <xdr:to>
      <xdr:col>144</xdr:col>
      <xdr:colOff>478761</xdr:colOff>
      <xdr:row>158</xdr:row>
      <xdr:rowOff>77630</xdr:rowOff>
    </xdr:to>
    <xdr:pic>
      <xdr:nvPicPr>
        <xdr:cNvPr id="44" name="Picture 43">
          <a:extLst>
            <a:ext uri="{FF2B5EF4-FFF2-40B4-BE49-F238E27FC236}">
              <a16:creationId xmlns:a16="http://schemas.microsoft.com/office/drawing/2014/main" id="{121E96F1-2F3C-4E17-AE0C-F00E92342784}"/>
            </a:ext>
          </a:extLst>
        </xdr:cNvPr>
        <xdr:cNvPicPr>
          <a:picLocks noChangeAspect="1"/>
        </xdr:cNvPicPr>
      </xdr:nvPicPr>
      <xdr:blipFill>
        <a:blip xmlns:r="http://schemas.openxmlformats.org/officeDocument/2006/relationships" r:embed="rId30"/>
        <a:stretch>
          <a:fillRect/>
        </a:stretch>
      </xdr:blipFill>
      <xdr:spPr>
        <a:xfrm>
          <a:off x="80421738" y="24142411"/>
          <a:ext cx="5908963" cy="3678946"/>
        </a:xfrm>
        <a:prstGeom prst="rect">
          <a:avLst/>
        </a:prstGeom>
      </xdr:spPr>
    </xdr:pic>
    <xdr:clientData/>
  </xdr:twoCellAnchor>
  <xdr:twoCellAnchor editAs="oneCell">
    <xdr:from>
      <xdr:col>145</xdr:col>
      <xdr:colOff>126485</xdr:colOff>
      <xdr:row>90</xdr:row>
      <xdr:rowOff>69275</xdr:rowOff>
    </xdr:from>
    <xdr:to>
      <xdr:col>155</xdr:col>
      <xdr:colOff>555977</xdr:colOff>
      <xdr:row>140</xdr:row>
      <xdr:rowOff>130925</xdr:rowOff>
    </xdr:to>
    <xdr:pic>
      <xdr:nvPicPr>
        <xdr:cNvPr id="47" name="Picture 46">
          <a:extLst>
            <a:ext uri="{FF2B5EF4-FFF2-40B4-BE49-F238E27FC236}">
              <a16:creationId xmlns:a16="http://schemas.microsoft.com/office/drawing/2014/main" id="{7023EA78-B672-4A96-B5D1-164481C888A3}"/>
            </a:ext>
          </a:extLst>
        </xdr:cNvPr>
        <xdr:cNvPicPr>
          <a:picLocks noChangeAspect="1"/>
        </xdr:cNvPicPr>
      </xdr:nvPicPr>
      <xdr:blipFill>
        <a:blip xmlns:r="http://schemas.openxmlformats.org/officeDocument/2006/relationships" r:embed="rId31"/>
        <a:stretch>
          <a:fillRect/>
        </a:stretch>
      </xdr:blipFill>
      <xdr:spPr>
        <a:xfrm>
          <a:off x="86578849" y="16850593"/>
          <a:ext cx="6483234" cy="7949043"/>
        </a:xfrm>
        <a:prstGeom prst="rect">
          <a:avLst/>
        </a:prstGeom>
      </xdr:spPr>
    </xdr:pic>
    <xdr:clientData/>
  </xdr:twoCellAnchor>
  <xdr:twoCellAnchor editAs="oneCell">
    <xdr:from>
      <xdr:col>135</xdr:col>
      <xdr:colOff>68654</xdr:colOff>
      <xdr:row>66</xdr:row>
      <xdr:rowOff>76076</xdr:rowOff>
    </xdr:from>
    <xdr:to>
      <xdr:col>144</xdr:col>
      <xdr:colOff>511929</xdr:colOff>
      <xdr:row>89</xdr:row>
      <xdr:rowOff>132888</xdr:rowOff>
    </xdr:to>
    <xdr:pic>
      <xdr:nvPicPr>
        <xdr:cNvPr id="98" name="Picture 97">
          <a:extLst>
            <a:ext uri="{FF2B5EF4-FFF2-40B4-BE49-F238E27FC236}">
              <a16:creationId xmlns:a16="http://schemas.microsoft.com/office/drawing/2014/main" id="{A4D6B15E-2D2B-4F21-B336-FF0591A1DD8B}"/>
            </a:ext>
          </a:extLst>
        </xdr:cNvPr>
        <xdr:cNvPicPr>
          <a:picLocks noChangeAspect="1"/>
        </xdr:cNvPicPr>
      </xdr:nvPicPr>
      <xdr:blipFill>
        <a:blip xmlns:r="http://schemas.openxmlformats.org/officeDocument/2006/relationships" r:embed="rId32"/>
        <a:stretch>
          <a:fillRect/>
        </a:stretch>
      </xdr:blipFill>
      <xdr:spPr>
        <a:xfrm>
          <a:off x="80459654" y="12354667"/>
          <a:ext cx="5906120" cy="4288832"/>
        </a:xfrm>
        <a:prstGeom prst="rect">
          <a:avLst/>
        </a:prstGeom>
      </xdr:spPr>
    </xdr:pic>
    <xdr:clientData/>
  </xdr:twoCellAnchor>
  <xdr:twoCellAnchor editAs="oneCell">
    <xdr:from>
      <xdr:col>156</xdr:col>
      <xdr:colOff>117021</xdr:colOff>
      <xdr:row>2</xdr:row>
      <xdr:rowOff>59192</xdr:rowOff>
    </xdr:from>
    <xdr:to>
      <xdr:col>164</xdr:col>
      <xdr:colOff>479708</xdr:colOff>
      <xdr:row>22</xdr:row>
      <xdr:rowOff>18155</xdr:rowOff>
    </xdr:to>
    <xdr:pic>
      <xdr:nvPicPr>
        <xdr:cNvPr id="100" name="Picture 99">
          <a:extLst>
            <a:ext uri="{FF2B5EF4-FFF2-40B4-BE49-F238E27FC236}">
              <a16:creationId xmlns:a16="http://schemas.microsoft.com/office/drawing/2014/main" id="{45DDF579-D143-4019-A54B-3F9ED164CCBB}"/>
            </a:ext>
          </a:extLst>
        </xdr:cNvPr>
        <xdr:cNvPicPr>
          <a:picLocks noChangeAspect="1"/>
        </xdr:cNvPicPr>
      </xdr:nvPicPr>
      <xdr:blipFill>
        <a:blip xmlns:r="http://schemas.openxmlformats.org/officeDocument/2006/relationships" r:embed="rId33"/>
        <a:stretch>
          <a:fillRect/>
        </a:stretch>
      </xdr:blipFill>
      <xdr:spPr>
        <a:xfrm>
          <a:off x="93911057" y="521835"/>
          <a:ext cx="5261257" cy="3306320"/>
        </a:xfrm>
        <a:prstGeom prst="rect">
          <a:avLst/>
        </a:prstGeom>
      </xdr:spPr>
    </xdr:pic>
    <xdr:clientData/>
  </xdr:twoCellAnchor>
  <xdr:twoCellAnchor editAs="oneCell">
    <xdr:from>
      <xdr:col>156</xdr:col>
      <xdr:colOff>132608</xdr:colOff>
      <xdr:row>23</xdr:row>
      <xdr:rowOff>992</xdr:rowOff>
    </xdr:from>
    <xdr:to>
      <xdr:col>167</xdr:col>
      <xdr:colOff>516387</xdr:colOff>
      <xdr:row>55</xdr:row>
      <xdr:rowOff>169572</xdr:rowOff>
    </xdr:to>
    <xdr:pic>
      <xdr:nvPicPr>
        <xdr:cNvPr id="101" name="Picture 100">
          <a:extLst>
            <a:ext uri="{FF2B5EF4-FFF2-40B4-BE49-F238E27FC236}">
              <a16:creationId xmlns:a16="http://schemas.microsoft.com/office/drawing/2014/main" id="{471A6D6F-C96A-4AA0-95DC-43D639250FBF}"/>
            </a:ext>
          </a:extLst>
        </xdr:cNvPr>
        <xdr:cNvPicPr>
          <a:picLocks noChangeAspect="1"/>
        </xdr:cNvPicPr>
      </xdr:nvPicPr>
      <xdr:blipFill>
        <a:blip xmlns:r="http://schemas.openxmlformats.org/officeDocument/2006/relationships" r:embed="rId34"/>
        <a:stretch>
          <a:fillRect/>
        </a:stretch>
      </xdr:blipFill>
      <xdr:spPr>
        <a:xfrm>
          <a:off x="93926644" y="3974278"/>
          <a:ext cx="7119315" cy="6511141"/>
        </a:xfrm>
        <a:prstGeom prst="rect">
          <a:avLst/>
        </a:prstGeom>
      </xdr:spPr>
    </xdr:pic>
    <xdr:clientData/>
  </xdr:twoCellAnchor>
  <xdr:twoCellAnchor editAs="oneCell">
    <xdr:from>
      <xdr:col>145</xdr:col>
      <xdr:colOff>129253</xdr:colOff>
      <xdr:row>32</xdr:row>
      <xdr:rowOff>310490</xdr:rowOff>
    </xdr:from>
    <xdr:to>
      <xdr:col>155</xdr:col>
      <xdr:colOff>474418</xdr:colOff>
      <xdr:row>64</xdr:row>
      <xdr:rowOff>54009</xdr:rowOff>
    </xdr:to>
    <xdr:pic>
      <xdr:nvPicPr>
        <xdr:cNvPr id="102" name="Picture 101">
          <a:extLst>
            <a:ext uri="{FF2B5EF4-FFF2-40B4-BE49-F238E27FC236}">
              <a16:creationId xmlns:a16="http://schemas.microsoft.com/office/drawing/2014/main" id="{A0C43761-39C2-485A-989D-2A43C9E3D217}"/>
            </a:ext>
          </a:extLst>
        </xdr:cNvPr>
        <xdr:cNvPicPr>
          <a:picLocks noChangeAspect="1"/>
        </xdr:cNvPicPr>
      </xdr:nvPicPr>
      <xdr:blipFill>
        <a:blip xmlns:r="http://schemas.openxmlformats.org/officeDocument/2006/relationships" r:embed="rId35"/>
        <a:stretch>
          <a:fillRect/>
        </a:stretch>
      </xdr:blipFill>
      <xdr:spPr>
        <a:xfrm>
          <a:off x="86581617" y="5713763"/>
          <a:ext cx="6406527" cy="6220519"/>
        </a:xfrm>
        <a:prstGeom prst="rect">
          <a:avLst/>
        </a:prstGeom>
      </xdr:spPr>
    </xdr:pic>
    <xdr:clientData/>
  </xdr:twoCellAnchor>
  <xdr:twoCellAnchor editAs="oneCell">
    <xdr:from>
      <xdr:col>145</xdr:col>
      <xdr:colOff>107620</xdr:colOff>
      <xdr:row>65</xdr:row>
      <xdr:rowOff>61849</xdr:rowOff>
    </xdr:from>
    <xdr:to>
      <xdr:col>155</xdr:col>
      <xdr:colOff>472518</xdr:colOff>
      <xdr:row>88</xdr:row>
      <xdr:rowOff>150913</xdr:rowOff>
    </xdr:to>
    <xdr:pic>
      <xdr:nvPicPr>
        <xdr:cNvPr id="104" name="Picture 103">
          <a:extLst>
            <a:ext uri="{FF2B5EF4-FFF2-40B4-BE49-F238E27FC236}">
              <a16:creationId xmlns:a16="http://schemas.microsoft.com/office/drawing/2014/main" id="{8BBFE66C-01A7-4B40-B3AF-C5186430E0EC}"/>
            </a:ext>
          </a:extLst>
        </xdr:cNvPr>
        <xdr:cNvPicPr>
          <a:picLocks noChangeAspect="1"/>
        </xdr:cNvPicPr>
      </xdr:nvPicPr>
      <xdr:blipFill>
        <a:blip xmlns:r="http://schemas.openxmlformats.org/officeDocument/2006/relationships" r:embed="rId36"/>
        <a:stretch>
          <a:fillRect/>
        </a:stretch>
      </xdr:blipFill>
      <xdr:spPr>
        <a:xfrm>
          <a:off x="92881120" y="12417135"/>
          <a:ext cx="6478586" cy="4579421"/>
        </a:xfrm>
        <a:prstGeom prst="rect">
          <a:avLst/>
        </a:prstGeom>
      </xdr:spPr>
    </xdr:pic>
    <xdr:clientData/>
  </xdr:twoCellAnchor>
  <xdr:twoCellAnchor editAs="oneCell">
    <xdr:from>
      <xdr:col>145</xdr:col>
      <xdr:colOff>259773</xdr:colOff>
      <xdr:row>1</xdr:row>
      <xdr:rowOff>103908</xdr:rowOff>
    </xdr:from>
    <xdr:to>
      <xdr:col>155</xdr:col>
      <xdr:colOff>474358</xdr:colOff>
      <xdr:row>30</xdr:row>
      <xdr:rowOff>1886</xdr:rowOff>
    </xdr:to>
    <xdr:pic>
      <xdr:nvPicPr>
        <xdr:cNvPr id="107" name="Picture 106">
          <a:extLst>
            <a:ext uri="{FF2B5EF4-FFF2-40B4-BE49-F238E27FC236}">
              <a16:creationId xmlns:a16="http://schemas.microsoft.com/office/drawing/2014/main" id="{47300EBC-3C04-418D-A29B-5402CAE21EBD}"/>
            </a:ext>
          </a:extLst>
        </xdr:cNvPr>
        <xdr:cNvPicPr>
          <a:picLocks noChangeAspect="1"/>
        </xdr:cNvPicPr>
      </xdr:nvPicPr>
      <xdr:blipFill>
        <a:blip xmlns:r="http://schemas.openxmlformats.org/officeDocument/2006/relationships" r:embed="rId37"/>
        <a:stretch>
          <a:fillRect/>
        </a:stretch>
      </xdr:blipFill>
      <xdr:spPr>
        <a:xfrm>
          <a:off x="86937273" y="178451"/>
          <a:ext cx="6355144" cy="5046441"/>
        </a:xfrm>
        <a:prstGeom prst="rect">
          <a:avLst/>
        </a:prstGeom>
      </xdr:spPr>
    </xdr:pic>
    <xdr:clientData/>
  </xdr:twoCellAnchor>
  <xdr:twoCellAnchor editAs="oneCell">
    <xdr:from>
      <xdr:col>133</xdr:col>
      <xdr:colOff>70972</xdr:colOff>
      <xdr:row>10</xdr:row>
      <xdr:rowOff>41622</xdr:rowOff>
    </xdr:from>
    <xdr:to>
      <xdr:col>144</xdr:col>
      <xdr:colOff>573386</xdr:colOff>
      <xdr:row>63</xdr:row>
      <xdr:rowOff>54349</xdr:rowOff>
    </xdr:to>
    <xdr:pic>
      <xdr:nvPicPr>
        <xdr:cNvPr id="108" name="Picture 107">
          <a:extLst>
            <a:ext uri="{FF2B5EF4-FFF2-40B4-BE49-F238E27FC236}">
              <a16:creationId xmlns:a16="http://schemas.microsoft.com/office/drawing/2014/main" id="{74090C0D-06EF-4F91-A64A-E47457B426FF}"/>
            </a:ext>
          </a:extLst>
        </xdr:cNvPr>
        <xdr:cNvPicPr>
          <a:picLocks noChangeAspect="1"/>
        </xdr:cNvPicPr>
      </xdr:nvPicPr>
      <xdr:blipFill>
        <a:blip xmlns:r="http://schemas.openxmlformats.org/officeDocument/2006/relationships" r:embed="rId38"/>
        <a:stretch>
          <a:fillRect/>
        </a:stretch>
      </xdr:blipFill>
      <xdr:spPr>
        <a:xfrm>
          <a:off x="79330178" y="1834563"/>
          <a:ext cx="7158707" cy="9897996"/>
        </a:xfrm>
        <a:prstGeom prst="rect">
          <a:avLst/>
        </a:prstGeom>
      </xdr:spPr>
    </xdr:pic>
    <xdr:clientData/>
  </xdr:twoCellAnchor>
  <xdr:twoCellAnchor editAs="oneCell">
    <xdr:from>
      <xdr:col>133</xdr:col>
      <xdr:colOff>71240</xdr:colOff>
      <xdr:row>1</xdr:row>
      <xdr:rowOff>56030</xdr:rowOff>
    </xdr:from>
    <xdr:to>
      <xdr:col>144</xdr:col>
      <xdr:colOff>517162</xdr:colOff>
      <xdr:row>7</xdr:row>
      <xdr:rowOff>134471</xdr:rowOff>
    </xdr:to>
    <xdr:pic>
      <xdr:nvPicPr>
        <xdr:cNvPr id="110" name="Picture 109">
          <a:extLst>
            <a:ext uri="{FF2B5EF4-FFF2-40B4-BE49-F238E27FC236}">
              <a16:creationId xmlns:a16="http://schemas.microsoft.com/office/drawing/2014/main" id="{3C2A5F30-D63A-43CF-AF25-446D6A96A6A4}"/>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79330446" y="134471"/>
          <a:ext cx="7111740" cy="1322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133</xdr:col>
      <xdr:colOff>78441</xdr:colOff>
      <xdr:row>63</xdr:row>
      <xdr:rowOff>123264</xdr:rowOff>
    </xdr:from>
    <xdr:to>
      <xdr:col>144</xdr:col>
      <xdr:colOff>515472</xdr:colOff>
      <xdr:row>65</xdr:row>
      <xdr:rowOff>93920</xdr:rowOff>
    </xdr:to>
    <xdr:pic>
      <xdr:nvPicPr>
        <xdr:cNvPr id="111" name="Picture 110">
          <a:extLst>
            <a:ext uri="{FF2B5EF4-FFF2-40B4-BE49-F238E27FC236}">
              <a16:creationId xmlns:a16="http://schemas.microsoft.com/office/drawing/2014/main" id="{2FD9AC9A-B9BE-4D2B-BD6B-03B49DCDECF0}"/>
            </a:ext>
          </a:extLst>
        </xdr:cNvPr>
        <xdr:cNvPicPr>
          <a:picLocks noChangeAspect="1"/>
        </xdr:cNvPicPr>
      </xdr:nvPicPr>
      <xdr:blipFill>
        <a:blip xmlns:r="http://schemas.openxmlformats.org/officeDocument/2006/relationships" r:embed="rId40"/>
        <a:stretch>
          <a:fillRect/>
        </a:stretch>
      </xdr:blipFill>
      <xdr:spPr>
        <a:xfrm>
          <a:off x="79337647" y="11810999"/>
          <a:ext cx="7093324" cy="366896"/>
        </a:xfrm>
        <a:prstGeom prst="rect">
          <a:avLst/>
        </a:prstGeom>
      </xdr:spPr>
    </xdr:pic>
    <xdr:clientData/>
  </xdr:twoCellAnchor>
  <xdr:twoCellAnchor editAs="oneCell">
    <xdr:from>
      <xdr:col>156</xdr:col>
      <xdr:colOff>54428</xdr:colOff>
      <xdr:row>65</xdr:row>
      <xdr:rowOff>162751</xdr:rowOff>
    </xdr:from>
    <xdr:to>
      <xdr:col>166</xdr:col>
      <xdr:colOff>397602</xdr:colOff>
      <xdr:row>117</xdr:row>
      <xdr:rowOff>96884</xdr:rowOff>
    </xdr:to>
    <xdr:pic>
      <xdr:nvPicPr>
        <xdr:cNvPr id="3" name="Picture 2">
          <a:extLst>
            <a:ext uri="{FF2B5EF4-FFF2-40B4-BE49-F238E27FC236}">
              <a16:creationId xmlns:a16="http://schemas.microsoft.com/office/drawing/2014/main" id="{D5449391-4AEC-445B-931B-D336D5D5B44F}"/>
            </a:ext>
          </a:extLst>
        </xdr:cNvPr>
        <xdr:cNvPicPr>
          <a:picLocks noChangeAspect="1"/>
        </xdr:cNvPicPr>
      </xdr:nvPicPr>
      <xdr:blipFill>
        <a:blip xmlns:r="http://schemas.openxmlformats.org/officeDocument/2006/relationships" r:embed="rId41"/>
        <a:stretch>
          <a:fillRect/>
        </a:stretch>
      </xdr:blipFill>
      <xdr:spPr>
        <a:xfrm>
          <a:off x="99563464" y="12518037"/>
          <a:ext cx="6460673" cy="9171750"/>
        </a:xfrm>
        <a:prstGeom prst="rect">
          <a:avLst/>
        </a:prstGeom>
      </xdr:spPr>
    </xdr:pic>
    <xdr:clientData/>
  </xdr:twoCellAnchor>
  <xdr:twoCellAnchor editAs="oneCell">
    <xdr:from>
      <xdr:col>156</xdr:col>
      <xdr:colOff>108857</xdr:colOff>
      <xdr:row>118</xdr:row>
      <xdr:rowOff>13607</xdr:rowOff>
    </xdr:from>
    <xdr:to>
      <xdr:col>166</xdr:col>
      <xdr:colOff>511179</xdr:colOff>
      <xdr:row>161</xdr:row>
      <xdr:rowOff>130669</xdr:rowOff>
    </xdr:to>
    <xdr:pic>
      <xdr:nvPicPr>
        <xdr:cNvPr id="4" name="Picture 3">
          <a:extLst>
            <a:ext uri="{FF2B5EF4-FFF2-40B4-BE49-F238E27FC236}">
              <a16:creationId xmlns:a16="http://schemas.microsoft.com/office/drawing/2014/main" id="{E69B8DF1-ED79-4000-8A73-64A778C4A767}"/>
            </a:ext>
          </a:extLst>
        </xdr:cNvPr>
        <xdr:cNvPicPr>
          <a:picLocks noChangeAspect="1"/>
        </xdr:cNvPicPr>
      </xdr:nvPicPr>
      <xdr:blipFill>
        <a:blip xmlns:r="http://schemas.openxmlformats.org/officeDocument/2006/relationships" r:embed="rId42"/>
        <a:stretch>
          <a:fillRect/>
        </a:stretch>
      </xdr:blipFill>
      <xdr:spPr>
        <a:xfrm>
          <a:off x="99617893" y="21785036"/>
          <a:ext cx="6525536" cy="7201905"/>
        </a:xfrm>
        <a:prstGeom prst="rect">
          <a:avLst/>
        </a:prstGeom>
      </xdr:spPr>
    </xdr:pic>
    <xdr:clientData/>
  </xdr:twoCellAnchor>
  <xdr:twoCellAnchor editAs="oneCell">
    <xdr:from>
      <xdr:col>167</xdr:col>
      <xdr:colOff>116031</xdr:colOff>
      <xdr:row>117</xdr:row>
      <xdr:rowOff>148071</xdr:rowOff>
    </xdr:from>
    <xdr:to>
      <xdr:col>175</xdr:col>
      <xdr:colOff>326294</xdr:colOff>
      <xdr:row>162</xdr:row>
      <xdr:rowOff>38213</xdr:rowOff>
    </xdr:to>
    <xdr:pic>
      <xdr:nvPicPr>
        <xdr:cNvPr id="5" name="Picture 4">
          <a:extLst>
            <a:ext uri="{FF2B5EF4-FFF2-40B4-BE49-F238E27FC236}">
              <a16:creationId xmlns:a16="http://schemas.microsoft.com/office/drawing/2014/main" id="{73DB0CC1-6007-4219-AA34-26FCCDC52798}"/>
            </a:ext>
          </a:extLst>
        </xdr:cNvPr>
        <xdr:cNvPicPr>
          <a:picLocks noChangeAspect="1"/>
        </xdr:cNvPicPr>
      </xdr:nvPicPr>
      <xdr:blipFill>
        <a:blip xmlns:r="http://schemas.openxmlformats.org/officeDocument/2006/relationships" r:embed="rId43"/>
        <a:stretch>
          <a:fillRect/>
        </a:stretch>
      </xdr:blipFill>
      <xdr:spPr>
        <a:xfrm>
          <a:off x="105805431" y="21550746"/>
          <a:ext cx="5096586" cy="7239978"/>
        </a:xfrm>
        <a:prstGeom prst="rect">
          <a:avLst/>
        </a:prstGeom>
      </xdr:spPr>
    </xdr:pic>
    <xdr:clientData/>
  </xdr:twoCellAnchor>
  <xdr:twoCellAnchor editAs="oneCell">
    <xdr:from>
      <xdr:col>167</xdr:col>
      <xdr:colOff>157596</xdr:colOff>
      <xdr:row>64</xdr:row>
      <xdr:rowOff>66674</xdr:rowOff>
    </xdr:from>
    <xdr:to>
      <xdr:col>175</xdr:col>
      <xdr:colOff>208853</xdr:colOff>
      <xdr:row>91</xdr:row>
      <xdr:rowOff>150521</xdr:rowOff>
    </xdr:to>
    <xdr:pic>
      <xdr:nvPicPr>
        <xdr:cNvPr id="10" name="Picture 9">
          <a:extLst>
            <a:ext uri="{FF2B5EF4-FFF2-40B4-BE49-F238E27FC236}">
              <a16:creationId xmlns:a16="http://schemas.microsoft.com/office/drawing/2014/main" id="{378DE549-2DF7-4A13-BE73-8030BBEFB4E0}"/>
            </a:ext>
          </a:extLst>
        </xdr:cNvPr>
        <xdr:cNvPicPr>
          <a:picLocks noChangeAspect="1"/>
        </xdr:cNvPicPr>
      </xdr:nvPicPr>
      <xdr:blipFill>
        <a:blip xmlns:r="http://schemas.openxmlformats.org/officeDocument/2006/relationships" r:embed="rId44"/>
        <a:stretch>
          <a:fillRect/>
        </a:stretch>
      </xdr:blipFill>
      <xdr:spPr>
        <a:xfrm>
          <a:off x="105846996" y="12125324"/>
          <a:ext cx="4943295" cy="5208297"/>
        </a:xfrm>
        <a:prstGeom prst="rect">
          <a:avLst/>
        </a:prstGeom>
      </xdr:spPr>
    </xdr:pic>
    <xdr:clientData/>
  </xdr:twoCellAnchor>
  <xdr:twoCellAnchor editAs="oneCell">
    <xdr:from>
      <xdr:col>167</xdr:col>
      <xdr:colOff>152401</xdr:colOff>
      <xdr:row>93</xdr:row>
      <xdr:rowOff>0</xdr:rowOff>
    </xdr:from>
    <xdr:to>
      <xdr:col>175</xdr:col>
      <xdr:colOff>208759</xdr:colOff>
      <xdr:row>116</xdr:row>
      <xdr:rowOff>152400</xdr:rowOff>
    </xdr:to>
    <xdr:pic>
      <xdr:nvPicPr>
        <xdr:cNvPr id="11" name="Picture 10">
          <a:extLst>
            <a:ext uri="{FF2B5EF4-FFF2-40B4-BE49-F238E27FC236}">
              <a16:creationId xmlns:a16="http://schemas.microsoft.com/office/drawing/2014/main" id="{14FB2C07-DFD7-4BBD-86FD-41E0838EAB68}"/>
            </a:ext>
          </a:extLst>
        </xdr:cNvPr>
        <xdr:cNvPicPr>
          <a:picLocks noChangeAspect="1"/>
        </xdr:cNvPicPr>
      </xdr:nvPicPr>
      <xdr:blipFill>
        <a:blip xmlns:r="http://schemas.openxmlformats.org/officeDocument/2006/relationships" r:embed="rId45"/>
        <a:stretch>
          <a:fillRect/>
        </a:stretch>
      </xdr:blipFill>
      <xdr:spPr>
        <a:xfrm>
          <a:off x="105841801" y="17516475"/>
          <a:ext cx="4933156" cy="3876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7471</xdr:colOff>
      <xdr:row>16</xdr:row>
      <xdr:rowOff>29882</xdr:rowOff>
    </xdr:from>
    <xdr:to>
      <xdr:col>8</xdr:col>
      <xdr:colOff>40515</xdr:colOff>
      <xdr:row>43</xdr:row>
      <xdr:rowOff>179294</xdr:rowOff>
    </xdr:to>
    <xdr:pic>
      <xdr:nvPicPr>
        <xdr:cNvPr id="2" name="Picture 1">
          <a:extLst>
            <a:ext uri="{FF2B5EF4-FFF2-40B4-BE49-F238E27FC236}">
              <a16:creationId xmlns:a16="http://schemas.microsoft.com/office/drawing/2014/main" id="{2FF79D5F-607A-44BA-A318-EEFD398CEFD1}"/>
            </a:ext>
          </a:extLst>
        </xdr:cNvPr>
        <xdr:cNvPicPr>
          <a:picLocks noChangeAspect="1"/>
        </xdr:cNvPicPr>
      </xdr:nvPicPr>
      <xdr:blipFill>
        <a:blip xmlns:r="http://schemas.openxmlformats.org/officeDocument/2006/relationships" r:embed="rId1"/>
        <a:stretch>
          <a:fillRect/>
        </a:stretch>
      </xdr:blipFill>
      <xdr:spPr>
        <a:xfrm>
          <a:off x="617071" y="4506632"/>
          <a:ext cx="6767219" cy="5292912"/>
        </a:xfrm>
        <a:prstGeom prst="rect">
          <a:avLst/>
        </a:prstGeom>
      </xdr:spPr>
    </xdr:pic>
    <xdr:clientData/>
  </xdr:twoCellAnchor>
  <xdr:twoCellAnchor editAs="oneCell">
    <xdr:from>
      <xdr:col>1</xdr:col>
      <xdr:colOff>0</xdr:colOff>
      <xdr:row>46</xdr:row>
      <xdr:rowOff>1</xdr:rowOff>
    </xdr:from>
    <xdr:to>
      <xdr:col>7</xdr:col>
      <xdr:colOff>495300</xdr:colOff>
      <xdr:row>49</xdr:row>
      <xdr:rowOff>74681</xdr:rowOff>
    </xdr:to>
    <xdr:pic>
      <xdr:nvPicPr>
        <xdr:cNvPr id="3" name="Picture 2">
          <a:extLst>
            <a:ext uri="{FF2B5EF4-FFF2-40B4-BE49-F238E27FC236}">
              <a16:creationId xmlns:a16="http://schemas.microsoft.com/office/drawing/2014/main" id="{AD45E853-86C0-4E75-A55B-5BE5C661FD05}"/>
            </a:ext>
          </a:extLst>
        </xdr:cNvPr>
        <xdr:cNvPicPr>
          <a:picLocks noChangeAspect="1"/>
        </xdr:cNvPicPr>
      </xdr:nvPicPr>
      <xdr:blipFill>
        <a:blip xmlns:r="http://schemas.openxmlformats.org/officeDocument/2006/relationships" r:embed="rId2"/>
        <a:stretch>
          <a:fillRect/>
        </a:stretch>
      </xdr:blipFill>
      <xdr:spPr>
        <a:xfrm>
          <a:off x="609600" y="10191751"/>
          <a:ext cx="6619875" cy="646180"/>
        </a:xfrm>
        <a:prstGeom prst="rect">
          <a:avLst/>
        </a:prstGeom>
      </xdr:spPr>
    </xdr:pic>
    <xdr:clientData/>
  </xdr:twoCellAnchor>
  <xdr:twoCellAnchor editAs="oneCell">
    <xdr:from>
      <xdr:col>0</xdr:col>
      <xdr:colOff>590550</xdr:colOff>
      <xdr:row>51</xdr:row>
      <xdr:rowOff>165100</xdr:rowOff>
    </xdr:from>
    <xdr:to>
      <xdr:col>7</xdr:col>
      <xdr:colOff>552450</xdr:colOff>
      <xdr:row>55</xdr:row>
      <xdr:rowOff>13303</xdr:rowOff>
    </xdr:to>
    <xdr:pic>
      <xdr:nvPicPr>
        <xdr:cNvPr id="4" name="Picture 3">
          <a:extLst>
            <a:ext uri="{FF2B5EF4-FFF2-40B4-BE49-F238E27FC236}">
              <a16:creationId xmlns:a16="http://schemas.microsoft.com/office/drawing/2014/main" id="{D7DFD57D-9A08-4295-A179-5B40E8E77D90}"/>
            </a:ext>
          </a:extLst>
        </xdr:cNvPr>
        <xdr:cNvPicPr>
          <a:picLocks noChangeAspect="1"/>
        </xdr:cNvPicPr>
      </xdr:nvPicPr>
      <xdr:blipFill>
        <a:blip xmlns:r="http://schemas.openxmlformats.org/officeDocument/2006/relationships" r:embed="rId3"/>
        <a:stretch>
          <a:fillRect/>
        </a:stretch>
      </xdr:blipFill>
      <xdr:spPr>
        <a:xfrm>
          <a:off x="590550" y="11309350"/>
          <a:ext cx="6696075" cy="610203"/>
        </a:xfrm>
        <a:prstGeom prst="rect">
          <a:avLst/>
        </a:prstGeom>
      </xdr:spPr>
    </xdr:pic>
    <xdr:clientData/>
  </xdr:twoCellAnchor>
  <xdr:twoCellAnchor editAs="oneCell">
    <xdr:from>
      <xdr:col>11</xdr:col>
      <xdr:colOff>0</xdr:colOff>
      <xdr:row>17</xdr:row>
      <xdr:rowOff>0</xdr:rowOff>
    </xdr:from>
    <xdr:to>
      <xdr:col>22</xdr:col>
      <xdr:colOff>335643</xdr:colOff>
      <xdr:row>34</xdr:row>
      <xdr:rowOff>149839</xdr:rowOff>
    </xdr:to>
    <xdr:pic>
      <xdr:nvPicPr>
        <xdr:cNvPr id="5" name="Picture 4">
          <a:extLst>
            <a:ext uri="{FF2B5EF4-FFF2-40B4-BE49-F238E27FC236}">
              <a16:creationId xmlns:a16="http://schemas.microsoft.com/office/drawing/2014/main" id="{83D122FC-FBBB-4C7A-AFF7-064E58342192}"/>
            </a:ext>
          </a:extLst>
        </xdr:cNvPr>
        <xdr:cNvPicPr>
          <a:picLocks noChangeAspect="1"/>
        </xdr:cNvPicPr>
      </xdr:nvPicPr>
      <xdr:blipFill>
        <a:blip xmlns:r="http://schemas.openxmlformats.org/officeDocument/2006/relationships" r:embed="rId4"/>
        <a:stretch>
          <a:fillRect/>
        </a:stretch>
      </xdr:blipFill>
      <xdr:spPr>
        <a:xfrm>
          <a:off x="9172575" y="4667250"/>
          <a:ext cx="7041243" cy="3388339"/>
        </a:xfrm>
        <a:prstGeom prst="rect">
          <a:avLst/>
        </a:prstGeom>
      </xdr:spPr>
    </xdr:pic>
    <xdr:clientData/>
  </xdr:twoCellAnchor>
  <xdr:twoCellAnchor editAs="oneCell">
    <xdr:from>
      <xdr:col>11</xdr:col>
      <xdr:colOff>36285</xdr:colOff>
      <xdr:row>35</xdr:row>
      <xdr:rowOff>163286</xdr:rowOff>
    </xdr:from>
    <xdr:to>
      <xdr:col>23</xdr:col>
      <xdr:colOff>43011</xdr:colOff>
      <xdr:row>67</xdr:row>
      <xdr:rowOff>90107</xdr:rowOff>
    </xdr:to>
    <xdr:pic>
      <xdr:nvPicPr>
        <xdr:cNvPr id="6" name="Picture 5">
          <a:extLst>
            <a:ext uri="{FF2B5EF4-FFF2-40B4-BE49-F238E27FC236}">
              <a16:creationId xmlns:a16="http://schemas.microsoft.com/office/drawing/2014/main" id="{414F372F-F8CB-49A2-BC01-3055838D5C71}"/>
            </a:ext>
          </a:extLst>
        </xdr:cNvPr>
        <xdr:cNvPicPr>
          <a:picLocks noChangeAspect="1"/>
        </xdr:cNvPicPr>
      </xdr:nvPicPr>
      <xdr:blipFill>
        <a:blip xmlns:r="http://schemas.openxmlformats.org/officeDocument/2006/relationships" r:embed="rId5"/>
        <a:stretch>
          <a:fillRect/>
        </a:stretch>
      </xdr:blipFill>
      <xdr:spPr>
        <a:xfrm>
          <a:off x="9208860" y="8259536"/>
          <a:ext cx="7321926" cy="602282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X33:AD65" totalsRowShown="0" headerRowDxfId="164" dataDxfId="163" tableBorderDxfId="162">
  <autoFilter ref="X33:AD65" xr:uid="{182405A2-A9F0-46CB-A359-90C82CFB8E42}"/>
  <tableColumns count="7">
    <tableColumn id="1" xr3:uid="{00000000-0010-0000-0000-000001000000}" name="Miestai" dataDxfId="161">
      <calculatedColumnFormula>IFERROR(INDIRECT($X$32&amp;"[@"&amp;X$33&amp;"]",TRUE),$X$14)</calculatedColumnFormula>
    </tableColumn>
    <tableColumn id="7" xr3:uid="{00000000-0010-0000-0000-000007000000}" name="Vėjo greitis" dataDxfId="160">
      <calculatedColumnFormula>INDIRECT($X$32&amp;"[@"&amp;Y$33&amp;"]",TRUE)</calculatedColumnFormula>
    </tableColumn>
    <tableColumn id="2" xr3:uid="{00000000-0010-0000-0000-000002000000}" name="Type of element to be calculated" dataDxfId="159">
      <calculatedColumnFormula>INDIRECT($X$32&amp;"[@"&amp;Z$33&amp;"]",TRUE)</calculatedColumnFormula>
    </tableColumn>
    <tableColumn id="3" xr3:uid="{00000000-0010-0000-0000-000003000000}" name="Gama Q sup (from Table C.3)" dataDxfId="158">
      <calculatedColumnFormula>INDIRECT($X$32&amp;"[@"&amp;AA$33&amp;"]",TRUE)</calculatedColumnFormula>
    </tableColumn>
    <tableColumn id="4" xr3:uid="{00000000-0010-0000-0000-000004000000}" name="Pasekmių klasės" dataDxfId="157">
      <calculatedColumnFormula>INDIRECT($X$32&amp;"[@"&amp;AB$33&amp;"]",TRUE)</calculatedColumnFormula>
    </tableColumn>
    <tableColumn id="5" xr3:uid="{00000000-0010-0000-0000-000005000000}" name="Kfi" dataDxfId="156">
      <calculatedColumnFormula>INDIRECT($X$32&amp;"[@"&amp;AC$33&amp;"]",TRUE)</calculatedColumnFormula>
    </tableColumn>
    <tableColumn id="6" xr3:uid="{00000000-0010-0000-0000-000006000000}" name="Vėjo apkrovos reikšmės" dataDxfId="155"/>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LT" displayName="LT" ref="BG33:BM65" totalsRowShown="0" headerRowDxfId="154" dataDxfId="153" tableBorderDxfId="152">
  <autoFilter ref="BG33:BM65" xr:uid="{00000000-0009-0000-0100-000003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Miestai" dataDxfId="151"/>
    <tableColumn id="7" xr3:uid="{00000000-0010-0000-0100-000007000000}" name="Vėjo greitis" dataDxfId="150"/>
    <tableColumn id="2" xr3:uid="{00000000-0010-0000-0100-000002000000}" name="Papl.1" dataDxfId="149"/>
    <tableColumn id="3" xr3:uid="{00000000-0010-0000-0100-000003000000}" name="Papl.2" dataDxfId="148"/>
    <tableColumn id="4" xr3:uid="{00000000-0010-0000-0100-000004000000}" name="Papl.3" dataDxfId="147"/>
    <tableColumn id="5" xr3:uid="{00000000-0010-0000-0100-000005000000}" name="Papl.4" dataDxfId="146"/>
    <tableColumn id="6" xr3:uid="{00000000-0010-0000-0100-000006000000}" name="Papl.5" dataDxfId="145"/>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E" displayName="SE" ref="BY33:CE65" totalsRowShown="0" headerRowDxfId="144" dataDxfId="143" tableBorderDxfId="142">
  <autoFilter ref="BY33:CE65" xr:uid="{00000000-0009-0000-0100-000004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Miestai" dataDxfId="141"/>
    <tableColumn id="7" xr3:uid="{00000000-0010-0000-0200-000007000000}" name="Vėjo greitis" dataDxfId="140"/>
    <tableColumn id="2" xr3:uid="{00000000-0010-0000-0200-000002000000}" name="Papl.1" dataDxfId="139"/>
    <tableColumn id="3" xr3:uid="{00000000-0010-0000-0200-000003000000}" name="Papl.2" dataDxfId="138"/>
    <tableColumn id="4" xr3:uid="{00000000-0010-0000-0200-000004000000}" name="Papl.3" dataDxfId="137"/>
    <tableColumn id="5" xr3:uid="{00000000-0010-0000-0200-000005000000}" name="Papl.4" dataDxfId="136"/>
    <tableColumn id="6" xr3:uid="{00000000-0010-0000-0200-000006000000}" name="Papl.5" dataDxfId="135"/>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UK" displayName="UK" ref="CH33:CN65" totalsRowShown="0" headerRowDxfId="134" dataDxfId="133" tableBorderDxfId="132">
  <autoFilter ref="CH33:CN65" xr:uid="{00000000-0009-0000-0100-000005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300-000001000000}" name="Miestai" dataDxfId="131"/>
    <tableColumn id="7" xr3:uid="{00000000-0010-0000-0300-000007000000}" name="Vėjo greitis" dataDxfId="130"/>
    <tableColumn id="2" xr3:uid="{00000000-0010-0000-0300-000002000000}" name="Papl.1" dataDxfId="129"/>
    <tableColumn id="3" xr3:uid="{00000000-0010-0000-0300-000003000000}" name="Papl.2" dataDxfId="128"/>
    <tableColumn id="4" xr3:uid="{00000000-0010-0000-0300-000004000000}" name="Papl.3" dataDxfId="127"/>
    <tableColumn id="5" xr3:uid="{00000000-0010-0000-0300-000005000000}" name="Papl.4" dataDxfId="126"/>
    <tableColumn id="6" xr3:uid="{00000000-0010-0000-0300-000006000000}" name="Papl.5" dataDxfId="125"/>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NO" displayName="NO" ref="CZ33:DF65" totalsRowShown="0" headerRowDxfId="124" dataDxfId="123" tableBorderDxfId="122">
  <autoFilter ref="CZ33:DF65" xr:uid="{00000000-0009-0000-0100-000006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400-000001000000}" name="Miestai" dataDxfId="121"/>
    <tableColumn id="7" xr3:uid="{00000000-0010-0000-0400-000007000000}" name="Vėjo greitis" dataDxfId="120"/>
    <tableColumn id="2" xr3:uid="{00000000-0010-0000-0400-000002000000}" name="Papl.1" dataDxfId="119"/>
    <tableColumn id="3" xr3:uid="{00000000-0010-0000-0400-000003000000}" name="Papl.2" dataDxfId="118"/>
    <tableColumn id="4" xr3:uid="{00000000-0010-0000-0400-000004000000}" name="Papl.3" dataDxfId="117"/>
    <tableColumn id="5" xr3:uid="{00000000-0010-0000-0400-000005000000}" name="Papl.4" dataDxfId="116"/>
    <tableColumn id="6" xr3:uid="{00000000-0010-0000-0400-000006000000}" name="Papl.5" dataDxfId="115"/>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7" displayName="Table7" ref="AF3:AK6" totalsRowShown="0" headerRowDxfId="114" dataDxfId="112" headerRowBorderDxfId="113" tableBorderDxfId="111" totalsRowBorderDxfId="110">
  <autoFilter ref="AF3:AK6" xr:uid="{00000000-0009-0000-0100-000007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500-000001000000}" name="Ruozas" dataDxfId="109"/>
    <tableColumn id="2" xr3:uid="{00000000-0010-0000-0500-000002000000}" name="A" dataDxfId="108"/>
    <tableColumn id="3" xr3:uid="{00000000-0010-0000-0500-000003000000}" name="B" dataDxfId="107"/>
    <tableColumn id="4" xr3:uid="{00000000-0010-0000-0500-000004000000}" name="C" dataDxfId="106"/>
    <tableColumn id="5" xr3:uid="{00000000-0010-0000-0500-000005000000}" name="D" dataDxfId="105"/>
    <tableColumn id="6" xr3:uid="{00000000-0010-0000-0500-000006000000}" name="E" dataDxfId="104"/>
  </tableColumns>
  <tableStyleInfo name="TableStyleDark7"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AF8:AK11" totalsRowShown="0" headerRowDxfId="103" dataDxfId="101" headerRowBorderDxfId="102" tableBorderDxfId="100" totalsRowBorderDxfId="99">
  <autoFilter ref="AF8:AK11" xr:uid="{00000000-0009-0000-0100-000008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600-000001000000}" name="Ruozas" dataDxfId="98"/>
    <tableColumn id="2" xr3:uid="{00000000-0010-0000-0600-000002000000}" name="A" dataDxfId="97"/>
    <tableColumn id="3" xr3:uid="{00000000-0010-0000-0600-000003000000}" name="B" dataDxfId="96"/>
    <tableColumn id="4" xr3:uid="{00000000-0010-0000-0600-000004000000}" name="C" dataDxfId="95"/>
    <tableColumn id="5" xr3:uid="{00000000-0010-0000-0600-000005000000}" name="D" dataDxfId="94"/>
    <tableColumn id="6" xr3:uid="{00000000-0010-0000-0600-000006000000}" name="E" dataDxfId="93"/>
  </tableColumns>
  <tableStyleInfo name="TableStyleDark6"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AF14:AK17" totalsRowShown="0" headerRowDxfId="92" dataDxfId="90" headerRowBorderDxfId="91" tableBorderDxfId="89" totalsRowBorderDxfId="88">
  <autoFilter ref="AF14:AK17" xr:uid="{00000000-0009-0000-0100-000009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700-000001000000}" name="Ruozas" dataDxfId="87"/>
    <tableColumn id="2" xr3:uid="{00000000-0010-0000-0700-000002000000}" name="A" dataDxfId="86">
      <calculatedColumnFormula>IF(T17&lt;=1,AG9,IF(T17&gt;=10,AG4,AG9-(AG9-AG4)*LOG10($T$17)))</calculatedColumnFormula>
    </tableColumn>
    <tableColumn id="3" xr3:uid="{00000000-0010-0000-0700-000003000000}" name="B" dataDxfId="85">
      <calculatedColumnFormula>IF(T15&lt;=1,AH9,IF(T15&gt;=10,AH4,AH9-(AH9-AH4)*LOG10($T$17)))</calculatedColumnFormula>
    </tableColumn>
    <tableColumn id="4" xr3:uid="{00000000-0010-0000-0700-000004000000}" name="C" dataDxfId="84">
      <calculatedColumnFormula>AI9-(AI9-AI4)*LOG10($T$17)</calculatedColumnFormula>
    </tableColumn>
    <tableColumn id="5" xr3:uid="{00000000-0010-0000-0700-000005000000}" name="D" dataDxfId="83">
      <calculatedColumnFormula>IF(T17&lt;=1,AJ9,IF(T17&gt;=10,AJ4,AJ9-(AJ9-AJ4)*LOG10($T$17)))</calculatedColumnFormula>
    </tableColumn>
    <tableColumn id="6" xr3:uid="{00000000-0010-0000-0700-000006000000}" name="E" dataDxfId="82">
      <calculatedColumnFormula>AK9-(AK9-AK4)*LOG10($T$17)</calculatedColumnFormula>
    </tableColumn>
  </tableColumns>
  <tableStyleInfo name="TableStyleDark5" showFirstColumn="1"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0" displayName="Table10" ref="AF19:AK20" totalsRowShown="0" headerRowDxfId="81" dataDxfId="79" headerRowBorderDxfId="80" tableBorderDxfId="78" totalsRowBorderDxfId="77">
  <autoFilter ref="AF19:AK20" xr:uid="{00000000-0009-0000-0100-00000A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800-000001000000}" name="Santykis" dataDxfId="76">
      <calculatedColumnFormula>'Vėjo slėgio skaičiuoklė'!$T$19/'Vėjo slėgio skaičiuoklė'!$T$20</calculatedColumnFormula>
    </tableColumn>
    <tableColumn id="2" xr3:uid="{00000000-0010-0000-0800-000002000000}" name="A" dataDxfId="75">
      <calculatedColumnFormula>IF(Table10[Santykis]&lt;=$AF$17,AG$17,IF(AND(Table10[Santykis]&gt;$AF$17,Table10[Santykis]&lt;$AF$16),AG$17+(((AG$17-AG$16)/($AF$17-$AF$16))*(Table10[Santykis]+$AF$17)),IF(Table10[Santykis]=$AF$16,AG$16,IF(AND(Table10[Santykis]&gt;$AF$16,Table10[Santykis]&lt;$AF$15),AG$16+(((AG$16-AG$15)/($AF$16-$AF$15))*(Table10[Santykis]+$AF$16)),IF(Table10[Santykis]&gt;=$AF$15,AG$15,"wtp?")))))</calculatedColumnFormula>
    </tableColumn>
    <tableColumn id="3" xr3:uid="{00000000-0010-0000-0800-000003000000}" name="B" dataDxfId="74">
      <calculatedColumnFormula>IF(Table10[Santykis]&lt;=$AF$17,AH$17,IF(AND(Table10[Santykis]&gt;$AF$17,Table10[Santykis]&lt;$AF$16),AH$17+(((AH$17-AH$16)/($AF$17-$AF$16))*(Table10[Santykis]+$AF$17)),IF(Table10[Santykis]=$AF$16,AH$16,IF(AND(Table10[Santykis]&gt;$AF$16,Table10[Santykis]&lt;$AF$15),AH$16+(((AH$16-AH$15)/($AF$16-$AF$15))*(Table10[Santykis]+$AF$16)),IF(Table10[Santykis]&gt;=$AF$15,AH$15,"wtp?")))))</calculatedColumnFormula>
    </tableColumn>
    <tableColumn id="4" xr3:uid="{00000000-0010-0000-0800-000004000000}" name="C" dataDxfId="73">
      <calculatedColumnFormula>IF(Table10[Santykis]&lt;=$AF$17,AI$17,IF(AND(Table10[Santykis]&gt;$AF$17,Table10[Santykis]&lt;$AF$16),AI$17+(((AI$17-AI$16)/($AF$17-$AF$16))*(Table10[Santykis]+$AF$17)),IF(Table10[Santykis]=$AF$16,AI$16,IF(AND(Table10[Santykis]&gt;$AF$16,Table10[Santykis]&lt;$AF$15),AI$16+(((AI$16-AI$15)/($AF$16-$AF$15))*(Table10[Santykis]+$AF$16)),IF(Table10[Santykis]&gt;=$AF$15,AI$15,"wtp?")))))</calculatedColumnFormula>
    </tableColumn>
    <tableColumn id="5" xr3:uid="{00000000-0010-0000-0800-000005000000}" name="D" dataDxfId="72">
      <calculatedColumnFormula>IF(Table10[Santykis]&lt;=$AF$17,AJ$17,IF(AND(Table10[Santykis]&gt;$AF$17,Table10[Santykis]&lt;$AF$16),AJ$17+(((AJ$17-AJ$16)/($AF$17-$AF$16))*(Table10[Santykis]-$AF$17)),IF(Table10[Santykis]=$AF$16,AJ$16,IF(AND(Table10[Santykis]&gt;$AF$16,Table10[Santykis]&lt;$AF$15),AJ$16+(((AJ$16-AJ$15)/($AF$16-$AF$15))*(Table10[Santykis]-$AF$16)),IF(Table10[Santykis]&gt;=$AF$15,AJ$15,"wtp?")))))</calculatedColumnFormula>
    </tableColumn>
    <tableColumn id="6" xr3:uid="{00000000-0010-0000-0800-000006000000}" name="E" dataDxfId="71">
      <calculatedColumnFormula>IF(Table10[Santykis]&lt;=$AF$17,AK$17,IF(AND(Table10[Santykis]&gt;$AF$17,Table10[Santykis]&lt;$AF$16),AK$17+(((AK$17-AK$16)/($AF$17-$AF$16))*(Table10[Santykis]-$AF$17)),IF(Table10[Santykis]=$AF$16,AK$16,IF(AND(Table10[Santykis]&gt;$AF$16,Table10[Santykis]&lt;$AF$15),AK$16+(((AK$16-AK$15)/($AF$16-$AF$15))*(Table10[Santykis]-$AF$16)),IF(Table10[Santykis]&gt;=$AF$15,AK$15,"wtp?")))))</calculatedColumnFormula>
    </tableColumn>
  </tableColumns>
  <tableStyleInfo name="TableStyleDark3" showFirstColumn="1"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012" displayName="Table1012" ref="AF24:AK25" totalsRowShown="0" headerRowDxfId="70" dataDxfId="68" headerRowBorderDxfId="69" tableBorderDxfId="67" totalsRowBorderDxfId="66">
  <autoFilter ref="AF24:AK25" xr:uid="{00000000-0009-0000-0100-00000B000000}"/>
  <tableColumns count="6">
    <tableColumn id="1" xr3:uid="{00000000-0010-0000-0900-000001000000}" name="Santykis" dataDxfId="65">
      <calculatedColumnFormula>'Vėjo slėgio skaičiuoklė'!$T$19/'Vėjo slėgio skaičiuoklė'!$T$21</calculatedColumnFormula>
    </tableColumn>
    <tableColumn id="2" xr3:uid="{00000000-0010-0000-0900-000002000000}" name="A" dataDxfId="64">
      <calculatedColumnFormula>IF(Table1012[Santykis]&lt;=$AF$17,AG$17,IF(AND(Table1012[Santykis]&gt;$AF$17,Table1012[Santykis]&lt;$AF$16),AG$17+(((AG$17-AG$16)/($AF$17-$AF$16))*(Table1012[Santykis]+$AF$17)),IF(Table1012[Santykis]=$AF$16,AG$16,IF(AND(Table1012[Santykis]&gt;$AF$16,Table1012[Santykis]&lt;$AF$15),AG$16+(((AG$16-AG$15)/($AF$16-$AF$15))*(Table1012[Santykis]+$AF$16)),IF(Table1012[Santykis]&gt;=$AF$15,AG$15,"wtp?")))))</calculatedColumnFormula>
    </tableColumn>
    <tableColumn id="3" xr3:uid="{00000000-0010-0000-0900-000003000000}" name="B" dataDxfId="63">
      <calculatedColumnFormula>IF(Table1012[Santykis]&lt;=$AF$17,AH$17,IF(AND(Table1012[Santykis]&gt;$AF$17,Table1012[Santykis]&lt;$AF$16),AH$17+(((AH$17-AH$16)/($AF$17-$AF$16))*(Table1012[Santykis]+$AF$17)),IF(Table1012[Santykis]=$AF$16,AH$16,IF(AND(Table1012[Santykis]&gt;$AF$16,Table1012[Santykis]&lt;$AF$15),AH$16+(((AH$16-AH$15)/($AF$16-$AF$15))*(Table1012[Santykis]+$AF$16)),IF(Table1012[Santykis]&gt;=$AF$15,AH$15,"wtp?")))))</calculatedColumnFormula>
    </tableColumn>
    <tableColumn id="4" xr3:uid="{00000000-0010-0000-0900-000004000000}" name="C" dataDxfId="62">
      <calculatedColumnFormula>IF(Table1012[Santykis]&lt;=$AF$17,AI$17,IF(AND(Table1012[Santykis]&gt;$AF$17,Table1012[Santykis]&lt;$AF$16),AI$17+(((AI$17-AI$16)/($AF$17-$AF$16))*(Table1012[Santykis]+$AF$17)),IF(Table1012[Santykis]=$AF$16,AI$16,IF(AND(Table1012[Santykis]&gt;$AF$16,Table1012[Santykis]&lt;$AF$15),AI$16+(((AI$16-AI$15)/($AF$16-$AF$15))*(Table1012[Santykis]+$AF$16)),IF(Table1012[Santykis]&gt;=$AF$15,AI$15,"wtp?")))))</calculatedColumnFormula>
    </tableColumn>
    <tableColumn id="5" xr3:uid="{00000000-0010-0000-0900-000005000000}" name="D" dataDxfId="61">
      <calculatedColumnFormula>IF(Table1012[Santykis]&lt;=$AF$17,AJ$17,IF(AND(Table1012[Santykis]&gt;$AF$17,Table1012[Santykis]&lt;$AF$16),AJ$17+(((AJ$17-AJ$16)/($AF$17-$AF$16))*(Table1012[Santykis]-$AF$17)),IF(Table1012[Santykis]=$AF$16,AJ$16,IF(AND(Table1012[Santykis]&gt;$AF$16,Table1012[Santykis]&lt;$AF$15),AJ$16+(((AJ$16-AJ$15)/($AF$16-$AF$15))*(Table1012[Santykis]-$AF$16)),IF(Table1012[Santykis]&gt;=$AF$15,AJ$15,"wtp?")))))</calculatedColumnFormula>
    </tableColumn>
    <tableColumn id="6" xr3:uid="{00000000-0010-0000-0900-000006000000}" name="E" dataDxfId="60">
      <calculatedColumnFormula>IF(Table1012[Santykis]&lt;=$AF$17,AK$17,IF(AND(Table1012[Santykis]&gt;$AF$17,Table1012[Santykis]&lt;$AF$16),AK$17+(((AK$17-AK$16)/($AF$17-$AF$16))*(Table1012[Santykis]-$AF$17)),IF(Table1012[Santykis]=$AF$16,AK$16,IF(AND(Table1012[Santykis]&gt;$AF$16,Table1012[Santykis]&lt;$AF$15),AK$16+(((AK$16-AK$15)/($AF$16-$AF$15))*(Table1012[Santykis]-$AF$16)),IF(Table1012[Santykis]&gt;=$AF$15,AK$15,"wtp?")))))</calculatedColumnFormula>
    </tableColumn>
  </tableColumns>
  <tableStyleInfo name="TableStyleDark3" showFirstColumn="1"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47B266-E0FD-431C-A7F7-C27B1F45CE62}" name="EU" displayName="EU" ref="BP33:BV65" totalsRowShown="0" headerRowDxfId="59" dataDxfId="58" tableBorderDxfId="57">
  <autoFilter ref="BP33:BV65" xr:uid="{D530A446-0DF7-4C2D-A5B9-F0BF4190F16C}"/>
  <tableColumns count="7">
    <tableColumn id="1" xr3:uid="{44674FB7-4A02-4B03-B2D0-C7176132CE58}" name="Miestai" dataDxfId="56"/>
    <tableColumn id="7" xr3:uid="{58D66710-DC37-48C5-B293-D257C262D950}" name="Vėjo greitis" dataDxfId="55"/>
    <tableColumn id="2" xr3:uid="{C9C98037-32EC-4004-818C-B01D2A7616E7}" name="Papl.1" dataDxfId="54"/>
    <tableColumn id="3" xr3:uid="{40664B2D-E828-4BBC-887C-313EAFBDC9E5}" name="Papl.2" dataDxfId="53"/>
    <tableColumn id="4" xr3:uid="{C25132D7-7955-40FA-885E-84B39CDD1FB3}" name="Papl.3" dataDxfId="52"/>
    <tableColumn id="5" xr3:uid="{7564887D-4F79-4A70-8806-0EAC2630FEA3}" name="Papl.4" dataDxfId="51"/>
    <tableColumn id="6" xr3:uid="{AC10B360-D1D3-42A8-AC92-F58789918E57}" name="Papl.5" dataDxfId="50"/>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68D2C9B-2830-40FF-A8D2-B0CE3ED404AB}" name="NL" displayName="NL" ref="CQ33:CW65" totalsRowShown="0" headerRowDxfId="49" dataDxfId="48" tableBorderDxfId="47">
  <autoFilter ref="CQ33:CW65" xr:uid="{8F1FA8CA-3EF0-40FA-B26C-54B459AB0AE9}"/>
  <tableColumns count="7">
    <tableColumn id="1" xr3:uid="{6A85E939-B03E-4BBD-B693-B6BEA690FB31}" name="Miestai" dataDxfId="46"/>
    <tableColumn id="7" xr3:uid="{ABC93D67-34B3-4D19-A7C1-5309D8D1D02C}" name="Vėjo greitis" dataDxfId="45"/>
    <tableColumn id="2" xr3:uid="{F3C27BDC-5263-407E-B433-3C98816153E3}" name="Papl.1" dataDxfId="44"/>
    <tableColumn id="3" xr3:uid="{7085602D-8CE0-40EC-9BDB-D5C6C56A3F3C}" name="Papl.2" dataDxfId="43"/>
    <tableColumn id="4" xr3:uid="{F3CCFEFE-CF2F-4E2A-9F53-35E5F8ACF8BE}" name="Papl.3" dataDxfId="42"/>
    <tableColumn id="5" xr3:uid="{8167B8F2-7946-4F58-9772-294BF71F3EF6}" name="Papl.4" dataDxfId="41"/>
    <tableColumn id="6" xr3:uid="{AC1E2130-89E5-4F89-BA75-1888A6EC4F69}" name="Papl.5" dataDxfId="4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3.xml"/><Relationship Id="rId13" Type="http://schemas.openxmlformats.org/officeDocument/2006/relationships/table" Target="../tables/table8.xml"/><Relationship Id="rId18" Type="http://schemas.openxmlformats.org/officeDocument/2006/relationships/comments" Target="../comments1.xml"/><Relationship Id="rId3" Type="http://schemas.openxmlformats.org/officeDocument/2006/relationships/drawing" Target="../drawings/drawing1.xml"/><Relationship Id="rId7" Type="http://schemas.openxmlformats.org/officeDocument/2006/relationships/table" Target="../tables/table2.xml"/><Relationship Id="rId12" Type="http://schemas.openxmlformats.org/officeDocument/2006/relationships/table" Target="../tables/table7.xml"/><Relationship Id="rId17" Type="http://schemas.openxmlformats.org/officeDocument/2006/relationships/table" Target="../tables/table12.xml"/><Relationship Id="rId2" Type="http://schemas.openxmlformats.org/officeDocument/2006/relationships/printerSettings" Target="../printerSettings/printerSettings1.bin"/><Relationship Id="rId16" Type="http://schemas.openxmlformats.org/officeDocument/2006/relationships/table" Target="../tables/table11.xml"/><Relationship Id="rId1" Type="http://schemas.openxmlformats.org/officeDocument/2006/relationships/hyperlink" Target="http://bcsatools.steel-sci.org/WindLoading/Input" TargetMode="External"/><Relationship Id="rId6" Type="http://schemas.openxmlformats.org/officeDocument/2006/relationships/table" Target="../tables/table1.xml"/><Relationship Id="rId11" Type="http://schemas.openxmlformats.org/officeDocument/2006/relationships/table" Target="../tables/table6.xml"/><Relationship Id="rId5" Type="http://schemas.openxmlformats.org/officeDocument/2006/relationships/vmlDrawing" Target="../drawings/vmlDrawing2.vml"/><Relationship Id="rId15" Type="http://schemas.openxmlformats.org/officeDocument/2006/relationships/table" Target="../tables/table10.xml"/><Relationship Id="rId10" Type="http://schemas.openxmlformats.org/officeDocument/2006/relationships/table" Target="../tables/table5.xml"/><Relationship Id="rId4" Type="http://schemas.openxmlformats.org/officeDocument/2006/relationships/vmlDrawing" Target="../drawings/vmlDrawing1.vml"/><Relationship Id="rId9" Type="http://schemas.openxmlformats.org/officeDocument/2006/relationships/table" Target="../tables/table4.xml"/><Relationship Id="rId14" Type="http://schemas.openxmlformats.org/officeDocument/2006/relationships/table" Target="../tables/table9.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freemaptools.com/elevation-finder.htm" TargetMode="External"/><Relationship Id="rId2" Type="http://schemas.openxmlformats.org/officeDocument/2006/relationships/hyperlink" Target="https://www.doogal.co.uk/DistanceToSea" TargetMode="External"/><Relationship Id="rId1" Type="http://schemas.openxmlformats.org/officeDocument/2006/relationships/hyperlink" Target="https://eurocodeapplied.com/design/en1991/wind-peak-velocity-pressure-ireland-and-uk"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A255"/>
  <sheetViews>
    <sheetView showGridLines="0" showZeros="0" tabSelected="1" topLeftCell="A9" zoomScaleNormal="100" zoomScaleSheetLayoutView="100" zoomScalePageLayoutView="70" workbookViewId="0">
      <selection activeCell="L54" sqref="L54"/>
    </sheetView>
  </sheetViews>
  <sheetFormatPr defaultColWidth="9.28515625" defaultRowHeight="12.75" x14ac:dyDescent="0.2"/>
  <cols>
    <col min="1" max="1" width="3.28515625" style="13" customWidth="1"/>
    <col min="2" max="5" width="14.7109375" style="13" customWidth="1"/>
    <col min="6" max="6" width="13.42578125" style="13" customWidth="1"/>
    <col min="7" max="12" width="9.28515625" style="13" customWidth="1"/>
    <col min="13" max="13" width="3.5703125" style="13" customWidth="1"/>
    <col min="14" max="15" width="3.28515625" style="13" customWidth="1"/>
    <col min="16" max="16" width="9.28515625" style="13"/>
    <col min="17" max="19" width="14.7109375" style="13" customWidth="1"/>
    <col min="20" max="20" width="10.28515625" style="13" customWidth="1"/>
    <col min="21" max="21" width="9.7109375" style="13" customWidth="1"/>
    <col min="22" max="22" width="3.7109375" style="13" customWidth="1"/>
    <col min="23" max="23" width="3.7109375" style="13" hidden="1" customWidth="1"/>
    <col min="24" max="30" width="12.7109375" style="13" hidden="1" customWidth="1"/>
    <col min="31" max="31" width="9.28515625" style="13" hidden="1" customWidth="1"/>
    <col min="32" max="32" width="10.28515625" style="13" hidden="1" customWidth="1"/>
    <col min="33" max="37" width="9.28515625" style="13" hidden="1" customWidth="1"/>
    <col min="38" max="40" width="10.5703125" style="13" hidden="1" customWidth="1"/>
    <col min="41" max="46" width="9.28515625" style="13" hidden="1" customWidth="1"/>
    <col min="47" max="47" width="10.5703125" style="13" hidden="1" customWidth="1"/>
    <col min="48" max="54" width="9.28515625" style="13" hidden="1" customWidth="1"/>
    <col min="55" max="55" width="12.28515625" style="13" hidden="1" customWidth="1"/>
    <col min="56" max="56" width="9.28515625" style="13" hidden="1" customWidth="1"/>
    <col min="57" max="58" width="5.42578125" style="13" hidden="1" customWidth="1"/>
    <col min="59" max="65" width="10.7109375" style="13" hidden="1" customWidth="1"/>
    <col min="66" max="66" width="4.5703125" style="13" hidden="1" customWidth="1"/>
    <col min="67" max="67" width="4.7109375" style="13" hidden="1" customWidth="1"/>
    <col min="68" max="74" width="10.7109375" style="13" hidden="1" customWidth="1"/>
    <col min="75" max="76" width="4.7109375" style="13" hidden="1" customWidth="1"/>
    <col min="77" max="83" width="10.7109375" style="13" hidden="1" customWidth="1"/>
    <col min="84" max="85" width="4.7109375" style="13" hidden="1" customWidth="1"/>
    <col min="86" max="92" width="10.7109375" style="13" hidden="1" customWidth="1"/>
    <col min="93" max="93" width="4.7109375" style="13" hidden="1" customWidth="1"/>
    <col min="94" max="94" width="5.42578125" style="13" hidden="1" customWidth="1"/>
    <col min="95" max="101" width="10.7109375" style="13" hidden="1" customWidth="1"/>
    <col min="102" max="102" width="4.5703125" style="13" hidden="1" customWidth="1"/>
    <col min="103" max="103" width="4.7109375" style="13" hidden="1" customWidth="1"/>
    <col min="104" max="110" width="10.7109375" style="13" hidden="1" customWidth="1"/>
    <col min="111" max="111" width="4.7109375" style="13" hidden="1" customWidth="1"/>
    <col min="112" max="113" width="9.28515625" style="13" hidden="1" customWidth="1"/>
    <col min="114" max="16384" width="9.28515625" style="13"/>
  </cols>
  <sheetData>
    <row r="1" spans="1:157" ht="6" customHeight="1" thickBot="1" x14ac:dyDescent="0.25">
      <c r="EO1" s="70"/>
      <c r="EP1" s="69"/>
      <c r="EQ1" s="70"/>
      <c r="ER1" s="70"/>
      <c r="ES1" s="70"/>
      <c r="ET1" s="70"/>
      <c r="EU1" s="70"/>
      <c r="EV1" s="70"/>
      <c r="EW1" s="70"/>
      <c r="EX1" s="70"/>
      <c r="EY1" s="70"/>
      <c r="EZ1" s="153"/>
    </row>
    <row r="2" spans="1:157" ht="30" customHeight="1" thickTop="1" thickBot="1" x14ac:dyDescent="0.4">
      <c r="A2" s="12"/>
      <c r="B2" s="379" t="str">
        <f>IF($T$2=$X$27,"Principinis vėjo apkrovos skaičiavimas*",IF($T$2=$X$28,"The principal wind load calculation*","   "))</f>
        <v>The principal wind load calculation*</v>
      </c>
      <c r="C2" s="379"/>
      <c r="D2" s="379"/>
      <c r="E2" s="379"/>
      <c r="F2" s="379"/>
      <c r="G2" s="379"/>
      <c r="H2" s="327" t="s">
        <v>288</v>
      </c>
      <c r="I2" s="12"/>
      <c r="J2" s="12"/>
      <c r="K2" s="12"/>
      <c r="L2" s="12"/>
      <c r="M2" s="12"/>
      <c r="N2" s="14"/>
      <c r="O2" s="71"/>
      <c r="P2" s="73"/>
      <c r="Q2" s="159" t="str">
        <f>IF($T$2=$X$27,"ĮVESKITE PARAMETRUS:",IF($T$2=$X$28,"FILL IN PARAMETERS","   "))</f>
        <v>FILL IN PARAMETERS</v>
      </c>
      <c r="R2" s="73"/>
      <c r="S2" s="352" t="s">
        <v>165</v>
      </c>
      <c r="T2" s="191" t="s">
        <v>151</v>
      </c>
      <c r="U2" s="73"/>
      <c r="V2" s="154"/>
      <c r="W2" s="71"/>
      <c r="X2" s="73"/>
      <c r="Y2" s="73"/>
      <c r="Z2" s="73"/>
      <c r="AA2" s="73"/>
      <c r="AB2" s="73"/>
      <c r="AC2" s="73"/>
      <c r="AD2" s="73"/>
      <c r="AE2" s="73"/>
      <c r="AF2" s="155" t="s">
        <v>82</v>
      </c>
      <c r="AG2" s="73"/>
      <c r="AH2" s="73"/>
      <c r="AI2" s="73"/>
      <c r="AJ2" s="73"/>
      <c r="AK2" s="73"/>
      <c r="AL2" s="73"/>
      <c r="AM2" s="73"/>
      <c r="AN2" s="73"/>
      <c r="AO2" s="73"/>
      <c r="AP2" s="73" t="s">
        <v>86</v>
      </c>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154"/>
      <c r="DT2" s="73"/>
      <c r="DU2" s="73"/>
      <c r="DV2" s="73"/>
      <c r="DW2" s="73"/>
      <c r="DX2" s="73"/>
      <c r="DY2" s="73"/>
      <c r="DZ2" s="73"/>
      <c r="EA2" s="73"/>
      <c r="EB2" s="73"/>
      <c r="EC2" s="154"/>
      <c r="ED2" s="71"/>
      <c r="EE2" s="73"/>
      <c r="EF2" s="73"/>
      <c r="EG2" s="73"/>
      <c r="EH2" s="73"/>
      <c r="EI2" s="73"/>
      <c r="EJ2" s="73"/>
      <c r="EK2" s="73"/>
      <c r="EL2" s="73"/>
      <c r="EM2" s="73"/>
      <c r="EN2" s="73"/>
      <c r="EO2" s="154"/>
      <c r="EP2" s="71"/>
      <c r="EQ2" s="73"/>
      <c r="ER2" s="73"/>
      <c r="ES2" s="73"/>
      <c r="ET2" s="73"/>
      <c r="EU2" s="73"/>
      <c r="EV2" s="73"/>
      <c r="EW2" s="73"/>
      <c r="EX2" s="73"/>
      <c r="EY2" s="73"/>
      <c r="EZ2" s="154"/>
      <c r="FA2" s="228" t="s">
        <v>271</v>
      </c>
    </row>
    <row r="3" spans="1:157" ht="15.75" customHeight="1" thickBot="1" x14ac:dyDescent="0.4">
      <c r="A3" s="16"/>
      <c r="B3" s="16"/>
      <c r="C3" s="16"/>
      <c r="D3" s="16"/>
      <c r="E3" s="16"/>
      <c r="F3" s="16"/>
      <c r="G3" s="16"/>
      <c r="H3" s="346" t="str">
        <f>"@ Staticus Structural calculations team"</f>
        <v>@ Staticus Structural calculations team</v>
      </c>
      <c r="I3" s="339"/>
      <c r="J3" s="339"/>
      <c r="K3" s="339"/>
      <c r="L3" s="328"/>
      <c r="M3" s="328"/>
      <c r="N3" s="14"/>
      <c r="O3" s="15"/>
      <c r="V3" s="14"/>
      <c r="W3" s="15"/>
      <c r="Y3" s="13" t="s">
        <v>283</v>
      </c>
      <c r="AF3" s="57" t="s">
        <v>26</v>
      </c>
      <c r="AG3" s="129" t="s">
        <v>21</v>
      </c>
      <c r="AH3" s="129" t="s">
        <v>22</v>
      </c>
      <c r="AI3" s="129" t="s">
        <v>23</v>
      </c>
      <c r="AJ3" s="129" t="s">
        <v>24</v>
      </c>
      <c r="AK3" s="55" t="s">
        <v>25</v>
      </c>
      <c r="AM3" s="135">
        <f ca="1">IF(AND(T6=X7,U6=Y7),AU29,IF(AND(T6=X9,U6=Y7),AU29,AU28))</f>
        <v>1.1367746023193206</v>
      </c>
      <c r="AN3" s="134" t="s">
        <v>69</v>
      </c>
      <c r="AO3" s="1"/>
      <c r="AP3" s="2"/>
      <c r="AQ3" s="3"/>
      <c r="AR3" s="3"/>
      <c r="AS3" s="3"/>
      <c r="AT3" s="3"/>
      <c r="AU3" s="3"/>
      <c r="AV3" s="3"/>
      <c r="AW3" s="3"/>
      <c r="AX3" s="3"/>
      <c r="AY3" s="3"/>
      <c r="AZ3" s="3"/>
      <c r="BA3" s="3"/>
      <c r="BB3" s="3"/>
      <c r="BC3" s="3"/>
      <c r="BD3" s="4"/>
      <c r="BE3" s="1"/>
      <c r="DS3" s="14"/>
      <c r="EC3" s="14"/>
      <c r="ED3" s="15"/>
      <c r="EO3" s="14"/>
      <c r="EP3" s="15"/>
      <c r="EZ3" s="14"/>
      <c r="FA3" s="15"/>
    </row>
    <row r="4" spans="1:157" ht="12.75" customHeight="1" x14ac:dyDescent="0.35">
      <c r="B4" s="287" t="str">
        <f>IF($T$2=$X$27,"Vėjo apkrovos skaičiavimas pagal Eurokodą EN 1991-1-4 Bendrieji poveikiai - Vėjo poveikiai",IF($T$2=$X$28,"Wind load calculation according to Eurocode EN 1991-1-4 General actions - Wind actions","   "))</f>
        <v>Wind load calculation according to Eurocode EN 1991-1-4 General actions - Wind actions</v>
      </c>
      <c r="H4" s="329"/>
      <c r="I4" s="329"/>
      <c r="J4" s="329"/>
      <c r="K4" s="329"/>
      <c r="L4" s="329"/>
      <c r="M4" s="329"/>
      <c r="N4" s="14"/>
      <c r="O4" s="15"/>
      <c r="Q4" s="17"/>
      <c r="R4" s="18"/>
      <c r="S4" s="19" t="str">
        <f>IF($T$2=$X$27,"Skaičiavimo įvesties parametrai:",IF($T$2=$X$28,"Calculation input parameters:","   "))</f>
        <v>Calculation input parameters:</v>
      </c>
      <c r="T4" s="18"/>
      <c r="U4" s="20"/>
      <c r="V4" s="14"/>
      <c r="W4" s="15"/>
      <c r="X4" s="13" t="s">
        <v>168</v>
      </c>
      <c r="AA4" s="150" t="str">
        <f>IF($T$15=$AD$34,AD36,IF($T$15=$AD$35,AD37,"Kintamos vėjo apkrovos atsargos koeficiento įvertinimas ??"))</f>
        <v>[ Without safety coefficient - CHARACTERISTIC (SLS) values ]</v>
      </c>
      <c r="AB4" s="150"/>
      <c r="AC4" s="150"/>
      <c r="AD4" s="150"/>
      <c r="AF4" s="128">
        <v>5</v>
      </c>
      <c r="AG4" s="130">
        <v>-1.2</v>
      </c>
      <c r="AH4" s="130">
        <v>-0.8</v>
      </c>
      <c r="AI4" s="130">
        <v>-0.5</v>
      </c>
      <c r="AJ4" s="130">
        <v>0.8</v>
      </c>
      <c r="AK4" s="131">
        <v>-0.7</v>
      </c>
      <c r="AL4" s="13" t="str">
        <f>X4</f>
        <v>Šalis / Kontinentas</v>
      </c>
      <c r="AM4" s="107" t="s">
        <v>27</v>
      </c>
      <c r="AN4" s="116">
        <f>MIN('Vėjo slėgio skaičiuoklė'!T19*2,'Vėjo slėgio skaičiuoklė'!T21)</f>
        <v>28</v>
      </c>
      <c r="AO4" s="1"/>
      <c r="AP4" s="104">
        <v>2</v>
      </c>
      <c r="AQ4" s="1" t="s">
        <v>31</v>
      </c>
      <c r="AR4" s="1"/>
      <c r="AS4" s="1"/>
      <c r="AT4" s="1"/>
      <c r="AU4" s="1"/>
      <c r="AV4" s="1"/>
      <c r="AW4" s="1"/>
      <c r="AX4" s="1"/>
      <c r="AY4" s="1"/>
      <c r="AZ4" s="1"/>
      <c r="BA4" s="1"/>
      <c r="BB4" s="1"/>
      <c r="BC4" s="1"/>
      <c r="BD4" s="6"/>
      <c r="BE4" s="1"/>
      <c r="DS4" s="14"/>
      <c r="EC4" s="14"/>
      <c r="ED4" s="15"/>
      <c r="EO4" s="14"/>
      <c r="EP4" s="15"/>
      <c r="EZ4" s="14"/>
      <c r="FA4" s="15"/>
    </row>
    <row r="5" spans="1:157" ht="15" x14ac:dyDescent="0.25">
      <c r="B5" s="337" t="str">
        <f>IF($T$2=$X$27,"EN 1991-1-4 negali būti taikomas be tos šalies NA (National Annex / Nacionalinio priedo). ",IF($T$2=$X$28,"EN 1991-1-4 can not be used without NA (National Annex) of current country.","   "))</f>
        <v>EN 1991-1-4 can not be used without NA (National Annex) of current country.</v>
      </c>
      <c r="N5" s="14"/>
      <c r="O5" s="15"/>
      <c r="Q5" s="21"/>
      <c r="R5" s="22"/>
      <c r="S5" s="22"/>
      <c r="T5" s="22"/>
      <c r="U5" s="351" t="str">
        <f>IF(AND(T6=X7,U6=Y7),Y3,IF(AND(T6=X9,U6=Y7),Y3,""))</f>
        <v>Algorithm:</v>
      </c>
      <c r="V5" s="14"/>
      <c r="W5" s="15"/>
      <c r="X5" s="24" t="str">
        <f>$BG$32</f>
        <v>LT</v>
      </c>
      <c r="Z5" s="10"/>
      <c r="AA5" s="188" t="s">
        <v>219</v>
      </c>
      <c r="AB5" s="189" t="s">
        <v>218</v>
      </c>
      <c r="AC5" s="378" t="s">
        <v>36</v>
      </c>
      <c r="AD5" s="378"/>
      <c r="AF5" s="128">
        <v>1</v>
      </c>
      <c r="AG5" s="130">
        <v>-1.2</v>
      </c>
      <c r="AH5" s="130">
        <v>-0.8</v>
      </c>
      <c r="AI5" s="130">
        <v>-0.5</v>
      </c>
      <c r="AJ5" s="130">
        <v>0.8</v>
      </c>
      <c r="AK5" s="131">
        <v>-0.5</v>
      </c>
      <c r="AL5" s="13" t="str">
        <f>X5</f>
        <v>LT</v>
      </c>
      <c r="AM5" s="13" t="s">
        <v>87</v>
      </c>
      <c r="AO5" s="1"/>
      <c r="AP5" s="104">
        <v>0.5</v>
      </c>
      <c r="AQ5" s="1" t="s">
        <v>30</v>
      </c>
      <c r="AR5" s="1"/>
      <c r="AS5" s="1"/>
      <c r="AT5" s="1"/>
      <c r="AU5" s="105">
        <f>((1-AP6*LN(-LN(1-AP4%)))/(1-AP6*LN(-LN(0.98))))^AP5</f>
        <v>1</v>
      </c>
      <c r="AV5" s="1"/>
      <c r="AW5" s="1" t="s">
        <v>32</v>
      </c>
      <c r="AX5" s="1"/>
      <c r="AY5" s="1"/>
      <c r="AZ5" s="1"/>
      <c r="BA5" s="1"/>
      <c r="BB5" s="1"/>
      <c r="BC5" s="1"/>
      <c r="BD5" s="6"/>
      <c r="BE5" s="1"/>
      <c r="DS5" s="14"/>
      <c r="EC5" s="14"/>
      <c r="ED5" s="15"/>
      <c r="EO5" s="14"/>
      <c r="EP5" s="15"/>
      <c r="EZ5" s="14"/>
      <c r="FA5" s="15"/>
    </row>
    <row r="6" spans="1:157" x14ac:dyDescent="0.2">
      <c r="A6" s="25"/>
      <c r="B6" s="26"/>
      <c r="C6" s="26"/>
      <c r="D6" s="26"/>
      <c r="E6" s="26"/>
      <c r="F6" s="26"/>
      <c r="G6" s="26"/>
      <c r="H6" s="26"/>
      <c r="I6" s="26"/>
      <c r="J6" s="26"/>
      <c r="K6" s="26"/>
      <c r="L6" s="26"/>
      <c r="M6" s="27"/>
      <c r="N6" s="14"/>
      <c r="O6" s="15"/>
      <c r="Q6" s="21"/>
      <c r="R6" s="22"/>
      <c r="S6" s="28" t="str">
        <f>IF($T$2=$X$27,"Šalis / Kontinentas:",IF($T$2=$X$28,"Country / Continent:","   "))</f>
        <v>Country / Continent:</v>
      </c>
      <c r="T6" s="94" t="s">
        <v>47</v>
      </c>
      <c r="U6" s="347" t="s">
        <v>284</v>
      </c>
      <c r="V6" s="14"/>
      <c r="W6" s="15"/>
      <c r="X6" s="24" t="str">
        <f>$BY$32</f>
        <v>SE</v>
      </c>
      <c r="Y6" s="13" t="s">
        <v>285</v>
      </c>
      <c r="Z6" s="124" t="s">
        <v>33</v>
      </c>
      <c r="AA6" s="382" t="s">
        <v>37</v>
      </c>
      <c r="AB6" s="383"/>
      <c r="AC6" s="169" t="s">
        <v>145</v>
      </c>
      <c r="AD6" s="124" t="s">
        <v>34</v>
      </c>
      <c r="AF6" s="27">
        <v>0.25</v>
      </c>
      <c r="AG6" s="132">
        <v>-1.2</v>
      </c>
      <c r="AH6" s="132">
        <v>-0.8</v>
      </c>
      <c r="AI6" s="132">
        <v>-0.5</v>
      </c>
      <c r="AJ6" s="132">
        <v>0.7</v>
      </c>
      <c r="AK6" s="133">
        <v>-0.3</v>
      </c>
      <c r="AL6" s="13" t="str">
        <f t="shared" ref="AL6:AL9" si="0">X6</f>
        <v>SE</v>
      </c>
      <c r="AO6" s="1"/>
      <c r="AP6" s="104">
        <v>0.2</v>
      </c>
      <c r="AQ6" s="1" t="s">
        <v>29</v>
      </c>
      <c r="AR6" s="1"/>
      <c r="AS6" s="1"/>
      <c r="AT6" s="1"/>
      <c r="AU6" s="1"/>
      <c r="AV6" s="1"/>
      <c r="AW6" s="1"/>
      <c r="AX6" s="1"/>
      <c r="AY6" s="1"/>
      <c r="AZ6" s="1"/>
      <c r="BA6" s="1"/>
      <c r="BD6" s="33"/>
      <c r="BE6" s="1"/>
      <c r="DS6" s="14"/>
      <c r="EC6" s="14"/>
      <c r="ED6" s="15"/>
      <c r="EO6" s="14"/>
      <c r="EP6" s="15"/>
      <c r="EZ6" s="14"/>
      <c r="FA6" s="15"/>
    </row>
    <row r="7" spans="1:157" x14ac:dyDescent="0.2">
      <c r="A7" s="29"/>
      <c r="B7" s="30" t="str">
        <f>IF($T$2=$X$27,"Skaičiavimo parametrai:",IF($T$2=$X$28,"The calculation parameters:","   "))</f>
        <v>The calculation parameters:</v>
      </c>
      <c r="C7" s="31"/>
      <c r="D7" s="31"/>
      <c r="E7" s="31"/>
      <c r="F7" s="32"/>
      <c r="M7" s="33"/>
      <c r="N7" s="14"/>
      <c r="O7" s="15"/>
      <c r="Q7" s="21"/>
      <c r="R7" s="22"/>
      <c r="S7" s="28" t="str">
        <f>IF($T$2=$X$27,"Miestas / Vėjo zonos regionas:",IF($T$2=$X$28,"City / Wind zone region:","   "))</f>
        <v>City / Wind zone region:</v>
      </c>
      <c r="T7" s="156" t="s">
        <v>57</v>
      </c>
      <c r="U7" s="23"/>
      <c r="V7" s="14" t="s">
        <v>73</v>
      </c>
      <c r="W7" s="15"/>
      <c r="X7" s="24" t="str">
        <f>CH32</f>
        <v>UK</v>
      </c>
      <c r="Y7" s="13" t="s">
        <v>284</v>
      </c>
      <c r="Z7" s="120" t="s">
        <v>21</v>
      </c>
      <c r="AA7" s="163">
        <f ca="1">IFERROR(IF($T$15&lt;&gt;$AD$35,'Vėjo slėgio skaičiuoklė'!$AM$3*'Vėjo slėgio skaičiuoklė'!$AG$20*'Vėjo slėgio skaičiuoklė'!$T$13,IF($T$15=$AD$35,'Vėjo slėgio skaičiuoklė'!$AM$3*'Vėjo slėgio skaičiuoklė'!$AG$20,"-")),"-")</f>
        <v>-1.3641295227831847</v>
      </c>
      <c r="AB7" s="163">
        <f ca="1">IFERROR(IF($T$15&lt;&gt;$AD$35,'Vėjo slėgio skaičiuoklė'!$AM$3*'Vėjo slėgio skaičiuoklė'!$AG$20*'Vėjo slėgio skaičiuoklė'!$T$13,IF($T$15=$AD$35,'Vėjo slėgio skaičiuoklė'!$AM$3*'Vėjo slėgio skaičiuoklė'!$AG$20,"-")),"-")</f>
        <v>-1.3641295227831847</v>
      </c>
      <c r="AC7" s="168">
        <f>AC17*2+AD17*2</f>
        <v>46.4</v>
      </c>
      <c r="AD7" s="121">
        <f>IFERROR(AC7/'Vėjo slėgio skaičiuoklė'!$BA$14,"-")</f>
        <v>0.39999999999999997</v>
      </c>
      <c r="AF7" s="134" t="s">
        <v>83</v>
      </c>
      <c r="AL7" s="13" t="str">
        <f t="shared" si="0"/>
        <v>UK</v>
      </c>
      <c r="AM7" s="107" t="s">
        <v>140</v>
      </c>
      <c r="AN7" s="161">
        <f>MIN('Vėjo slėgio skaičiuoklė'!T19*2,'Vėjo slėgio skaičiuoklė'!T20)</f>
        <v>30</v>
      </c>
      <c r="AO7" s="1"/>
      <c r="AP7" s="5"/>
      <c r="AQ7" s="1"/>
      <c r="AR7" s="1"/>
      <c r="AS7" s="1"/>
      <c r="AT7" s="1"/>
      <c r="AU7" s="106">
        <f ca="1">AP8*AP9*'Vėjo slėgio skaičiuoklė'!T11*AU5</f>
        <v>22</v>
      </c>
      <c r="AV7" s="1" t="s">
        <v>3</v>
      </c>
      <c r="AW7" s="1" t="s">
        <v>11</v>
      </c>
      <c r="AX7" s="1"/>
      <c r="AY7" s="1"/>
      <c r="AZ7" s="1" t="s">
        <v>10</v>
      </c>
      <c r="BA7" s="1"/>
      <c r="BD7" s="33"/>
      <c r="BE7" s="1"/>
      <c r="DS7" s="14"/>
      <c r="EC7" s="14"/>
      <c r="ED7" s="15"/>
      <c r="EO7" s="14"/>
      <c r="EP7" s="15"/>
      <c r="EZ7" s="14"/>
      <c r="FA7" s="15"/>
    </row>
    <row r="8" spans="1:157" x14ac:dyDescent="0.2">
      <c r="A8" s="29"/>
      <c r="B8" s="34"/>
      <c r="C8" s="35"/>
      <c r="D8" s="35"/>
      <c r="E8" s="35"/>
      <c r="F8" s="36"/>
      <c r="M8" s="33"/>
      <c r="N8" s="14"/>
      <c r="O8" s="15"/>
      <c r="Q8" s="21"/>
      <c r="R8" s="22"/>
      <c r="S8" s="28" t="str">
        <f>IF($T$2=$X$27,"Oro tankis ρ:",IF($T$2=$X$28,"Air density ρ:","   "))</f>
        <v>Air density ρ:</v>
      </c>
      <c r="T8" s="289">
        <v>1.226</v>
      </c>
      <c r="U8" s="23" t="str">
        <f>IF($T$8=$AP$10,"kg/m3 EU",IF($T$8=$AP$11,"kg/m3 UK","   "))</f>
        <v>kg/m3 UK</v>
      </c>
      <c r="V8" s="14"/>
      <c r="W8" s="15"/>
      <c r="X8" s="24" t="str">
        <f>CZ32</f>
        <v>NO</v>
      </c>
      <c r="Y8" s="13" t="s">
        <v>267</v>
      </c>
      <c r="Z8" s="120" t="s">
        <v>22</v>
      </c>
      <c r="AA8" s="164">
        <f ca="1">IFERROR(IF(AND($T$15&lt;&gt;$AD$35,'Vėjo slėgio skaičiuoklė'!$AN$4&lt;5*'Vėjo slėgio skaičiuoklė'!$T$20),'Vėjo slėgio skaičiuoklė'!$AM$3*'Vėjo slėgio skaičiuoklė'!$AH$20*'Vėjo slėgio skaičiuoklė'!$T$13,IF(AND($T$15=$AD$35,'Vėjo slėgio skaičiuoklė'!$AN$4&lt;5*'Vėjo slėgio skaičiuoklė'!$T$20),'Vėjo slėgio skaičiuoklė'!$AM$3*'Vėjo slėgio skaičiuoklė'!$AH$20,"-")),"-")</f>
        <v>-0.90941968185545652</v>
      </c>
      <c r="AB8" s="164">
        <f ca="1">IFERROR(IF(AND($T$15&lt;&gt;$AD$35,'Vėjo slėgio skaičiuoklė'!$AN$7&lt;5*'Vėjo slėgio skaičiuoklė'!$T$21),'Vėjo slėgio skaičiuoklė'!$AM$3*'Vėjo slėgio skaičiuoklė'!$AH$25*'Vėjo slėgio skaičiuoklė'!$T$13,IF(AND($T$15=$AD$35,'Vėjo slėgio skaičiuoklė'!$AN$7&lt;5*'Vėjo slėgio skaičiuoklė'!$T$21),'Vėjo slėgio skaičiuoklė'!$AM$3*'Vėjo slėgio skaičiuoklė'!$AH$25,"-")),"-")</f>
        <v>-0.90941968185545652</v>
      </c>
      <c r="AC8" s="168">
        <f>AC18*2+AD18*2</f>
        <v>69.599999999999994</v>
      </c>
      <c r="AD8" s="121">
        <f>IFERROR(AC8/'Vėjo slėgio skaičiuoklė'!$BA$14,"-")</f>
        <v>0.6</v>
      </c>
      <c r="AF8" s="57" t="s">
        <v>26</v>
      </c>
      <c r="AG8" s="129" t="s">
        <v>21</v>
      </c>
      <c r="AH8" s="129" t="s">
        <v>22</v>
      </c>
      <c r="AI8" s="129" t="s">
        <v>23</v>
      </c>
      <c r="AJ8" s="129" t="s">
        <v>24</v>
      </c>
      <c r="AK8" s="55" t="s">
        <v>25</v>
      </c>
      <c r="AL8" s="13" t="str">
        <f t="shared" si="0"/>
        <v>NO</v>
      </c>
      <c r="AO8" s="107" t="s">
        <v>15</v>
      </c>
      <c r="AP8" s="104">
        <v>1</v>
      </c>
      <c r="AQ8" s="1" t="s">
        <v>0</v>
      </c>
      <c r="AR8" s="1"/>
      <c r="AS8" s="1"/>
      <c r="AT8" s="1"/>
      <c r="AU8" s="325">
        <f ca="1">AP8*AP9*'Vėjo slėgio skaičiuoklė'!T11*AU5*AN22</f>
        <v>22.120112876399865</v>
      </c>
      <c r="AV8" s="1" t="s">
        <v>3</v>
      </c>
      <c r="AW8" s="1"/>
      <c r="AX8" s="1"/>
      <c r="AY8" s="1"/>
      <c r="AZ8" s="1"/>
      <c r="BA8" s="1"/>
      <c r="BD8" s="33"/>
      <c r="BE8" s="1"/>
      <c r="DS8" s="14"/>
      <c r="EC8" s="14"/>
      <c r="ED8" s="353"/>
      <c r="EE8" s="56"/>
      <c r="EF8" s="56"/>
      <c r="EG8" s="56"/>
      <c r="EH8" s="56"/>
      <c r="EI8" s="56"/>
      <c r="EJ8" s="56"/>
      <c r="EK8" s="56"/>
      <c r="EL8" s="56"/>
      <c r="EM8" s="56"/>
      <c r="EN8" s="56"/>
      <c r="EO8" s="354"/>
      <c r="EP8" s="15"/>
      <c r="EZ8" s="14"/>
      <c r="FA8" s="15"/>
    </row>
    <row r="9" spans="1:157" x14ac:dyDescent="0.2">
      <c r="A9" s="29"/>
      <c r="B9" s="380" t="str">
        <f>IF($T$2=$X$27,"Pagrindinė vėjo greičio reikšmė vb0:",IF($T$2=$X$28,"The main value of wind speed vb0:","   "))</f>
        <v>The main value of wind speed vb0:</v>
      </c>
      <c r="C9" s="381"/>
      <c r="D9" s="381"/>
      <c r="E9" s="381"/>
      <c r="F9" s="37" t="str">
        <f ca="1">CONCATENATE($T11," ",$U11)</f>
        <v>22 m/s</v>
      </c>
      <c r="M9" s="33"/>
      <c r="N9" s="14"/>
      <c r="O9" s="15"/>
      <c r="Q9" s="21"/>
      <c r="R9" s="22"/>
      <c r="S9" s="28" t="str">
        <f>CONCATENATE($B11,"(Curtain wall - rec. CC2)")</f>
        <v>The class of consequence:(Curtain wall - rec. CC2)</v>
      </c>
      <c r="T9" s="95" t="s">
        <v>67</v>
      </c>
      <c r="U9" s="221" t="str">
        <f>IFERROR(IF($U$4&lt;&gt;0,$U$4,IF(T9=AB37,AC37,CONCATENATE("(Kfi=",VLOOKUP($T$9,Table2[[Pasekmių klasės]:[Kfi]],2,FALSE),")"))),$X$11)</f>
        <v>(Kfi=1)</v>
      </c>
      <c r="V9" s="14"/>
      <c r="W9" s="15"/>
      <c r="X9" s="24" t="str">
        <f>BP32</f>
        <v>EU</v>
      </c>
      <c r="Z9" s="120" t="s">
        <v>23</v>
      </c>
      <c r="AA9" s="165">
        <f ca="1">IFERROR(IF(AND($T$15&lt;&gt;$AD$35,'Vėjo slėgio skaičiuoklė'!$AN$4&lt;'Vėjo slėgio skaičiuoklė'!$T$20),'Vėjo slėgio skaičiuoklė'!$AM$3*'Vėjo slėgio skaičiuoklė'!$AI$20*'Vėjo slėgio skaičiuoklė'!$T$13,IF(AND($T$15=$AD$35,'Vėjo slėgio skaičiuoklė'!$AN$4&lt;'Vėjo slėgio skaičiuoklė'!$T$20),'Vėjo slėgio skaičiuoklė'!$AM$3*'Vėjo slėgio skaičiuoklė'!$AI$20,"0")),"0")</f>
        <v>-0.5683873011596603</v>
      </c>
      <c r="AB9" s="165" t="str">
        <f>IFERROR(IF(AND($T$15&lt;&gt;$AD$35,'Vėjo slėgio skaičiuoklė'!$AN$7&lt;'Vėjo slėgio skaičiuoklė'!$T$21),'Vėjo slėgio skaičiuoklė'!$AM$3*'Vėjo slėgio skaičiuoklė'!$AI$25*'Vėjo slėgio skaičiuoklė'!$T$13,IF(AND($T$15=$AD$35,'Vėjo slėgio skaičiuoklė'!$AN$7&lt;'Vėjo slėgio skaičiuoklė'!$T$21),'Vėjo slėgio skaičiuoklė'!$AM$3*'Vėjo slėgio skaičiuoklė'!$AI$25,"0")),"0")</f>
        <v>0</v>
      </c>
      <c r="AC9" s="168">
        <f>AC19*2+AD19*2</f>
        <v>0</v>
      </c>
      <c r="AD9" s="121">
        <f>IFERROR(AC9/'Vėjo slėgio skaičiuoklė'!$BA$14,"-")</f>
        <v>0</v>
      </c>
      <c r="AF9" s="128">
        <v>5</v>
      </c>
      <c r="AG9" s="130">
        <v>-1.4</v>
      </c>
      <c r="AH9" s="130">
        <v>-1.1000000000000001</v>
      </c>
      <c r="AI9" s="130">
        <v>-0.5</v>
      </c>
      <c r="AJ9" s="130">
        <v>1</v>
      </c>
      <c r="AK9" s="131">
        <v>-0.7</v>
      </c>
      <c r="AL9" s="13" t="str">
        <f t="shared" si="0"/>
        <v>EU</v>
      </c>
      <c r="AO9" s="107" t="s">
        <v>15</v>
      </c>
      <c r="AP9" s="104">
        <v>1</v>
      </c>
      <c r="AQ9" s="1" t="s">
        <v>1</v>
      </c>
      <c r="AR9" s="1"/>
      <c r="AS9" s="1"/>
      <c r="AT9" s="1"/>
      <c r="AU9" s="1"/>
      <c r="AV9" s="1"/>
      <c r="AW9" s="1"/>
      <c r="AX9" s="1"/>
      <c r="AY9" s="1"/>
      <c r="AZ9" s="1"/>
      <c r="BA9" s="1"/>
      <c r="BD9" s="33"/>
      <c r="BE9" s="1"/>
      <c r="DS9" s="14"/>
      <c r="EC9" s="14"/>
      <c r="ED9" s="356" t="s">
        <v>270</v>
      </c>
      <c r="EO9" s="14"/>
      <c r="EP9" s="15"/>
      <c r="EZ9" s="14"/>
      <c r="FA9" s="15"/>
    </row>
    <row r="10" spans="1:157" x14ac:dyDescent="0.2">
      <c r="A10" s="29"/>
      <c r="B10" s="380" t="str">
        <f>IF($T$2=$X$27,"Viršūninio greičio slėgis qb:",IF($T$2=$X$28,"Basic velocity pressure qb:","   "))</f>
        <v>Basic velocity pressure qb:</v>
      </c>
      <c r="C10" s="381"/>
      <c r="D10" s="381"/>
      <c r="E10" s="381"/>
      <c r="F10" s="335" t="str">
        <f ca="1">CONCATENATE((ROUND($T12, 3))," ",$U12)</f>
        <v>0.3 kN/m2</v>
      </c>
      <c r="M10" s="33"/>
      <c r="N10" s="14"/>
      <c r="O10" s="15"/>
      <c r="Q10" s="39"/>
      <c r="R10" s="40"/>
      <c r="S10" s="41" t="str">
        <f>CONCATENATE($B12,IF($T$2=$X$27,"aukšt. past. rek. II ar žem.(I, 0-jūra)",IF($T$2=$X$28,"(for tall buildings II or lower (I, 0-sea)","   ")))</f>
        <v>Terrain category:(for tall buildings II or lower (I, 0-sea)</v>
      </c>
      <c r="T10" s="96" t="s">
        <v>43</v>
      </c>
      <c r="U10" s="348" t="s">
        <v>249</v>
      </c>
      <c r="V10" s="14"/>
      <c r="W10" s="15"/>
      <c r="X10" s="13" t="s">
        <v>59</v>
      </c>
      <c r="Z10" s="122" t="s">
        <v>24</v>
      </c>
      <c r="AA10" s="166">
        <f ca="1">IFERROR(IF($T$15&lt;&gt;$AD$35,'Vėjo slėgio skaičiuoklė'!$AM$3*'Vėjo slėgio skaičiuoklė'!$AJ$20*'Vėjo slėgio skaičiuoklė'!$T$13,IF($T$15=$AD$35,'Vėjo slėgio skaičiuoklė'!$AM$3*'Vėjo slėgio skaičiuoklė'!$AJ$20,"-")),"-")</f>
        <v>0.90941968185545652</v>
      </c>
      <c r="AB10" s="166">
        <f ca="1">IFERROR(IF($T$15&lt;&gt;$AD$35,'Vėjo slėgio skaičiuoklė'!$AM$3*'Vėjo slėgio skaičiuoklė'!$AJ$25*'Vėjo slėgio skaičiuoklė'!$T$13,IF($T$15=$AD$35,'Vėjo slėgio skaičiuoklė'!$AM$3*'Vėjo slėgio skaičiuoklė'!$AJ$25,"-")),"-")</f>
        <v>0.90941968185545652</v>
      </c>
      <c r="AC10" s="168">
        <f>AC20*2+AD20*2</f>
        <v>116</v>
      </c>
      <c r="AD10" s="123">
        <f>IFERROR(AC10/'Vėjo slėgio skaičiuoklė'!$BA$14,"-")</f>
        <v>1</v>
      </c>
      <c r="AF10" s="128">
        <v>1</v>
      </c>
      <c r="AG10" s="130">
        <v>-1.4</v>
      </c>
      <c r="AH10" s="130">
        <v>-1.1000000000000001</v>
      </c>
      <c r="AI10" s="130">
        <v>-0.5</v>
      </c>
      <c r="AJ10" s="130">
        <v>1</v>
      </c>
      <c r="AK10" s="131">
        <v>-0.5</v>
      </c>
      <c r="AL10" s="13" t="s">
        <v>273</v>
      </c>
      <c r="AO10" s="1"/>
      <c r="AP10" s="5">
        <v>1.25</v>
      </c>
      <c r="AQ10" s="1" t="s">
        <v>2</v>
      </c>
      <c r="AR10" s="1"/>
      <c r="AS10" s="1"/>
      <c r="AT10" s="1"/>
      <c r="AU10" s="1"/>
      <c r="AV10" s="1"/>
      <c r="AW10" s="1"/>
      <c r="AX10" s="1"/>
      <c r="AY10" s="1"/>
      <c r="AZ10" s="1"/>
      <c r="BA10" s="1"/>
      <c r="BD10" s="33"/>
      <c r="BE10" s="1"/>
      <c r="DS10" s="14"/>
      <c r="EC10" s="14"/>
      <c r="ED10" s="356" t="s">
        <v>272</v>
      </c>
      <c r="EO10" s="14"/>
      <c r="EP10" s="15"/>
      <c r="EZ10" s="14"/>
      <c r="FA10" s="15"/>
    </row>
    <row r="11" spans="1:157" x14ac:dyDescent="0.2">
      <c r="A11" s="29"/>
      <c r="B11" s="380" t="str">
        <f>IF($T$2=$X$27,"Pasekmių klasė:",IF($T$2=$X$28,"The class of consequence:","   "))</f>
        <v>The class of consequence:</v>
      </c>
      <c r="C11" s="381"/>
      <c r="D11" s="381"/>
      <c r="E11" s="381"/>
      <c r="F11" s="37" t="str">
        <f>CONCATENATE($T9)</f>
        <v>CC2</v>
      </c>
      <c r="M11" s="33"/>
      <c r="N11" s="14"/>
      <c r="O11" s="15"/>
      <c r="Q11" s="39"/>
      <c r="R11" s="40"/>
      <c r="S11" s="41" t="str">
        <f>CONCATENATE($B9," **")</f>
        <v>The main value of wind speed vb0: **</v>
      </c>
      <c r="T11" s="237">
        <f ca="1">IFERROR(IF($U$7&lt;&gt;0,$U$7,VLOOKUP($T$7,Table2[[Miestai]:[Vėjo greitis]],2,FALSE)),$X$11)</f>
        <v>22</v>
      </c>
      <c r="U11" s="42" t="s">
        <v>3</v>
      </c>
      <c r="V11" s="14"/>
      <c r="W11" s="15"/>
      <c r="X11" s="24" t="s">
        <v>58</v>
      </c>
      <c r="Z11" s="120" t="s">
        <v>25</v>
      </c>
      <c r="AA11" s="190">
        <f ca="1">IFERROR(IF($T$15&lt;&gt;$AD$35,'Vėjo slėgio skaičiuoklė'!$AM$3*'Vėjo slėgio skaičiuoklė'!$AK$20*'Vėjo slėgio skaičiuoklė'!$T$13,IF($T$15=$AD$35,'Vėjo slėgio skaičiuoklė'!$AM$3*'Vėjo slėgio skaičiuoklė'!$AK$20,"-")),"-")</f>
        <v>-0.66539206722424227</v>
      </c>
      <c r="AB11" s="190">
        <f ca="1">IFERROR(IF($T$15&lt;&gt;$AD$35,'Vėjo slėgio skaičiuoklė'!$AM$3*'Vėjo slėgio skaičiuoklė'!$AK$25*'Vėjo slėgio skaičiuoklė'!$T$13,IF($T$15=$AD$35,'Vėjo slėgio skaičiuoklė'!$AM$3*'Vėjo slėgio skaičiuoklė'!$AK$25,"-")),"-")</f>
        <v>-0.67638088837999577</v>
      </c>
      <c r="AC11" s="168">
        <f>AC21*2+AD21*2</f>
        <v>116</v>
      </c>
      <c r="AD11" s="121">
        <f>IFERROR(AC11/'Vėjo slėgio skaičiuoklė'!$BA$14,"-")</f>
        <v>1</v>
      </c>
      <c r="AF11" s="27">
        <v>0.25</v>
      </c>
      <c r="AG11" s="132">
        <v>-1.4</v>
      </c>
      <c r="AH11" s="132">
        <v>-1.1000000000000001</v>
      </c>
      <c r="AI11" s="132">
        <v>-0.5</v>
      </c>
      <c r="AJ11" s="132">
        <v>1</v>
      </c>
      <c r="AK11" s="133">
        <v>-0.3</v>
      </c>
      <c r="AL11" s="13" t="s">
        <v>274</v>
      </c>
      <c r="AO11" s="1"/>
      <c r="AP11" s="5">
        <v>1.226</v>
      </c>
      <c r="AQ11" s="1" t="s">
        <v>220</v>
      </c>
      <c r="AR11" s="1"/>
      <c r="AS11" s="1"/>
      <c r="AT11" s="1"/>
      <c r="AU11" s="1"/>
      <c r="AV11" s="1"/>
      <c r="AW11" s="1"/>
      <c r="AX11" s="1"/>
      <c r="AY11" s="1"/>
      <c r="AZ11" s="1"/>
      <c r="BA11" s="1"/>
      <c r="BD11" s="33"/>
      <c r="BE11" s="1"/>
      <c r="DS11" s="14"/>
      <c r="EC11" s="14"/>
      <c r="EP11" s="15"/>
      <c r="EZ11" s="14"/>
      <c r="FA11" s="15"/>
    </row>
    <row r="12" spans="1:157" x14ac:dyDescent="0.2">
      <c r="A12" s="29"/>
      <c r="B12" s="380" t="str">
        <f>IF($T$2=$X$27,"Vietovės kategorija:",IF($T$2=$X$28,"Terrain category:","   "))</f>
        <v>Terrain category:</v>
      </c>
      <c r="C12" s="381"/>
      <c r="D12" s="381"/>
      <c r="E12" s="381"/>
      <c r="F12" s="38" t="str">
        <f>CONCATENATE($T10)</f>
        <v>IV</v>
      </c>
      <c r="M12" s="33"/>
      <c r="N12" s="14"/>
      <c r="O12" s="15"/>
      <c r="Q12" s="39"/>
      <c r="R12" s="40"/>
      <c r="S12" s="41" t="str">
        <f>$B10</f>
        <v>Basic velocity pressure qb:</v>
      </c>
      <c r="T12" s="238">
        <f ca="1">IF(AND(T6=X7,U6=Y7),AU18,IF(AND(T6=X9,U6=Y7),AU18,AU17))</f>
        <v>0.29994052831644341</v>
      </c>
      <c r="U12" s="42" t="s">
        <v>153</v>
      </c>
      <c r="V12" s="14"/>
      <c r="W12" s="15"/>
      <c r="X12" s="24" t="s">
        <v>204</v>
      </c>
      <c r="Z12" s="222"/>
      <c r="AA12" s="223"/>
      <c r="AB12" s="223"/>
      <c r="AC12" s="224"/>
      <c r="AD12" s="225"/>
      <c r="AG12" s="226"/>
      <c r="AH12" s="226"/>
      <c r="AI12" s="226"/>
      <c r="AJ12" s="226"/>
      <c r="AK12" s="226"/>
      <c r="AL12" s="13" t="s">
        <v>275</v>
      </c>
      <c r="AO12" s="1"/>
      <c r="AP12" s="5"/>
      <c r="AQ12" s="1"/>
      <c r="AR12" s="1"/>
      <c r="AS12" s="1"/>
      <c r="AT12" s="1"/>
      <c r="AU12" s="1"/>
      <c r="AV12" s="1"/>
      <c r="AW12" s="1"/>
      <c r="AX12" s="1"/>
      <c r="AY12" s="1"/>
      <c r="AZ12" s="1"/>
      <c r="BA12" s="1"/>
      <c r="BD12" s="33"/>
      <c r="BE12" s="1"/>
      <c r="DS12" s="14"/>
      <c r="EC12" s="14"/>
      <c r="EP12" s="15"/>
      <c r="EZ12" s="14"/>
      <c r="FA12" s="15"/>
    </row>
    <row r="13" spans="1:157" x14ac:dyDescent="0.2">
      <c r="A13" s="29"/>
      <c r="B13" s="380" t="str">
        <f>IF($T$2=$X$27,"Atsargos koeficientas kintamai vėjo apkrovai γQ:",IF($T$2=$X$28,"Safety coefficient for the variable wind load γQ:","   "))</f>
        <v>Safety coefficient for the variable wind load γQ:</v>
      </c>
      <c r="C13" s="381"/>
      <c r="D13" s="381"/>
      <c r="E13" s="381"/>
      <c r="F13" s="43" t="str">
        <f>CONCATENATE($T13)</f>
        <v>1.5</v>
      </c>
      <c r="M13" s="33"/>
      <c r="N13" s="14"/>
      <c r="O13" s="15"/>
      <c r="Q13" s="39"/>
      <c r="R13" s="40"/>
      <c r="S13" s="41" t="str">
        <f>$B13</f>
        <v>Safety coefficient for the variable wind load γQ:</v>
      </c>
      <c r="T13" s="44">
        <f>IF(AND($T$9&gt;0,$T$9&lt;&gt;$AB$37),$X$24*(VLOOKUP($T$9,$AB$34:$AC$36,2,FALSE)),IF(AND($T$9&gt;0,$T$9=$AB$37,$T$14&gt;0),(VLOOKUP($T$14,$Z$34:$AA$35,2,FALSE)),X13))</f>
        <v>1.5</v>
      </c>
      <c r="U13" s="42"/>
      <c r="V13" s="14"/>
      <c r="W13" s="15"/>
      <c r="X13" s="24" t="s">
        <v>78</v>
      </c>
      <c r="AF13" s="134" t="s">
        <v>85</v>
      </c>
      <c r="AL13" s="13" t="s">
        <v>276</v>
      </c>
      <c r="AO13" s="1"/>
      <c r="AP13" s="5"/>
      <c r="AQ13" s="1" t="s">
        <v>6</v>
      </c>
      <c r="AR13" s="1"/>
      <c r="AS13" s="1"/>
      <c r="AT13" s="1"/>
      <c r="AU13" s="108">
        <f>0.19*(AP14/AP15)^0.07</f>
        <v>0.23432881734391497</v>
      </c>
      <c r="AV13" s="1"/>
      <c r="AW13" s="1" t="s">
        <v>8</v>
      </c>
      <c r="AX13" s="1"/>
      <c r="AY13" s="1"/>
      <c r="AZ13" s="1"/>
      <c r="BA13" s="1"/>
      <c r="BB13" s="1"/>
      <c r="BC13" s="1"/>
      <c r="BD13" s="6"/>
      <c r="BE13" s="1"/>
      <c r="DS13" s="14"/>
      <c r="EC13" s="14"/>
      <c r="EP13" s="15"/>
      <c r="EZ13" s="14"/>
      <c r="FA13" s="15"/>
    </row>
    <row r="14" spans="1:157" x14ac:dyDescent="0.2">
      <c r="A14" s="29"/>
      <c r="B14" s="387" t="str">
        <f>IF($T$2=$X$27,"Vėjo įtakos plotas A:",IF($T$2=$X$28,"Wind influence area A:","   "))</f>
        <v>Wind influence area A:</v>
      </c>
      <c r="C14" s="388"/>
      <c r="D14" s="388"/>
      <c r="E14" s="388"/>
      <c r="F14" s="192" t="str">
        <f>CONCATENATE($T17,", ",$U17)</f>
        <v>10, m²</v>
      </c>
      <c r="M14" s="33"/>
      <c r="N14" s="14"/>
      <c r="O14" s="15"/>
      <c r="Q14" s="21"/>
      <c r="R14" s="22"/>
      <c r="S14" s="41" t="str">
        <f>IF($T$2=$X$27,"Skaičiuojamo elemento ar konstrukcijos tipas:",IF($T$2=$X$28,"The type of calculating element or structure:","   "))</f>
        <v>The type of calculating element or structure:</v>
      </c>
      <c r="T14" s="44" t="s">
        <v>75</v>
      </c>
      <c r="U14" s="23"/>
      <c r="V14" s="14"/>
      <c r="W14" s="15"/>
      <c r="X14" s="24" t="s">
        <v>138</v>
      </c>
      <c r="AA14" s="160"/>
      <c r="AB14" s="160"/>
      <c r="AC14" s="174" t="s">
        <v>144</v>
      </c>
      <c r="AD14" s="160"/>
      <c r="AF14" s="57" t="s">
        <v>26</v>
      </c>
      <c r="AG14" s="129" t="s">
        <v>21</v>
      </c>
      <c r="AH14" s="129" t="s">
        <v>22</v>
      </c>
      <c r="AI14" s="129" t="s">
        <v>23</v>
      </c>
      <c r="AJ14" s="129" t="s">
        <v>24</v>
      </c>
      <c r="AK14" s="55" t="s">
        <v>25</v>
      </c>
      <c r="AL14" s="13" t="s">
        <v>277</v>
      </c>
      <c r="AO14" s="1"/>
      <c r="AP14" s="5">
        <f>VLOOKUP($T$10,$AA$25:$AC$29,2,FALSE)</f>
        <v>1</v>
      </c>
      <c r="AQ14" s="1" t="s">
        <v>9</v>
      </c>
      <c r="AR14" s="1"/>
      <c r="AS14" s="1"/>
      <c r="AT14" s="1"/>
      <c r="AU14" s="1"/>
      <c r="AV14" s="1"/>
      <c r="AW14" s="1"/>
      <c r="AX14" s="1"/>
      <c r="AY14" s="1"/>
      <c r="AZ14" s="1"/>
      <c r="BA14" s="167">
        <f>'Vėjo slėgio skaičiuoklė'!T20+'Vėjo slėgio skaičiuoklė'!T20+'Vėjo slėgio skaičiuoklė'!T21+'Vėjo slėgio skaičiuoklė'!T21</f>
        <v>116</v>
      </c>
      <c r="BB14" s="1" t="s">
        <v>28</v>
      </c>
      <c r="BC14" s="1"/>
      <c r="BD14" s="6"/>
      <c r="BE14" s="1"/>
      <c r="DS14" s="14"/>
      <c r="EC14" s="14"/>
      <c r="EP14" s="15"/>
      <c r="EZ14" s="14"/>
      <c r="FA14" s="15"/>
    </row>
    <row r="15" spans="1:157" x14ac:dyDescent="0.2">
      <c r="A15" s="29"/>
      <c r="B15" s="387" t="str">
        <f>IF($T$2=$X$27,"Atskaitos aukštis z:",IF($T$2=$X$28,"The reference height z:","   "))</f>
        <v>The reference height z:</v>
      </c>
      <c r="C15" s="388"/>
      <c r="D15" s="388"/>
      <c r="E15" s="388"/>
      <c r="F15" s="192" t="str">
        <f>CONCATENATE($T18,", ",$U18)</f>
        <v>81.2, m'</v>
      </c>
      <c r="M15" s="33"/>
      <c r="N15" s="14"/>
      <c r="O15" s="15"/>
      <c r="Q15" s="21"/>
      <c r="R15" s="22"/>
      <c r="S15" s="101" t="str">
        <f>IF($T$2=$X$27,"Vėjo apkrovos reikšmė:",IF($T$2=$X$28,"Wind load value:","   "))</f>
        <v>Wind load value:</v>
      </c>
      <c r="T15" s="245" t="s">
        <v>163</v>
      </c>
      <c r="U15" s="45"/>
      <c r="V15" s="14"/>
      <c r="W15" s="15"/>
      <c r="X15" s="13" t="s">
        <v>35</v>
      </c>
      <c r="Z15" s="176"/>
      <c r="AA15" s="170" t="s">
        <v>141</v>
      </c>
      <c r="AB15" s="171" t="s">
        <v>142</v>
      </c>
      <c r="AC15" s="172" t="s">
        <v>146</v>
      </c>
      <c r="AD15" s="173" t="s">
        <v>147</v>
      </c>
      <c r="AF15" s="128">
        <v>5</v>
      </c>
      <c r="AG15" s="139">
        <f t="shared" ref="AG15:AJ17" si="1">IF($T$17&lt;=1,AG9,IF($T$17&gt;=10,AG4,AG9-(AG9-AG4)*LOG10($T$17)))</f>
        <v>-1.2</v>
      </c>
      <c r="AH15" s="139">
        <f t="shared" si="1"/>
        <v>-0.8</v>
      </c>
      <c r="AI15" s="141">
        <f t="shared" si="1"/>
        <v>-0.5</v>
      </c>
      <c r="AJ15" s="139">
        <f t="shared" si="1"/>
        <v>0.8</v>
      </c>
      <c r="AK15" s="142">
        <f>AK9-(AK9-AK4)*LOG10($T$17)</f>
        <v>-0.7</v>
      </c>
      <c r="AL15" s="1"/>
      <c r="AM15" s="1"/>
      <c r="AN15" s="147"/>
      <c r="AO15" s="1"/>
      <c r="AP15" s="5">
        <v>0.05</v>
      </c>
      <c r="AQ15" s="1" t="s">
        <v>7</v>
      </c>
      <c r="AR15" s="1"/>
      <c r="AS15" s="1"/>
      <c r="AT15" s="1"/>
      <c r="AU15" s="1"/>
      <c r="AV15" s="1"/>
      <c r="AW15" s="1"/>
      <c r="AX15" s="1"/>
      <c r="AY15" s="1"/>
      <c r="BB15" s="1"/>
      <c r="BC15" s="1"/>
      <c r="BD15" s="6"/>
      <c r="BE15" s="1"/>
      <c r="DS15" s="14"/>
      <c r="EC15" s="14"/>
      <c r="EP15" s="15"/>
      <c r="EZ15" s="14"/>
      <c r="FA15" s="15"/>
    </row>
    <row r="16" spans="1:157" x14ac:dyDescent="0.2">
      <c r="A16" s="29"/>
      <c r="B16" s="387" t="str">
        <f>IF($T$2=$X$27,"Pastato aukštis H:",IF($T$2=$X$28,"The building height H:","   "))</f>
        <v>The building height H:</v>
      </c>
      <c r="C16" s="388"/>
      <c r="D16" s="388"/>
      <c r="E16" s="388"/>
      <c r="F16" s="192" t="str">
        <f>CONCATENATE($T19,", ",$U19)</f>
        <v>81.2, m'</v>
      </c>
      <c r="M16" s="33"/>
      <c r="N16" s="14"/>
      <c r="O16" s="15"/>
      <c r="Q16" s="21"/>
      <c r="R16" s="22"/>
      <c r="S16" s="243"/>
      <c r="T16" s="242"/>
      <c r="U16" s="305" t="str">
        <f>IF(AND(T6=X7,T17&lt;10),IF($T$2=$X$28,"UK NA Cpe1=Cpe10, A=10m2 must be entered!","UK NA Cpe1=Cpe10, A=10m2 privaloma įvesti!"),IF(AND(T6=X9,T17&lt;10),IF($T$2=$X$28,"If country UK, by NA Cpe1=Cpe10, A=10m2 must be entered!","Jei šalis UK, pagal NA Cpe1=Cpe10, A=10m2 privaloma įvesti!"),""))</f>
        <v/>
      </c>
      <c r="V16" s="14"/>
      <c r="W16" s="15"/>
      <c r="X16" s="48" t="s">
        <v>143</v>
      </c>
      <c r="Y16" s="13" t="s">
        <v>249</v>
      </c>
      <c r="Z16" s="176"/>
      <c r="AA16" s="181">
        <f>T21</f>
        <v>28</v>
      </c>
      <c r="AB16" s="182">
        <f>T20</f>
        <v>30</v>
      </c>
      <c r="AC16" s="181">
        <f>AA16</f>
        <v>28</v>
      </c>
      <c r="AD16" s="181">
        <f>AB16</f>
        <v>30</v>
      </c>
      <c r="AF16" s="128">
        <v>1</v>
      </c>
      <c r="AG16" s="139">
        <f t="shared" si="1"/>
        <v>-1.2</v>
      </c>
      <c r="AH16" s="139">
        <f t="shared" si="1"/>
        <v>-0.8</v>
      </c>
      <c r="AI16" s="141">
        <f t="shared" si="1"/>
        <v>-0.5</v>
      </c>
      <c r="AJ16" s="139">
        <f t="shared" si="1"/>
        <v>0.8</v>
      </c>
      <c r="AK16" s="142">
        <f>AK10-(AK10-AK5)*LOG10($T$17)</f>
        <v>-0.5</v>
      </c>
      <c r="AM16" s="1"/>
      <c r="AN16" s="147"/>
      <c r="AO16" s="1"/>
      <c r="AP16" s="5"/>
      <c r="AQ16" s="1"/>
      <c r="AR16" s="1"/>
      <c r="AS16" s="1"/>
      <c r="AT16" s="1"/>
      <c r="AU16" s="1"/>
      <c r="AV16" s="1"/>
      <c r="AW16" s="1"/>
      <c r="AX16" s="1"/>
      <c r="AY16" s="1"/>
      <c r="BA16" s="109" t="s">
        <v>17</v>
      </c>
      <c r="BB16" s="109"/>
      <c r="BC16" s="109"/>
      <c r="BD16" s="6"/>
      <c r="DS16" s="14"/>
      <c r="EC16" s="14"/>
      <c r="EP16" s="15"/>
      <c r="EZ16" s="14"/>
      <c r="FA16" s="15"/>
    </row>
    <row r="17" spans="1:157" x14ac:dyDescent="0.2">
      <c r="A17" s="29"/>
      <c r="B17" s="387" t="str">
        <f>IF($T$2=$X$27,"Lygiagretus vėjui matmuo d:",IF($T$2=$X$28,"Parallel to wind direction dimension d:","   "))</f>
        <v>Parallel to wind direction dimension d:</v>
      </c>
      <c r="C17" s="388"/>
      <c r="D17" s="388"/>
      <c r="E17" s="388"/>
      <c r="F17" s="192" t="str">
        <f>CONCATENATE($T20,", ",$U20)</f>
        <v>30, m'</v>
      </c>
      <c r="M17" s="33"/>
      <c r="N17" s="14"/>
      <c r="O17" s="15"/>
      <c r="Q17" s="46"/>
      <c r="R17" s="47"/>
      <c r="S17" s="47" t="str">
        <f>$B14</f>
        <v>Wind influence area A:</v>
      </c>
      <c r="T17" s="97">
        <v>10</v>
      </c>
      <c r="U17" s="42" t="s">
        <v>39</v>
      </c>
      <c r="V17" s="14"/>
      <c r="W17" s="15"/>
      <c r="X17" s="48" t="s">
        <v>40</v>
      </c>
      <c r="Y17" s="13" t="s">
        <v>259</v>
      </c>
      <c r="Z17" s="175" t="s">
        <v>21</v>
      </c>
      <c r="AA17" s="183">
        <f>IF($AN$7&gt;=5*$T$21,$T$21,IF($AN$7&lt;$T$21,($AN$7/5),IF($AN$7&gt;=$T$21,($AN$7/5),"?")))</f>
        <v>6</v>
      </c>
      <c r="AB17" s="184">
        <f>IF($AN$4&gt;=5*$T$20,$T$20,IF($AN$4&lt;$T$20,($AN$4/5),IF($AN$4&gt;=$T$20,($AN$4/5),"?")))</f>
        <v>5.6</v>
      </c>
      <c r="AC17" s="177">
        <f>IF($AA$17*2&gt;=$AA$16,$AA$16,$AA$17*2)</f>
        <v>12</v>
      </c>
      <c r="AD17" s="178">
        <f>IF($AB$17*2&gt;=$AB$16,$AB$16,$AB$17*2)</f>
        <v>11.2</v>
      </c>
      <c r="AF17" s="27">
        <v>0.25</v>
      </c>
      <c r="AG17" s="140">
        <f t="shared" si="1"/>
        <v>-1.2</v>
      </c>
      <c r="AH17" s="140">
        <f t="shared" si="1"/>
        <v>-0.8</v>
      </c>
      <c r="AI17" s="141">
        <f t="shared" si="1"/>
        <v>-0.5</v>
      </c>
      <c r="AJ17" s="140">
        <f t="shared" si="1"/>
        <v>0.7</v>
      </c>
      <c r="AK17" s="143">
        <f>AK11-(AK11-AK6)*LOG10($T$17)</f>
        <v>-0.3</v>
      </c>
      <c r="AL17" s="1"/>
      <c r="AM17" s="1"/>
      <c r="AN17" s="147"/>
      <c r="AO17" s="1"/>
      <c r="AP17" s="5"/>
      <c r="AQ17" s="1" t="s">
        <v>4</v>
      </c>
      <c r="AR17" s="1"/>
      <c r="AS17" s="1"/>
      <c r="AT17" s="1"/>
      <c r="AU17" s="108">
        <f ca="1">T8/2*AU7*AU7/1000</f>
        <v>0.29669200000000001</v>
      </c>
      <c r="AV17" s="1" t="s">
        <v>5</v>
      </c>
      <c r="AW17" s="1"/>
      <c r="AX17" s="1"/>
      <c r="AY17" s="1"/>
      <c r="AZ17" s="1"/>
      <c r="BA17" s="109" t="s">
        <v>18</v>
      </c>
      <c r="BB17" s="109"/>
      <c r="BC17" s="110">
        <f ca="1">AU28</f>
        <v>0.81638055250818264</v>
      </c>
      <c r="BD17" s="6"/>
      <c r="DS17" s="14"/>
      <c r="EC17" s="14"/>
      <c r="ED17" s="15"/>
      <c r="EO17" s="14"/>
      <c r="EP17" s="15"/>
      <c r="EZ17" s="14"/>
      <c r="FA17" s="15"/>
    </row>
    <row r="18" spans="1:157" x14ac:dyDescent="0.2">
      <c r="A18" s="29"/>
      <c r="B18" s="387" t="str">
        <f>IF($T$2=$X$27,"Statmenas vėjui matmuo b:",IF($T$2=$X$28,"Perpendicular to wind direction dimension b:","   "))</f>
        <v>Perpendicular to wind direction dimension b:</v>
      </c>
      <c r="C18" s="388"/>
      <c r="D18" s="388"/>
      <c r="E18" s="388"/>
      <c r="F18" s="192" t="str">
        <f>CONCATENATE($T21,", ",$U21)</f>
        <v>28, m'</v>
      </c>
      <c r="M18" s="33"/>
      <c r="N18" s="14"/>
      <c r="O18" s="15"/>
      <c r="Q18" s="46"/>
      <c r="R18" s="47"/>
      <c r="S18" s="47" t="str">
        <f>$B15</f>
        <v>The reference height z:</v>
      </c>
      <c r="T18" s="98">
        <v>81.2</v>
      </c>
      <c r="U18" s="42" t="s">
        <v>38</v>
      </c>
      <c r="V18" s="14"/>
      <c r="W18" s="15"/>
      <c r="X18" s="48" t="s">
        <v>41</v>
      </c>
      <c r="Z18" s="175" t="s">
        <v>22</v>
      </c>
      <c r="AA18" s="183">
        <f>IF($AN$7&gt;=5*$T$21,0,IF($AN$7&lt;$T$21,(($AN$7/5*4)),IF($AN$7&gt;=$T$21,(($T$21-($AN$7/5))),"?")))</f>
        <v>22</v>
      </c>
      <c r="AB18" s="184">
        <f>IF($AN$4&gt;=5*$T$20,0,IF($AN$4&lt;$T$20,(($AN$4/5*4)),IF($AN$4&gt;=$T$20,(($T$20-($AN$4/5))),"?")))</f>
        <v>22.4</v>
      </c>
      <c r="AC18" s="177">
        <f>IF(AND(AA$19=0,AA$18&gt;0,AC$17&lt;AC$16),AC$16-(AA$17*2),IF(AND(AA$19=0,AA$18&gt;0,AC$17=AC$16),0,IF(AND(AA$19=0,AA$18=0,AC$17=AC$16),0,IF(AND(AA$19&gt;0,AA$18&gt;0,AC$17&lt;AC$16,(AA$17+AA$18)*2&gt;=AC$16),AC$16-(AA$17*2),IF(AND(AA$19&gt;0,AA$18&gt;0,AC$17&lt;AC$16,(AA$17+AA$18)*2&lt;AC$16),AA$18*2,"wtf?")))))</f>
        <v>16</v>
      </c>
      <c r="AD18" s="178">
        <f>IF(AND(AB$19=0,AB$18&gt;0,AD$17&lt;AD$16),AD$16-(AB$17*2),IF(AND(AB$19=0,AB$18&gt;0,AD$17=AD$16),0,IF(AND(AB$19=0,AB$18=0,AD$17=AD$16),0,IF(AND(AB$19&gt;0,AB$18&gt;0,AD$17&lt;AD$16,(AB$17+AB$18)*2&gt;=AD$16),AD$16-(AB$17*2),IF(AND(AB$19&gt;0,AB$18&gt;0,AD$17&lt;AD$16,(AB$17+AB$18)*2&lt;AD$16),AB$18*2,"wtf?")))))</f>
        <v>18.8</v>
      </c>
      <c r="AF18" s="134" t="s">
        <v>70</v>
      </c>
      <c r="AM18" s="1"/>
      <c r="AN18" s="1"/>
      <c r="AO18" s="1"/>
      <c r="AP18" s="5"/>
      <c r="AQ18" s="1" t="s">
        <v>4</v>
      </c>
      <c r="AR18" s="1"/>
      <c r="AS18" s="1"/>
      <c r="AT18" s="1"/>
      <c r="AU18" s="324">
        <f ca="1">T8/2*AU8*AU8/1000</f>
        <v>0.29994052831644341</v>
      </c>
      <c r="AV18" s="1" t="s">
        <v>5</v>
      </c>
      <c r="AW18" s="1"/>
      <c r="AX18" s="1"/>
      <c r="AY18" s="1"/>
      <c r="AZ18" s="1"/>
      <c r="BA18" s="109" t="s">
        <v>19</v>
      </c>
      <c r="BB18" s="109"/>
      <c r="BC18" s="111">
        <f ca="1">3.6*$AU$17</f>
        <v>1.0680912</v>
      </c>
      <c r="BD18" s="6"/>
      <c r="DS18" s="14"/>
      <c r="EC18" s="14"/>
      <c r="ED18" s="15"/>
      <c r="EO18" s="14"/>
      <c r="EP18" s="15"/>
      <c r="EZ18" s="14"/>
      <c r="FA18" s="15"/>
    </row>
    <row r="19" spans="1:157" x14ac:dyDescent="0.2">
      <c r="A19" s="29"/>
      <c r="B19" s="49"/>
      <c r="C19" s="50"/>
      <c r="D19" s="50"/>
      <c r="E19" s="50"/>
      <c r="F19" s="51"/>
      <c r="M19" s="33"/>
      <c r="N19" s="14"/>
      <c r="O19" s="15"/>
      <c r="Q19" s="46"/>
      <c r="R19" s="47"/>
      <c r="S19" s="47" t="str">
        <f>$B16</f>
        <v>The building height H:</v>
      </c>
      <c r="T19" s="98">
        <v>81.2</v>
      </c>
      <c r="U19" s="42" t="s">
        <v>38</v>
      </c>
      <c r="V19" s="14"/>
      <c r="W19" s="15"/>
      <c r="X19" s="48" t="s">
        <v>42</v>
      </c>
      <c r="Z19" s="175" t="s">
        <v>23</v>
      </c>
      <c r="AA19" s="183">
        <f>(IF($AN$7&gt;=5*$T$21,0,IF($AN$7&lt;$T$21,($T$21-$AN$7),IF($AN$7&gt;=$T$21,0,"?"))))</f>
        <v>0</v>
      </c>
      <c r="AB19" s="185">
        <f>IF($AN$4&gt;=5*$T$20,0,IF($AN$4&lt;$T$20,($T$20-$AN$4),IF($AN$4&gt;=$T$20,0,"?")))</f>
        <v>2</v>
      </c>
      <c r="AC19" s="177">
        <f>IF(AND(AA$19&gt;0,AA$18&gt;0,AC$17&lt;AC$16,(AA$17+AA$18)*2&lt;AC$16),AC$16-(AC$17+AC$18),0)</f>
        <v>0</v>
      </c>
      <c r="AD19" s="178">
        <f>IF(AND(AB$19&gt;0,AB$18&gt;0,AD$17&lt;AD$16,(AB$17+AB$18)*2&lt;AD$16),AD$16-(AD$17+AD$18),0)</f>
        <v>0</v>
      </c>
      <c r="AF19" s="57" t="s">
        <v>84</v>
      </c>
      <c r="AG19" s="129" t="s">
        <v>21</v>
      </c>
      <c r="AH19" s="129" t="s">
        <v>22</v>
      </c>
      <c r="AI19" s="129" t="s">
        <v>23</v>
      </c>
      <c r="AJ19" s="129" t="s">
        <v>24</v>
      </c>
      <c r="AK19" s="55" t="s">
        <v>25</v>
      </c>
      <c r="AM19" s="1"/>
      <c r="AN19" s="1"/>
      <c r="AO19" s="1"/>
      <c r="AP19" s="5">
        <v>1</v>
      </c>
      <c r="AQ19" s="1" t="s">
        <v>12</v>
      </c>
      <c r="AR19" s="1"/>
      <c r="AS19" s="1"/>
      <c r="AT19" s="1"/>
      <c r="AU19" s="112">
        <f>$AU$13*LN('Vėjo slėgio skaičiuoklė'!$T$18/$AP$14)</f>
        <v>1.0303239498302188</v>
      </c>
      <c r="AV19" s="1"/>
      <c r="AW19" s="1" t="s">
        <v>13</v>
      </c>
      <c r="AX19" s="1"/>
      <c r="AY19" s="1"/>
      <c r="AZ19" s="1"/>
      <c r="BA19" s="109" t="s">
        <v>19</v>
      </c>
      <c r="BB19" s="109"/>
      <c r="BC19" s="111">
        <f ca="1">3.45*$AU$17</f>
        <v>1.0235874</v>
      </c>
      <c r="BD19" s="6"/>
      <c r="DS19" s="14"/>
      <c r="EC19" s="14"/>
      <c r="ED19" s="15"/>
      <c r="EO19" s="14"/>
      <c r="EP19" s="15"/>
      <c r="EZ19" s="14"/>
      <c r="FA19" s="15"/>
    </row>
    <row r="20" spans="1:157" x14ac:dyDescent="0.2">
      <c r="A20" s="29"/>
      <c r="C20" s="298" t="s">
        <v>260</v>
      </c>
      <c r="D20" s="341" t="str">
        <f>AA24</f>
        <v>Terrain category</v>
      </c>
      <c r="E20" s="26" t="str">
        <f>AB24</f>
        <v>z0, m</v>
      </c>
      <c r="F20" s="27" t="str">
        <f>AC24</f>
        <v>zmin, m</v>
      </c>
      <c r="M20" s="33"/>
      <c r="N20" s="14"/>
      <c r="O20" s="15"/>
      <c r="Q20" s="46"/>
      <c r="R20" s="47"/>
      <c r="S20" s="47" t="str">
        <f>$B17</f>
        <v>Parallel to wind direction dimension d:</v>
      </c>
      <c r="T20" s="98">
        <v>30</v>
      </c>
      <c r="U20" s="42" t="s">
        <v>38</v>
      </c>
      <c r="V20" s="14"/>
      <c r="W20" s="15"/>
      <c r="X20" s="48" t="s">
        <v>43</v>
      </c>
      <c r="Z20" s="175" t="s">
        <v>24</v>
      </c>
      <c r="AA20" s="186">
        <f>$AB$16</f>
        <v>30</v>
      </c>
      <c r="AB20" s="187">
        <f>$AA$16</f>
        <v>28</v>
      </c>
      <c r="AC20" s="179">
        <f>$AD$16</f>
        <v>30</v>
      </c>
      <c r="AD20" s="180">
        <f>$AC$16</f>
        <v>28</v>
      </c>
      <c r="AF20" s="149">
        <f>'Vėjo slėgio skaičiuoklė'!$T$19/'Vėjo slėgio skaičiuoklė'!$T$20</f>
        <v>2.7066666666666666</v>
      </c>
      <c r="AG20" s="144">
        <f>IF(Table10[Santykis]&lt;=$AF$17,AG$17,IF(AND(Table10[Santykis]&gt;$AF$17,Table10[Santykis]&lt;$AF$16),AG$17+(((AG$17-AG$16)/($AF$17-$AF$16))*(Table10[Santykis]+$AF$17)),IF(Table10[Santykis]=$AF$16,AG$16,IF(AND(Table10[Santykis]&gt;$AF$16,Table10[Santykis]&lt;$AF$15),AG$16+(((AG$16-AG$15)/($AF$16-$AF$15))*(Table10[Santykis]+$AF$16)),IF(Table10[Santykis]&gt;=$AF$15,AG$15,"wtp?")))))</f>
        <v>-1.2</v>
      </c>
      <c r="AH20" s="144">
        <f>IF(Table10[Santykis]&lt;=$AF$17,AH$17,IF(AND(Table10[Santykis]&gt;$AF$17,Table10[Santykis]&lt;$AF$16),AH$17+(((AH$17-AH$16)/($AF$17-$AF$16))*(Table10[Santykis]+$AF$17)),IF(Table10[Santykis]=$AF$16,AH$16,IF(AND(Table10[Santykis]&gt;$AF$16,Table10[Santykis]&lt;$AF$15),AH$16+(((AH$16-AH$15)/($AF$16-$AF$15))*(Table10[Santykis]+$AF$16)),IF(Table10[Santykis]&gt;=$AF$15,AH$15,"wtp?")))))</f>
        <v>-0.8</v>
      </c>
      <c r="AI20" s="144">
        <f>IF(Table10[Santykis]&lt;=$AF$17,AI$17,IF(AND(Table10[Santykis]&gt;$AF$17,Table10[Santykis]&lt;$AF$16),AI$17+(((AI$17-AI$16)/($AF$17-$AF$16))*(Table10[Santykis]+$AF$17)),IF(Table10[Santykis]=$AF$16,AI$16,IF(AND(Table10[Santykis]&gt;$AF$16,Table10[Santykis]&lt;$AF$15),AI$16+(((AI$16-AI$15)/($AF$16-$AF$15))*(Table10[Santykis]+$AF$16)),IF(Table10[Santykis]&gt;=$AF$15,AI$15,"wtp?")))))</f>
        <v>-0.5</v>
      </c>
      <c r="AJ20" s="144">
        <f>IF(Table10[Santykis]&lt;=$AF$17,AJ$17,IF(AND(Table10[Santykis]&gt;$AF$17,Table10[Santykis]&lt;$AF$16),AJ$17+(((AJ$17-AJ$16)/($AF$17-$AF$16))*(Table10[Santykis]-$AF$17)),IF(Table10[Santykis]=$AF$16,AJ$16,IF(AND(Table10[Santykis]&gt;$AF$16,Table10[Santykis]&lt;$AF$15),AJ$16+(((AJ$16-AJ$15)/($AF$16-$AF$15))*(Table10[Santykis]-$AF$16)),IF(Table10[Santykis]&gt;=$AF$15,AJ$15,"wtp?")))))</f>
        <v>0.8</v>
      </c>
      <c r="AK20" s="145">
        <f>IF(Table10[Santykis]&lt;=$AF$17,AK$17,IF(AND(Table10[Santykis]&gt;$AF$17,Table10[Santykis]&lt;$AF$16),AK$17+(((AK$17-AK$16)/($AF$17-$AF$16))*(Table10[Santykis]-$AF$17)),IF(Table10[Santykis]=$AF$16,AK$16,IF(AND(Table10[Santykis]&gt;$AF$16,Table10[Santykis]&lt;$AF$15),AK$16+(((AK$16-AK$15)/($AF$16-$AF$15))*(Table10[Santykis]-$AF$16)),IF(Table10[Santykis]&gt;=$AF$15,AK$15,"wtp?")))))</f>
        <v>-0.58533333333333326</v>
      </c>
      <c r="AM20" s="1"/>
      <c r="AN20" s="1"/>
      <c r="AO20" s="1"/>
      <c r="AP20" s="5">
        <v>2</v>
      </c>
      <c r="AQ20" s="1" t="s">
        <v>12</v>
      </c>
      <c r="AR20" s="1"/>
      <c r="AS20" s="1"/>
      <c r="AT20" s="1"/>
      <c r="AU20" s="112">
        <f>$AU$13*LN($AU$24/$AP$14)</f>
        <v>0.53956204167502331</v>
      </c>
      <c r="AV20" s="1"/>
      <c r="AW20" s="1" t="s">
        <v>16</v>
      </c>
      <c r="AX20" s="1"/>
      <c r="AY20" s="1"/>
      <c r="AZ20" s="1"/>
      <c r="BA20" s="1"/>
      <c r="BB20" s="1"/>
      <c r="BC20" s="1"/>
      <c r="BD20" s="6"/>
      <c r="DS20" s="14"/>
      <c r="EC20" s="14"/>
      <c r="ED20" s="15"/>
      <c r="EO20" s="14"/>
      <c r="EP20" s="15"/>
      <c r="EZ20" s="14"/>
      <c r="FA20" s="15"/>
    </row>
    <row r="21" spans="1:157" x14ac:dyDescent="0.2">
      <c r="A21" s="29"/>
      <c r="D21" s="90" t="str">
        <f>AA25</f>
        <v>O</v>
      </c>
      <c r="E21" s="263">
        <v>3.0000000000000001E-3</v>
      </c>
      <c r="F21" s="344">
        <v>1</v>
      </c>
      <c r="M21" s="33"/>
      <c r="N21" s="14"/>
      <c r="O21" s="15"/>
      <c r="Q21" s="46"/>
      <c r="R21" s="47"/>
      <c r="S21" s="47" t="str">
        <f>$B18</f>
        <v>Perpendicular to wind direction dimension b:</v>
      </c>
      <c r="T21" s="98">
        <v>28</v>
      </c>
      <c r="U21" s="42" t="s">
        <v>38</v>
      </c>
      <c r="V21" s="14"/>
      <c r="W21" s="15"/>
      <c r="Z21" s="175" t="s">
        <v>25</v>
      </c>
      <c r="AA21" s="186">
        <f>$AB$16</f>
        <v>30</v>
      </c>
      <c r="AB21" s="187">
        <f>$AA$16</f>
        <v>28</v>
      </c>
      <c r="AC21" s="179">
        <f>$AD$16</f>
        <v>30</v>
      </c>
      <c r="AD21" s="180">
        <f>$AC$16</f>
        <v>28</v>
      </c>
      <c r="AF21" s="1"/>
      <c r="AM21" s="1" t="s">
        <v>246</v>
      </c>
      <c r="AN21" s="1">
        <f>P25</f>
        <v>8.3000000000000007</v>
      </c>
      <c r="AO21" s="1">
        <v>20</v>
      </c>
      <c r="AP21" s="5"/>
      <c r="AQ21" s="1"/>
      <c r="AR21" s="1"/>
      <c r="AS21" s="1"/>
      <c r="AT21" s="1"/>
      <c r="AU21" s="112">
        <f>IF('Vėjo slėgio skaičiuoklė'!$T$18&gt;=$AU$24,$AU$19,IF('Vėjo slėgio skaičiuoklė'!$T$18&lt;=$AU$24,$AU$20))</f>
        <v>1.0303239498302188</v>
      </c>
      <c r="AV21" s="1"/>
      <c r="AW21" s="113" t="s">
        <v>20</v>
      </c>
      <c r="AX21" s="1"/>
      <c r="AY21" s="1"/>
      <c r="AZ21" s="1"/>
      <c r="BA21" s="1"/>
      <c r="BB21" s="1"/>
      <c r="BC21" s="1"/>
      <c r="BD21" s="6"/>
      <c r="BE21" s="1"/>
      <c r="DS21" s="14"/>
      <c r="EC21" s="14"/>
      <c r="ED21" s="15"/>
      <c r="EO21" s="14"/>
      <c r="EP21" s="15"/>
      <c r="EZ21" s="14"/>
      <c r="FA21" s="15"/>
    </row>
    <row r="22" spans="1:157" ht="13.5" thickBot="1" x14ac:dyDescent="0.25">
      <c r="A22" s="29"/>
      <c r="C22" s="359" t="str">
        <f>IF(AND(U6=Y7,T6=X7),AO23,IF(AND(U6=Y7,T6=X9),AO23,""))</f>
        <v>UK NA factors:</v>
      </c>
      <c r="D22" s="90" t="str">
        <f>AA26</f>
        <v>I</v>
      </c>
      <c r="E22" s="263">
        <v>0.01</v>
      </c>
      <c r="F22" s="344">
        <v>1</v>
      </c>
      <c r="M22" s="33"/>
      <c r="N22" s="14"/>
      <c r="O22" s="15"/>
      <c r="Q22" s="52"/>
      <c r="R22" s="53"/>
      <c r="S22" s="53"/>
      <c r="T22" s="53"/>
      <c r="U22" s="54"/>
      <c r="V22" s="14"/>
      <c r="W22" s="15"/>
      <c r="X22" s="13" t="s">
        <v>51</v>
      </c>
      <c r="AF22" s="162" t="s">
        <v>139</v>
      </c>
      <c r="AL22" s="1"/>
      <c r="AM22" s="13" t="s">
        <v>245</v>
      </c>
      <c r="AN22" s="13">
        <f>IF(T19&lt;=10,1+0.001*AN21,1+0.001*AN21*(10/T19)^0.2)</f>
        <v>1.0054596761999939</v>
      </c>
      <c r="AP22" s="29"/>
      <c r="AQ22" s="1"/>
      <c r="AR22" s="1"/>
      <c r="AS22" s="1"/>
      <c r="AT22" s="1"/>
      <c r="AU22" s="114">
        <f>($AU$21)^2*(1+7/LN('Vėjo slėgio skaičiuoklė'!$T$18/$AP$14))</f>
        <v>2.7516095901075279</v>
      </c>
      <c r="AV22" s="1"/>
      <c r="AW22" s="1"/>
      <c r="AX22" s="1"/>
      <c r="AY22" s="1"/>
      <c r="AZ22" s="1"/>
      <c r="BA22" s="1"/>
      <c r="BB22" s="1"/>
      <c r="BC22" s="1"/>
      <c r="BD22" s="6"/>
      <c r="BE22" s="1"/>
      <c r="DS22" s="14"/>
      <c r="EC22" s="14"/>
      <c r="ED22" s="15"/>
      <c r="EO22" s="14"/>
      <c r="EP22" s="15"/>
      <c r="EZ22" s="14"/>
      <c r="FA22" s="15"/>
    </row>
    <row r="23" spans="1:157" x14ac:dyDescent="0.2">
      <c r="A23" s="29"/>
      <c r="C23" s="358" t="str">
        <f>IF(AND(U6=Y7,T6=X7),CONCATENATE(Q26," = ",P26),IF(AND(U6=Y7,T6=X9),CONCATENATE(Q26," = ",P26),""))</f>
        <v>Ce(z) = 3.79</v>
      </c>
      <c r="D23" s="90" t="str">
        <f>AA27</f>
        <v>II</v>
      </c>
      <c r="E23" s="263">
        <v>0.05</v>
      </c>
      <c r="F23" s="344">
        <v>2</v>
      </c>
      <c r="M23" s="33"/>
      <c r="N23" s="14"/>
      <c r="O23" s="15"/>
      <c r="P23" s="151" t="str">
        <f>IF(OR(T6=X7,T6=X9),"Input only, if selected algorithm [UK NA]:","")</f>
        <v>Input only, if selected algorithm [UK NA]:</v>
      </c>
      <c r="V23" s="14"/>
      <c r="W23" s="15"/>
      <c r="AF23" s="162"/>
      <c r="AL23" s="1"/>
      <c r="AO23" s="13" t="s">
        <v>286</v>
      </c>
      <c r="AP23" s="29"/>
      <c r="AQ23" s="1"/>
      <c r="AR23" s="1"/>
      <c r="AS23" s="1"/>
      <c r="AT23" s="1"/>
      <c r="AU23" s="114"/>
      <c r="AV23" s="1"/>
      <c r="AW23" s="1"/>
      <c r="AX23" s="1"/>
      <c r="AY23" s="1"/>
      <c r="AZ23" s="1"/>
      <c r="BA23" s="1"/>
      <c r="BB23" s="1"/>
      <c r="BC23" s="1"/>
      <c r="BD23" s="6"/>
      <c r="BE23" s="1"/>
      <c r="DS23" s="14"/>
      <c r="EC23" s="14"/>
      <c r="ED23" s="15"/>
      <c r="EO23" s="14"/>
      <c r="EP23" s="15"/>
      <c r="EZ23" s="14"/>
      <c r="FA23" s="15"/>
    </row>
    <row r="24" spans="1:157" x14ac:dyDescent="0.2">
      <c r="A24" s="29"/>
      <c r="C24" s="129" t="str">
        <f>IF(AND(U6=Y7,T6=X7),CONCATENATE(Q27," = ",P27),IF(AND(U6=Y7,T6=X9),CONCATENATE(Q27," = ",P27),""))</f>
        <v>Ce,T = 1</v>
      </c>
      <c r="D24" s="90" t="str">
        <f>AA28</f>
        <v>III</v>
      </c>
      <c r="E24" s="263">
        <v>0.3</v>
      </c>
      <c r="F24" s="344">
        <v>5</v>
      </c>
      <c r="G24" s="29" t="str">
        <f>IF($T$2=$X$27,"Schema 1: Pastato skaičuojamosios schemos geometriniai parametrai.",IF($T$2=$X$28,"Figure 1: The building computational scheme parameters.","   "))</f>
        <v>Figure 1: The building computational scheme parameters.</v>
      </c>
      <c r="M24" s="33"/>
      <c r="N24" s="14"/>
      <c r="O24" s="15"/>
      <c r="P24" s="48">
        <f>IF(AND(U6=Y7,T6=X7),ROUND(AN22,3),IF(AND(U6=Y7,T6=X9),ROUND(AN22,3),""))</f>
        <v>1.0049999999999999</v>
      </c>
      <c r="Q24" s="323" t="str">
        <f>IF(AND(U6=Y7,T6=X7),AM22,IF(AND(U6=Y7,T6=X9),AM22,""))</f>
        <v>Calt</v>
      </c>
      <c r="R24" s="323" t="str">
        <f ca="1">IF(AND(U6=Y7,T6=X7),CONCATENATE("vb0*=",ROUND(AU8,2),"m/s"),IF(AND(U6=Y7,T6=X9),CONCATENATE("vb0*=",ROUND(AU8,2),"m/s"),""))</f>
        <v>vb0*=22.12m/s</v>
      </c>
      <c r="V24" s="14"/>
      <c r="W24" s="15"/>
      <c r="X24" s="10">
        <v>1.5</v>
      </c>
      <c r="AA24" s="1" t="s">
        <v>255</v>
      </c>
      <c r="AB24" s="1" t="s">
        <v>256</v>
      </c>
      <c r="AC24" s="1" t="s">
        <v>257</v>
      </c>
      <c r="AF24" s="57" t="s">
        <v>84</v>
      </c>
      <c r="AG24" s="129" t="s">
        <v>21</v>
      </c>
      <c r="AH24" s="129" t="s">
        <v>22</v>
      </c>
      <c r="AI24" s="129" t="s">
        <v>23</v>
      </c>
      <c r="AJ24" s="129" t="s">
        <v>24</v>
      </c>
      <c r="AK24" s="55" t="s">
        <v>25</v>
      </c>
      <c r="AL24" s="1"/>
      <c r="AM24" s="1" t="s">
        <v>250</v>
      </c>
      <c r="AN24" s="1">
        <v>3.5</v>
      </c>
      <c r="AO24" s="1"/>
      <c r="AP24" s="5"/>
      <c r="AQ24" s="1"/>
      <c r="AR24" s="1"/>
      <c r="AS24" s="1"/>
      <c r="AT24" s="1" t="str">
        <f>AC24</f>
        <v>zmin, m</v>
      </c>
      <c r="AU24" s="115">
        <f>VLOOKUP($T$10,$AA$25:$AC$29,3,FALSE)</f>
        <v>10</v>
      </c>
      <c r="AV24" s="1"/>
      <c r="AW24" s="1"/>
      <c r="AX24" s="1"/>
      <c r="AY24" s="1"/>
      <c r="AZ24" s="1"/>
      <c r="BA24" s="1"/>
      <c r="BB24" s="1"/>
      <c r="BC24" s="1"/>
      <c r="BD24" s="6"/>
      <c r="BE24" s="1"/>
      <c r="DS24" s="14"/>
      <c r="EC24" s="14"/>
      <c r="ED24" s="15"/>
      <c r="EO24" s="14"/>
      <c r="EP24" s="15"/>
      <c r="EZ24" s="14"/>
      <c r="FA24" s="15"/>
    </row>
    <row r="25" spans="1:157" x14ac:dyDescent="0.2">
      <c r="A25" s="55"/>
      <c r="B25" s="56"/>
      <c r="C25" s="56" t="str">
        <f ca="1">IF(AND(U6=Y7,T6=X7),CONCATENATE("vb0*=",ROUND(AU8,2),"m/s"),IF(AND(U6=Y7,T6=X9),CONCATENATE("vb0*=",ROUND(AU8,2),"m/s"),""))</f>
        <v>vb0*=22.12m/s</v>
      </c>
      <c r="D25" s="342" t="str">
        <f>AA29</f>
        <v>IV</v>
      </c>
      <c r="E25" s="343">
        <v>1</v>
      </c>
      <c r="F25" s="345">
        <v>10</v>
      </c>
      <c r="G25" s="56"/>
      <c r="H25" s="56"/>
      <c r="I25" s="56"/>
      <c r="J25" s="56"/>
      <c r="K25" s="56"/>
      <c r="L25" s="56"/>
      <c r="M25" s="57"/>
      <c r="N25" s="14"/>
      <c r="O25" s="15"/>
      <c r="P25" s="277">
        <v>8.3000000000000007</v>
      </c>
      <c r="Q25" s="333" t="str">
        <f>IF(AND(U6=Y7,T6=X7),AM21,IF(AND(U6=Y7,T6=X9),AM21,""))</f>
        <v>Altitude A, m</v>
      </c>
      <c r="R25" s="334" t="str">
        <f>IF(AND(U6=Y7,T6=X7),"(input)",IF(AND(U6=Y7,T6=X9),"(input)",""))</f>
        <v>(input)</v>
      </c>
      <c r="S25" s="58" t="str">
        <f>IF($T$2=$X$27,"Įtakos zonos ploto skaičiuoklė:",IF($T$2=$X$28,"Influence zone area calculator:","   "))</f>
        <v>Influence zone area calculator:</v>
      </c>
      <c r="T25" s="59"/>
      <c r="U25" s="60"/>
      <c r="V25" s="14"/>
      <c r="W25" s="15"/>
      <c r="AA25" s="136" t="str">
        <f>$X16</f>
        <v>O</v>
      </c>
      <c r="AB25" s="3">
        <f>E21</f>
        <v>3.0000000000000001E-3</v>
      </c>
      <c r="AC25" s="4">
        <f>F21</f>
        <v>1</v>
      </c>
      <c r="AF25" s="149">
        <f>'Vėjo slėgio skaičiuoklė'!$T$19/'Vėjo slėgio skaičiuoklė'!$T$21</f>
        <v>2.9</v>
      </c>
      <c r="AG25" s="144">
        <f>IF(Table1012[Santykis]&lt;=$AF$17,AG$17,IF(AND(Table1012[Santykis]&gt;$AF$17,Table1012[Santykis]&lt;$AF$16),AG$17+(((AG$17-AG$16)/($AF$17-$AF$16))*(Table1012[Santykis]+$AF$17)),IF(Table1012[Santykis]=$AF$16,AG$16,IF(AND(Table1012[Santykis]&gt;$AF$16,Table1012[Santykis]&lt;$AF$15),AG$16+(((AG$16-AG$15)/($AF$16-$AF$15))*(Table1012[Santykis]+$AF$16)),IF(Table1012[Santykis]&gt;=$AF$15,AG$15,"wtp?")))))</f>
        <v>-1.2</v>
      </c>
      <c r="AH25" s="144">
        <f>IF(Table1012[Santykis]&lt;=$AF$17,AH$17,IF(AND(Table1012[Santykis]&gt;$AF$17,Table1012[Santykis]&lt;$AF$16),AH$17+(((AH$17-AH$16)/($AF$17-$AF$16))*(Table1012[Santykis]+$AF$17)),IF(Table1012[Santykis]=$AF$16,AH$16,IF(AND(Table1012[Santykis]&gt;$AF$16,Table1012[Santykis]&lt;$AF$15),AH$16+(((AH$16-AH$15)/($AF$16-$AF$15))*(Table1012[Santykis]+$AF$16)),IF(Table1012[Santykis]&gt;=$AF$15,AH$15,"wtp?")))))</f>
        <v>-0.8</v>
      </c>
      <c r="AI25" s="144">
        <f>IF(Table1012[Santykis]&lt;=$AF$17,AI$17,IF(AND(Table1012[Santykis]&gt;$AF$17,Table1012[Santykis]&lt;$AF$16),AI$17+(((AI$17-AI$16)/($AF$17-$AF$16))*(Table1012[Santykis]+$AF$17)),IF(Table1012[Santykis]=$AF$16,AI$16,IF(AND(Table1012[Santykis]&gt;$AF$16,Table1012[Santykis]&lt;$AF$15),AI$16+(((AI$16-AI$15)/($AF$16-$AF$15))*(Table1012[Santykis]+$AF$16)),IF(Table1012[Santykis]&gt;=$AF$15,AI$15,"wtp?")))))</f>
        <v>-0.5</v>
      </c>
      <c r="AJ25" s="144">
        <f>IF(Table1012[Santykis]&lt;=$AF$17,AJ$17,IF(AND(Table1012[Santykis]&gt;$AF$17,Table1012[Santykis]&lt;$AF$16),AJ$17+(((AJ$17-AJ$16)/($AF$17-$AF$16))*(Table1012[Santykis]-$AF$17)),IF(Table1012[Santykis]=$AF$16,AJ$16,IF(AND(Table1012[Santykis]&gt;$AF$16,Table1012[Santykis]&lt;$AF$15),AJ$16+(((AJ$16-AJ$15)/($AF$16-$AF$15))*(Table1012[Santykis]-$AF$16)),IF(Table1012[Santykis]&gt;=$AF$15,AJ$15,"wtp?")))))</f>
        <v>0.8</v>
      </c>
      <c r="AK25" s="145">
        <f>IF(Table1012[Santykis]&lt;=$AF$17,AK$17,IF(AND(Table1012[Santykis]&gt;$AF$17,Table1012[Santykis]&lt;$AF$16),AK$17+(((AK$17-AK$16)/($AF$17-$AF$16))*(Table1012[Santykis]-$AF$17)),IF(Table1012[Santykis]=$AF$16,AK$16,IF(AND(Table1012[Santykis]&gt;$AF$16,Table1012[Santykis]&lt;$AF$15),AK$16+(((AK$16-AK$15)/($AF$16-$AF$15))*(Table1012[Santykis]-$AF$16)),IF(Table1012[Santykis]&gt;=$AF$15,AK$15,"wtp?")))))</f>
        <v>-0.59499999999999997</v>
      </c>
      <c r="AL25" s="146"/>
      <c r="AM25" s="1" t="s">
        <v>251</v>
      </c>
      <c r="AN25" s="146">
        <v>1</v>
      </c>
      <c r="AO25" s="1"/>
      <c r="AP25" s="5"/>
      <c r="AQ25" s="1"/>
      <c r="AR25" s="1"/>
      <c r="AS25" s="1"/>
      <c r="AT25" s="1"/>
      <c r="AU25" s="1"/>
      <c r="AV25" s="1"/>
      <c r="AW25" s="1"/>
      <c r="AX25" s="1"/>
      <c r="AY25" s="1"/>
      <c r="AZ25" s="1"/>
      <c r="BA25" s="1"/>
      <c r="BB25" s="1"/>
      <c r="BC25" s="1"/>
      <c r="BD25" s="6"/>
      <c r="BE25" s="1"/>
      <c r="DS25" s="14"/>
      <c r="EC25" s="14"/>
      <c r="ED25" s="15"/>
      <c r="EO25" s="14"/>
      <c r="EP25" s="15"/>
      <c r="EZ25" s="14"/>
      <c r="FA25" s="15"/>
    </row>
    <row r="26" spans="1:157" x14ac:dyDescent="0.2">
      <c r="B26" s="157"/>
      <c r="N26" s="14"/>
      <c r="O26" s="15"/>
      <c r="P26" s="357">
        <v>3.79</v>
      </c>
      <c r="Q26" s="333" t="str">
        <f>IF(AND(U6=Y7,T6=X7),AM24,IF(AND(U6=Y7,T6=X9),AM24,""))</f>
        <v>Ce(z)</v>
      </c>
      <c r="R26" s="334" t="str">
        <f>IF(AND(U6=Y7,T6=X7),"(input)",IF(AND(U6=Y7,T6=X9),"(input)",""))</f>
        <v>(input)</v>
      </c>
      <c r="S26" s="61" t="str">
        <f>IF($T$2=$X$27,"Aukštis:",IF($T$2=$X$28,"Height:","   "))</f>
        <v>Height:</v>
      </c>
      <c r="T26" s="99">
        <v>5</v>
      </c>
      <c r="U26" s="62" t="s">
        <v>38</v>
      </c>
      <c r="V26" s="14"/>
      <c r="W26" s="15"/>
      <c r="X26" s="13" t="s">
        <v>152</v>
      </c>
      <c r="AA26" s="11" t="str">
        <f>$X17</f>
        <v>I</v>
      </c>
      <c r="AB26" s="1">
        <f t="shared" ref="AB26:AC26" si="2">E22</f>
        <v>0.01</v>
      </c>
      <c r="AC26" s="6">
        <f t="shared" si="2"/>
        <v>1</v>
      </c>
      <c r="AE26" s="13" t="s">
        <v>155</v>
      </c>
      <c r="AF26" s="13">
        <f>AF28/4</f>
        <v>6.5</v>
      </c>
      <c r="AG26" s="149" cm="1">
        <f t="array" ref="AG26">Table1012[A]</f>
        <v>-1.2</v>
      </c>
      <c r="AH26" s="227" cm="1">
        <f t="array" ref="AH26">Table1012[B]</f>
        <v>-0.8</v>
      </c>
      <c r="AI26" s="227" cm="1">
        <f t="array" ref="AI26">Table1012[C]</f>
        <v>-0.5</v>
      </c>
      <c r="AJ26" s="146"/>
      <c r="AK26" s="146"/>
      <c r="AL26" s="146"/>
      <c r="AM26" s="355" t="s">
        <v>264</v>
      </c>
      <c r="AN26" s="146" t="str">
        <f>IF(U6=Y8,"10","")</f>
        <v/>
      </c>
      <c r="AO26" s="1" t="s">
        <v>266</v>
      </c>
      <c r="AP26" s="5"/>
      <c r="AQ26" s="1" t="s">
        <v>14</v>
      </c>
      <c r="AR26" s="1"/>
      <c r="AS26" s="1"/>
      <c r="AT26" s="1"/>
      <c r="AU26" s="117">
        <f ca="1">$AU$17*($AU$21)^2*(1+7/LN('Vėjo slėgio skaičiuoklė'!$T$18/$AP$14))</f>
        <v>0.81638055250818264</v>
      </c>
      <c r="AV26" s="1" t="s">
        <v>5</v>
      </c>
      <c r="AW26" s="1">
        <f>(1+7/LN('Vėjo slėgio skaičiuoklė'!$T$18/$AP$14))</f>
        <v>2.5920252282572882</v>
      </c>
      <c r="AX26" s="1"/>
      <c r="AY26" s="1"/>
      <c r="AZ26" s="1"/>
      <c r="BA26" s="1"/>
      <c r="BB26" s="1"/>
      <c r="BC26" s="1"/>
      <c r="BD26" s="6"/>
      <c r="BE26" s="1"/>
      <c r="DS26" s="14"/>
      <c r="EC26" s="14"/>
      <c r="ED26" s="15"/>
      <c r="EO26" s="14"/>
      <c r="EP26" s="15"/>
      <c r="EZ26" s="14"/>
      <c r="FA26" s="15"/>
    </row>
    <row r="27" spans="1:157" x14ac:dyDescent="0.2">
      <c r="A27" s="25"/>
      <c r="B27" s="158" t="str">
        <f>IF($T$2=$X$27,"Rezultatai:",IF($T$2=$X$28,"
Results:","   "))</f>
        <v xml:space="preserve">
Results:</v>
      </c>
      <c r="C27" s="26"/>
      <c r="D27" s="26"/>
      <c r="E27" s="26"/>
      <c r="F27" s="26"/>
      <c r="G27" s="26"/>
      <c r="H27" s="26"/>
      <c r="I27" s="26"/>
      <c r="J27" s="26"/>
      <c r="K27" s="26"/>
      <c r="L27" s="26"/>
      <c r="M27" s="27"/>
      <c r="N27" s="14"/>
      <c r="O27" s="15"/>
      <c r="P27" s="357">
        <v>1</v>
      </c>
      <c r="Q27" s="333" t="str">
        <f>IF(AND(U6=Y7,T6=X7),AM25,IF(AND(U6=Y7,T6=X9),AM25,""))</f>
        <v>Ce,T</v>
      </c>
      <c r="R27" s="334" t="str">
        <f>IF(AND(U6=Y7,T6=X7),"(input)",IF(AND(U6=Y7,T6=X9),"(input)",""))</f>
        <v>(input)</v>
      </c>
      <c r="S27" s="61" t="str">
        <f>IF($T$2=$X$27,"Plotis:",IF($T$2=$X$28,"Width:","   "))</f>
        <v>Width:</v>
      </c>
      <c r="T27" s="99">
        <v>2</v>
      </c>
      <c r="U27" s="62" t="s">
        <v>38</v>
      </c>
      <c r="V27" s="14"/>
      <c r="W27" s="15"/>
      <c r="X27" s="24" t="s">
        <v>150</v>
      </c>
      <c r="AA27" s="11" t="str">
        <f>$X18</f>
        <v>II</v>
      </c>
      <c r="AB27" s="1">
        <f t="shared" ref="AB27:AC29" si="3">E23</f>
        <v>0.05</v>
      </c>
      <c r="AC27" s="6">
        <f t="shared" si="3"/>
        <v>2</v>
      </c>
      <c r="AE27" s="13" t="s">
        <v>156</v>
      </c>
      <c r="AF27" s="13">
        <f>AF28/2</f>
        <v>13</v>
      </c>
      <c r="AG27" s="149">
        <v>-1.6</v>
      </c>
      <c r="AH27" s="227" cm="1">
        <f t="array" ref="AH27">IF(Table10[B]&lt;-0.8,Table10[B]-0.1,-0.9)</f>
        <v>-0.9</v>
      </c>
      <c r="AI27" s="227">
        <v>-0.9</v>
      </c>
      <c r="AJ27" s="146"/>
      <c r="AK27" s="146"/>
      <c r="AL27" s="146"/>
      <c r="AM27" s="355" t="s">
        <v>265</v>
      </c>
      <c r="AN27" s="146" t="str">
        <f>IF(U6=Y8,"2","")</f>
        <v/>
      </c>
      <c r="AO27" s="1" t="s">
        <v>266</v>
      </c>
      <c r="AP27" s="5"/>
      <c r="AQ27" s="1" t="s">
        <v>14</v>
      </c>
      <c r="AR27" s="1"/>
      <c r="AS27" s="1"/>
      <c r="AT27" s="1"/>
      <c r="AU27" s="117">
        <f ca="1">$AU$17*($AU$21)^2*(1+7/LN($AU$24/$AP$14))</f>
        <v>1.2724519422743894</v>
      </c>
      <c r="AV27" s="1" t="s">
        <v>5</v>
      </c>
      <c r="AW27" s="1"/>
      <c r="AX27" s="1"/>
      <c r="AY27" s="1"/>
      <c r="AZ27" s="1"/>
      <c r="BA27" s="1"/>
      <c r="BB27" s="1"/>
      <c r="BC27" s="1"/>
      <c r="BD27" s="6"/>
      <c r="BE27" s="1"/>
      <c r="DS27" s="14"/>
      <c r="EC27" s="14"/>
      <c r="ED27" s="15"/>
      <c r="EO27" s="14"/>
      <c r="EP27" s="15"/>
      <c r="EZ27" s="14"/>
      <c r="FA27" s="15"/>
    </row>
    <row r="28" spans="1:157" ht="15" x14ac:dyDescent="0.25">
      <c r="A28" s="29"/>
      <c r="B28" s="151" t="str">
        <f>$AA$4</f>
        <v>[ Without safety coefficient - CHARACTERISTIC (SLS) values ]</v>
      </c>
      <c r="M28" s="63"/>
      <c r="N28" s="14"/>
      <c r="O28" s="15"/>
      <c r="P28" s="357" t="s">
        <v>268</v>
      </c>
      <c r="Q28" s="333" t="str">
        <f>IF(U6=Y8,AM26,"")</f>
        <v/>
      </c>
      <c r="R28" s="334" t="str">
        <f>IF(U6=Y8,"km (input)","")</f>
        <v/>
      </c>
      <c r="S28" s="64" t="str">
        <f>IF($T$2=$X$27,"Plotas A:",IF($T$2=$X$28,"Area A:","   "))</f>
        <v>Area A:</v>
      </c>
      <c r="T28" s="65">
        <f>T26*T27</f>
        <v>10</v>
      </c>
      <c r="U28" s="66" t="s">
        <v>60</v>
      </c>
      <c r="V28" s="14"/>
      <c r="W28" s="15"/>
      <c r="X28" s="24" t="s">
        <v>151</v>
      </c>
      <c r="AA28" s="11" t="str">
        <f>$X19</f>
        <v>III</v>
      </c>
      <c r="AB28" s="1">
        <f t="shared" si="3"/>
        <v>0.3</v>
      </c>
      <c r="AC28" s="6">
        <f t="shared" si="3"/>
        <v>5</v>
      </c>
      <c r="AE28" s="13" t="s">
        <v>158</v>
      </c>
      <c r="AF28" s="13">
        <f>K90</f>
        <v>26</v>
      </c>
      <c r="AG28" s="149" cm="1">
        <f t="array" ref="AG28">Table1012[A]</f>
        <v>-1.2</v>
      </c>
      <c r="AH28" s="227" cm="1">
        <f t="array" ref="AH28">Table1012[B]</f>
        <v>-0.8</v>
      </c>
      <c r="AI28" s="227" cm="1">
        <f t="array" ref="AI28">Table1012[C]</f>
        <v>-0.5</v>
      </c>
      <c r="AJ28" s="146"/>
      <c r="AK28" s="146"/>
      <c r="AL28" s="146"/>
      <c r="AM28" s="146"/>
      <c r="AN28" s="146"/>
      <c r="AO28" s="1"/>
      <c r="AP28" s="5"/>
      <c r="AQ28" s="1" t="s">
        <v>69</v>
      </c>
      <c r="AR28" s="1"/>
      <c r="AS28" s="1"/>
      <c r="AT28" s="1"/>
      <c r="AU28" s="125">
        <f ca="1">IF('Vėjo slėgio skaičiuoklė'!$T$18&gt;=$AU$24,$AU$26,IF('Vėjo slėgio skaičiuoklė'!$T$18&lt;=$AU$24,$AU$27))</f>
        <v>0.81638055250818264</v>
      </c>
      <c r="AV28" s="1"/>
      <c r="AW28" s="113" t="s">
        <v>20</v>
      </c>
      <c r="AX28" s="1"/>
      <c r="AY28" s="1"/>
      <c r="AZ28" s="1"/>
      <c r="BA28" s="1"/>
      <c r="BB28" s="1"/>
      <c r="BC28" s="1"/>
      <c r="BD28" s="6"/>
      <c r="BE28" s="1"/>
      <c r="DS28" s="14"/>
      <c r="EC28" s="14"/>
      <c r="ED28" s="15"/>
      <c r="EO28" s="14"/>
      <c r="EP28" s="15"/>
      <c r="EZ28" s="14"/>
      <c r="FA28" s="15"/>
    </row>
    <row r="29" spans="1:157" ht="15" x14ac:dyDescent="0.2">
      <c r="A29" s="29"/>
      <c r="B29" s="389" t="str">
        <f>IF($T$2=$X$27,"Oro slėgis - Qp, aukštyje z",IF($T$2=$X$28,"Air pressure - Qp, on height z","   "))</f>
        <v>Air pressure - Qp, on height z</v>
      </c>
      <c r="C29" s="389"/>
      <c r="D29" s="193" t="str">
        <f ca="1">IFERROR(CONCATENATE(ROUND(IF($T$15&lt;&gt;$AD$35,$AM$3*$T$13,$AM$3),3)," kN/m²"),"-")</f>
        <v>1.137 kN/m²</v>
      </c>
      <c r="M29" s="67"/>
      <c r="N29" s="14"/>
      <c r="O29" s="15"/>
      <c r="P29" s="357" t="s">
        <v>268</v>
      </c>
      <c r="Q29" s="333" t="str">
        <f>IF(U6=Y8,AM27,"")</f>
        <v/>
      </c>
      <c r="R29" s="334" t="str">
        <f>IF(U6=Y8,"km (input)","")</f>
        <v/>
      </c>
      <c r="S29" s="307" t="str">
        <f>IF(OR(T6=X7,T6=X9),"Area A (for UK):","")</f>
        <v>Area A (for UK):</v>
      </c>
      <c r="T29" s="309">
        <f>IF(OR(T6=X7,T6=X9),10,"")</f>
        <v>10</v>
      </c>
      <c r="U29" s="308" t="str">
        <f>IF(OR(T6=X7,T6=X9),"m²","")</f>
        <v>m²</v>
      </c>
      <c r="V29" s="14"/>
      <c r="W29" s="15"/>
      <c r="AA29" s="137" t="str">
        <f>$X20</f>
        <v>IV</v>
      </c>
      <c r="AB29" s="8">
        <f t="shared" si="3"/>
        <v>1</v>
      </c>
      <c r="AC29" s="9">
        <f t="shared" si="3"/>
        <v>10</v>
      </c>
      <c r="AE29" s="13" t="s">
        <v>157</v>
      </c>
      <c r="AF29" s="13">
        <f>K91</f>
        <v>19</v>
      </c>
      <c r="AG29" s="149">
        <f>IF(AND($AF$26&lt;=$AF$29, $AF$29&lt;=$AF$27), AG26+(AG27-AG26)*($AF$29-$AF$26)/($AF$27-$AF$26),IF(AND($AF$27&lt;=$AF$29, $AF$29&lt;=$AF$28), AG28+(AG27-AG28)*($AF$28-$AF$29)/($AF$28-$AF$27),AG28))</f>
        <v>-1.4153846153846155</v>
      </c>
      <c r="AH29" s="227">
        <f>IF(AND($AF$26&lt;=$AF$29, $AF$29&lt;=$AF$27), AH26+(AH27-AH26)*($AF$29-$AF$26)/($AF$27-$AF$26),IF(AND($AF$27&lt;=$AF$29, $AF$29&lt;=$AF$28), AH28+(AH27-AH28)*($AF$28-$AF$29)/($AF$28-$AF$27),AH28))</f>
        <v>-0.85384615384615392</v>
      </c>
      <c r="AI29" s="227">
        <f>IF(AND($AF$26&lt;=$AF$29, $AF$29&lt;=$AF$27), AI26+(AI27-AI26)*($AF$29-$AF$26)/($AF$27-$AF$26),IF(AND($AF$27&lt;=$AF$29, $AF$29&lt;=$AF$28), AI28+(AI27-AI28)*($AF$28-$AF$29)/($AF$28-$AF$27),AI28))</f>
        <v>-0.7153846153846154</v>
      </c>
      <c r="AJ29" s="146"/>
      <c r="AK29" s="146"/>
      <c r="AL29" s="146"/>
      <c r="AM29" s="146"/>
      <c r="AN29" s="146"/>
      <c r="AO29" s="1"/>
      <c r="AP29" s="7"/>
      <c r="AQ29" s="1" t="s">
        <v>247</v>
      </c>
      <c r="AR29" s="8"/>
      <c r="AS29" s="8"/>
      <c r="AT29" s="8"/>
      <c r="AU29" s="118">
        <f ca="1">P26*P27*AU18</f>
        <v>1.1367746023193206</v>
      </c>
      <c r="AV29" s="8"/>
      <c r="AW29" s="119"/>
      <c r="AX29" s="8"/>
      <c r="AY29" s="8"/>
      <c r="AZ29" s="8"/>
      <c r="BA29" s="8"/>
      <c r="BB29" s="8"/>
      <c r="BC29" s="8"/>
      <c r="BD29" s="9"/>
      <c r="BE29" s="1"/>
      <c r="DS29" s="14"/>
      <c r="EC29" s="14"/>
      <c r="ED29" s="15"/>
      <c r="EO29" s="14"/>
      <c r="EP29" s="15"/>
      <c r="EZ29" s="14"/>
      <c r="FA29" s="15"/>
    </row>
    <row r="30" spans="1:157" ht="15" x14ac:dyDescent="0.2">
      <c r="A30" s="29"/>
      <c r="B30" s="13" t="str">
        <f>IF($T$2=$X$27,"Išorinis (Ext) slėgis į fasadą, stiklo paketus, išorines apdailines skardas.",IF($T$2=$X$28,"External (Ext) preasure on Curtain walling, Glass units, External panels.","   "))</f>
        <v>External (Ext) preasure on Curtain walling, Glass units, External panels.</v>
      </c>
      <c r="M30" s="67"/>
      <c r="N30" s="14"/>
      <c r="O30" s="15"/>
      <c r="S30" s="246"/>
      <c r="T30" s="248"/>
      <c r="U30" s="306" t="str">
        <f>IF(OR(T6=X7,T6=X9),IF($T$2=$X$28,"If Country UK, by NA Cpe1=Cpe10, A=10m2 must always be entered in this calculator !","Jei pasirinkta šalis UK, pagal NA Cpe1=Cpe10, A=10m2 privalo būti įvesta skaičiuoklėje!"),"")</f>
        <v>If Country UK, by NA Cpe1=Cpe10, A=10m2 must always be entered in this calculator !</v>
      </c>
      <c r="V30" s="14"/>
      <c r="W30" s="15"/>
      <c r="AA30" s="138"/>
      <c r="AB30" s="1"/>
      <c r="AC30" s="1"/>
      <c r="AE30" s="294" t="s">
        <v>48</v>
      </c>
      <c r="AF30" s="294"/>
      <c r="AG30" s="295">
        <f>IF($C$80=X91,AG28,IF($C$80=X92,AG28+(AG27-AG28)/4,IF($C$80=X93,AG31,IF($C$80=X94,AG28+3*(AG27-AG28)/4,IF($C$80=X95,AG27,IF($C$80=X96,AG29))))))</f>
        <v>-1.4153846153846155</v>
      </c>
      <c r="AH30" s="296">
        <f>IF($C$80=X91,AH28,IF($C$80=X92,AH28+(AH27-AH28)/4,IF($C$80=X93,AH31,IF($C$80=X94,AH28+3*(AH27-AH28)/4,IF($C$80=X95,AH27,IF($C$80=X96,AH29))))))</f>
        <v>-0.85384615384615392</v>
      </c>
      <c r="AI30" s="296">
        <f>IF($C$80=X91,AI28,IF($C$80=X92,AI28+(AI27-AI28)/4,IF($C$80=X93,AI31,IF($C$80=X94,AI28+3*(AI27-AI28)/4,IF($C$80=X95,AI27,IF($C$80=X96,AI29))))))</f>
        <v>-0.7153846153846154</v>
      </c>
      <c r="AJ30" s="146"/>
      <c r="AK30" s="146"/>
      <c r="AL30" s="146"/>
      <c r="AM30" s="146"/>
      <c r="AN30" s="146"/>
      <c r="AO30" s="1"/>
      <c r="AP30" s="1"/>
      <c r="AQ30" s="1"/>
      <c r="AR30" s="1"/>
      <c r="AS30" s="1"/>
      <c r="AT30" s="1"/>
      <c r="AU30" s="147"/>
      <c r="AV30" s="1"/>
      <c r="AW30" s="113"/>
      <c r="AX30" s="1"/>
      <c r="AY30" s="1"/>
      <c r="AZ30" s="1"/>
      <c r="BA30" s="1"/>
      <c r="BB30" s="1"/>
      <c r="BC30" s="1"/>
      <c r="BD30" s="1"/>
      <c r="BE30" s="1"/>
      <c r="DS30" s="14"/>
      <c r="EC30" s="14"/>
      <c r="ED30" s="15"/>
      <c r="EO30" s="14"/>
      <c r="EP30" s="15"/>
      <c r="EZ30" s="14"/>
      <c r="FA30" s="15"/>
    </row>
    <row r="31" spans="1:157" ht="15.75" thickBot="1" x14ac:dyDescent="0.3">
      <c r="A31" s="29"/>
      <c r="B31" s="13" t="str">
        <f>IF($T$2=$X$27,"Vėjo apkrovų reikšmės pagal pastato zonas:",IF($T$2=$X$28,"Wind load values according to the building zones:","   "))</f>
        <v>Wind load values according to the building zones:</v>
      </c>
      <c r="M31" s="68"/>
      <c r="N31" s="14"/>
      <c r="O31" s="69"/>
      <c r="P31" s="70"/>
      <c r="Q31" s="70"/>
      <c r="R31" s="70"/>
      <c r="S31" s="70"/>
      <c r="T31" s="70"/>
      <c r="V31" s="153"/>
      <c r="W31" s="69"/>
      <c r="X31" s="70"/>
      <c r="Y31" s="70"/>
      <c r="Z31" s="70"/>
      <c r="AA31" s="70"/>
      <c r="AB31" s="70"/>
      <c r="AC31" s="70"/>
      <c r="AD31" s="70"/>
      <c r="AE31" s="13" t="s">
        <v>184</v>
      </c>
      <c r="AG31" s="13">
        <f>(AG28+AG27)/2</f>
        <v>-1.4</v>
      </c>
      <c r="AH31" s="13">
        <f>(AH28+AH27)/2</f>
        <v>-0.85000000000000009</v>
      </c>
      <c r="AI31" s="13">
        <f>(AI28+AI27)/2</f>
        <v>-0.7</v>
      </c>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t="s">
        <v>167</v>
      </c>
      <c r="BQ31" s="70"/>
      <c r="BR31" s="70"/>
      <c r="BS31" s="70"/>
      <c r="BT31" s="70"/>
      <c r="BU31" s="70"/>
      <c r="BV31" s="70"/>
      <c r="BW31" s="70"/>
      <c r="BX31" s="70"/>
      <c r="BY31" s="70"/>
      <c r="BZ31" s="70"/>
      <c r="CA31" s="70"/>
      <c r="CB31" s="70"/>
      <c r="CC31" s="70"/>
      <c r="CD31" s="70"/>
      <c r="CE31" s="70"/>
      <c r="CF31" s="70"/>
      <c r="CG31" s="70"/>
      <c r="CH31" s="70"/>
      <c r="CI31" s="70"/>
      <c r="CJ31" s="70"/>
      <c r="CK31" s="70"/>
      <c r="CL31" s="70"/>
      <c r="CM31" s="70"/>
      <c r="CN31" s="70"/>
      <c r="CO31" s="70"/>
      <c r="CP31" s="70"/>
      <c r="CQ31" s="70" t="s">
        <v>281</v>
      </c>
      <c r="CR31" s="70"/>
      <c r="CS31" s="70"/>
      <c r="CT31" s="70"/>
      <c r="CU31" s="70"/>
      <c r="CV31" s="70"/>
      <c r="CW31" s="70"/>
      <c r="CX31" s="70"/>
      <c r="CY31" s="70"/>
      <c r="CZ31" s="70"/>
      <c r="DA31" s="70"/>
      <c r="DB31" s="70"/>
      <c r="DC31" s="70"/>
      <c r="DD31" s="70"/>
      <c r="DE31" s="70"/>
      <c r="DF31" s="70"/>
      <c r="DG31" s="70"/>
      <c r="DH31" s="70"/>
      <c r="DI31" s="70"/>
      <c r="DJ31" s="70"/>
      <c r="DK31" s="70"/>
      <c r="DL31" s="70"/>
      <c r="DM31" s="70"/>
      <c r="DN31" s="70"/>
      <c r="DO31" s="70"/>
      <c r="DP31" s="70"/>
      <c r="DQ31" s="70"/>
      <c r="DR31" s="70"/>
      <c r="DS31" s="153"/>
      <c r="DT31" s="70"/>
      <c r="DU31" s="70"/>
      <c r="DV31" s="70"/>
      <c r="DW31" s="70"/>
      <c r="DX31" s="70"/>
      <c r="DY31" s="70"/>
      <c r="DZ31" s="70"/>
      <c r="EA31" s="70"/>
      <c r="EB31" s="70"/>
      <c r="EC31" s="153"/>
      <c r="ED31" s="15"/>
      <c r="EO31" s="14"/>
      <c r="EP31" s="15"/>
      <c r="EZ31" s="14"/>
      <c r="FA31" s="15"/>
    </row>
    <row r="32" spans="1:157" ht="13.5" thickTop="1" x14ac:dyDescent="0.2">
      <c r="A32" s="29"/>
      <c r="B32" s="148"/>
      <c r="C32" s="302" t="s">
        <v>235</v>
      </c>
      <c r="D32" s="399" t="str">
        <f>IF($T$2=$X$27,"Aukšto zonos",IF($T$2=$X$28,"Floor zones","   "))</f>
        <v>Floor zones</v>
      </c>
      <c r="E32" s="400"/>
      <c r="F32" s="401"/>
      <c r="G32" s="48" t="s">
        <v>216</v>
      </c>
      <c r="M32" s="126"/>
      <c r="N32" s="14"/>
      <c r="O32" s="71"/>
      <c r="P32" s="73"/>
      <c r="Q32" s="73"/>
      <c r="R32" s="73"/>
      <c r="S32" s="73"/>
      <c r="T32" s="73"/>
      <c r="U32" s="73"/>
      <c r="V32" s="154"/>
      <c r="W32" s="71"/>
      <c r="X32" s="72" t="str">
        <f>T6</f>
        <v>UK</v>
      </c>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3"/>
      <c r="BG32" s="74" t="s">
        <v>44</v>
      </c>
      <c r="BH32" s="74"/>
      <c r="BI32" s="73"/>
      <c r="BJ32" s="73"/>
      <c r="BK32" s="73"/>
      <c r="BL32" s="73"/>
      <c r="BM32" s="73"/>
      <c r="BN32" s="73" t="str">
        <f>BG32</f>
        <v>LT</v>
      </c>
      <c r="BO32" s="73"/>
      <c r="BP32" s="74" t="s">
        <v>154</v>
      </c>
      <c r="BQ32" s="74"/>
      <c r="BR32" s="73"/>
      <c r="BS32" s="73"/>
      <c r="BT32" s="73"/>
      <c r="BU32" s="73"/>
      <c r="BV32" s="73"/>
      <c r="BW32" s="73" t="str">
        <f>BP32</f>
        <v>EU</v>
      </c>
      <c r="BX32" s="73"/>
      <c r="BY32" s="74" t="s">
        <v>45</v>
      </c>
      <c r="BZ32" s="74"/>
      <c r="CA32" s="73"/>
      <c r="CB32" s="73"/>
      <c r="CC32" s="73"/>
      <c r="CD32" s="73"/>
      <c r="CE32" s="73"/>
      <c r="CF32" s="73" t="s">
        <v>45</v>
      </c>
      <c r="CG32" s="73"/>
      <c r="CH32" s="74" t="s">
        <v>47</v>
      </c>
      <c r="CI32" s="74"/>
      <c r="CJ32" s="73"/>
      <c r="CK32" s="73"/>
      <c r="CL32" s="73"/>
      <c r="CM32" s="73"/>
      <c r="CN32" s="73"/>
      <c r="CO32" s="73" t="str">
        <f>CH32</f>
        <v>UK</v>
      </c>
      <c r="CP32" s="73"/>
      <c r="CQ32" s="74" t="s">
        <v>273</v>
      </c>
      <c r="CR32" s="74"/>
      <c r="CS32" s="73"/>
      <c r="CT32" s="73"/>
      <c r="CU32" s="73"/>
      <c r="CV32" s="73"/>
      <c r="CW32" s="73"/>
      <c r="CX32" s="73" t="str">
        <f>CQ32</f>
        <v>NL</v>
      </c>
      <c r="CY32" s="73"/>
      <c r="CZ32" s="74" t="s">
        <v>46</v>
      </c>
      <c r="DA32" s="74"/>
      <c r="DB32" s="73"/>
      <c r="DC32" s="73"/>
      <c r="DD32" s="73"/>
      <c r="DE32" s="73"/>
      <c r="DF32" s="73"/>
      <c r="DG32" s="73" t="str">
        <f>CZ32</f>
        <v>NO</v>
      </c>
      <c r="DH32" s="73"/>
      <c r="DI32" s="73"/>
      <c r="DJ32" s="73"/>
      <c r="DK32" s="73"/>
      <c r="DL32" s="73"/>
      <c r="DM32" s="73"/>
      <c r="DN32" s="73"/>
      <c r="DO32" s="73"/>
      <c r="DP32" s="73"/>
      <c r="DQ32" s="73"/>
      <c r="DR32" s="73"/>
      <c r="DS32" s="154"/>
      <c r="DT32" s="73"/>
      <c r="DU32" s="73"/>
      <c r="DV32" s="73"/>
      <c r="DW32" s="73"/>
      <c r="DX32" s="73"/>
      <c r="DY32" s="73"/>
      <c r="DZ32" s="73"/>
      <c r="EA32" s="73"/>
      <c r="EB32" s="73"/>
      <c r="EC32" s="154"/>
      <c r="ED32" s="15"/>
      <c r="EO32" s="14"/>
      <c r="EP32" s="15"/>
      <c r="EZ32" s="14"/>
      <c r="FA32" s="15"/>
    </row>
    <row r="33" spans="1:157" ht="54.75" customHeight="1" thickBot="1" x14ac:dyDescent="0.25">
      <c r="A33" s="29"/>
      <c r="B33" s="194" t="str">
        <f>IF($T$2=$X$27,"Fasado zonos",IF($T$2=$X$28,"Facade zones","   "))</f>
        <v>Facade zones</v>
      </c>
      <c r="C33" s="195" t="str">
        <f>IF($T$2=$X$27,"Vėjo slėgio apkrova, kN/m²",IF($T$2=$X$28,"Wind pressure load, kN/m²","   "))</f>
        <v>Wind pressure load, kN/m²</v>
      </c>
      <c r="D33" s="196" t="str">
        <f>IF($T$2=$X$27,"Zonos ilgis
(pgl. skaič. Schemą Fig.2), 
m'",IF($T$2=$X$28,"Zone length
(ac. calc. Scheme Fig.2), 
m'","   "))</f>
        <v>Zone length
(ac. calc. Scheme Fig.2), 
m'</v>
      </c>
      <c r="E33" s="197" t="str">
        <f>IF($T$2=$X$27,"Bendras zonas ilgis (perimetru), m' ",IF($T$2=$X$28,"Total length of zones (perimeter), m' ","   "))</f>
        <v xml:space="preserve">Total length of zones (perimeter), m' </v>
      </c>
      <c r="F33" s="198" t="str">
        <f>IF($T$2=$X$27,"Bednras zonos ilgis (perimetru), %",IF($T$2=$X$28,"Total length of zones (perimeter), %","   "))</f>
        <v>Total length of zones (perimeter), %</v>
      </c>
      <c r="G33" s="281" t="s">
        <v>217</v>
      </c>
      <c r="M33" s="126"/>
      <c r="O33" s="394" t="str">
        <f>IF($T$2=$X$27,"Aukštiems pastatams rek. II ar žemesnė I (0-prie jūros)",IF($T$2=$X$28,"For tall buildings rec. Cat. II or lower I , (0 - if near sea)","   "))</f>
        <v>For tall buildings rec. Cat. II or lower I , (0 - if near sea)</v>
      </c>
      <c r="P33" s="396" t="s">
        <v>289</v>
      </c>
      <c r="Q33" s="397"/>
      <c r="R33" s="397"/>
      <c r="S33" s="397"/>
      <c r="T33" s="397"/>
      <c r="U33" s="397"/>
      <c r="V33" s="398"/>
      <c r="W33" s="15"/>
      <c r="X33" s="75" t="s">
        <v>49</v>
      </c>
      <c r="Y33" s="76" t="s">
        <v>50</v>
      </c>
      <c r="Z33" s="75" t="s">
        <v>76</v>
      </c>
      <c r="AA33" s="76" t="s">
        <v>79</v>
      </c>
      <c r="AB33" s="75" t="s">
        <v>80</v>
      </c>
      <c r="AC33" s="77" t="s">
        <v>71</v>
      </c>
      <c r="AD33" s="103" t="s">
        <v>81</v>
      </c>
      <c r="BG33" s="79" t="s">
        <v>49</v>
      </c>
      <c r="BH33" s="77" t="s">
        <v>50</v>
      </c>
      <c r="BI33" s="80" t="s">
        <v>61</v>
      </c>
      <c r="BJ33" s="77" t="s">
        <v>62</v>
      </c>
      <c r="BK33" s="80" t="s">
        <v>63</v>
      </c>
      <c r="BL33" s="77" t="s">
        <v>64</v>
      </c>
      <c r="BM33" s="78" t="s">
        <v>65</v>
      </c>
      <c r="BP33" s="81" t="s">
        <v>49</v>
      </c>
      <c r="BQ33" s="77" t="s">
        <v>50</v>
      </c>
      <c r="BR33" s="82" t="s">
        <v>61</v>
      </c>
      <c r="BS33" s="82" t="s">
        <v>62</v>
      </c>
      <c r="BT33" s="82" t="s">
        <v>63</v>
      </c>
      <c r="BU33" s="82" t="s">
        <v>64</v>
      </c>
      <c r="BV33" s="83" t="s">
        <v>65</v>
      </c>
      <c r="BY33" s="79" t="s">
        <v>49</v>
      </c>
      <c r="BZ33" s="77" t="s">
        <v>50</v>
      </c>
      <c r="CA33" s="80" t="s">
        <v>61</v>
      </c>
      <c r="CB33" s="77" t="s">
        <v>62</v>
      </c>
      <c r="CC33" s="80" t="s">
        <v>63</v>
      </c>
      <c r="CD33" s="77" t="s">
        <v>64</v>
      </c>
      <c r="CE33" s="78" t="s">
        <v>65</v>
      </c>
      <c r="CH33" s="81" t="s">
        <v>49</v>
      </c>
      <c r="CI33" s="82" t="s">
        <v>50</v>
      </c>
      <c r="CJ33" s="82" t="s">
        <v>61</v>
      </c>
      <c r="CK33" s="82" t="s">
        <v>62</v>
      </c>
      <c r="CL33" s="82" t="s">
        <v>63</v>
      </c>
      <c r="CM33" s="82" t="s">
        <v>64</v>
      </c>
      <c r="CN33" s="82" t="s">
        <v>65</v>
      </c>
      <c r="CQ33" s="79" t="s">
        <v>49</v>
      </c>
      <c r="CR33" s="77" t="s">
        <v>50</v>
      </c>
      <c r="CS33" s="80" t="s">
        <v>61</v>
      </c>
      <c r="CT33" s="77" t="s">
        <v>62</v>
      </c>
      <c r="CU33" s="80" t="s">
        <v>63</v>
      </c>
      <c r="CV33" s="77" t="s">
        <v>64</v>
      </c>
      <c r="CW33" s="78" t="s">
        <v>65</v>
      </c>
      <c r="CZ33" s="81" t="s">
        <v>49</v>
      </c>
      <c r="DA33" s="77" t="s">
        <v>50</v>
      </c>
      <c r="DB33" s="82" t="s">
        <v>61</v>
      </c>
      <c r="DC33" s="82" t="s">
        <v>62</v>
      </c>
      <c r="DD33" s="82" t="s">
        <v>63</v>
      </c>
      <c r="DE33" s="82" t="s">
        <v>64</v>
      </c>
      <c r="DF33" s="83" t="s">
        <v>65</v>
      </c>
      <c r="DS33" s="14"/>
      <c r="EC33" s="14"/>
      <c r="ED33" s="15"/>
      <c r="EO33" s="14"/>
      <c r="EP33" s="15"/>
      <c r="EZ33" s="14"/>
      <c r="FA33" s="15"/>
    </row>
    <row r="34" spans="1:157" ht="13.5" thickTop="1" x14ac:dyDescent="0.2">
      <c r="A34" s="29"/>
      <c r="B34" s="199" t="s">
        <v>21</v>
      </c>
      <c r="C34" s="200">
        <f ca="1">IF(AND($T$9&gt;0,$T$10&gt;0,$T$11&lt;&gt;$X$11,$T$13&lt;&gt;$X$13,COUNT($T$17:$T$21)=5),AA7,"-")</f>
        <v>-1.3641295227831847</v>
      </c>
      <c r="D34" s="201">
        <f>IF($AN$4&gt;=5*$T$20,$T$20,IF($AN$4&lt;$T$20,($AN$4/5),IF($AN$4&gt;=$T$20,($AN$4/5),"?")))</f>
        <v>5.6</v>
      </c>
      <c r="E34" s="202">
        <f t="shared" ref="E34:F38" si="4">IF(COUNT($T$17:$T$21)=5,AC7,"-")</f>
        <v>46.4</v>
      </c>
      <c r="F34" s="203">
        <f t="shared" si="4"/>
        <v>0.39999999999999997</v>
      </c>
      <c r="G34" s="282">
        <f ca="1">IF(AND($T$9&gt;0,$T$10&gt;0,$T$11&lt;&gt;$X$11,$T$13&lt;&gt;$X$13,COUNT($T$17:$T$21)=5),MIN(AG20,AG25),"-")</f>
        <v>-1.2</v>
      </c>
      <c r="M34" s="127"/>
      <c r="O34" s="394"/>
      <c r="V34" s="14"/>
      <c r="W34" s="15"/>
      <c r="X34" s="84" t="str">
        <f t="shared" ref="X34:X65" ca="1" si="5">IFERROR(INDIRECT($X$32&amp;"[@"&amp;X$33&amp;"]",TRUE),$X$14)</f>
        <v>London</v>
      </c>
      <c r="Y34" s="85">
        <f t="shared" ref="Y34:Y65" ca="1" si="6">INDIRECT($X$32&amp;"[@"&amp;Y$33&amp;"]",TRUE)</f>
        <v>22</v>
      </c>
      <c r="Z34" s="86" t="s">
        <v>74</v>
      </c>
      <c r="AA34" s="87">
        <v>1.25</v>
      </c>
      <c r="AB34" s="88" t="s">
        <v>68</v>
      </c>
      <c r="AC34" s="87">
        <v>1.1000000000000001</v>
      </c>
      <c r="AD34" s="102" t="s">
        <v>164</v>
      </c>
      <c r="AG34" s="1"/>
      <c r="AH34" s="138"/>
      <c r="AI34" s="1"/>
      <c r="AJ34" s="1"/>
      <c r="AK34" s="1"/>
      <c r="AL34" s="1"/>
      <c r="AM34" s="1"/>
      <c r="AN34" s="1"/>
      <c r="AO34" s="1"/>
      <c r="BG34" s="29" t="s">
        <v>52</v>
      </c>
      <c r="BH34" s="33">
        <v>24</v>
      </c>
      <c r="BI34" s="29"/>
      <c r="BJ34" s="89"/>
      <c r="BK34" s="29"/>
      <c r="BL34" s="33"/>
      <c r="BP34" s="13" t="str">
        <f>CONCATENATE($BP$31,EU[[#This Row],[Vėjo greitis]],"m/s")</f>
        <v>Zone-20m/s</v>
      </c>
      <c r="BQ34" s="33">
        <v>20</v>
      </c>
      <c r="BR34" s="29"/>
      <c r="BS34" s="33"/>
      <c r="BT34" s="29"/>
      <c r="BU34" s="33"/>
      <c r="BY34" s="13" t="s">
        <v>56</v>
      </c>
      <c r="BZ34" s="33">
        <v>24</v>
      </c>
      <c r="CA34" s="90"/>
      <c r="CB34" s="89"/>
      <c r="CC34" s="29"/>
      <c r="CD34" s="33"/>
      <c r="CH34" s="13" t="s">
        <v>57</v>
      </c>
      <c r="CI34" s="33">
        <v>22</v>
      </c>
      <c r="CJ34" s="29"/>
      <c r="CK34" s="33"/>
      <c r="CL34" s="29"/>
      <c r="CM34" s="33"/>
      <c r="CP34" s="13" t="s">
        <v>278</v>
      </c>
      <c r="CQ34" s="13" t="str">
        <f>CONCATENATE($CQ$31,CP34,NL[[#This Row],[Vėjo greitis]],"m/s")</f>
        <v>Z-I-29.5m/s</v>
      </c>
      <c r="CR34" s="33">
        <v>29.5</v>
      </c>
      <c r="CS34" s="29"/>
      <c r="CT34" s="89"/>
      <c r="CU34" s="29"/>
      <c r="CV34" s="33"/>
      <c r="CZ34" s="13" t="s">
        <v>88</v>
      </c>
      <c r="DA34" s="33">
        <v>22</v>
      </c>
      <c r="DB34" s="29"/>
      <c r="DC34" s="33"/>
      <c r="DD34" s="29"/>
      <c r="DE34" s="33"/>
      <c r="DS34" s="14"/>
      <c r="EC34" s="14"/>
      <c r="ED34" s="15"/>
      <c r="EO34" s="14"/>
      <c r="EP34" s="15"/>
      <c r="EZ34" s="14"/>
      <c r="FA34" s="15"/>
    </row>
    <row r="35" spans="1:157" x14ac:dyDescent="0.2">
      <c r="A35" s="29"/>
      <c r="B35" s="204" t="s">
        <v>22</v>
      </c>
      <c r="C35" s="205">
        <f ca="1">IF(AND($T$9&gt;0,$T$10&gt;0,$T$11&lt;&gt;$X$11,$T$13&lt;&gt;$X$13,COUNT($T$17:$T$21)=5),MIN(AA8,AB8),"-")</f>
        <v>-0.90941968185545652</v>
      </c>
      <c r="D35" s="206">
        <f>IF($AN$4&gt;=5*$T$20,0,IF($AN$4&lt;$T$20,(($AN$4/5*4)),IF($AN$4&gt;=$T$20,(($T$20-($AN$4/5))),"?")))</f>
        <v>22.4</v>
      </c>
      <c r="E35" s="207">
        <f t="shared" si="4"/>
        <v>69.599999999999994</v>
      </c>
      <c r="F35" s="208">
        <f t="shared" si="4"/>
        <v>0.6</v>
      </c>
      <c r="G35" s="282">
        <f ca="1">IF(AND($T$9&gt;0,$T$10&gt;0,$T$11&lt;&gt;$X$11,$T$13&lt;&gt;$X$13,COUNT($T$17:$T$21)=5),MIN(AH20,AH25),"-")</f>
        <v>-0.8</v>
      </c>
      <c r="M35" s="126"/>
      <c r="O35" s="394"/>
      <c r="V35" s="14"/>
      <c r="W35" s="15"/>
      <c r="X35" s="84" t="str">
        <f t="shared" ca="1" si="5"/>
        <v>Manchester</v>
      </c>
      <c r="Y35" s="85">
        <f t="shared" ca="1" si="6"/>
        <v>22.5</v>
      </c>
      <c r="Z35" s="86" t="s">
        <v>75</v>
      </c>
      <c r="AA35" s="87">
        <v>1.1000000000000001</v>
      </c>
      <c r="AB35" s="88" t="s">
        <v>67</v>
      </c>
      <c r="AC35" s="220">
        <v>1</v>
      </c>
      <c r="AD35" s="102" t="s">
        <v>163</v>
      </c>
      <c r="AG35" s="1"/>
      <c r="AH35" s="138"/>
      <c r="AI35" s="1"/>
      <c r="AJ35" s="1"/>
      <c r="AK35" s="1"/>
      <c r="AL35" s="1"/>
      <c r="AM35" s="1" t="s">
        <v>255</v>
      </c>
      <c r="AN35" s="1" t="s">
        <v>256</v>
      </c>
      <c r="AO35" s="1" t="s">
        <v>257</v>
      </c>
      <c r="BG35" s="29" t="s">
        <v>53</v>
      </c>
      <c r="BH35" s="33">
        <v>24</v>
      </c>
      <c r="BI35" s="29"/>
      <c r="BJ35" s="33"/>
      <c r="BK35" s="29"/>
      <c r="BL35" s="33"/>
      <c r="BP35" s="13" t="str">
        <f>CONCATENATE($BP$31,EU[[#This Row],[Vėjo greitis]],"m/s")</f>
        <v>Zone-20.5m/s</v>
      </c>
      <c r="BQ35" s="33">
        <v>20.5</v>
      </c>
      <c r="BR35" s="29"/>
      <c r="BS35" s="33"/>
      <c r="BT35" s="29"/>
      <c r="BU35" s="33"/>
      <c r="BY35" s="13" t="s">
        <v>105</v>
      </c>
      <c r="BZ35" s="33">
        <v>26</v>
      </c>
      <c r="CA35" s="90"/>
      <c r="CB35" s="89"/>
      <c r="CC35" s="29"/>
      <c r="CD35" s="33"/>
      <c r="CH35" s="13" t="s">
        <v>130</v>
      </c>
      <c r="CI35" s="33">
        <v>22.5</v>
      </c>
      <c r="CJ35" s="29"/>
      <c r="CK35" s="33"/>
      <c r="CL35" s="29"/>
      <c r="CM35" s="33"/>
      <c r="CP35" s="13" t="s">
        <v>279</v>
      </c>
      <c r="CQ35" s="13" t="str">
        <f>CONCATENATE($CQ$31,CP35,NL[[#This Row],[Vėjo greitis]],"m/s")</f>
        <v>Z-II-27m/s</v>
      </c>
      <c r="CR35" s="33">
        <v>27</v>
      </c>
      <c r="CS35" s="29"/>
      <c r="CT35" s="33"/>
      <c r="CU35" s="29"/>
      <c r="CV35" s="33"/>
      <c r="CZ35" s="13" t="s">
        <v>89</v>
      </c>
      <c r="DA35" s="33">
        <v>26</v>
      </c>
      <c r="DB35" s="29"/>
      <c r="DC35" s="33"/>
      <c r="DD35" s="29"/>
      <c r="DE35" s="33"/>
      <c r="DS35" s="14"/>
      <c r="EC35" s="14"/>
      <c r="ED35" s="15"/>
      <c r="EO35" s="14"/>
      <c r="EP35" s="15"/>
      <c r="EZ35" s="14"/>
      <c r="FA35" s="15"/>
    </row>
    <row r="36" spans="1:157" ht="13.5" thickBot="1" x14ac:dyDescent="0.25">
      <c r="A36" s="29"/>
      <c r="B36" s="204" t="s">
        <v>23</v>
      </c>
      <c r="C36" s="209">
        <f ca="1">IF(AND($T$9&gt;0,$T$10&gt;0,$T$11&lt;&gt;$X$11,$T$13&lt;&gt;$X$13,COUNT($T$17:$T$21)=5),MIN(AA9,AB9),"-")</f>
        <v>-0.5683873011596603</v>
      </c>
      <c r="D36" s="206">
        <f>IF($AN$4&gt;=5*$T$20,0,IF($AN$4&lt;$T$20,($T$20-$AN$4),IF($AN$4&gt;=$T$20,0,"?")))</f>
        <v>2</v>
      </c>
      <c r="E36" s="207">
        <f t="shared" si="4"/>
        <v>0</v>
      </c>
      <c r="F36" s="208">
        <f t="shared" si="4"/>
        <v>0</v>
      </c>
      <c r="G36" s="282">
        <f ca="1">IF(AND($T$9&gt;0,$T$10&gt;0,$T$11&lt;&gt;$X$11,$T$13&lt;&gt;$X$13,COUNT($T$17:$T$21)=5),MIN(AI20,AI25),"-")</f>
        <v>-0.5</v>
      </c>
      <c r="M36" s="33"/>
      <c r="O36" s="394"/>
      <c r="V36" s="14"/>
      <c r="W36" s="15"/>
      <c r="X36" s="84" t="str">
        <f t="shared" ca="1" si="5"/>
        <v>Liverpool</v>
      </c>
      <c r="Y36" s="85">
        <f t="shared" ca="1" si="6"/>
        <v>23</v>
      </c>
      <c r="Z36" s="91"/>
      <c r="AA36" s="92"/>
      <c r="AB36" s="88" t="s">
        <v>66</v>
      </c>
      <c r="AC36" s="87">
        <v>0.9</v>
      </c>
      <c r="AD36" s="13" t="str">
        <f>IF($T$2=$X$27,"[ Su atsargos koeficientu - Skaičiuotinės ]",IF($T$2=$X$28,"[ With safety coefficient - computational DESIGN (ULS) values ]","   "))</f>
        <v>[ With safety coefficient - computational DESIGN (ULS) values ]</v>
      </c>
      <c r="AG36" s="1"/>
      <c r="AH36" s="138"/>
      <c r="AI36" s="1"/>
      <c r="AJ36" s="1"/>
      <c r="AK36" s="1"/>
      <c r="AL36" s="1"/>
      <c r="AM36" s="48" t="s">
        <v>143</v>
      </c>
      <c r="AN36" s="323">
        <v>3.0000000000000001E-3</v>
      </c>
      <c r="AO36" s="323">
        <v>1</v>
      </c>
      <c r="BG36" s="29" t="s">
        <v>54</v>
      </c>
      <c r="BH36" s="33">
        <v>32</v>
      </c>
      <c r="BI36" s="29"/>
      <c r="BJ36" s="33"/>
      <c r="BK36" s="29"/>
      <c r="BL36" s="33"/>
      <c r="BP36" s="13" t="str">
        <f>CONCATENATE($BP$31,EU[[#This Row],[Vėjo greitis]],"m/s")</f>
        <v>Zone-21m/s</v>
      </c>
      <c r="BQ36" s="33">
        <v>21</v>
      </c>
      <c r="BR36" s="29"/>
      <c r="BS36" s="33"/>
      <c r="BT36" s="29"/>
      <c r="BU36" s="33"/>
      <c r="BY36" s="13" t="s">
        <v>106</v>
      </c>
      <c r="BZ36" s="33">
        <v>25</v>
      </c>
      <c r="CA36" s="90"/>
      <c r="CB36" s="89"/>
      <c r="CC36" s="29"/>
      <c r="CD36" s="33"/>
      <c r="CH36" s="13" t="s">
        <v>131</v>
      </c>
      <c r="CI36" s="33">
        <v>23</v>
      </c>
      <c r="CJ36" s="29"/>
      <c r="CK36" s="33"/>
      <c r="CL36" s="29"/>
      <c r="CM36" s="33"/>
      <c r="CP36" s="13" t="s">
        <v>280</v>
      </c>
      <c r="CQ36" s="13" t="str">
        <f>CONCATENATE($CQ$31,CP36,NL[[#This Row],[Vėjo greitis]],"m/s")</f>
        <v>Z-III-24.5m/s</v>
      </c>
      <c r="CR36" s="33">
        <v>24.5</v>
      </c>
      <c r="CS36" s="29"/>
      <c r="CT36" s="33"/>
      <c r="CU36" s="29"/>
      <c r="CV36" s="33"/>
      <c r="CZ36" s="13" t="s">
        <v>90</v>
      </c>
      <c r="DA36" s="33">
        <v>26</v>
      </c>
      <c r="DB36" s="29"/>
      <c r="DC36" s="33"/>
      <c r="DD36" s="29"/>
      <c r="DE36" s="33"/>
      <c r="DS36" s="14"/>
      <c r="EC36" s="14"/>
      <c r="ED36" s="15"/>
      <c r="EO36" s="14"/>
      <c r="EP36" s="15"/>
      <c r="EZ36" s="14"/>
      <c r="FA36" s="15"/>
    </row>
    <row r="37" spans="1:157" ht="13.5" thickTop="1" x14ac:dyDescent="0.2">
      <c r="A37" s="29"/>
      <c r="B37" s="210" t="s">
        <v>227</v>
      </c>
      <c r="C37" s="211">
        <f ca="1">IF(AND($T$9&gt;0,$T$10&gt;0,$T$11&lt;&gt;$X$11,$T$13&lt;&gt;$X$13,COUNT($T$17:$T$21)=5),MAX(AA10,AB10),"-")</f>
        <v>0.90941968185545652</v>
      </c>
      <c r="D37" s="212">
        <f>$AA$16</f>
        <v>28</v>
      </c>
      <c r="E37" s="213">
        <f t="shared" si="4"/>
        <v>116</v>
      </c>
      <c r="F37" s="214">
        <f t="shared" si="4"/>
        <v>1</v>
      </c>
      <c r="G37" s="282">
        <f ca="1">IF(AND($T$9&gt;0,$T$10&gt;0,$T$11&lt;&gt;$X$11,$T$13&lt;&gt;$X$13,COUNT($T$17:$T$21)=5),MAX(AJ20,AJ25),"-")</f>
        <v>0.8</v>
      </c>
      <c r="M37" s="33"/>
      <c r="O37" s="394"/>
      <c r="V37" s="14"/>
      <c r="W37" s="15"/>
      <c r="X37" s="84" t="str">
        <f t="shared" ca="1" si="5"/>
        <v>Edinburgh</v>
      </c>
      <c r="Y37" s="85">
        <f t="shared" ca="1" si="6"/>
        <v>25</v>
      </c>
      <c r="Z37" s="91"/>
      <c r="AA37" s="92"/>
      <c r="AB37" s="88" t="s">
        <v>72</v>
      </c>
      <c r="AC37" s="100" t="s">
        <v>77</v>
      </c>
      <c r="AD37" s="13" t="str">
        <f>IF($T$2=$X$27,"[ Be atsargos koeficiento - Charakteristinės ]",IF($T$2=$X$28,"[ Without safety coefficient - CHARACTERISTIC (SLS) values ]","   "))</f>
        <v>[ Without safety coefficient - CHARACTERISTIC (SLS) values ]</v>
      </c>
      <c r="AG37" s="1"/>
      <c r="AH37" s="138"/>
      <c r="AI37" s="1"/>
      <c r="AJ37" s="1"/>
      <c r="AK37" s="1"/>
      <c r="AL37" s="1"/>
      <c r="AM37" s="48" t="s">
        <v>40</v>
      </c>
      <c r="AN37" s="323">
        <v>0.01</v>
      </c>
      <c r="AO37" s="323">
        <v>1</v>
      </c>
      <c r="BG37" s="29" t="s">
        <v>100</v>
      </c>
      <c r="BH37" s="33">
        <v>24</v>
      </c>
      <c r="BI37" s="29"/>
      <c r="BJ37" s="33"/>
      <c r="BK37" s="29"/>
      <c r="BL37" s="33"/>
      <c r="BP37" s="13" t="str">
        <f>CONCATENATE($BP$31,EU[[#This Row],[Vėjo greitis]],"m/s")</f>
        <v>Zone-21.5m/s</v>
      </c>
      <c r="BQ37" s="33">
        <v>21.5</v>
      </c>
      <c r="BR37" s="29"/>
      <c r="BS37" s="33"/>
      <c r="BT37" s="29"/>
      <c r="BU37" s="33"/>
      <c r="BY37" s="13" t="s">
        <v>107</v>
      </c>
      <c r="BZ37" s="33">
        <v>24</v>
      </c>
      <c r="CA37" s="29"/>
      <c r="CB37" s="33"/>
      <c r="CC37" s="29"/>
      <c r="CD37" s="33"/>
      <c r="CH37" s="13" t="s">
        <v>132</v>
      </c>
      <c r="CI37" s="33">
        <v>25</v>
      </c>
      <c r="CJ37" s="29"/>
      <c r="CK37" s="33"/>
      <c r="CL37" s="29"/>
      <c r="CM37" s="33"/>
      <c r="CQ37" s="29" t="s">
        <v>55</v>
      </c>
      <c r="CR37" s="33" t="s">
        <v>55</v>
      </c>
      <c r="CS37" s="29"/>
      <c r="CT37" s="33"/>
      <c r="CU37" s="29"/>
      <c r="CV37" s="33"/>
      <c r="CZ37" s="13" t="s">
        <v>91</v>
      </c>
      <c r="DA37" s="33">
        <v>26</v>
      </c>
      <c r="DB37" s="29"/>
      <c r="DC37" s="33"/>
      <c r="DD37" s="29"/>
      <c r="DE37" s="33"/>
      <c r="DS37" s="14"/>
      <c r="EC37" s="14"/>
      <c r="ED37" s="15"/>
      <c r="EO37" s="14"/>
      <c r="EP37" s="15"/>
      <c r="EZ37" s="14"/>
      <c r="FA37" s="15"/>
    </row>
    <row r="38" spans="1:157" x14ac:dyDescent="0.2">
      <c r="A38" s="29"/>
      <c r="B38" s="215" t="s">
        <v>228</v>
      </c>
      <c r="C38" s="216">
        <f ca="1">IF(AND($T$9&gt;0,$T$10&gt;0,$T$11&lt;&gt;$X$11,$T$13&lt;&gt;$X$13,COUNT($T$17:$T$21)=5),MIN(AA11,AB11),"-")</f>
        <v>-0.67638088837999577</v>
      </c>
      <c r="D38" s="217">
        <f>$AA$16</f>
        <v>28</v>
      </c>
      <c r="E38" s="218">
        <f t="shared" si="4"/>
        <v>116</v>
      </c>
      <c r="F38" s="219">
        <f t="shared" si="4"/>
        <v>1</v>
      </c>
      <c r="G38" s="282">
        <f ca="1">IF(AND($T$9&gt;0,$T$10&gt;0,$T$11&lt;&gt;$X$11,$T$13&lt;&gt;$X$13,COUNT($T$17:$T$21)=5),MIN(AK20,AK25),"-")</f>
        <v>-0.59499999999999997</v>
      </c>
      <c r="M38" s="33"/>
      <c r="O38" s="394"/>
      <c r="V38" s="14"/>
      <c r="W38" s="15"/>
      <c r="X38" s="84" t="str">
        <f t="shared" ca="1" si="5"/>
        <v>Glasgow</v>
      </c>
      <c r="Y38" s="85">
        <f t="shared" ca="1" si="6"/>
        <v>25.5</v>
      </c>
      <c r="Z38" s="91"/>
      <c r="AA38" s="92"/>
      <c r="AB38" s="93"/>
      <c r="AC38" s="92"/>
      <c r="AG38" s="1"/>
      <c r="AH38" s="138"/>
      <c r="AI38" s="1"/>
      <c r="AJ38" s="1"/>
      <c r="AK38" s="1"/>
      <c r="AL38" s="1"/>
      <c r="AM38" s="48" t="s">
        <v>41</v>
      </c>
      <c r="AN38" s="323">
        <v>0.05</v>
      </c>
      <c r="AO38" s="323">
        <v>2</v>
      </c>
      <c r="BG38" s="29" t="s">
        <v>99</v>
      </c>
      <c r="BH38" s="33">
        <v>24</v>
      </c>
      <c r="BI38" s="29"/>
      <c r="BJ38" s="33"/>
      <c r="BK38" s="29"/>
      <c r="BL38" s="33"/>
      <c r="BP38" s="13" t="str">
        <f>CONCATENATE($BP$31,EU[[#This Row],[Vėjo greitis]],"m/s")</f>
        <v>Zone-22m/s</v>
      </c>
      <c r="BQ38" s="33">
        <v>22</v>
      </c>
      <c r="BR38" s="29"/>
      <c r="BS38" s="33"/>
      <c r="BT38" s="29"/>
      <c r="BU38" s="33"/>
      <c r="BY38" s="13" t="s">
        <v>108</v>
      </c>
      <c r="BZ38" s="33">
        <v>24</v>
      </c>
      <c r="CA38" s="29"/>
      <c r="CB38" s="33"/>
      <c r="CC38" s="29"/>
      <c r="CD38" s="33"/>
      <c r="CH38" s="13" t="s">
        <v>133</v>
      </c>
      <c r="CI38" s="33">
        <v>25.5</v>
      </c>
      <c r="CJ38" s="29"/>
      <c r="CK38" s="33"/>
      <c r="CL38" s="29"/>
      <c r="CM38" s="33"/>
      <c r="CQ38" s="29" t="s">
        <v>55</v>
      </c>
      <c r="CR38" s="33" t="s">
        <v>55</v>
      </c>
      <c r="CS38" s="29"/>
      <c r="CT38" s="33"/>
      <c r="CU38" s="29"/>
      <c r="CV38" s="33"/>
      <c r="CZ38" s="13" t="s">
        <v>96</v>
      </c>
      <c r="DA38" s="33">
        <v>26</v>
      </c>
      <c r="DB38" s="29"/>
      <c r="DC38" s="33"/>
      <c r="DD38" s="29"/>
      <c r="DE38" s="33"/>
      <c r="DS38" s="14"/>
      <c r="EC38" s="14"/>
      <c r="ED38" s="15"/>
      <c r="EO38" s="14"/>
      <c r="EP38" s="15"/>
      <c r="EZ38" s="14"/>
      <c r="FA38" s="15"/>
    </row>
    <row r="39" spans="1:157" x14ac:dyDescent="0.2">
      <c r="A39" s="29"/>
      <c r="B39" s="152" t="str">
        <f>IF($T$2=$X$27,"**Viršuje MAKSIMALIOS stačiakampio pastato D* ir E* zonų vėjo slėgio reikšmės, nuo vėjo b ir d kryptymis.",IF($T$2=$X$28,"** Above MAXIMUM rectangular building D and E zones Wind load pressure values, despite wind direction.","   "))</f>
        <v>** Above MAXIMUM rectangular building D and E zones Wind load pressure values, despite wind direction.</v>
      </c>
      <c r="M39" s="33"/>
      <c r="O39" s="394"/>
      <c r="V39" s="14"/>
      <c r="W39" s="15"/>
      <c r="X39" s="84" t="str">
        <f t="shared" ca="1" si="5"/>
        <v>Birmingham</v>
      </c>
      <c r="Y39" s="85">
        <f t="shared" ca="1" si="6"/>
        <v>22</v>
      </c>
      <c r="Z39" s="91"/>
      <c r="AA39" s="92"/>
      <c r="AB39" s="93"/>
      <c r="AC39" s="92"/>
      <c r="AF39" s="228" t="s">
        <v>159</v>
      </c>
      <c r="AL39" s="1"/>
      <c r="AM39" s="48" t="s">
        <v>42</v>
      </c>
      <c r="AN39" s="323">
        <v>0.3</v>
      </c>
      <c r="AO39" s="323">
        <v>5</v>
      </c>
      <c r="BG39" s="29" t="s">
        <v>101</v>
      </c>
      <c r="BH39" s="33">
        <v>24</v>
      </c>
      <c r="BI39" s="29"/>
      <c r="BJ39" s="33"/>
      <c r="BK39" s="29"/>
      <c r="BL39" s="33"/>
      <c r="BP39" s="13" t="str">
        <f>CONCATENATE($BP$31,EU[[#This Row],[Vėjo greitis]],"m/s")</f>
        <v>Zone-22.5m/s</v>
      </c>
      <c r="BQ39" s="33">
        <v>22.5</v>
      </c>
      <c r="BR39" s="29"/>
      <c r="BS39" s="33"/>
      <c r="BT39" s="29"/>
      <c r="BU39" s="33"/>
      <c r="BY39" s="13" t="s">
        <v>109</v>
      </c>
      <c r="BZ39" s="33">
        <v>24</v>
      </c>
      <c r="CA39" s="29"/>
      <c r="CB39" s="33"/>
      <c r="CC39" s="29"/>
      <c r="CD39" s="33"/>
      <c r="CH39" s="13" t="s">
        <v>135</v>
      </c>
      <c r="CI39" s="33">
        <v>22</v>
      </c>
      <c r="CJ39" s="29"/>
      <c r="CK39" s="33"/>
      <c r="CL39" s="29"/>
      <c r="CM39" s="33"/>
      <c r="CQ39" s="29" t="s">
        <v>55</v>
      </c>
      <c r="CR39" s="33" t="s">
        <v>55</v>
      </c>
      <c r="CS39" s="29"/>
      <c r="CT39" s="33"/>
      <c r="CU39" s="29"/>
      <c r="CV39" s="33"/>
      <c r="CZ39" s="13" t="s">
        <v>93</v>
      </c>
      <c r="DA39" s="33">
        <v>30</v>
      </c>
      <c r="DB39" s="29"/>
      <c r="DC39" s="33"/>
      <c r="DD39" s="29"/>
      <c r="DE39" s="33"/>
      <c r="DS39" s="14"/>
      <c r="EC39" s="14"/>
      <c r="ED39" s="15"/>
      <c r="EO39" s="14"/>
      <c r="EP39" s="15"/>
      <c r="EZ39" s="14"/>
      <c r="FA39" s="15"/>
    </row>
    <row r="40" spans="1:157" ht="13.5" thickBot="1" x14ac:dyDescent="0.25">
      <c r="A40" s="29"/>
      <c r="B40" s="298" t="str">
        <f>IF($T$2=$X$27,"Fasado zonos",IF($T$2=$X$28,"Facade zones","   "))</f>
        <v>Facade zones</v>
      </c>
      <c r="C40" s="297" t="str">
        <f>CONCATENATE(IF($T$2=$X$27,"Vėjas į b - ","Wind to b - "),AA5)</f>
        <v>Wind to b - (bd)</v>
      </c>
      <c r="D40" s="315" t="s">
        <v>213</v>
      </c>
      <c r="E40" s="315" t="str">
        <f>CONCATENATE(IF($T$2=$X$27,"Vėjas į d* -","Wind to d* -"),AB5)</f>
        <v>Wind to d* -(db)</v>
      </c>
      <c r="F40" s="48" t="s">
        <v>212</v>
      </c>
      <c r="H40" s="392" t="str">
        <f>IF($T$2=$X$27,"Schema 2: Oro slėgio zonų išsidėstymas perimetru, pučiant  statmenai į b plokštumą, atskaitos aukštyje z, pastoviam vienos krypties vėjui (žr. Schemą 1).",IF($T$2=$X$28,"Figure 2: The layout scheme of Air pressure zones, when steady wind blows perpendicular to the  b  plane, at the reference height  z (see Figure 1).","   "))</f>
        <v>Figure 2: The layout scheme of Air pressure zones, when steady wind blows perpendicular to the  b  plane, at the reference height  z (see Figure 1).</v>
      </c>
      <c r="I40" s="392"/>
      <c r="J40" s="392"/>
      <c r="K40" s="392"/>
      <c r="L40" s="392"/>
      <c r="M40" s="393"/>
      <c r="O40" s="394"/>
      <c r="V40" s="14"/>
      <c r="W40" s="15"/>
      <c r="X40" s="84" t="str">
        <f t="shared" ca="1" si="5"/>
        <v>Belfast</v>
      </c>
      <c r="Y40" s="85">
        <f t="shared" ca="1" si="6"/>
        <v>26</v>
      </c>
      <c r="Z40" s="91"/>
      <c r="AA40" s="92"/>
      <c r="AB40" s="93"/>
      <c r="AC40" s="92"/>
      <c r="AF40" s="239" t="s">
        <v>26</v>
      </c>
      <c r="AG40" s="239" t="s">
        <v>21</v>
      </c>
      <c r="AH40" s="239" t="s">
        <v>22</v>
      </c>
      <c r="AI40" s="239" t="s">
        <v>23</v>
      </c>
      <c r="AJ40" s="239" t="s">
        <v>24</v>
      </c>
      <c r="AK40" s="239" t="s">
        <v>25</v>
      </c>
      <c r="AL40" s="1"/>
      <c r="AM40" s="48" t="s">
        <v>43</v>
      </c>
      <c r="AN40" s="323">
        <v>1</v>
      </c>
      <c r="AO40" s="323">
        <v>10</v>
      </c>
      <c r="BG40" s="29" t="s">
        <v>104</v>
      </c>
      <c r="BH40" s="33">
        <v>24</v>
      </c>
      <c r="BI40" s="29"/>
      <c r="BJ40" s="33"/>
      <c r="BK40" s="29"/>
      <c r="BL40" s="33"/>
      <c r="BP40" s="13" t="str">
        <f>CONCATENATE($BP$31,EU[[#This Row],[Vėjo greitis]],"m/s")</f>
        <v>Zone-23m/s</v>
      </c>
      <c r="BQ40" s="33">
        <v>23</v>
      </c>
      <c r="BR40" s="29"/>
      <c r="BS40" s="33"/>
      <c r="BT40" s="29"/>
      <c r="BU40" s="33"/>
      <c r="BY40" s="13" t="s">
        <v>110</v>
      </c>
      <c r="BZ40" s="33">
        <v>23</v>
      </c>
      <c r="CA40" s="29"/>
      <c r="CB40" s="33"/>
      <c r="CC40" s="29"/>
      <c r="CD40" s="33"/>
      <c r="CH40" s="13" t="s">
        <v>136</v>
      </c>
      <c r="CI40" s="33">
        <v>26</v>
      </c>
      <c r="CJ40" s="29"/>
      <c r="CK40" s="33"/>
      <c r="CL40" s="29"/>
      <c r="CM40" s="33"/>
      <c r="CQ40" s="29" t="s">
        <v>55</v>
      </c>
      <c r="CR40" s="33" t="s">
        <v>55</v>
      </c>
      <c r="CS40" s="29"/>
      <c r="CT40" s="33"/>
      <c r="CU40" s="29"/>
      <c r="CV40" s="33"/>
      <c r="CZ40" s="13" t="s">
        <v>94</v>
      </c>
      <c r="DA40" s="33">
        <v>27</v>
      </c>
      <c r="DB40" s="29"/>
      <c r="DC40" s="33"/>
      <c r="DD40" s="29"/>
      <c r="DE40" s="33"/>
      <c r="DS40" s="14"/>
      <c r="EC40" s="14"/>
      <c r="ED40" s="15"/>
      <c r="EO40" s="14"/>
      <c r="EP40" s="15"/>
      <c r="EZ40" s="14"/>
      <c r="FA40" s="15"/>
    </row>
    <row r="41" spans="1:157" ht="13.5" thickTop="1" x14ac:dyDescent="0.2">
      <c r="A41" s="29"/>
      <c r="B41" s="282" t="s">
        <v>24</v>
      </c>
      <c r="C41" s="211">
        <f ca="1">AA10</f>
        <v>0.90941968185545652</v>
      </c>
      <c r="D41" s="282" cm="1">
        <f t="array" ref="D41">Table10[D]</f>
        <v>0.8</v>
      </c>
      <c r="E41" s="282" t="str">
        <f ca="1">CONCATENATE(ROUND(AB10,3)," kN/m²")</f>
        <v>0.909 kN/m²</v>
      </c>
      <c r="F41" s="249" cm="1">
        <f t="array" ref="F41">Table1012[D]</f>
        <v>0.8</v>
      </c>
      <c r="H41" s="392"/>
      <c r="I41" s="392"/>
      <c r="J41" s="392"/>
      <c r="K41" s="392"/>
      <c r="L41" s="392"/>
      <c r="M41" s="393"/>
      <c r="O41" s="394"/>
      <c r="V41" s="14"/>
      <c r="W41" s="15"/>
      <c r="X41" s="84" t="str">
        <f t="shared" ca="1" si="5"/>
        <v>Bristol</v>
      </c>
      <c r="Y41" s="85">
        <f t="shared" ca="1" si="6"/>
        <v>22</v>
      </c>
      <c r="Z41" s="91"/>
      <c r="AA41" s="92"/>
      <c r="AB41" s="93"/>
      <c r="AC41" s="92"/>
      <c r="AF41" s="240"/>
      <c r="AG41" s="241">
        <v>0.2</v>
      </c>
      <c r="AH41" s="241">
        <v>0.2</v>
      </c>
      <c r="AI41" s="241">
        <v>0.2</v>
      </c>
      <c r="AJ41" s="241">
        <v>-0.3</v>
      </c>
      <c r="AK41" s="241">
        <v>0.2</v>
      </c>
      <c r="AL41" s="1"/>
      <c r="BG41" s="29" t="s">
        <v>102</v>
      </c>
      <c r="BH41" s="33">
        <v>24</v>
      </c>
      <c r="BI41" s="29"/>
      <c r="BJ41" s="33"/>
      <c r="BK41" s="29"/>
      <c r="BL41" s="33"/>
      <c r="BP41" s="13" t="str">
        <f>CONCATENATE($BP$31,EU[[#This Row],[Vėjo greitis]],"m/s")</f>
        <v>Zone-23.5m/s</v>
      </c>
      <c r="BQ41" s="33">
        <v>23.5</v>
      </c>
      <c r="BR41" s="29"/>
      <c r="BS41" s="33"/>
      <c r="BT41" s="29"/>
      <c r="BU41" s="33"/>
      <c r="BY41" s="13" t="s">
        <v>111</v>
      </c>
      <c r="BZ41" s="33">
        <v>23</v>
      </c>
      <c r="CA41" s="29"/>
      <c r="CB41" s="33"/>
      <c r="CC41" s="29"/>
      <c r="CD41" s="33"/>
      <c r="CH41" s="13" t="s">
        <v>269</v>
      </c>
      <c r="CI41" s="33">
        <v>22</v>
      </c>
      <c r="CJ41" s="29"/>
      <c r="CK41" s="33"/>
      <c r="CL41" s="29"/>
      <c r="CM41" s="33"/>
      <c r="CQ41" s="29" t="s">
        <v>55</v>
      </c>
      <c r="CR41" s="33" t="s">
        <v>55</v>
      </c>
      <c r="CS41" s="29"/>
      <c r="CT41" s="33"/>
      <c r="CU41" s="29"/>
      <c r="CV41" s="33"/>
      <c r="CZ41" s="13" t="s">
        <v>95</v>
      </c>
      <c r="DA41" s="33">
        <v>28</v>
      </c>
      <c r="DB41" s="29"/>
      <c r="DC41" s="33"/>
      <c r="DD41" s="29"/>
      <c r="DE41" s="33"/>
      <c r="DS41" s="14"/>
      <c r="EC41" s="14"/>
      <c r="ED41" s="15"/>
      <c r="EO41" s="14"/>
      <c r="EP41" s="15"/>
      <c r="EZ41" s="14"/>
      <c r="FA41" s="15"/>
    </row>
    <row r="42" spans="1:157" ht="12.75" customHeight="1" x14ac:dyDescent="0.2">
      <c r="A42" s="29"/>
      <c r="B42" s="282" t="s">
        <v>25</v>
      </c>
      <c r="C42" s="216">
        <f ca="1">AA11</f>
        <v>-0.66539206722424227</v>
      </c>
      <c r="D42" s="282" cm="1">
        <f t="array" ref="D42">Table10[E]</f>
        <v>-0.58533333333333326</v>
      </c>
      <c r="E42" s="282" t="str">
        <f ca="1">CONCATENATE(ROUND(AB11,3)," kN/m²")</f>
        <v>-0.676 kN/m²</v>
      </c>
      <c r="F42" s="249" cm="1">
        <f t="array" ref="F42">Table1012[E]</f>
        <v>-0.59499999999999997</v>
      </c>
      <c r="G42" s="278"/>
      <c r="H42" s="392"/>
      <c r="I42" s="392"/>
      <c r="J42" s="392"/>
      <c r="K42" s="392"/>
      <c r="L42" s="392"/>
      <c r="M42" s="393"/>
      <c r="O42" s="394"/>
      <c r="V42" s="14"/>
      <c r="W42" s="15"/>
      <c r="X42" s="84" t="str">
        <f t="shared" ca="1" si="5"/>
        <v>Newcastle</v>
      </c>
      <c r="Y42" s="85">
        <f t="shared" ca="1" si="6"/>
        <v>24</v>
      </c>
      <c r="Z42" s="91"/>
      <c r="AA42" s="92"/>
      <c r="AB42" s="93"/>
      <c r="AC42" s="92"/>
      <c r="BG42" s="29" t="s">
        <v>103</v>
      </c>
      <c r="BH42" s="33">
        <v>24</v>
      </c>
      <c r="BI42" s="29"/>
      <c r="BJ42" s="33"/>
      <c r="BK42" s="29"/>
      <c r="BL42" s="33"/>
      <c r="BP42" s="13" t="str">
        <f>CONCATENATE($BP$31,EU[[#This Row],[Vėjo greitis]],"m/s")</f>
        <v>Zone-24m/s</v>
      </c>
      <c r="BQ42" s="33">
        <v>24</v>
      </c>
      <c r="BR42" s="29"/>
      <c r="BS42" s="33"/>
      <c r="BT42" s="29"/>
      <c r="BU42" s="33"/>
      <c r="BY42" s="13" t="s">
        <v>112</v>
      </c>
      <c r="BZ42" s="33">
        <v>24</v>
      </c>
      <c r="CA42" s="29"/>
      <c r="CB42" s="33"/>
      <c r="CC42" s="29"/>
      <c r="CD42" s="33"/>
      <c r="CH42" s="13" t="s">
        <v>137</v>
      </c>
      <c r="CI42" s="33">
        <v>24</v>
      </c>
      <c r="CJ42" s="29"/>
      <c r="CK42" s="33"/>
      <c r="CL42" s="29"/>
      <c r="CM42" s="33"/>
      <c r="CQ42" s="29" t="s">
        <v>55</v>
      </c>
      <c r="CR42" s="33" t="s">
        <v>55</v>
      </c>
      <c r="CS42" s="29"/>
      <c r="CT42" s="33"/>
      <c r="CU42" s="29"/>
      <c r="CV42" s="33"/>
      <c r="CZ42" s="13" t="s">
        <v>97</v>
      </c>
      <c r="DA42" s="33">
        <v>22</v>
      </c>
      <c r="DB42" s="29"/>
      <c r="DC42" s="33"/>
      <c r="DD42" s="29"/>
      <c r="DE42" s="33"/>
      <c r="DS42" s="14"/>
      <c r="EC42" s="14"/>
      <c r="ED42" s="15"/>
      <c r="EO42" s="14"/>
      <c r="EP42" s="15"/>
      <c r="EZ42" s="14"/>
      <c r="FA42" s="15"/>
    </row>
    <row r="43" spans="1:157" x14ac:dyDescent="0.2">
      <c r="A43" s="55"/>
      <c r="B43" s="288" t="str">
        <f>IF($T$2=$X$27,"**(Vėjas į b - (bd)) slėgis į D ir E zonas pal Schemas 2 ir 1.",IF($T$2=$X$28,"Wind to b - (bd) pressure to D and E zones acc Figure 2 and 1.","   "))</f>
        <v>Wind to b - (bd) pressure to D and E zones acc Figure 2 and 1.</v>
      </c>
      <c r="C43" s="288"/>
      <c r="D43" s="288"/>
      <c r="E43" s="288"/>
      <c r="F43" s="288"/>
      <c r="G43" s="279"/>
      <c r="H43" s="279"/>
      <c r="I43" s="279"/>
      <c r="J43" s="279"/>
      <c r="K43" s="279"/>
      <c r="L43" s="279"/>
      <c r="M43" s="280"/>
      <c r="O43" s="394"/>
      <c r="V43" s="14"/>
      <c r="W43" s="15"/>
      <c r="X43" s="84" t="str">
        <f t="shared" ca="1" si="5"/>
        <v>-</v>
      </c>
      <c r="Y43" s="85" t="str">
        <f t="shared" ca="1" si="6"/>
        <v>-</v>
      </c>
      <c r="Z43" s="91"/>
      <c r="AA43" s="92"/>
      <c r="AB43" s="93"/>
      <c r="AC43" s="92"/>
      <c r="BG43" s="29" t="s">
        <v>124</v>
      </c>
      <c r="BH43" s="33">
        <v>28</v>
      </c>
      <c r="BI43" s="29"/>
      <c r="BJ43" s="33"/>
      <c r="BK43" s="29"/>
      <c r="BL43" s="33"/>
      <c r="BP43" s="13" t="str">
        <f>CONCATENATE($BP$31,EU[[#This Row],[Vėjo greitis]],"m/s")</f>
        <v>Zone-24.5m/s</v>
      </c>
      <c r="BQ43" s="33">
        <v>24.5</v>
      </c>
      <c r="BR43" s="29"/>
      <c r="BS43" s="33"/>
      <c r="BT43" s="29"/>
      <c r="BU43" s="33"/>
      <c r="BY43" s="13" t="s">
        <v>113</v>
      </c>
      <c r="BZ43" s="33">
        <v>23</v>
      </c>
      <c r="CA43" s="29"/>
      <c r="CB43" s="33"/>
      <c r="CC43" s="29"/>
      <c r="CD43" s="33"/>
      <c r="CH43" s="13" t="s">
        <v>55</v>
      </c>
      <c r="CI43" s="33" t="s">
        <v>55</v>
      </c>
      <c r="CJ43" s="29"/>
      <c r="CK43" s="33"/>
      <c r="CL43" s="29"/>
      <c r="CM43" s="33"/>
      <c r="CQ43" s="29" t="s">
        <v>55</v>
      </c>
      <c r="CR43" s="33" t="s">
        <v>55</v>
      </c>
      <c r="CS43" s="29"/>
      <c r="CT43" s="33"/>
      <c r="CU43" s="29"/>
      <c r="CV43" s="33"/>
      <c r="CZ43" s="13" t="s">
        <v>92</v>
      </c>
      <c r="DA43" s="33">
        <v>29</v>
      </c>
      <c r="DB43" s="29"/>
      <c r="DC43" s="33"/>
      <c r="DD43" s="29"/>
      <c r="DE43" s="33"/>
      <c r="DS43" s="14"/>
      <c r="EC43" s="14"/>
      <c r="ED43" s="15"/>
      <c r="EO43" s="14"/>
      <c r="EP43" s="15"/>
      <c r="EZ43" s="14"/>
      <c r="FA43" s="15"/>
    </row>
    <row r="44" spans="1:157" ht="31.5" customHeight="1" x14ac:dyDescent="0.25">
      <c r="B44" s="330" t="str">
        <f>IF($T$2=$X$27,"Rekomenduojamos reikšmės ir pasirinkimai tik greitiems skaičiavimams, atliekant detalius vėjo skaičiavimus vadovautis EN1991-1-4 ir NA.",IF($T$2=$X$28,"Recommended values or selections only for fast calculation, for deep detailed wind calculation refer to Eurocode 1991-1-4 and NA. ","   "))</f>
        <v xml:space="preserve">Recommended values or selections only for fast calculation, for deep detailed wind calculation refer to Eurocode 1991-1-4 and NA. </v>
      </c>
      <c r="O44" s="394"/>
      <c r="V44" s="14"/>
      <c r="W44" s="15"/>
      <c r="X44" s="84" t="str">
        <f t="shared" ca="1" si="5"/>
        <v>-</v>
      </c>
      <c r="Y44" s="85" t="str">
        <f t="shared" ca="1" si="6"/>
        <v>-</v>
      </c>
      <c r="Z44" s="91"/>
      <c r="AA44" s="92"/>
      <c r="AB44" s="93"/>
      <c r="AC44" s="92"/>
      <c r="BG44" s="29" t="s">
        <v>125</v>
      </c>
      <c r="BH44" s="33">
        <v>28</v>
      </c>
      <c r="BI44" s="29"/>
      <c r="BJ44" s="33"/>
      <c r="BK44" s="29"/>
      <c r="BL44" s="33"/>
      <c r="BP44" s="13" t="str">
        <f>CONCATENATE($BP$31,EU[[#This Row],[Vėjo greitis]],"m/s")</f>
        <v>Zone-25m/s</v>
      </c>
      <c r="BQ44" s="33">
        <v>25</v>
      </c>
      <c r="BR44" s="29"/>
      <c r="BS44" s="33"/>
      <c r="BT44" s="29"/>
      <c r="BU44" s="33"/>
      <c r="BY44" s="13" t="s">
        <v>114</v>
      </c>
      <c r="BZ44" s="33">
        <v>22</v>
      </c>
      <c r="CA44" s="29"/>
      <c r="CB44" s="33"/>
      <c r="CC44" s="29"/>
      <c r="CD44" s="33"/>
      <c r="CH44" s="13" t="s">
        <v>55</v>
      </c>
      <c r="CI44" s="33" t="s">
        <v>55</v>
      </c>
      <c r="CJ44" s="29"/>
      <c r="CK44" s="33"/>
      <c r="CL44" s="29"/>
      <c r="CM44" s="33"/>
      <c r="CQ44" s="29" t="s">
        <v>55</v>
      </c>
      <c r="CR44" s="33" t="s">
        <v>55</v>
      </c>
      <c r="CS44" s="29"/>
      <c r="CT44" s="33"/>
      <c r="CU44" s="29"/>
      <c r="CV44" s="33"/>
      <c r="CZ44" s="13" t="s">
        <v>98</v>
      </c>
      <c r="DA44" s="33">
        <v>26</v>
      </c>
      <c r="DB44" s="29"/>
      <c r="DC44" s="33"/>
      <c r="DD44" s="29"/>
      <c r="DE44" s="33"/>
      <c r="DS44" s="14"/>
      <c r="EC44" s="14"/>
      <c r="ED44" s="15"/>
      <c r="EO44" s="14"/>
      <c r="EP44" s="15"/>
      <c r="EZ44" s="14"/>
      <c r="FA44" s="15"/>
    </row>
    <row r="45" spans="1:157" x14ac:dyDescent="0.2">
      <c r="B45" s="152" t="str">
        <f>IF($T$2=$X$27,"* Skaičiavimas skirtas stačiakampiams pastatams, bei skaičiavimas neįvertina kalvotumo.",IF($T$2=$X$28,"* The calculation is intended for the rectangular building and calculation does not evaluate undulations of land surface.","   "))</f>
        <v>* The calculation is intended for the rectangular building and calculation does not evaluate undulations of land surface.</v>
      </c>
      <c r="O45" s="394"/>
      <c r="V45" s="14"/>
      <c r="W45" s="15"/>
      <c r="X45" s="84" t="str">
        <f t="shared" ca="1" si="5"/>
        <v>-</v>
      </c>
      <c r="Y45" s="85" t="str">
        <f t="shared" ca="1" si="6"/>
        <v>-</v>
      </c>
      <c r="Z45" s="91"/>
      <c r="AA45" s="92"/>
      <c r="AB45" s="93"/>
      <c r="AC45" s="92"/>
      <c r="BG45" s="29" t="s">
        <v>126</v>
      </c>
      <c r="BH45" s="33">
        <v>24</v>
      </c>
      <c r="BI45" s="29"/>
      <c r="BJ45" s="33"/>
      <c r="BK45" s="29"/>
      <c r="BL45" s="33"/>
      <c r="BP45" s="13" t="str">
        <f>CONCATENATE($BP$31,EU[[#This Row],[Vėjo greitis]],"m/s")</f>
        <v>Zone-25.5m/s</v>
      </c>
      <c r="BQ45" s="33">
        <v>25.5</v>
      </c>
      <c r="BR45" s="29"/>
      <c r="BS45" s="33"/>
      <c r="BT45" s="29"/>
      <c r="BU45" s="33"/>
      <c r="BY45" s="13" t="s">
        <v>115</v>
      </c>
      <c r="BZ45" s="33">
        <v>26</v>
      </c>
      <c r="CA45" s="29"/>
      <c r="CB45" s="33"/>
      <c r="CC45" s="29"/>
      <c r="CD45" s="33"/>
      <c r="CH45" s="13" t="s">
        <v>55</v>
      </c>
      <c r="CI45" s="33" t="s">
        <v>55</v>
      </c>
      <c r="CJ45" s="29"/>
      <c r="CK45" s="33"/>
      <c r="CL45" s="29"/>
      <c r="CM45" s="33"/>
      <c r="CQ45" s="29" t="s">
        <v>55</v>
      </c>
      <c r="CR45" s="33" t="s">
        <v>55</v>
      </c>
      <c r="CS45" s="29"/>
      <c r="CT45" s="33"/>
      <c r="CU45" s="29"/>
      <c r="CV45" s="33"/>
      <c r="CZ45" s="13" t="s">
        <v>134</v>
      </c>
      <c r="DA45" s="33">
        <v>24</v>
      </c>
      <c r="DB45" s="29"/>
      <c r="DC45" s="33"/>
      <c r="DD45" s="29"/>
      <c r="DE45" s="33"/>
      <c r="DS45" s="14"/>
      <c r="EC45" s="14"/>
      <c r="ED45" s="15"/>
      <c r="EO45" s="14"/>
      <c r="EP45" s="15"/>
      <c r="EZ45" s="14"/>
      <c r="FA45" s="15"/>
    </row>
    <row r="46" spans="1:157" x14ac:dyDescent="0.2">
      <c r="B46" s="152" t="str">
        <f>IF($T$2=$X$27,"** Galimos reikšmių paklaidos įvertinus nacionalinių priedų reikšmes. Dabar jos skaičiuojamos pagal eurokodą.",IF($T$2=$X$28,"** Possible errors for values if assessed national anexes' values. Now values are calculated according Eurocodes.","   "))</f>
        <v>** Possible errors for values if assessed national anexes' values. Now values are calculated according Eurocodes.</v>
      </c>
      <c r="O46" s="394"/>
      <c r="V46" s="14"/>
      <c r="W46" s="15"/>
      <c r="X46" s="84" t="str">
        <f t="shared" ca="1" si="5"/>
        <v>-</v>
      </c>
      <c r="Y46" s="85" t="str">
        <f t="shared" ca="1" si="6"/>
        <v>-</v>
      </c>
      <c r="Z46" s="91"/>
      <c r="AA46" s="92"/>
      <c r="AB46" s="93"/>
      <c r="AC46" s="92"/>
      <c r="BG46" s="29" t="s">
        <v>127</v>
      </c>
      <c r="BH46" s="33">
        <v>24</v>
      </c>
      <c r="BI46" s="29"/>
      <c r="BJ46" s="33"/>
      <c r="BK46" s="29"/>
      <c r="BL46" s="33"/>
      <c r="BP46" s="13" t="str">
        <f>CONCATENATE($BP$31,EU[[#This Row],[Vėjo greitis]],"m/s")</f>
        <v>Zone-26m/s</v>
      </c>
      <c r="BQ46" s="33">
        <v>26</v>
      </c>
      <c r="BR46" s="29"/>
      <c r="BS46" s="33"/>
      <c r="BT46" s="29"/>
      <c r="BU46" s="33"/>
      <c r="BY46" s="13" t="s">
        <v>116</v>
      </c>
      <c r="BZ46" s="33">
        <v>22</v>
      </c>
      <c r="CA46" s="29"/>
      <c r="CB46" s="33"/>
      <c r="CC46" s="29"/>
      <c r="CD46" s="33"/>
      <c r="CH46" s="13" t="s">
        <v>55</v>
      </c>
      <c r="CI46" s="33" t="s">
        <v>55</v>
      </c>
      <c r="CJ46" s="29"/>
      <c r="CK46" s="33"/>
      <c r="CL46" s="29"/>
      <c r="CM46" s="33"/>
      <c r="CQ46" s="29" t="s">
        <v>55</v>
      </c>
      <c r="CR46" s="33" t="s">
        <v>55</v>
      </c>
      <c r="CS46" s="29"/>
      <c r="CT46" s="33"/>
      <c r="CU46" s="29"/>
      <c r="CV46" s="33"/>
      <c r="CZ46" s="13" t="s">
        <v>55</v>
      </c>
      <c r="DA46" s="33" t="s">
        <v>55</v>
      </c>
      <c r="DB46" s="29"/>
      <c r="DC46" s="33"/>
      <c r="DD46" s="29"/>
      <c r="DE46" s="33"/>
      <c r="DS46" s="14"/>
      <c r="EC46" s="14"/>
      <c r="ED46" s="15"/>
      <c r="EO46" s="14"/>
      <c r="EP46" s="15"/>
      <c r="EZ46" s="14"/>
      <c r="FA46" s="15"/>
    </row>
    <row r="47" spans="1:157" x14ac:dyDescent="0.2">
      <c r="B47" s="152"/>
      <c r="O47" s="394"/>
      <c r="V47" s="14"/>
      <c r="W47" s="15"/>
      <c r="X47" s="84" t="str">
        <f t="shared" ca="1" si="5"/>
        <v>-</v>
      </c>
      <c r="Y47" s="85" t="str">
        <f t="shared" ca="1" si="6"/>
        <v>-</v>
      </c>
      <c r="Z47" s="91"/>
      <c r="AA47" s="92"/>
      <c r="AB47" s="93"/>
      <c r="AC47" s="92"/>
      <c r="BG47" s="29" t="s">
        <v>128</v>
      </c>
      <c r="BH47" s="33">
        <v>24</v>
      </c>
      <c r="BI47" s="29"/>
      <c r="BJ47" s="33"/>
      <c r="BK47" s="29"/>
      <c r="BL47" s="33"/>
      <c r="BP47" s="13" t="str">
        <f>CONCATENATE($BP$31,EU[[#This Row],[Vėjo greitis]],"m/s")</f>
        <v>Zone-26.5m/s</v>
      </c>
      <c r="BQ47" s="33">
        <v>26.5</v>
      </c>
      <c r="BR47" s="29"/>
      <c r="BS47" s="33"/>
      <c r="BT47" s="29"/>
      <c r="BU47" s="33"/>
      <c r="BY47" s="13" t="s">
        <v>117</v>
      </c>
      <c r="BZ47" s="33">
        <v>22</v>
      </c>
      <c r="CA47" s="29"/>
      <c r="CB47" s="33"/>
      <c r="CC47" s="29"/>
      <c r="CD47" s="33"/>
      <c r="CH47" s="13" t="s">
        <v>55</v>
      </c>
      <c r="CI47" s="33" t="s">
        <v>55</v>
      </c>
      <c r="CJ47" s="29"/>
      <c r="CK47" s="33"/>
      <c r="CL47" s="29"/>
      <c r="CM47" s="33"/>
      <c r="CQ47" s="29" t="s">
        <v>55</v>
      </c>
      <c r="CR47" s="33" t="s">
        <v>55</v>
      </c>
      <c r="CS47" s="29"/>
      <c r="CT47" s="33"/>
      <c r="CU47" s="29"/>
      <c r="CV47" s="33"/>
      <c r="CZ47" s="13" t="s">
        <v>55</v>
      </c>
      <c r="DA47" s="33" t="s">
        <v>55</v>
      </c>
      <c r="DB47" s="29"/>
      <c r="DC47" s="33"/>
      <c r="DD47" s="29"/>
      <c r="DE47" s="33"/>
      <c r="DS47" s="14"/>
      <c r="EC47" s="14"/>
      <c r="ED47" s="15"/>
      <c r="EO47" s="14"/>
      <c r="EP47" s="15"/>
      <c r="EZ47" s="14"/>
      <c r="FA47" s="15"/>
    </row>
    <row r="48" spans="1:157" ht="15" x14ac:dyDescent="0.25">
      <c r="B48" s="304" t="str">
        <f>IF($T$2=$X$27,"ČIA YRA PATEIKTA KONFIDENCIALI UAB STATICUS INFORMACIJA, KOPIJAVIMAS AR FAILO PLATINIMAS YRA GRIEŽTAI DRAUDŽIAMAS IR NETEISĖTAS !", "IT CONTAINS CONFIDENTIAL UAB STATICUS INFORMATION, ANY COPYING OR DISTRIBUTION OF THIS FILE IS STRICTLY PROHIBITED AND UNLAWFUL !")</f>
        <v>IT CONTAINS CONFIDENTIAL UAB STATICUS INFORMATION, ANY COPYING OR DISTRIBUTION OF THIS FILE IS STRICTLY PROHIBITED AND UNLAWFUL !</v>
      </c>
      <c r="O48" s="394"/>
      <c r="V48" s="14"/>
      <c r="W48" s="15"/>
      <c r="X48" s="84" t="str">
        <f t="shared" ca="1" si="5"/>
        <v>-</v>
      </c>
      <c r="Y48" s="85" t="str">
        <f t="shared" ca="1" si="6"/>
        <v>-</v>
      </c>
      <c r="Z48" s="91"/>
      <c r="AA48" s="92"/>
      <c r="AB48" s="93"/>
      <c r="AC48" s="92"/>
      <c r="BG48" s="29" t="s">
        <v>129</v>
      </c>
      <c r="BH48" s="33">
        <v>24</v>
      </c>
      <c r="BI48" s="29"/>
      <c r="BJ48" s="33"/>
      <c r="BK48" s="29"/>
      <c r="BL48" s="33"/>
      <c r="BP48" s="13" t="str">
        <f>CONCATENATE($BP$31,EU[[#This Row],[Vėjo greitis]],"m/s")</f>
        <v>Zone-27m/s</v>
      </c>
      <c r="BQ48" s="33">
        <v>27</v>
      </c>
      <c r="BR48" s="29"/>
      <c r="BS48" s="33"/>
      <c r="BT48" s="29"/>
      <c r="BU48" s="33"/>
      <c r="BY48" s="13" t="s">
        <v>118</v>
      </c>
      <c r="BZ48" s="33">
        <v>25</v>
      </c>
      <c r="CA48" s="29"/>
      <c r="CB48" s="33"/>
      <c r="CC48" s="29"/>
      <c r="CD48" s="33"/>
      <c r="CH48" s="13" t="s">
        <v>55</v>
      </c>
      <c r="CI48" s="33" t="s">
        <v>55</v>
      </c>
      <c r="CJ48" s="29"/>
      <c r="CK48" s="33"/>
      <c r="CL48" s="29"/>
      <c r="CM48" s="33"/>
      <c r="CQ48" s="29" t="s">
        <v>55</v>
      </c>
      <c r="CR48" s="33" t="s">
        <v>55</v>
      </c>
      <c r="CS48" s="29"/>
      <c r="CT48" s="33"/>
      <c r="CU48" s="29"/>
      <c r="CV48" s="33"/>
      <c r="CZ48" s="13" t="s">
        <v>55</v>
      </c>
      <c r="DA48" s="33" t="s">
        <v>55</v>
      </c>
      <c r="DB48" s="29"/>
      <c r="DC48" s="33"/>
      <c r="DD48" s="29"/>
      <c r="DE48" s="33"/>
      <c r="DS48" s="14"/>
      <c r="EC48" s="14"/>
      <c r="ED48" s="15"/>
      <c r="EO48" s="14"/>
      <c r="EP48" s="15"/>
      <c r="EZ48" s="14"/>
      <c r="FA48" s="15"/>
    </row>
    <row r="49" spans="1:157" ht="15" x14ac:dyDescent="0.25">
      <c r="B49" s="304"/>
      <c r="O49" s="394"/>
      <c r="V49" s="14"/>
      <c r="W49" s="15"/>
      <c r="X49" s="84" t="str">
        <f t="shared" ca="1" si="5"/>
        <v>-</v>
      </c>
      <c r="Y49" s="85" t="str">
        <f t="shared" ca="1" si="6"/>
        <v>-</v>
      </c>
      <c r="Z49" s="91"/>
      <c r="AA49" s="92"/>
      <c r="AB49" s="93"/>
      <c r="AC49" s="92"/>
      <c r="BG49" s="29" t="s">
        <v>55</v>
      </c>
      <c r="BH49" s="33" t="s">
        <v>55</v>
      </c>
      <c r="BI49" s="29"/>
      <c r="BJ49" s="33"/>
      <c r="BK49" s="29"/>
      <c r="BL49" s="33"/>
      <c r="BP49" s="13" t="str">
        <f>CONCATENATE($BP$31,EU[[#This Row],[Vėjo greitis]],"m/s")</f>
        <v>Zone-27.5m/s</v>
      </c>
      <c r="BQ49" s="33">
        <v>27.5</v>
      </c>
      <c r="BR49" s="29"/>
      <c r="BS49" s="33"/>
      <c r="BT49" s="29"/>
      <c r="BU49" s="33"/>
      <c r="BY49" s="13" t="s">
        <v>119</v>
      </c>
      <c r="BZ49" s="33">
        <v>23</v>
      </c>
      <c r="CA49" s="29"/>
      <c r="CB49" s="33"/>
      <c r="CC49" s="29"/>
      <c r="CD49" s="33"/>
      <c r="CH49" s="13" t="s">
        <v>55</v>
      </c>
      <c r="CI49" s="33" t="s">
        <v>55</v>
      </c>
      <c r="CJ49" s="29"/>
      <c r="CK49" s="33"/>
      <c r="CL49" s="29"/>
      <c r="CM49" s="33"/>
      <c r="CQ49" s="29" t="s">
        <v>55</v>
      </c>
      <c r="CR49" s="33" t="s">
        <v>55</v>
      </c>
      <c r="CS49" s="29"/>
      <c r="CT49" s="33"/>
      <c r="CU49" s="29"/>
      <c r="CV49" s="33"/>
      <c r="CZ49" s="13" t="s">
        <v>55</v>
      </c>
      <c r="DA49" s="33" t="s">
        <v>55</v>
      </c>
      <c r="DB49" s="29"/>
      <c r="DC49" s="33"/>
      <c r="DD49" s="29"/>
      <c r="DE49" s="33"/>
      <c r="DS49" s="14"/>
      <c r="EC49" s="14"/>
      <c r="ED49" s="15"/>
      <c r="EO49" s="14"/>
      <c r="EP49" s="15"/>
      <c r="EZ49" s="14"/>
      <c r="FA49" s="15"/>
    </row>
    <row r="50" spans="1:157" x14ac:dyDescent="0.2">
      <c r="O50" s="394"/>
      <c r="V50" s="14"/>
      <c r="W50" s="15"/>
      <c r="X50" s="84" t="str">
        <f t="shared" ca="1" si="5"/>
        <v>-</v>
      </c>
      <c r="Y50" s="85" t="str">
        <f t="shared" ca="1" si="6"/>
        <v>-</v>
      </c>
      <c r="Z50" s="91"/>
      <c r="AA50" s="92"/>
      <c r="AB50" s="93"/>
      <c r="AC50" s="92"/>
      <c r="BG50" s="29" t="s">
        <v>55</v>
      </c>
      <c r="BH50" s="33" t="s">
        <v>55</v>
      </c>
      <c r="BI50" s="29"/>
      <c r="BJ50" s="33"/>
      <c r="BK50" s="29"/>
      <c r="BL50" s="33"/>
      <c r="BP50" s="13" t="str">
        <f>CONCATENATE($BP$31,EU[[#This Row],[Vėjo greitis]],"m/s")</f>
        <v>Zone-28m/s</v>
      </c>
      <c r="BQ50" s="33">
        <v>28</v>
      </c>
      <c r="BR50" s="29"/>
      <c r="BS50" s="33"/>
      <c r="BT50" s="29"/>
      <c r="BU50" s="33"/>
      <c r="BY50" s="13" t="s">
        <v>120</v>
      </c>
      <c r="BZ50" s="33">
        <v>22</v>
      </c>
      <c r="CA50" s="29"/>
      <c r="CB50" s="33"/>
      <c r="CC50" s="29"/>
      <c r="CD50" s="33"/>
      <c r="CH50" s="13" t="s">
        <v>55</v>
      </c>
      <c r="CI50" s="33" t="s">
        <v>55</v>
      </c>
      <c r="CJ50" s="29"/>
      <c r="CK50" s="33"/>
      <c r="CL50" s="29"/>
      <c r="CM50" s="33"/>
      <c r="CQ50" s="29" t="s">
        <v>55</v>
      </c>
      <c r="CR50" s="33" t="s">
        <v>55</v>
      </c>
      <c r="CS50" s="29"/>
      <c r="CT50" s="33"/>
      <c r="CU50" s="29"/>
      <c r="CV50" s="33"/>
      <c r="CZ50" s="13" t="s">
        <v>55</v>
      </c>
      <c r="DA50" s="33" t="s">
        <v>55</v>
      </c>
      <c r="DB50" s="29"/>
      <c r="DC50" s="33"/>
      <c r="DD50" s="29"/>
      <c r="DE50" s="33"/>
      <c r="DS50" s="14"/>
      <c r="EC50" s="14"/>
      <c r="ED50" s="15"/>
      <c r="EO50" s="14"/>
      <c r="EP50" s="15"/>
      <c r="EZ50" s="14"/>
      <c r="FA50" s="15"/>
    </row>
    <row r="51" spans="1:157" x14ac:dyDescent="0.2">
      <c r="A51" s="25"/>
      <c r="B51" s="252" t="s">
        <v>205</v>
      </c>
      <c r="C51" s="26"/>
      <c r="D51" s="26"/>
      <c r="E51" s="26"/>
      <c r="F51" s="26"/>
      <c r="G51" s="26"/>
      <c r="H51" s="26"/>
      <c r="I51" s="26"/>
      <c r="J51" s="26"/>
      <c r="K51" s="26"/>
      <c r="L51" s="26"/>
      <c r="M51" s="27"/>
      <c r="O51" s="394"/>
      <c r="V51" s="14"/>
      <c r="W51" s="15"/>
      <c r="X51" s="84" t="str">
        <f t="shared" ca="1" si="5"/>
        <v>-</v>
      </c>
      <c r="Y51" s="85" t="str">
        <f t="shared" ca="1" si="6"/>
        <v>-</v>
      </c>
      <c r="Z51" s="91"/>
      <c r="AA51" s="92"/>
      <c r="AB51" s="93"/>
      <c r="AC51" s="92"/>
      <c r="BG51" s="29" t="s">
        <v>55</v>
      </c>
      <c r="BH51" s="33" t="s">
        <v>55</v>
      </c>
      <c r="BI51" s="29"/>
      <c r="BJ51" s="33"/>
      <c r="BK51" s="29"/>
      <c r="BL51" s="33"/>
      <c r="BP51" s="13" t="str">
        <f>CONCATENATE($BP$31,EU[[#This Row],[Vėjo greitis]],"m/s")</f>
        <v>Zone-28.5m/s</v>
      </c>
      <c r="BQ51" s="33">
        <v>28.5</v>
      </c>
      <c r="BR51" s="29"/>
      <c r="BS51" s="33"/>
      <c r="BT51" s="29"/>
      <c r="BU51" s="33"/>
      <c r="BY51" s="13" t="s">
        <v>121</v>
      </c>
      <c r="BZ51" s="33">
        <v>23</v>
      </c>
      <c r="CA51" s="29"/>
      <c r="CB51" s="33"/>
      <c r="CC51" s="29"/>
      <c r="CD51" s="33"/>
      <c r="CH51" s="13" t="s">
        <v>55</v>
      </c>
      <c r="CI51" s="33" t="s">
        <v>55</v>
      </c>
      <c r="CJ51" s="29"/>
      <c r="CK51" s="33"/>
      <c r="CL51" s="29"/>
      <c r="CM51" s="33"/>
      <c r="CQ51" s="29" t="s">
        <v>55</v>
      </c>
      <c r="CR51" s="33" t="s">
        <v>55</v>
      </c>
      <c r="CS51" s="29"/>
      <c r="CT51" s="33"/>
      <c r="CU51" s="29"/>
      <c r="CV51" s="33"/>
      <c r="CZ51" s="13" t="s">
        <v>55</v>
      </c>
      <c r="DA51" s="33" t="s">
        <v>55</v>
      </c>
      <c r="DB51" s="29"/>
      <c r="DC51" s="33"/>
      <c r="DD51" s="29"/>
      <c r="DE51" s="33"/>
      <c r="DS51" s="14"/>
      <c r="EC51" s="14"/>
      <c r="ED51" s="15"/>
      <c r="EO51" s="14"/>
      <c r="EP51" s="15"/>
      <c r="EZ51" s="14"/>
      <c r="FA51" s="15"/>
    </row>
    <row r="52" spans="1:157" ht="12.75" customHeight="1" x14ac:dyDescent="0.2">
      <c r="A52" s="29"/>
      <c r="M52" s="33"/>
      <c r="O52" s="395" t="str">
        <f>IF($T$2=$X$27,"Žiūrėti 1991-1-4 Priedas A lent. A.1 - Atstumas x",IF($T$2=$X$28,"Refer to 1991-1-4 Annex A table A.1 - Distance x","   "))</f>
        <v>Refer to 1991-1-4 Annex A table A.1 - Distance x</v>
      </c>
      <c r="V52" s="14"/>
      <c r="W52" s="15"/>
      <c r="X52" s="84" t="str">
        <f t="shared" ca="1" si="5"/>
        <v>-</v>
      </c>
      <c r="Y52" s="85" t="str">
        <f t="shared" ca="1" si="6"/>
        <v>-</v>
      </c>
      <c r="Z52" s="91"/>
      <c r="AA52" s="92"/>
      <c r="AB52" s="93"/>
      <c r="AC52" s="92"/>
      <c r="BG52" s="29" t="s">
        <v>55</v>
      </c>
      <c r="BH52" s="33" t="s">
        <v>55</v>
      </c>
      <c r="BI52" s="29"/>
      <c r="BJ52" s="33"/>
      <c r="BK52" s="29"/>
      <c r="BL52" s="33"/>
      <c r="BP52" s="13" t="str">
        <f>CONCATENATE($BP$31,EU[[#This Row],[Vėjo greitis]],"m/s")</f>
        <v>Zone-29m/s</v>
      </c>
      <c r="BQ52" s="33">
        <v>29</v>
      </c>
      <c r="BR52" s="29"/>
      <c r="BS52" s="33"/>
      <c r="BT52" s="29"/>
      <c r="BU52" s="33"/>
      <c r="BY52" s="13" t="s">
        <v>122</v>
      </c>
      <c r="BZ52" s="33">
        <v>23</v>
      </c>
      <c r="CA52" s="29"/>
      <c r="CB52" s="33"/>
      <c r="CC52" s="29"/>
      <c r="CD52" s="33"/>
      <c r="CH52" s="13" t="s">
        <v>55</v>
      </c>
      <c r="CI52" s="33" t="s">
        <v>55</v>
      </c>
      <c r="CJ52" s="29"/>
      <c r="CK52" s="33"/>
      <c r="CL52" s="29"/>
      <c r="CM52" s="33"/>
      <c r="CQ52" s="29" t="s">
        <v>55</v>
      </c>
      <c r="CR52" s="33" t="s">
        <v>55</v>
      </c>
      <c r="CS52" s="29"/>
      <c r="CT52" s="33"/>
      <c r="CU52" s="29"/>
      <c r="CV52" s="33"/>
      <c r="CZ52" s="13" t="s">
        <v>55</v>
      </c>
      <c r="DA52" s="33" t="s">
        <v>55</v>
      </c>
      <c r="DB52" s="29"/>
      <c r="DC52" s="33"/>
      <c r="DD52" s="29"/>
      <c r="DE52" s="33"/>
      <c r="DS52" s="14"/>
      <c r="EC52" s="14"/>
      <c r="ED52" s="15"/>
      <c r="EO52" s="14"/>
      <c r="EP52" s="15"/>
      <c r="EZ52" s="14"/>
      <c r="FA52" s="15"/>
    </row>
    <row r="53" spans="1:157" ht="15" customHeight="1" x14ac:dyDescent="0.2">
      <c r="A53" s="29"/>
      <c r="B53" s="385" t="s">
        <v>234</v>
      </c>
      <c r="C53" s="386"/>
      <c r="M53" s="33"/>
      <c r="O53" s="395"/>
      <c r="V53" s="14"/>
      <c r="W53" s="15"/>
      <c r="X53" s="84" t="str">
        <f t="shared" ca="1" si="5"/>
        <v>-</v>
      </c>
      <c r="Y53" s="85" t="str">
        <f t="shared" ca="1" si="6"/>
        <v>-</v>
      </c>
      <c r="Z53" s="91"/>
      <c r="AA53" s="92"/>
      <c r="AB53" s="93"/>
      <c r="AC53" s="92"/>
      <c r="BG53" s="29" t="s">
        <v>55</v>
      </c>
      <c r="BH53" s="33" t="s">
        <v>55</v>
      </c>
      <c r="BI53" s="29"/>
      <c r="BJ53" s="33"/>
      <c r="BK53" s="29"/>
      <c r="BL53" s="33"/>
      <c r="BP53" s="13" t="str">
        <f>CONCATENATE($BP$31,EU[[#This Row],[Vėjo greitis]],"m/s")</f>
        <v>Zone-29.5m/s</v>
      </c>
      <c r="BQ53" s="33">
        <v>29.5</v>
      </c>
      <c r="BR53" s="29"/>
      <c r="BS53" s="33"/>
      <c r="BT53" s="29"/>
      <c r="BU53" s="33"/>
      <c r="BY53" s="13" t="s">
        <v>123</v>
      </c>
      <c r="BZ53" s="33">
        <v>24</v>
      </c>
      <c r="CA53" s="29"/>
      <c r="CB53" s="33"/>
      <c r="CC53" s="29"/>
      <c r="CD53" s="33"/>
      <c r="CH53" s="13" t="s">
        <v>55</v>
      </c>
      <c r="CI53" s="33" t="s">
        <v>55</v>
      </c>
      <c r="CJ53" s="29"/>
      <c r="CK53" s="33"/>
      <c r="CL53" s="29"/>
      <c r="CM53" s="33"/>
      <c r="CQ53" s="29" t="s">
        <v>55</v>
      </c>
      <c r="CR53" s="33" t="s">
        <v>55</v>
      </c>
      <c r="CS53" s="29"/>
      <c r="CT53" s="33"/>
      <c r="CU53" s="29"/>
      <c r="CV53" s="33"/>
      <c r="CZ53" s="13" t="s">
        <v>55</v>
      </c>
      <c r="DA53" s="33" t="s">
        <v>55</v>
      </c>
      <c r="DB53" s="29"/>
      <c r="DC53" s="33"/>
      <c r="DD53" s="29"/>
      <c r="DE53" s="33"/>
      <c r="DS53" s="14"/>
      <c r="EC53" s="14"/>
      <c r="ED53" s="15"/>
      <c r="EO53" s="14"/>
      <c r="EP53" s="15"/>
      <c r="EZ53" s="14"/>
      <c r="FA53" s="15"/>
    </row>
    <row r="54" spans="1:157" ht="15" customHeight="1" x14ac:dyDescent="0.2">
      <c r="A54" s="29"/>
      <c r="B54" s="253" t="s">
        <v>188</v>
      </c>
      <c r="C54" s="254" t="s">
        <v>166</v>
      </c>
      <c r="D54" s="287" t="str">
        <f>IF(AND(C54=X85,T6="UK"),"(+0,2; -0,3 recommended values for UK projects, if isn't possible to estimate)",IF(C54=X85,"( +-0 recommended values, when not required by NA and project specification)",IF(AND(C54=X85,T6="UK"),"A",IF(C54=X86,"(+0; -0,3 rec. values for EU projects. Four walls equally permaeble)",IF(C54=X87,"(+0,2; -0,3 recommended values for UK projects, if not possible to estimate)",IF(C54=X88,"(according to manual Cpi input parameters)"))))))</f>
        <v>(+0,2; -0,3 recommended values for UK projects, if not possible to estimate)</v>
      </c>
      <c r="M54" s="33"/>
      <c r="O54" s="395"/>
      <c r="V54" s="14"/>
      <c r="W54" s="15"/>
      <c r="X54" s="84" t="str">
        <f t="shared" ca="1" si="5"/>
        <v>-</v>
      </c>
      <c r="Y54" s="85" t="str">
        <f t="shared" ca="1" si="6"/>
        <v>-</v>
      </c>
      <c r="Z54" s="91"/>
      <c r="AA54" s="92"/>
      <c r="AB54" s="93"/>
      <c r="AC54" s="92"/>
      <c r="BG54" s="29" t="s">
        <v>55</v>
      </c>
      <c r="BH54" s="33" t="s">
        <v>55</v>
      </c>
      <c r="BI54" s="29"/>
      <c r="BJ54" s="33"/>
      <c r="BK54" s="29"/>
      <c r="BL54" s="33"/>
      <c r="BP54" s="13" t="str">
        <f>CONCATENATE($BP$31,EU[[#This Row],[Vėjo greitis]],"m/s")</f>
        <v>Zone-30m/s</v>
      </c>
      <c r="BQ54" s="33">
        <v>30</v>
      </c>
      <c r="BR54" s="29"/>
      <c r="BS54" s="33"/>
      <c r="BT54" s="29"/>
      <c r="BU54" s="33"/>
      <c r="BY54" s="13" t="s">
        <v>55</v>
      </c>
      <c r="BZ54" s="33" t="s">
        <v>55</v>
      </c>
      <c r="CA54" s="29"/>
      <c r="CB54" s="33"/>
      <c r="CC54" s="29"/>
      <c r="CD54" s="33"/>
      <c r="CH54" s="13" t="s">
        <v>55</v>
      </c>
      <c r="CI54" s="33" t="s">
        <v>55</v>
      </c>
      <c r="CJ54" s="29"/>
      <c r="CK54" s="33"/>
      <c r="CL54" s="29"/>
      <c r="CM54" s="33"/>
      <c r="CQ54" s="29" t="s">
        <v>55</v>
      </c>
      <c r="CR54" s="33" t="s">
        <v>55</v>
      </c>
      <c r="CS54" s="29"/>
      <c r="CT54" s="33"/>
      <c r="CU54" s="29"/>
      <c r="CV54" s="33"/>
      <c r="CZ54" s="13" t="s">
        <v>55</v>
      </c>
      <c r="DA54" s="33" t="s">
        <v>55</v>
      </c>
      <c r="DB54" s="29"/>
      <c r="DC54" s="33"/>
      <c r="DD54" s="29"/>
      <c r="DE54" s="33"/>
      <c r="DS54" s="14"/>
      <c r="EC54" s="14"/>
      <c r="ED54" s="15"/>
      <c r="EO54" s="14"/>
      <c r="EP54" s="15"/>
      <c r="EZ54" s="14"/>
      <c r="FA54" s="15"/>
    </row>
    <row r="55" spans="1:157" ht="15" customHeight="1" x14ac:dyDescent="0.2">
      <c r="A55" s="29"/>
      <c r="B55" s="13" t="str">
        <f>IF($T$2=$X$27,"*NET (Ext-Int) bendras slėgis į fasadą, stiklo paketus (Išorinėms skardoms rekom. naudoti tik išorinį Ext)",IF($T$2=$X$28,"*NET (Ext-Int) net pressure on Curtain walling, Glass units","   "))</f>
        <v>*NET (Ext-Int) net pressure on Curtain walling, Glass units</v>
      </c>
      <c r="M55" s="33"/>
      <c r="O55" s="395"/>
      <c r="V55" s="14"/>
      <c r="W55" s="15"/>
      <c r="X55" s="84" t="str">
        <f t="shared" ca="1" si="5"/>
        <v>-</v>
      </c>
      <c r="Y55" s="85" t="str">
        <f t="shared" ca="1" si="6"/>
        <v>-</v>
      </c>
      <c r="Z55" s="91"/>
      <c r="AA55" s="92"/>
      <c r="AB55" s="93"/>
      <c r="AC55" s="92"/>
      <c r="BG55" s="29" t="s">
        <v>55</v>
      </c>
      <c r="BH55" s="33" t="s">
        <v>55</v>
      </c>
      <c r="BI55" s="29"/>
      <c r="BJ55" s="33"/>
      <c r="BK55" s="29"/>
      <c r="BL55" s="33"/>
      <c r="BP55" s="13" t="str">
        <f>CONCATENATE($BP$31,EU[[#This Row],[Vėjo greitis]],"m/s")</f>
        <v>Zone-30.5m/s</v>
      </c>
      <c r="BQ55" s="33">
        <v>30.5</v>
      </c>
      <c r="BR55" s="29"/>
      <c r="BS55" s="33"/>
      <c r="BT55" s="29"/>
      <c r="BU55" s="33"/>
      <c r="BY55" s="13" t="s">
        <v>55</v>
      </c>
      <c r="BZ55" s="33" t="s">
        <v>55</v>
      </c>
      <c r="CA55" s="29"/>
      <c r="CB55" s="33"/>
      <c r="CC55" s="29"/>
      <c r="CD55" s="33"/>
      <c r="CH55" s="13" t="s">
        <v>55</v>
      </c>
      <c r="CI55" s="33" t="s">
        <v>55</v>
      </c>
      <c r="CJ55" s="29"/>
      <c r="CK55" s="33"/>
      <c r="CL55" s="29"/>
      <c r="CM55" s="33"/>
      <c r="CQ55" s="29" t="s">
        <v>55</v>
      </c>
      <c r="CR55" s="33" t="s">
        <v>55</v>
      </c>
      <c r="CS55" s="29"/>
      <c r="CT55" s="33"/>
      <c r="CU55" s="29"/>
      <c r="CV55" s="33"/>
      <c r="CZ55" s="13" t="s">
        <v>55</v>
      </c>
      <c r="DA55" s="33" t="s">
        <v>55</v>
      </c>
      <c r="DB55" s="29"/>
      <c r="DC55" s="33"/>
      <c r="DD55" s="29"/>
      <c r="DE55" s="33"/>
      <c r="DS55" s="14"/>
      <c r="EC55" s="14"/>
      <c r="ED55" s="15"/>
      <c r="EO55" s="14"/>
      <c r="EP55" s="15"/>
      <c r="EZ55" s="14"/>
      <c r="FA55" s="15"/>
    </row>
    <row r="56" spans="1:157" ht="15" customHeight="1" x14ac:dyDescent="0.2">
      <c r="A56" s="29"/>
      <c r="B56" s="13" t="str">
        <f>IF($T$2=$X$27,"Vėjo apkrovų reikšmės pagal pastato zonas:",IF($T$2=$X$28,"Wind load values according to the building zones:","   "))</f>
        <v>Wind load values according to the building zones:</v>
      </c>
      <c r="M56" s="33"/>
      <c r="O56" s="395"/>
      <c r="V56" s="14"/>
      <c r="W56" s="15"/>
      <c r="X56" s="84" t="str">
        <f t="shared" ca="1" si="5"/>
        <v>-</v>
      </c>
      <c r="Y56" s="85" t="str">
        <f t="shared" ca="1" si="6"/>
        <v>-</v>
      </c>
      <c r="Z56" s="91"/>
      <c r="AA56" s="92"/>
      <c r="AB56" s="93"/>
      <c r="AC56" s="92"/>
      <c r="BG56" s="29" t="s">
        <v>55</v>
      </c>
      <c r="BH56" s="33" t="s">
        <v>55</v>
      </c>
      <c r="BI56" s="29"/>
      <c r="BJ56" s="33"/>
      <c r="BK56" s="29"/>
      <c r="BL56" s="33"/>
      <c r="BP56" s="13" t="str">
        <f>CONCATENATE($BP$31,EU[[#This Row],[Vėjo greitis]],"m/s")</f>
        <v>Zone-31m/s</v>
      </c>
      <c r="BQ56" s="33">
        <v>31</v>
      </c>
      <c r="BR56" s="29"/>
      <c r="BS56" s="33"/>
      <c r="BT56" s="29"/>
      <c r="BU56" s="33"/>
      <c r="BY56" s="13" t="s">
        <v>55</v>
      </c>
      <c r="BZ56" s="33" t="s">
        <v>55</v>
      </c>
      <c r="CA56" s="29"/>
      <c r="CB56" s="33"/>
      <c r="CC56" s="29"/>
      <c r="CD56" s="33"/>
      <c r="CH56" s="13" t="s">
        <v>55</v>
      </c>
      <c r="CI56" s="33" t="s">
        <v>55</v>
      </c>
      <c r="CJ56" s="29"/>
      <c r="CK56" s="33"/>
      <c r="CL56" s="29"/>
      <c r="CM56" s="33"/>
      <c r="CQ56" s="29" t="s">
        <v>55</v>
      </c>
      <c r="CR56" s="33" t="s">
        <v>55</v>
      </c>
      <c r="CS56" s="29"/>
      <c r="CT56" s="33"/>
      <c r="CU56" s="29"/>
      <c r="CV56" s="33"/>
      <c r="CZ56" s="13" t="s">
        <v>55</v>
      </c>
      <c r="DA56" s="33" t="s">
        <v>55</v>
      </c>
      <c r="DB56" s="29"/>
      <c r="DC56" s="33"/>
      <c r="DD56" s="29"/>
      <c r="DE56" s="33"/>
      <c r="DS56" s="14"/>
      <c r="EC56" s="14"/>
      <c r="ED56" s="15"/>
      <c r="EO56" s="14"/>
      <c r="EP56" s="15"/>
      <c r="EZ56" s="14"/>
      <c r="FA56" s="15"/>
    </row>
    <row r="57" spans="1:157" x14ac:dyDescent="0.2">
      <c r="A57" s="29"/>
      <c r="B57" s="148"/>
      <c r="C57" s="302" t="s">
        <v>232</v>
      </c>
      <c r="D57" s="303" t="s">
        <v>239</v>
      </c>
      <c r="F57" s="293" t="s">
        <v>236</v>
      </c>
      <c r="G57" s="281" t="s">
        <v>242</v>
      </c>
      <c r="H57" s="310" t="s">
        <v>199</v>
      </c>
      <c r="M57" s="33"/>
      <c r="O57" s="395"/>
      <c r="V57" s="14"/>
      <c r="W57" s="15"/>
      <c r="X57" s="84" t="str">
        <f t="shared" ca="1" si="5"/>
        <v>-</v>
      </c>
      <c r="Y57" s="85" t="str">
        <f t="shared" ca="1" si="6"/>
        <v>-</v>
      </c>
      <c r="Z57" s="91"/>
      <c r="AA57" s="92"/>
      <c r="AB57" s="93"/>
      <c r="AC57" s="92"/>
      <c r="BG57" s="29" t="s">
        <v>55</v>
      </c>
      <c r="BH57" s="33" t="s">
        <v>55</v>
      </c>
      <c r="BI57" s="29"/>
      <c r="BJ57" s="33"/>
      <c r="BK57" s="29"/>
      <c r="BL57" s="33"/>
      <c r="BP57" s="13" t="str">
        <f>CONCATENATE($BP$31,EU[[#This Row],[Vėjo greitis]],"m/s")</f>
        <v>Zone-31.5m/s</v>
      </c>
      <c r="BQ57" s="33">
        <v>31.5</v>
      </c>
      <c r="BR57" s="29"/>
      <c r="BS57" s="33"/>
      <c r="BT57" s="29"/>
      <c r="BU57" s="33"/>
      <c r="BY57" s="13" t="s">
        <v>55</v>
      </c>
      <c r="BZ57" s="33" t="s">
        <v>55</v>
      </c>
      <c r="CA57" s="29"/>
      <c r="CB57" s="33"/>
      <c r="CC57" s="29"/>
      <c r="CD57" s="33"/>
      <c r="CH57" s="13" t="s">
        <v>55</v>
      </c>
      <c r="CI57" s="33" t="s">
        <v>55</v>
      </c>
      <c r="CJ57" s="29"/>
      <c r="CK57" s="33"/>
      <c r="CL57" s="29"/>
      <c r="CM57" s="33"/>
      <c r="CQ57" s="29" t="s">
        <v>55</v>
      </c>
      <c r="CR57" s="33" t="s">
        <v>55</v>
      </c>
      <c r="CS57" s="29"/>
      <c r="CT57" s="33"/>
      <c r="CU57" s="29"/>
      <c r="CV57" s="33"/>
      <c r="CZ57" s="13" t="s">
        <v>55</v>
      </c>
      <c r="DA57" s="33" t="s">
        <v>55</v>
      </c>
      <c r="DB57" s="29"/>
      <c r="DC57" s="33"/>
      <c r="DD57" s="29"/>
      <c r="DE57" s="33"/>
      <c r="DS57" s="14"/>
      <c r="EC57" s="14"/>
      <c r="ED57" s="15"/>
      <c r="EO57" s="14"/>
      <c r="EP57" s="15"/>
      <c r="EZ57" s="14"/>
      <c r="FA57" s="15"/>
    </row>
    <row r="58" spans="1:157" ht="26.25" customHeight="1" thickBot="1" x14ac:dyDescent="0.25">
      <c r="A58" s="29"/>
      <c r="B58" s="194" t="str">
        <f>IF($T$2=$X$27,"Fasado zonos",IF($T$2=$X$28,"Facade zones","   "))</f>
        <v>Facade zones</v>
      </c>
      <c r="C58" s="195" t="str">
        <f>IF($T$2=$X$27,"Oro slėgio apkrova, kN/m²",IF($T$2=$X$28,"Air pressure load, kN/m²","   "))</f>
        <v>Air pressure load, kN/m²</v>
      </c>
      <c r="D58" s="195" t="str">
        <f>IF($T$2=$X$27,"Vėjo slėgio apkrova, kN/m²",IF($T$2=$X$28,"Wind pressure load, kN/m²","   "))</f>
        <v>Wind pressure load, kN/m²</v>
      </c>
      <c r="F58" s="268" t="s">
        <v>191</v>
      </c>
      <c r="G58" s="281" t="s">
        <v>211</v>
      </c>
      <c r="H58" s="311" t="s">
        <v>198</v>
      </c>
      <c r="M58" s="33"/>
      <c r="O58" s="395"/>
      <c r="V58" s="14"/>
      <c r="W58" s="15"/>
      <c r="X58" s="84" t="str">
        <f t="shared" ca="1" si="5"/>
        <v>-</v>
      </c>
      <c r="Y58" s="85" t="str">
        <f t="shared" ca="1" si="6"/>
        <v>-</v>
      </c>
      <c r="Z58" s="91"/>
      <c r="AA58" s="92"/>
      <c r="AB58" s="93"/>
      <c r="AC58" s="92"/>
      <c r="BG58" s="29" t="s">
        <v>55</v>
      </c>
      <c r="BH58" s="33" t="s">
        <v>55</v>
      </c>
      <c r="BI58" s="29"/>
      <c r="BJ58" s="33"/>
      <c r="BK58" s="29"/>
      <c r="BL58" s="33"/>
      <c r="BP58" s="13" t="str">
        <f>CONCATENATE($BP$31,EU[[#This Row],[Vėjo greitis]],"m/s")</f>
        <v>Zone-32m/s</v>
      </c>
      <c r="BQ58" s="33">
        <v>32</v>
      </c>
      <c r="BR58" s="29"/>
      <c r="BS58" s="33"/>
      <c r="BT58" s="29"/>
      <c r="BU58" s="33"/>
      <c r="BY58" s="13" t="s">
        <v>55</v>
      </c>
      <c r="BZ58" s="33" t="s">
        <v>55</v>
      </c>
      <c r="CA58" s="29"/>
      <c r="CB58" s="33"/>
      <c r="CC58" s="29"/>
      <c r="CD58" s="33"/>
      <c r="CH58" s="13" t="s">
        <v>55</v>
      </c>
      <c r="CI58" s="33" t="s">
        <v>55</v>
      </c>
      <c r="CJ58" s="29"/>
      <c r="CK58" s="33"/>
      <c r="CL58" s="29"/>
      <c r="CM58" s="33"/>
      <c r="CQ58" s="29" t="s">
        <v>55</v>
      </c>
      <c r="CR58" s="33" t="s">
        <v>55</v>
      </c>
      <c r="CS58" s="29"/>
      <c r="CT58" s="33"/>
      <c r="CU58" s="29"/>
      <c r="CV58" s="33"/>
      <c r="CZ58" s="13" t="s">
        <v>55</v>
      </c>
      <c r="DA58" s="33" t="s">
        <v>55</v>
      </c>
      <c r="DB58" s="29"/>
      <c r="DC58" s="33"/>
      <c r="DD58" s="29"/>
      <c r="DE58" s="33"/>
      <c r="DS58" s="14"/>
      <c r="EC58" s="14"/>
      <c r="ED58" s="15"/>
      <c r="EO58" s="14"/>
      <c r="EP58" s="15"/>
      <c r="EZ58" s="14"/>
      <c r="FA58" s="15"/>
    </row>
    <row r="59" spans="1:157" ht="15" customHeight="1" thickTop="1" x14ac:dyDescent="0.2">
      <c r="A59" s="29"/>
      <c r="B59" s="236" t="s">
        <v>21</v>
      </c>
      <c r="C59" s="200">
        <f ca="1">IF(AND($T$9&gt;0,$T$10&gt;0,$T$11&lt;&gt;$X$11,$T$13&lt;&gt;$X$13,COUNT($T$17:$T$21)=5),AA83,"-")</f>
        <v>0.22735492046386413</v>
      </c>
      <c r="D59" s="230">
        <f ca="1">C34-C59</f>
        <v>-1.5914844432470487</v>
      </c>
      <c r="E59" s="270" t="s">
        <v>21</v>
      </c>
      <c r="F59" s="284">
        <f>AE83</f>
        <v>0.2</v>
      </c>
      <c r="G59" s="249">
        <f ca="1">G34-F59</f>
        <v>-1.4</v>
      </c>
      <c r="H59" s="283">
        <v>0.1</v>
      </c>
      <c r="M59" s="33"/>
      <c r="O59" s="395"/>
      <c r="V59" s="14"/>
      <c r="W59" s="15"/>
      <c r="X59" s="84" t="str">
        <f t="shared" ca="1" si="5"/>
        <v>-</v>
      </c>
      <c r="Y59" s="85" t="str">
        <f t="shared" ca="1" si="6"/>
        <v>-</v>
      </c>
      <c r="Z59" s="91"/>
      <c r="AA59" s="92"/>
      <c r="AB59" s="93"/>
      <c r="AC59" s="92"/>
      <c r="BG59" s="29" t="s">
        <v>55</v>
      </c>
      <c r="BH59" s="33" t="s">
        <v>55</v>
      </c>
      <c r="BI59" s="29"/>
      <c r="BJ59" s="33"/>
      <c r="BK59" s="29"/>
      <c r="BL59" s="33"/>
      <c r="BP59" s="13" t="str">
        <f>CONCATENATE($BP$31,EU[[#This Row],[Vėjo greitis]],"m/s")</f>
        <v>Zone-32.5m/s</v>
      </c>
      <c r="BQ59" s="33">
        <v>32.5</v>
      </c>
      <c r="BR59" s="29"/>
      <c r="BS59" s="33"/>
      <c r="BT59" s="29"/>
      <c r="BU59" s="33"/>
      <c r="BY59" s="13" t="s">
        <v>55</v>
      </c>
      <c r="BZ59" s="33" t="s">
        <v>55</v>
      </c>
      <c r="CA59" s="29"/>
      <c r="CB59" s="33"/>
      <c r="CC59" s="29"/>
      <c r="CD59" s="33"/>
      <c r="CH59" s="13" t="s">
        <v>55</v>
      </c>
      <c r="CI59" s="33" t="s">
        <v>55</v>
      </c>
      <c r="CJ59" s="29"/>
      <c r="CK59" s="33"/>
      <c r="CL59" s="29"/>
      <c r="CM59" s="33"/>
      <c r="CQ59" s="29" t="s">
        <v>55</v>
      </c>
      <c r="CR59" s="33" t="s">
        <v>55</v>
      </c>
      <c r="CS59" s="29"/>
      <c r="CT59" s="33"/>
      <c r="CU59" s="29"/>
      <c r="CV59" s="33"/>
      <c r="CZ59" s="13" t="s">
        <v>55</v>
      </c>
      <c r="DA59" s="33" t="s">
        <v>55</v>
      </c>
      <c r="DB59" s="29"/>
      <c r="DC59" s="33"/>
      <c r="DD59" s="29"/>
      <c r="DE59" s="33"/>
      <c r="DS59" s="14"/>
      <c r="EC59" s="14"/>
      <c r="ED59" s="15"/>
      <c r="EO59" s="14"/>
      <c r="EP59" s="15"/>
      <c r="EZ59" s="14"/>
      <c r="FA59" s="15"/>
    </row>
    <row r="60" spans="1:157" ht="15.75" customHeight="1" x14ac:dyDescent="0.2">
      <c r="A60" s="29"/>
      <c r="B60" s="204" t="s">
        <v>22</v>
      </c>
      <c r="C60" s="205">
        <f ca="1">IF(AND($T$9&gt;0,$T$10&gt;0,$T$11&lt;&gt;$X$11,$T$13&lt;&gt;$X$13,COUNT($T$17:$T$21)=5),MAX(AA84,AB84),"-")</f>
        <v>0.22735492046386413</v>
      </c>
      <c r="D60" s="231">
        <f ca="1">C35-C60</f>
        <v>-1.1367746023193206</v>
      </c>
      <c r="E60" s="270" t="s">
        <v>22</v>
      </c>
      <c r="F60" s="284">
        <f>AE84</f>
        <v>0.2</v>
      </c>
      <c r="G60" s="249">
        <f ca="1">G35-F60</f>
        <v>-1</v>
      </c>
      <c r="H60" s="283">
        <v>0.1</v>
      </c>
      <c r="M60" s="33"/>
      <c r="O60" s="395"/>
      <c r="V60" s="14"/>
      <c r="W60" s="15"/>
      <c r="X60" s="84" t="str">
        <f t="shared" ca="1" si="5"/>
        <v>-</v>
      </c>
      <c r="Y60" s="85" t="str">
        <f t="shared" ca="1" si="6"/>
        <v>-</v>
      </c>
      <c r="Z60" s="91"/>
      <c r="AA60" s="92"/>
      <c r="AB60" s="93"/>
      <c r="AC60" s="92"/>
      <c r="BG60" s="29" t="s">
        <v>55</v>
      </c>
      <c r="BH60" s="33" t="s">
        <v>55</v>
      </c>
      <c r="BI60" s="29"/>
      <c r="BJ60" s="33"/>
      <c r="BK60" s="29"/>
      <c r="BL60" s="33"/>
      <c r="BP60" s="13" t="str">
        <f>CONCATENATE($BP$31,EU[[#This Row],[Vėjo greitis]],"m/s")</f>
        <v>Zone-33m/s</v>
      </c>
      <c r="BQ60" s="33">
        <v>33</v>
      </c>
      <c r="BR60" s="29"/>
      <c r="BS60" s="33"/>
      <c r="BT60" s="29"/>
      <c r="BU60" s="33"/>
      <c r="BY60" s="13" t="s">
        <v>55</v>
      </c>
      <c r="BZ60" s="33" t="s">
        <v>55</v>
      </c>
      <c r="CA60" s="29"/>
      <c r="CB60" s="33"/>
      <c r="CC60" s="29"/>
      <c r="CD60" s="33"/>
      <c r="CH60" s="13" t="s">
        <v>55</v>
      </c>
      <c r="CI60" s="33" t="s">
        <v>55</v>
      </c>
      <c r="CJ60" s="29"/>
      <c r="CK60" s="33"/>
      <c r="CL60" s="29"/>
      <c r="CM60" s="33"/>
      <c r="CQ60" s="29" t="s">
        <v>55</v>
      </c>
      <c r="CR60" s="33" t="s">
        <v>55</v>
      </c>
      <c r="CS60" s="29"/>
      <c r="CT60" s="33"/>
      <c r="CU60" s="29"/>
      <c r="CV60" s="33"/>
      <c r="CZ60" s="13" t="s">
        <v>55</v>
      </c>
      <c r="DA60" s="33" t="s">
        <v>55</v>
      </c>
      <c r="DB60" s="29"/>
      <c r="DC60" s="33"/>
      <c r="DD60" s="29"/>
      <c r="DE60" s="33"/>
      <c r="DS60" s="14"/>
      <c r="EC60" s="14"/>
      <c r="ED60" s="15"/>
      <c r="EO60" s="14"/>
      <c r="EP60" s="15"/>
      <c r="EZ60" s="14"/>
      <c r="FA60" s="15"/>
    </row>
    <row r="61" spans="1:157" ht="15.75" customHeight="1" thickBot="1" x14ac:dyDescent="0.25">
      <c r="A61" s="29"/>
      <c r="B61" s="204" t="s">
        <v>23</v>
      </c>
      <c r="C61" s="209">
        <f ca="1">IF(AND($T$9&gt;0,$T$10&gt;0,$T$11&lt;&gt;$X$11,$T$13&lt;&gt;$X$13,COUNT($T$17:$T$21)=5),MAX(AA85,AB85),"-")</f>
        <v>0.22735492046386413</v>
      </c>
      <c r="D61" s="232">
        <f ca="1">C36-C61</f>
        <v>-0.79574222162352437</v>
      </c>
      <c r="E61" s="270" t="s">
        <v>23</v>
      </c>
      <c r="F61" s="284">
        <f>AE85</f>
        <v>0.2</v>
      </c>
      <c r="G61" s="249">
        <f ca="1">G36-F61</f>
        <v>-0.7</v>
      </c>
      <c r="H61" s="283">
        <v>0.1</v>
      </c>
      <c r="M61" s="33"/>
      <c r="O61" s="395"/>
      <c r="V61" s="14"/>
      <c r="W61" s="15"/>
      <c r="X61" s="84" t="str">
        <f t="shared" ca="1" si="5"/>
        <v>-</v>
      </c>
      <c r="Y61" s="85" t="str">
        <f t="shared" ca="1" si="6"/>
        <v>-</v>
      </c>
      <c r="Z61" s="91"/>
      <c r="AA61" s="92"/>
      <c r="AB61" s="93"/>
      <c r="AC61" s="92"/>
      <c r="BG61" s="29" t="s">
        <v>55</v>
      </c>
      <c r="BH61" s="33" t="s">
        <v>55</v>
      </c>
      <c r="BI61" s="29"/>
      <c r="BJ61" s="33"/>
      <c r="BK61" s="29"/>
      <c r="BL61" s="33"/>
      <c r="BP61" s="13" t="str">
        <f>CONCATENATE($BP$31,EU[[#This Row],[Vėjo greitis]],"m/s")</f>
        <v>Zone-33.5m/s</v>
      </c>
      <c r="BQ61" s="33">
        <v>33.5</v>
      </c>
      <c r="BR61" s="29"/>
      <c r="BS61" s="33"/>
      <c r="BT61" s="29"/>
      <c r="BU61" s="33"/>
      <c r="BY61" s="13" t="s">
        <v>55</v>
      </c>
      <c r="BZ61" s="33" t="s">
        <v>55</v>
      </c>
      <c r="CA61" s="29"/>
      <c r="CB61" s="33"/>
      <c r="CC61" s="29"/>
      <c r="CD61" s="33"/>
      <c r="CH61" s="13" t="s">
        <v>55</v>
      </c>
      <c r="CI61" s="33" t="s">
        <v>55</v>
      </c>
      <c r="CJ61" s="29"/>
      <c r="CK61" s="33"/>
      <c r="CL61" s="29"/>
      <c r="CM61" s="33"/>
      <c r="CQ61" s="29" t="s">
        <v>55</v>
      </c>
      <c r="CR61" s="33" t="s">
        <v>55</v>
      </c>
      <c r="CS61" s="29"/>
      <c r="CT61" s="33"/>
      <c r="CU61" s="29"/>
      <c r="CV61" s="33"/>
      <c r="CZ61" s="13" t="s">
        <v>55</v>
      </c>
      <c r="DA61" s="33" t="s">
        <v>55</v>
      </c>
      <c r="DB61" s="29"/>
      <c r="DC61" s="33"/>
      <c r="DD61" s="29"/>
      <c r="DE61" s="33"/>
      <c r="DS61" s="14"/>
      <c r="EC61" s="14"/>
      <c r="ED61" s="15"/>
      <c r="EO61" s="14"/>
      <c r="EP61" s="15"/>
      <c r="EZ61" s="14"/>
      <c r="FA61" s="15"/>
    </row>
    <row r="62" spans="1:157" ht="15" customHeight="1" thickTop="1" x14ac:dyDescent="0.2">
      <c r="A62" s="29"/>
      <c r="B62" s="235" t="s">
        <v>226</v>
      </c>
      <c r="C62" s="211">
        <f ca="1">IF(AND($T$9&gt;0,$T$10&gt;0,$T$11&lt;&gt;$X$11,$T$13&lt;&gt;$X$13,COUNT($T$17:$T$21)=5),MIN(AA86,AB86),"-")</f>
        <v>-0.34103238069579617</v>
      </c>
      <c r="D62" s="233">
        <f ca="1">C37-C62</f>
        <v>1.2504520625512527</v>
      </c>
      <c r="E62" s="270" t="s">
        <v>24</v>
      </c>
      <c r="F62" s="284">
        <f>AE86</f>
        <v>-0.3</v>
      </c>
      <c r="G62" s="249">
        <f ca="1">G37-F62</f>
        <v>1.1000000000000001</v>
      </c>
      <c r="H62" s="283">
        <v>-0.15</v>
      </c>
      <c r="M62" s="33"/>
      <c r="O62" s="395"/>
      <c r="V62" s="14"/>
      <c r="W62" s="15"/>
      <c r="X62" s="84" t="str">
        <f t="shared" ca="1" si="5"/>
        <v>-</v>
      </c>
      <c r="Y62" s="85" t="str">
        <f t="shared" ca="1" si="6"/>
        <v>-</v>
      </c>
      <c r="Z62" s="91"/>
      <c r="AA62" s="92"/>
      <c r="AB62" s="93"/>
      <c r="AC62" s="92"/>
      <c r="BG62" s="29" t="s">
        <v>55</v>
      </c>
      <c r="BH62" s="33" t="s">
        <v>55</v>
      </c>
      <c r="BI62" s="29"/>
      <c r="BJ62" s="33"/>
      <c r="BK62" s="29"/>
      <c r="BL62" s="33"/>
      <c r="BP62" s="13" t="str">
        <f>CONCATENATE($BP$31,EU[[#This Row],[Vėjo greitis]],"m/s")</f>
        <v>Zone-34m/s</v>
      </c>
      <c r="BQ62" s="33">
        <v>34</v>
      </c>
      <c r="BR62" s="29"/>
      <c r="BS62" s="33"/>
      <c r="BT62" s="29"/>
      <c r="BU62" s="33"/>
      <c r="BY62" s="13" t="s">
        <v>55</v>
      </c>
      <c r="BZ62" s="33" t="s">
        <v>55</v>
      </c>
      <c r="CA62" s="29"/>
      <c r="CB62" s="33"/>
      <c r="CC62" s="29"/>
      <c r="CD62" s="33"/>
      <c r="CH62" s="13" t="s">
        <v>55</v>
      </c>
      <c r="CI62" s="33" t="s">
        <v>55</v>
      </c>
      <c r="CJ62" s="29"/>
      <c r="CK62" s="33"/>
      <c r="CL62" s="29"/>
      <c r="CM62" s="33"/>
      <c r="CQ62" s="29" t="s">
        <v>55</v>
      </c>
      <c r="CR62" s="33" t="s">
        <v>55</v>
      </c>
      <c r="CS62" s="29"/>
      <c r="CT62" s="33"/>
      <c r="CU62" s="29"/>
      <c r="CV62" s="33"/>
      <c r="CZ62" s="13" t="s">
        <v>55</v>
      </c>
      <c r="DA62" s="33" t="s">
        <v>55</v>
      </c>
      <c r="DB62" s="29"/>
      <c r="DC62" s="33"/>
      <c r="DD62" s="29"/>
      <c r="DE62" s="33"/>
      <c r="DS62" s="14"/>
      <c r="EC62" s="14"/>
      <c r="ED62" s="15"/>
      <c r="EO62" s="14"/>
      <c r="EP62" s="15"/>
      <c r="EZ62" s="14"/>
      <c r="FA62" s="15"/>
    </row>
    <row r="63" spans="1:157" ht="15" customHeight="1" x14ac:dyDescent="0.2">
      <c r="A63" s="29"/>
      <c r="B63" s="215" t="s">
        <v>230</v>
      </c>
      <c r="C63" s="216">
        <f ca="1">IF(AND($T$9&gt;0,$T$10&gt;0,$T$11&lt;&gt;$X$11,$T$13&lt;&gt;$X$13,COUNT($T$17:$T$21)=5),MAX(AA87,AB87),"-")</f>
        <v>0.22735492046386413</v>
      </c>
      <c r="D63" s="234">
        <f ca="1">C38-C63</f>
        <v>-0.90373580884385984</v>
      </c>
      <c r="E63" s="270" t="s">
        <v>25</v>
      </c>
      <c r="F63" s="284">
        <f>AE87</f>
        <v>0.2</v>
      </c>
      <c r="G63" s="249">
        <f ca="1">G38-F63</f>
        <v>-0.79499999999999993</v>
      </c>
      <c r="H63" s="283">
        <v>0.1</v>
      </c>
      <c r="M63" s="33"/>
      <c r="O63" s="395"/>
      <c r="V63" s="14"/>
      <c r="W63" s="15"/>
      <c r="X63" s="84" t="str">
        <f t="shared" ca="1" si="5"/>
        <v>-</v>
      </c>
      <c r="Y63" s="85" t="str">
        <f t="shared" ca="1" si="6"/>
        <v>-</v>
      </c>
      <c r="Z63" s="91"/>
      <c r="AA63" s="92"/>
      <c r="AB63" s="93"/>
      <c r="AC63" s="92"/>
      <c r="BG63" s="29" t="s">
        <v>55</v>
      </c>
      <c r="BH63" s="33" t="s">
        <v>55</v>
      </c>
      <c r="BI63" s="29"/>
      <c r="BJ63" s="33"/>
      <c r="BK63" s="29"/>
      <c r="BL63" s="33"/>
      <c r="BP63" s="13" t="str">
        <f>CONCATENATE($BP$31,EU[[#This Row],[Vėjo greitis]],"m/s")</f>
        <v>Zone-34.5m/s</v>
      </c>
      <c r="BQ63" s="33">
        <v>34.5</v>
      </c>
      <c r="BR63" s="29"/>
      <c r="BS63" s="33"/>
      <c r="BT63" s="29"/>
      <c r="BU63" s="33"/>
      <c r="BY63" s="13" t="s">
        <v>55</v>
      </c>
      <c r="BZ63" s="33" t="s">
        <v>55</v>
      </c>
      <c r="CA63" s="29"/>
      <c r="CB63" s="33"/>
      <c r="CC63" s="29"/>
      <c r="CD63" s="33"/>
      <c r="CH63" s="13" t="s">
        <v>55</v>
      </c>
      <c r="CI63" s="33" t="s">
        <v>55</v>
      </c>
      <c r="CJ63" s="29"/>
      <c r="CK63" s="33"/>
      <c r="CL63" s="29"/>
      <c r="CM63" s="33"/>
      <c r="CQ63" s="29" t="s">
        <v>55</v>
      </c>
      <c r="CR63" s="33" t="s">
        <v>55</v>
      </c>
      <c r="CS63" s="29"/>
      <c r="CT63" s="33"/>
      <c r="CU63" s="29"/>
      <c r="CV63" s="33"/>
      <c r="CZ63" s="13" t="s">
        <v>55</v>
      </c>
      <c r="DA63" s="33" t="s">
        <v>55</v>
      </c>
      <c r="DB63" s="29"/>
      <c r="DC63" s="33"/>
      <c r="DD63" s="29"/>
      <c r="DE63" s="33"/>
      <c r="DS63" s="14"/>
      <c r="EC63" s="14"/>
      <c r="ED63" s="15"/>
      <c r="EO63" s="14"/>
      <c r="EP63" s="15"/>
      <c r="EZ63" s="14"/>
      <c r="FA63" s="15"/>
    </row>
    <row r="64" spans="1:157" ht="15" customHeight="1" x14ac:dyDescent="0.2">
      <c r="A64" s="29"/>
      <c r="B64" s="152" t="str">
        <f>IF($T$2=$X$27,"**Viršuje MAKSIMALIOS stačiakampio pastato D* ir E* zonų vėjo slėgio reikšmės, nuo vėjo b ir d kryptymis.",IF($T$2=$X$28,"** Above MAXIMUM rectangular building D and E zones Wind load pressure values, despite wind direction.","   "))</f>
        <v>** Above MAXIMUM rectangular building D and E zones Wind load pressure values, despite wind direction.</v>
      </c>
      <c r="D64" s="291"/>
      <c r="E64" s="291"/>
      <c r="M64" s="33"/>
      <c r="O64" s="395"/>
      <c r="V64" s="14"/>
      <c r="W64" s="15"/>
      <c r="X64" s="84" t="str">
        <f t="shared" ca="1" si="5"/>
        <v>-</v>
      </c>
      <c r="Y64" s="85" t="str">
        <f t="shared" ca="1" si="6"/>
        <v>-</v>
      </c>
      <c r="Z64" s="91"/>
      <c r="AA64" s="92"/>
      <c r="AB64" s="93"/>
      <c r="AC64" s="92"/>
      <c r="BG64" s="29" t="s">
        <v>55</v>
      </c>
      <c r="BH64" s="33" t="s">
        <v>55</v>
      </c>
      <c r="BI64" s="29"/>
      <c r="BJ64" s="33"/>
      <c r="BK64" s="29"/>
      <c r="BL64" s="33"/>
      <c r="BP64" s="13" t="str">
        <f>CONCATENATE($BP$31,EU[[#This Row],[Vėjo greitis]],"m/s")</f>
        <v>Zone-35m/s</v>
      </c>
      <c r="BQ64" s="33">
        <v>35</v>
      </c>
      <c r="BR64" s="29"/>
      <c r="BS64" s="33"/>
      <c r="BT64" s="29"/>
      <c r="BU64" s="33"/>
      <c r="BY64" s="13" t="s">
        <v>55</v>
      </c>
      <c r="BZ64" s="33" t="s">
        <v>55</v>
      </c>
      <c r="CA64" s="29"/>
      <c r="CB64" s="33"/>
      <c r="CC64" s="29"/>
      <c r="CD64" s="33"/>
      <c r="CH64" s="13" t="s">
        <v>55</v>
      </c>
      <c r="CI64" s="33" t="s">
        <v>55</v>
      </c>
      <c r="CJ64" s="29"/>
      <c r="CK64" s="33"/>
      <c r="CL64" s="29"/>
      <c r="CM64" s="33"/>
      <c r="CQ64" s="29" t="s">
        <v>55</v>
      </c>
      <c r="CR64" s="33" t="s">
        <v>55</v>
      </c>
      <c r="CS64" s="29"/>
      <c r="CT64" s="33"/>
      <c r="CU64" s="29"/>
      <c r="CV64" s="33"/>
      <c r="CZ64" s="13" t="s">
        <v>55</v>
      </c>
      <c r="DA64" s="33" t="s">
        <v>55</v>
      </c>
      <c r="DB64" s="29"/>
      <c r="DC64" s="33"/>
      <c r="DD64" s="29"/>
      <c r="DE64" s="33"/>
      <c r="DS64" s="14"/>
      <c r="EC64" s="14"/>
      <c r="ED64" s="15"/>
      <c r="EO64" s="14"/>
      <c r="EP64" s="15"/>
      <c r="EZ64" s="14"/>
      <c r="FA64" s="15"/>
    </row>
    <row r="65" spans="1:157" ht="15" customHeight="1" thickBot="1" x14ac:dyDescent="0.25">
      <c r="A65" s="29"/>
      <c r="B65" s="298" t="str">
        <f>IF($T$2=$X$27,"Fasado zonos",IF($T$2=$X$28,"Facade zones","   "))</f>
        <v>Facade zones</v>
      </c>
      <c r="C65" s="317" t="str">
        <f>CONCATENATE(IF($T$2=$X$27,"Vėjas į b - ","Wind to b - "),AA5)</f>
        <v>Wind to b - (bd)</v>
      </c>
      <c r="D65" s="318" t="s">
        <v>239</v>
      </c>
      <c r="E65" s="316" t="str">
        <f>CONCATENATE(IF($T$2=$X$27,"Vėjas į d* -","Wind to d* -"),AB5)</f>
        <v>Wind to d* -(db)</v>
      </c>
      <c r="F65" s="316" t="s">
        <v>221</v>
      </c>
      <c r="M65" s="33"/>
      <c r="O65" s="395"/>
      <c r="P65" s="228" t="str">
        <f>IF($T$2=$X$27,"Tikslią vietovės kat. parinkimo procedūrą reikia atlikti pagal 1991-1-4 Priedą A",IF($T$2=$X$28,"Refer to 1991-1-4 Annex A for detail terrain cattegory selection procedure","   "))</f>
        <v>Refer to 1991-1-4 Annex A for detail terrain cattegory selection procedure</v>
      </c>
      <c r="V65" s="14"/>
      <c r="W65" s="15"/>
      <c r="X65" s="84" t="str">
        <f t="shared" ca="1" si="5"/>
        <v>-</v>
      </c>
      <c r="Y65" s="85" t="str">
        <f t="shared" ca="1" si="6"/>
        <v>-</v>
      </c>
      <c r="Z65" s="91"/>
      <c r="AA65" s="92"/>
      <c r="AB65" s="93"/>
      <c r="AC65" s="92"/>
      <c r="BG65" s="29" t="s">
        <v>55</v>
      </c>
      <c r="BH65" s="33" t="s">
        <v>55</v>
      </c>
      <c r="BI65" s="29"/>
      <c r="BJ65" s="33"/>
      <c r="BK65" s="29"/>
      <c r="BL65" s="33"/>
      <c r="BP65" s="13" t="s">
        <v>55</v>
      </c>
      <c r="BQ65" s="33" t="s">
        <v>55</v>
      </c>
      <c r="BR65" s="29"/>
      <c r="BS65" s="33"/>
      <c r="BT65" s="29"/>
      <c r="BU65" s="33"/>
      <c r="BY65" s="13" t="s">
        <v>55</v>
      </c>
      <c r="BZ65" s="33" t="s">
        <v>55</v>
      </c>
      <c r="CA65" s="29"/>
      <c r="CB65" s="33"/>
      <c r="CC65" s="29"/>
      <c r="CD65" s="33"/>
      <c r="CH65" s="13" t="s">
        <v>55</v>
      </c>
      <c r="CI65" s="33" t="s">
        <v>55</v>
      </c>
      <c r="CJ65" s="29"/>
      <c r="CK65" s="33"/>
      <c r="CL65" s="29"/>
      <c r="CM65" s="33"/>
      <c r="CQ65" s="29" t="s">
        <v>55</v>
      </c>
      <c r="CR65" s="33" t="s">
        <v>55</v>
      </c>
      <c r="CS65" s="29"/>
      <c r="CT65" s="33"/>
      <c r="CU65" s="29"/>
      <c r="CV65" s="33"/>
      <c r="CZ65" s="13" t="s">
        <v>55</v>
      </c>
      <c r="DA65" s="33" t="s">
        <v>55</v>
      </c>
      <c r="DB65" s="29"/>
      <c r="DC65" s="33"/>
      <c r="DD65" s="29"/>
      <c r="DE65" s="33"/>
      <c r="DS65" s="14"/>
      <c r="EC65" s="14"/>
      <c r="ED65" s="15"/>
      <c r="EO65" s="14"/>
      <c r="EP65" s="15"/>
      <c r="EZ65" s="14"/>
      <c r="FA65" s="356" t="s">
        <v>282</v>
      </c>
    </row>
    <row r="66" spans="1:157" ht="15.75" customHeight="1" thickTop="1" thickBot="1" x14ac:dyDescent="0.25">
      <c r="A66" s="29"/>
      <c r="B66" s="282" t="s">
        <v>24</v>
      </c>
      <c r="C66" s="211">
        <f ca="1">IF(AND($T$9&gt;0,$T$10&gt;0,$T$11&lt;&gt;$X$11,$T$13&lt;&gt;$X$13,COUNT($T$17:$T$21)=5),MIN(AA86,AB86),"-")</f>
        <v>-0.34103238069579617</v>
      </c>
      <c r="D66" s="233">
        <f ca="1">C41-C66</f>
        <v>1.2504520625512527</v>
      </c>
      <c r="E66" s="282">
        <f ca="1">IF(AND($T$9&gt;0,$T$10&gt;0,$T$11&lt;&gt;$X$11,$T$13&lt;&gt;$X$13,COUNT($T$17:$T$21)=5),MIN(AA86,AB86),"-")</f>
        <v>-0.34103238069579617</v>
      </c>
      <c r="F66" s="282" t="str">
        <f ca="1">CONCATENATE(ROUND(AB10-E66,3)," kN/m²")</f>
        <v>1.25 kN/m²</v>
      </c>
      <c r="M66" s="33"/>
      <c r="O66" s="395"/>
      <c r="P66" s="70"/>
      <c r="Q66" s="70"/>
      <c r="R66" s="70"/>
      <c r="S66" s="70"/>
      <c r="T66" s="70"/>
      <c r="U66" s="70"/>
      <c r="V66" s="153"/>
      <c r="W66" s="69"/>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0"/>
      <c r="CD66" s="70"/>
      <c r="CE66" s="70"/>
      <c r="CF66" s="70"/>
      <c r="CG66" s="70"/>
      <c r="CH66" s="70"/>
      <c r="CI66" s="70"/>
      <c r="CJ66" s="70"/>
      <c r="CK66" s="70"/>
      <c r="CL66" s="70"/>
      <c r="CM66" s="70"/>
      <c r="CN66" s="70"/>
      <c r="CO66" s="70"/>
      <c r="CP66" s="70"/>
      <c r="CQ66" s="70"/>
      <c r="CR66" s="70"/>
      <c r="CS66" s="70"/>
      <c r="CT66" s="70"/>
      <c r="CU66" s="70"/>
      <c r="CV66" s="70"/>
      <c r="CW66" s="70"/>
      <c r="CX66" s="70"/>
      <c r="CY66" s="70"/>
      <c r="CZ66" s="70"/>
      <c r="DA66" s="70"/>
      <c r="DB66" s="70"/>
      <c r="DC66" s="70"/>
      <c r="DD66" s="70"/>
      <c r="DE66" s="70"/>
      <c r="DF66" s="70"/>
      <c r="DG66" s="70"/>
      <c r="DH66" s="70"/>
      <c r="DI66" s="70"/>
      <c r="DJ66" s="70"/>
      <c r="DK66" s="70"/>
      <c r="DL66" s="70"/>
      <c r="DM66" s="70"/>
      <c r="DN66" s="70"/>
      <c r="DO66" s="70"/>
      <c r="DP66" s="70"/>
      <c r="DQ66" s="70"/>
      <c r="DR66" s="70"/>
      <c r="DS66" s="153"/>
      <c r="DT66" s="70"/>
      <c r="DU66" s="70"/>
      <c r="DV66" s="70"/>
      <c r="DW66" s="70"/>
      <c r="DX66" s="70"/>
      <c r="DY66" s="70"/>
      <c r="DZ66" s="70"/>
      <c r="EA66" s="70"/>
      <c r="EB66" s="70"/>
      <c r="EC66" s="153"/>
      <c r="ED66" s="70"/>
      <c r="EE66" s="70"/>
      <c r="EF66" s="70"/>
      <c r="EG66" s="70"/>
      <c r="EH66" s="70"/>
      <c r="EI66" s="70"/>
      <c r="EJ66" s="70"/>
      <c r="EK66" s="70"/>
      <c r="EL66" s="70"/>
      <c r="EM66" s="70"/>
      <c r="EN66" s="70"/>
      <c r="EO66" s="153"/>
      <c r="EP66" s="15"/>
      <c r="EZ66" s="14"/>
      <c r="FA66" s="15"/>
    </row>
    <row r="67" spans="1:157" ht="15.75" customHeight="1" thickTop="1" x14ac:dyDescent="0.2">
      <c r="A67" s="29"/>
      <c r="B67" s="282" t="s">
        <v>25</v>
      </c>
      <c r="C67" s="216">
        <f ca="1">IF(AND($T$9&gt;0,$T$10&gt;0,$T$11&lt;&gt;$X$11,$T$13&lt;&gt;$X$13,COUNT($T$17:$T$21)=5),MAX(AA87,AB87),"-")</f>
        <v>0.22735492046386413</v>
      </c>
      <c r="D67" s="234">
        <f ca="1">C42-C67</f>
        <v>-0.89274698768810645</v>
      </c>
      <c r="E67" s="282">
        <f ca="1">IF(AND($T$9&gt;0,$T$10&gt;0,$T$11&lt;&gt;$X$11,$T$13&lt;&gt;$X$13,COUNT($T$17:$T$21)=5),MAX(AA87,AB87),"-")</f>
        <v>0.22735492046386413</v>
      </c>
      <c r="F67" s="282" t="str">
        <f ca="1">CONCATENATE(ROUND(AB11-E67-E66,3)," kN/m²")</f>
        <v>-0.563 kN/m²</v>
      </c>
      <c r="M67" s="33"/>
      <c r="O67" s="228" t="s">
        <v>174</v>
      </c>
      <c r="DS67" s="14"/>
      <c r="EE67" s="14"/>
      <c r="EO67" s="14"/>
      <c r="EP67" s="15"/>
      <c r="EZ67" s="14"/>
      <c r="FA67" s="15"/>
    </row>
    <row r="68" spans="1:157" ht="15.75" customHeight="1" thickBot="1" x14ac:dyDescent="0.25">
      <c r="A68" s="29"/>
      <c r="B68" s="26" t="str">
        <f>IF($T$2=$X$27,"**(Vėjas į b - (bd)) slėgis į D ir E zonas pal Schemas 2 ir 1.",IF($T$2=$X$28,"Wind to b - (bd) pressure to D and E zones acc Figure 2 and 1.","   "))</f>
        <v>Wind to b - (bd) pressure to D and E zones acc Figure 2 and 1.</v>
      </c>
      <c r="C68" s="26"/>
      <c r="H68" s="278"/>
      <c r="K68" s="278"/>
      <c r="L68" s="278"/>
      <c r="M68" s="314"/>
      <c r="O68" s="331" t="s">
        <v>187</v>
      </c>
      <c r="DJ68" s="228" t="s">
        <v>207</v>
      </c>
      <c r="DS68" s="14"/>
      <c r="DT68" s="15"/>
      <c r="EE68" s="14"/>
      <c r="EF68" s="15"/>
      <c r="EO68" s="14"/>
      <c r="EP68" s="15"/>
      <c r="EZ68" s="14"/>
      <c r="FA68" s="15"/>
    </row>
    <row r="69" spans="1:157" ht="13.5" customHeight="1" thickTop="1" x14ac:dyDescent="0.2">
      <c r="A69" s="29"/>
      <c r="F69" s="286"/>
      <c r="G69" s="286"/>
      <c r="H69" s="286"/>
      <c r="M69" s="3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c r="CC69" s="73"/>
      <c r="CD69" s="73"/>
      <c r="CE69" s="73"/>
      <c r="CF69" s="73"/>
      <c r="CG69" s="73"/>
      <c r="CH69" s="73"/>
      <c r="CI69" s="73"/>
      <c r="CJ69" s="73"/>
      <c r="CK69" s="73"/>
      <c r="CL69" s="73"/>
      <c r="CM69" s="73"/>
      <c r="CN69" s="73"/>
      <c r="CO69" s="73"/>
      <c r="CP69" s="73"/>
      <c r="CQ69" s="73"/>
      <c r="CR69" s="73"/>
      <c r="CS69" s="73"/>
      <c r="CT69" s="73"/>
      <c r="CU69" s="73"/>
      <c r="CV69" s="73"/>
      <c r="CW69" s="73"/>
      <c r="CX69" s="73"/>
      <c r="CY69" s="73"/>
      <c r="CZ69" s="73"/>
      <c r="DA69" s="73"/>
      <c r="DB69" s="73"/>
      <c r="DC69" s="73"/>
      <c r="DD69" s="73"/>
      <c r="DE69" s="73"/>
      <c r="DF69" s="73"/>
      <c r="DG69" s="73"/>
      <c r="DH69" s="73"/>
      <c r="DI69" s="73"/>
      <c r="DS69" s="14"/>
      <c r="DT69" s="15"/>
      <c r="EE69" s="14"/>
      <c r="EF69" s="15"/>
      <c r="EO69" s="14"/>
      <c r="EP69" s="15"/>
      <c r="EZ69" s="14"/>
      <c r="FA69" s="15"/>
    </row>
    <row r="70" spans="1:157" x14ac:dyDescent="0.2">
      <c r="A70" s="29"/>
      <c r="B70" s="134" t="s">
        <v>174</v>
      </c>
      <c r="M70" s="33"/>
      <c r="DS70" s="14"/>
      <c r="EE70" s="14"/>
      <c r="EF70" s="15"/>
      <c r="EO70" s="14"/>
      <c r="EP70" s="15"/>
      <c r="EZ70" s="14"/>
      <c r="FA70" s="15"/>
    </row>
    <row r="71" spans="1:157" x14ac:dyDescent="0.2">
      <c r="A71" s="29"/>
      <c r="B71" s="134"/>
      <c r="F71" s="286"/>
      <c r="G71" s="286"/>
      <c r="H71" s="286"/>
      <c r="I71" s="13" t="str">
        <f>IF($T$2=$X$27,"    Schema 3: Vidinis oro slėgis.",IF($T$2=$X$28,"    Figure 3: Internal air pressure.","   "))</f>
        <v xml:space="preserve">    Figure 3: Internal air pressure.</v>
      </c>
      <c r="J71" s="278"/>
      <c r="K71" s="278"/>
      <c r="L71" s="278"/>
      <c r="M71" s="332"/>
      <c r="DS71" s="14"/>
      <c r="EE71" s="14"/>
      <c r="EF71" s="15"/>
      <c r="EO71" s="14"/>
      <c r="EP71" s="15"/>
      <c r="EZ71" s="14"/>
      <c r="FA71" s="15"/>
    </row>
    <row r="72" spans="1:157" x14ac:dyDescent="0.2">
      <c r="A72" s="55"/>
      <c r="B72" s="56"/>
      <c r="C72" s="56"/>
      <c r="D72" s="56"/>
      <c r="E72" s="56"/>
      <c r="F72" s="56"/>
      <c r="G72" s="56"/>
      <c r="H72" s="56"/>
      <c r="I72" s="56" t="str">
        <f>IF($T$2=$X$27,"    Oro slėgio zonas žr. Schemoje 2",IF($T$2=$X$28,"    For Air pressure zones, see Figure 2","   "))</f>
        <v xml:space="preserve">    For Air pressure zones, see Figure 2</v>
      </c>
      <c r="J72" s="56"/>
      <c r="K72" s="56"/>
      <c r="L72" s="56"/>
      <c r="M72" s="57"/>
      <c r="DS72" s="14"/>
      <c r="EE72" s="14"/>
      <c r="EF72" s="15"/>
      <c r="EO72" s="14"/>
      <c r="EP72" s="15"/>
      <c r="EZ72" s="14"/>
      <c r="FA72" s="15"/>
    </row>
    <row r="73" spans="1:157" ht="15" x14ac:dyDescent="0.25">
      <c r="A73" s="304"/>
      <c r="B73" s="304"/>
      <c r="DS73" s="14"/>
      <c r="EE73" s="14"/>
      <c r="EF73" s="15"/>
      <c r="EO73" s="14"/>
      <c r="EP73" s="15"/>
      <c r="EZ73" s="14"/>
      <c r="FA73" s="15"/>
    </row>
    <row r="74" spans="1:157" x14ac:dyDescent="0.2">
      <c r="DJ74" s="228"/>
      <c r="DS74" s="14"/>
      <c r="EE74" s="14"/>
      <c r="EF74" s="15"/>
      <c r="EO74" s="14"/>
      <c r="EP74" s="15"/>
      <c r="EZ74" s="14"/>
      <c r="FA74" s="15"/>
    </row>
    <row r="75" spans="1:157" ht="13.5" thickBot="1" x14ac:dyDescent="0.25">
      <c r="DS75" s="14"/>
      <c r="EE75" s="14"/>
      <c r="EF75" s="15"/>
      <c r="EO75" s="14"/>
      <c r="EP75" s="15"/>
      <c r="EZ75" s="14"/>
      <c r="FA75" s="15"/>
    </row>
    <row r="76" spans="1:157" x14ac:dyDescent="0.2">
      <c r="A76" s="16"/>
      <c r="B76" s="16"/>
      <c r="C76" s="16"/>
      <c r="D76" s="16"/>
      <c r="E76" s="16"/>
      <c r="F76" s="16"/>
      <c r="G76" s="16"/>
      <c r="H76" s="16"/>
      <c r="I76" s="16"/>
      <c r="J76" s="16"/>
      <c r="K76" s="16"/>
      <c r="L76" s="16"/>
      <c r="M76" s="16"/>
      <c r="O76" s="275"/>
      <c r="DS76" s="14"/>
      <c r="EE76" s="14"/>
      <c r="EF76" s="15"/>
      <c r="EO76" s="14"/>
      <c r="EP76" s="15"/>
      <c r="EZ76" s="14"/>
      <c r="FA76" s="15"/>
    </row>
    <row r="77" spans="1:157" x14ac:dyDescent="0.2">
      <c r="A77" s="25"/>
      <c r="B77" s="252" t="s">
        <v>205</v>
      </c>
      <c r="C77" s="26"/>
      <c r="D77" s="26"/>
      <c r="E77" s="26"/>
      <c r="F77" s="26"/>
      <c r="G77" s="26"/>
      <c r="H77" s="26"/>
      <c r="I77" s="26"/>
      <c r="J77" s="26"/>
      <c r="K77" s="26"/>
      <c r="L77" s="26"/>
      <c r="M77" s="27"/>
      <c r="O77" s="275"/>
      <c r="DS77" s="14"/>
      <c r="EE77" s="14"/>
      <c r="EF77" s="15"/>
      <c r="EO77" s="14"/>
      <c r="EP77" s="15"/>
      <c r="EZ77" s="14"/>
      <c r="FA77" s="15"/>
    </row>
    <row r="78" spans="1:157" x14ac:dyDescent="0.2">
      <c r="A78" s="29"/>
      <c r="M78" s="33"/>
      <c r="O78" s="275"/>
      <c r="DS78" s="14"/>
      <c r="EE78" s="14"/>
      <c r="EF78" s="15"/>
      <c r="EO78" s="14"/>
      <c r="EP78" s="15"/>
      <c r="EZ78" s="14"/>
      <c r="FA78" s="15"/>
    </row>
    <row r="79" spans="1:157" x14ac:dyDescent="0.2">
      <c r="A79" s="29"/>
      <c r="B79" s="264" t="s">
        <v>233</v>
      </c>
      <c r="C79" s="265"/>
      <c r="D79" s="13" t="s">
        <v>262</v>
      </c>
      <c r="J79" s="251" t="str">
        <f>IF($T$2=$X$27,"Įvesties parametrai (Schema 4):",IF($T$2=$X$28,"Input parameters (Figure 4):","   "))</f>
        <v>Input parameters (Figure 4):</v>
      </c>
      <c r="M79" s="33"/>
      <c r="O79" s="275"/>
      <c r="DJ79" s="272"/>
      <c r="DK79" s="272"/>
      <c r="DL79" s="272"/>
      <c r="DM79" s="272"/>
      <c r="DN79" s="272"/>
      <c r="DO79" s="272"/>
      <c r="DP79" s="272"/>
      <c r="DQ79" s="272"/>
      <c r="DR79" s="272"/>
      <c r="DS79" s="273"/>
      <c r="EE79" s="14"/>
      <c r="EF79" s="15"/>
      <c r="EO79" s="14"/>
      <c r="EP79" s="15"/>
      <c r="EZ79" s="14"/>
      <c r="FA79" s="15"/>
    </row>
    <row r="80" spans="1:157" x14ac:dyDescent="0.2">
      <c r="A80" s="29"/>
      <c r="B80" s="253" t="s">
        <v>188</v>
      </c>
      <c r="C80" s="254" t="s">
        <v>186</v>
      </c>
      <c r="D80" s="13" t="str">
        <f>IF(C80=X91,"(recommended value, when not required by NA or project specification)",IF(C80=X92,"(rec. minor effect for EU, if there are minor risk of new structures close to)",IF(C80=X93,"(rec. intermediate value, if there are existing or can rise new structures close to)",IF(C80=X94,"(rec. high effect for UK, if there are high risk of new structures close to)",IF(C80=X95,"(Conservatively the maximum coefficient values taken)",IF(C80=X96,"(Interpolated linearly values, according to manual input parameters, if known)"))))))</f>
        <v>(Interpolated linearly values, according to manual input parameters, if known)</v>
      </c>
      <c r="J80" s="260" t="s">
        <v>182</v>
      </c>
      <c r="K80" s="260">
        <f>2*K88</f>
        <v>142</v>
      </c>
      <c r="L80" s="259" t="s">
        <v>169</v>
      </c>
      <c r="M80" s="33"/>
      <c r="O80" s="275"/>
      <c r="AA80" s="150">
        <f>IF($T$15=$AD$34,AD116,IF($T$15=$AD$35,AD118,"Kintamos vėjo apkrovos atsargos koeficiento įvertinimas ??"))</f>
        <v>0</v>
      </c>
      <c r="AB80" s="150"/>
      <c r="AC80" s="150"/>
      <c r="AD80" s="150"/>
      <c r="DJ80" s="272"/>
      <c r="DK80" s="272"/>
      <c r="DL80" s="272"/>
      <c r="DM80" s="272"/>
      <c r="DN80" s="272"/>
      <c r="DO80" s="272"/>
      <c r="DP80" s="272"/>
      <c r="DQ80" s="272"/>
      <c r="DR80" s="272"/>
      <c r="DS80" s="273"/>
      <c r="EE80" s="14"/>
      <c r="EF80" s="15"/>
      <c r="EO80" s="14"/>
      <c r="EP80" s="15"/>
      <c r="EZ80" s="14"/>
      <c r="FA80" s="15"/>
    </row>
    <row r="81" spans="1:157" ht="13.5" thickBot="1" x14ac:dyDescent="0.25">
      <c r="A81" s="29"/>
      <c r="B81" s="13" t="str">
        <f>IF($T$2=$X$27,"*NET (Ext-Int) bendras slėgis į fasadą, stiklo paketus",IF($T$2=$X$28,"*NET (Ext-Int) net pressure on Curtain walling, Glass units","   "))</f>
        <v>*NET (Ext-Int) net pressure on Curtain walling, Glass units</v>
      </c>
      <c r="J81" s="260" t="s">
        <v>176</v>
      </c>
      <c r="K81" s="260">
        <f>2*K89</f>
        <v>178</v>
      </c>
      <c r="L81" s="259" t="s">
        <v>169</v>
      </c>
      <c r="M81" s="33"/>
      <c r="O81" s="276"/>
      <c r="P81" s="12"/>
      <c r="Q81" s="12"/>
      <c r="R81" s="12"/>
      <c r="S81" s="12"/>
      <c r="T81" s="12"/>
      <c r="U81" s="12"/>
      <c r="V81" s="12"/>
      <c r="Z81" s="10"/>
      <c r="AA81" s="188" t="s">
        <v>148</v>
      </c>
      <c r="AB81" s="189" t="s">
        <v>149</v>
      </c>
      <c r="AC81" s="378" t="s">
        <v>36</v>
      </c>
      <c r="AD81" s="378"/>
      <c r="DJ81" s="390" t="s">
        <v>208</v>
      </c>
      <c r="DK81" s="390"/>
      <c r="DL81" s="390"/>
      <c r="DM81" s="390"/>
      <c r="DN81" s="390"/>
      <c r="DO81" s="390"/>
      <c r="DP81" s="390"/>
      <c r="DQ81" s="390"/>
      <c r="DR81" s="390"/>
      <c r="DS81" s="391"/>
      <c r="EE81" s="14"/>
      <c r="EF81" s="15"/>
      <c r="EO81" s="14"/>
      <c r="EP81" s="15"/>
      <c r="EZ81" s="14"/>
      <c r="FA81" s="15"/>
    </row>
    <row r="82" spans="1:157" x14ac:dyDescent="0.2">
      <c r="A82" s="29"/>
      <c r="B82" s="13" t="str">
        <f>IF($T$2=$X$27,"Vėjo apkrovų reikšmės pagal pastato zonas:",IF($T$2=$X$28,"Wind load values according to the building zones:","   "))</f>
        <v>Wind load values according to the building zones:</v>
      </c>
      <c r="G82" s="384" t="s">
        <v>195</v>
      </c>
      <c r="H82" s="384"/>
      <c r="J82" s="260" t="s">
        <v>175</v>
      </c>
      <c r="K82" s="260">
        <f>T19*2</f>
        <v>162.4</v>
      </c>
      <c r="L82" s="259" t="s">
        <v>169</v>
      </c>
      <c r="M82" s="33"/>
      <c r="O82" s="244" t="s">
        <v>203</v>
      </c>
      <c r="Z82" s="124" t="s">
        <v>33</v>
      </c>
      <c r="AA82" s="382" t="s">
        <v>37</v>
      </c>
      <c r="AB82" s="383"/>
      <c r="AC82" s="169" t="s">
        <v>145</v>
      </c>
      <c r="AD82" s="124" t="s">
        <v>34</v>
      </c>
      <c r="AE82" s="228" t="s">
        <v>197</v>
      </c>
      <c r="AF82" s="263" t="s">
        <v>200</v>
      </c>
      <c r="AG82" s="263" t="s">
        <v>201</v>
      </c>
      <c r="AH82" s="263" t="s">
        <v>202</v>
      </c>
      <c r="AI82" s="13" t="s">
        <v>192</v>
      </c>
      <c r="DJ82" s="390"/>
      <c r="DK82" s="390"/>
      <c r="DL82" s="390"/>
      <c r="DM82" s="390"/>
      <c r="DN82" s="390"/>
      <c r="DO82" s="390"/>
      <c r="DP82" s="390"/>
      <c r="DQ82" s="390"/>
      <c r="DR82" s="390"/>
      <c r="DS82" s="391"/>
      <c r="EE82" s="14"/>
      <c r="EF82" s="15"/>
      <c r="EO82" s="14"/>
      <c r="EP82" s="15"/>
      <c r="EZ82" s="14"/>
      <c r="FA82" s="15"/>
    </row>
    <row r="83" spans="1:157" ht="26.25" thickBot="1" x14ac:dyDescent="0.25">
      <c r="A83" s="29"/>
      <c r="B83" s="148"/>
      <c r="C83" s="256" t="s">
        <v>237</v>
      </c>
      <c r="D83" s="299" t="s">
        <v>232</v>
      </c>
      <c r="E83" s="255" t="s">
        <v>238</v>
      </c>
      <c r="G83" s="258" t="s">
        <v>243</v>
      </c>
      <c r="H83" s="281" t="s">
        <v>242</v>
      </c>
      <c r="J83" s="260" t="s">
        <v>170</v>
      </c>
      <c r="K83" s="260">
        <f>T21</f>
        <v>28</v>
      </c>
      <c r="L83" s="259" t="s">
        <v>169</v>
      </c>
      <c r="M83" s="33"/>
      <c r="Z83" s="120" t="s">
        <v>21</v>
      </c>
      <c r="AA83" s="163">
        <f ca="1">IFERROR(IF($T$15&lt;&gt;$AD$35,'Vėjo slėgio skaičiuoklė'!$AM$3*'Vėjo slėgio skaičiuoklė'!$AE$83*'Vėjo slėgio skaičiuoklė'!$T$13,IF($T$15=$AD$35,'Vėjo slėgio skaičiuoklė'!$AM$3*'Vėjo slėgio skaičiuoklė'!$AE$83,"-")),"-")</f>
        <v>0.22735492046386413</v>
      </c>
      <c r="AB83" s="163">
        <f ca="1">IFERROR(IF($T$15&lt;&gt;$AD$35,'Vėjo slėgio skaičiuoklė'!$AM$3*'Vėjo slėgio skaičiuoklė'!$AE$83*'Vėjo slėgio skaičiuoklė'!$T$13,IF($T$15=$AD$35,'Vėjo slėgio skaičiuoklė'!$AM$3*'Vėjo slėgio skaičiuoklė'!$AE$83,"-")),"-")</f>
        <v>0.22735492046386413</v>
      </c>
      <c r="AC83" s="168">
        <f>AC93*2+AD93*2</f>
        <v>0</v>
      </c>
      <c r="AD83" s="121">
        <f>IFERROR(AC83/'Vėjo slėgio skaičiuoklė'!$BA$14,"-")</f>
        <v>0</v>
      </c>
      <c r="AE83" s="267">
        <f>IF($C$54=X85,AF83,IF($C$54=X86,AG83,IF($C$54=X87,AH83,IF($C$54=X88,AI83))))</f>
        <v>0.2</v>
      </c>
      <c r="AF83" s="266">
        <v>0</v>
      </c>
      <c r="AG83" s="24">
        <v>0</v>
      </c>
      <c r="AH83" s="24">
        <v>0.2</v>
      </c>
      <c r="AI83" s="24">
        <f>H59</f>
        <v>0.1</v>
      </c>
      <c r="DJ83" s="274" t="s">
        <v>209</v>
      </c>
      <c r="DK83" s="12"/>
      <c r="DL83" s="12"/>
      <c r="DM83" s="12"/>
      <c r="DN83" s="12"/>
      <c r="DO83" s="12"/>
      <c r="DP83" s="12"/>
      <c r="DQ83" s="12"/>
      <c r="DR83" s="12"/>
      <c r="DS83" s="271"/>
      <c r="EE83" s="14"/>
      <c r="EF83" s="15"/>
      <c r="EO83" s="14"/>
      <c r="EP83" s="15"/>
      <c r="EZ83" s="14"/>
      <c r="FA83" s="15"/>
    </row>
    <row r="84" spans="1:157" ht="39" thickBot="1" x14ac:dyDescent="0.25">
      <c r="A84" s="29"/>
      <c r="B84" s="194" t="str">
        <f>IF($T$2=$X$27,"Fasado zonos",IF($T$2=$X$28,"Facade zones","   "))</f>
        <v>Facade zones</v>
      </c>
      <c r="C84" s="195" t="str">
        <f>IF($T$2=$X$27,"Vėjo slėgio apkrova, kN/m²",IF($T$2=$X$28,"Wind pressure load, kN/m²","   "))</f>
        <v>Wind pressure load, kN/m²</v>
      </c>
      <c r="D84" s="195" t="str">
        <f>IF($T$2=$X$27,"Oro slėgio apkrova, kN/m²",IF($T$2=$X$28,"Air pressure load, kN/m²","   "))</f>
        <v>Air pressure load, kN/m²</v>
      </c>
      <c r="E84" s="229" t="str">
        <f>IF($T$2=$X$27,"Vėjo slėgio apkrova, kN/m²",IF($T$2=$X$28,"Total Wind pressure load, kN/m²","   "))</f>
        <v>Total Wind pressure load, kN/m²</v>
      </c>
      <c r="G84" s="257" t="s">
        <v>196</v>
      </c>
      <c r="H84" s="250" t="s">
        <v>223</v>
      </c>
      <c r="J84" s="260" t="s">
        <v>171</v>
      </c>
      <c r="K84" s="260">
        <f>T20</f>
        <v>30</v>
      </c>
      <c r="L84" s="259" t="s">
        <v>169</v>
      </c>
      <c r="M84" s="33"/>
      <c r="O84" s="244"/>
      <c r="X84" s="251" t="s">
        <v>193</v>
      </c>
      <c r="Z84" s="120" t="s">
        <v>22</v>
      </c>
      <c r="AA84" s="164">
        <f ca="1">IFERROR(IF(AND($T$15&lt;&gt;$AD$35,'Vėjo slėgio skaičiuoklė'!$AN$4&lt;5*'Vėjo slėgio skaičiuoklė'!$T$20),'Vėjo slėgio skaičiuoklė'!$AM$3*'Vėjo slėgio skaičiuoklė'!$AE$84*'Vėjo slėgio skaičiuoklė'!$T$13,IF(AND($T$15=$AD$35,'Vėjo slėgio skaičiuoklė'!$AN$4&lt;5*'Vėjo slėgio skaičiuoklė'!$T$20),'Vėjo slėgio skaičiuoklė'!$AM$3*'Vėjo slėgio skaičiuoklė'!$AE$84,"-")),"-")</f>
        <v>0.22735492046386413</v>
      </c>
      <c r="AB84" s="164">
        <f ca="1">IFERROR(IF(AND($T$15&lt;&gt;$AD$35,'Vėjo slėgio skaičiuoklė'!$AN$7&lt;5*'Vėjo slėgio skaičiuoklė'!$T$21),'Vėjo slėgio skaičiuoklė'!$AM$3*'Vėjo slėgio skaičiuoklė'!$AE$84*'Vėjo slėgio skaičiuoklė'!$T$13,IF(AND($T$15=$AD$35,'Vėjo slėgio skaičiuoklė'!$AN$7&lt;5*'Vėjo slėgio skaičiuoklė'!$T$21),'Vėjo slėgio skaičiuoklė'!$AM$3*'Vėjo slėgio skaičiuoklė'!$AE$84,"-")),"-")</f>
        <v>0.22735492046386413</v>
      </c>
      <c r="AC84" s="168">
        <f>AC94*2+AD94*2</f>
        <v>0</v>
      </c>
      <c r="AD84" s="121">
        <f>IFERROR(AC84/'Vėjo slėgio skaičiuoklė'!$BA$14,"-")</f>
        <v>0</v>
      </c>
      <c r="AE84" s="267">
        <f>IF($C$54=X85,AF84,IF($C$54=X86,AG84,IF($C$54=X87,AH84,IF($C$54=X88,AI84))))</f>
        <v>0.2</v>
      </c>
      <c r="AF84" s="266">
        <v>0</v>
      </c>
      <c r="AG84" s="24">
        <v>0</v>
      </c>
      <c r="AH84" s="24">
        <v>0.2</v>
      </c>
      <c r="AI84" s="24">
        <f>H60</f>
        <v>0.1</v>
      </c>
      <c r="DS84" s="14"/>
      <c r="EE84" s="14"/>
      <c r="EF84" s="15"/>
      <c r="EO84" s="14"/>
      <c r="EP84" s="15"/>
      <c r="EZ84" s="14"/>
      <c r="FA84" s="15"/>
    </row>
    <row r="85" spans="1:157" ht="13.5" thickTop="1" x14ac:dyDescent="0.2">
      <c r="A85" s="29"/>
      <c r="B85" s="236" t="s">
        <v>21</v>
      </c>
      <c r="C85" s="326" cm="1">
        <f t="array" aca="1" ref="C85" ca="1">IF(AND($T$9&gt;0,$T$10&gt;0,$T$11&lt;&gt;$X$11,$T$13&lt;&gt;$X$13,COUNT($T$17:$T$21)=5),IF(C80=X91,AA7,IF(C80=X92,AA7/Table10[A]*AG30,IF(C80=X93,AA7/Table10[A]*AG31,IF(C80=X94,AA7/Table10[A]*AG30,IF(C80=X95,AA7/Table10[A]*AG27,IF(C80=X96,AA7/Table10[A]*AG29,"-")))))),"-")</f>
        <v>-1.6089732832827308</v>
      </c>
      <c r="D85" s="200">
        <f ca="1">C59</f>
        <v>0.22735492046386413</v>
      </c>
      <c r="E85" s="230">
        <f ca="1">C85-D85</f>
        <v>-1.8363282037465949</v>
      </c>
      <c r="F85" s="321" t="s">
        <v>244</v>
      </c>
      <c r="G85" s="285">
        <f>AG30</f>
        <v>-1.4153846153846155</v>
      </c>
      <c r="H85" s="249">
        <f>G85-F59</f>
        <v>-1.6153846153846154</v>
      </c>
      <c r="J85" s="260" t="s">
        <v>173</v>
      </c>
      <c r="K85" s="260">
        <f>K91*2</f>
        <v>38</v>
      </c>
      <c r="L85" s="259" t="s">
        <v>169</v>
      </c>
      <c r="M85" s="33"/>
      <c r="O85" s="244"/>
      <c r="X85" s="13" t="s">
        <v>206</v>
      </c>
      <c r="Z85" s="120" t="s">
        <v>23</v>
      </c>
      <c r="AA85" s="165">
        <f ca="1">IFERROR(IF(AND($T$15&lt;&gt;$AD$35,'Vėjo slėgio skaičiuoklė'!$AN$4&lt;'Vėjo slėgio skaičiuoklė'!$T$20),'Vėjo slėgio skaičiuoklė'!$AM$3*'Vėjo slėgio skaičiuoklė'!$AE$85*'Vėjo slėgio skaičiuoklė'!$T$13,IF(AND($T$15=$AD$35,'Vėjo slėgio skaičiuoklė'!$AN$4&lt;'Vėjo slėgio skaičiuoklė'!$T$20),'Vėjo slėgio skaičiuoklė'!$AM$3*'Vėjo slėgio skaičiuoklė'!$AE$85,"-")),"-")</f>
        <v>0.22735492046386413</v>
      </c>
      <c r="AB85" s="165" t="str">
        <f>IFERROR(IF(AND($T$15&lt;&gt;$AD$35,'Vėjo slėgio skaičiuoklė'!$AN$7&lt;'Vėjo slėgio skaičiuoklė'!$T$21),'Vėjo slėgio skaičiuoklė'!$AM$3*'Vėjo slėgio skaičiuoklė'!$AE$85*'Vėjo slėgio skaičiuoklė'!$T$13,IF(AND($T$15=$AD$35,'Vėjo slėgio skaičiuoklė'!$AN$7&lt;'Vėjo slėgio skaičiuoklė'!$T$21),'Vėjo slėgio skaičiuoklė'!$AM$3*'Vėjo slėgio skaičiuoklė'!$AE$85,"-")),"-")</f>
        <v>-</v>
      </c>
      <c r="AC85" s="168">
        <f>AC95*2+AD95*2</f>
        <v>0</v>
      </c>
      <c r="AD85" s="121">
        <f>IFERROR(AC85/'Vėjo slėgio skaičiuoklė'!$BA$14,"-")</f>
        <v>0</v>
      </c>
      <c r="AE85" s="267">
        <f>IF($C$54=X85,AF85,IF($C$54=X86,AG85,IF($C$54=X87,AH85,IF($C$54=X88,AI85))))</f>
        <v>0.2</v>
      </c>
      <c r="AF85" s="266">
        <v>0</v>
      </c>
      <c r="AG85" s="24">
        <v>0</v>
      </c>
      <c r="AH85" s="24">
        <v>0.2</v>
      </c>
      <c r="AI85" s="24">
        <f>H61</f>
        <v>0.1</v>
      </c>
      <c r="DS85" s="14"/>
      <c r="EE85" s="14"/>
      <c r="EF85" s="15"/>
      <c r="EO85" s="14"/>
      <c r="EP85" s="15"/>
      <c r="EZ85" s="14"/>
      <c r="FA85" s="15"/>
    </row>
    <row r="86" spans="1:157" x14ac:dyDescent="0.2">
      <c r="A86" s="29"/>
      <c r="B86" s="204" t="s">
        <v>22</v>
      </c>
      <c r="C86" s="205" cm="1">
        <f t="array" aca="1" ref="C86" ca="1">IF(AND($T$9&gt;0,$T$10&gt;0,$T$11&lt;&gt;$X$11,$T$13&lt;&gt;$X$13,COUNT($T$17:$T$21)=5),IF(C80=X91,MIN(AA8,AB8),IF(C80=X92,MIN(AA8/Table10[B]*AH30,AB8/Table1012[B]*AH30),IF(C80=X93,MIN(AA8/Table10[B]*AH31,AB8/Table1012[B]*AH31),IF(C80=X94,MIN(AA8/Table10[B]*AH30,AB8/Table1012[B]*AH30),IF(C80=X95,MIN(AA8/Table10[B]*AH27,AB8/Table1012[B]*AH27),IF(C80=X96,MIN(AA8/Table10[B]*AH29,AB8/Table1012[B]*AH29),"-")))))),"-")</f>
        <v>-0.970630621980343</v>
      </c>
      <c r="D86" s="205">
        <f ca="1">C60</f>
        <v>0.22735492046386413</v>
      </c>
      <c r="E86" s="231">
        <f ca="1">C86-D86</f>
        <v>-1.1979855424442072</v>
      </c>
      <c r="F86" s="322" t="s">
        <v>244</v>
      </c>
      <c r="G86" s="285">
        <f>AH30</f>
        <v>-0.85384615384615392</v>
      </c>
      <c r="H86" s="249">
        <f>G86-F60</f>
        <v>-1.0538461538461539</v>
      </c>
      <c r="J86" s="260" t="s">
        <v>177</v>
      </c>
      <c r="K86" s="290">
        <v>26</v>
      </c>
      <c r="L86" s="261" t="s">
        <v>190</v>
      </c>
      <c r="M86" s="33"/>
      <c r="X86" s="262" t="s">
        <v>160</v>
      </c>
      <c r="Z86" s="122" t="s">
        <v>24</v>
      </c>
      <c r="AA86" s="166">
        <f ca="1">IFERROR(IF($T$15&lt;&gt;$AD$35,'Vėjo slėgio skaičiuoklė'!$AM$3*'Vėjo slėgio skaičiuoklė'!$AE$86*'Vėjo slėgio skaičiuoklė'!$T$13,IF($T$15=$AD$35,'Vėjo slėgio skaičiuoklė'!$AM$3*'Vėjo slėgio skaičiuoklė'!$AE$86,"-")),"-")</f>
        <v>-0.34103238069579617</v>
      </c>
      <c r="AB86" s="166">
        <f ca="1">IFERROR(IF($T$15&lt;&gt;$AD$35,'Vėjo slėgio skaičiuoklė'!$AM$3*'Vėjo slėgio skaičiuoklė'!$AE$86*'Vėjo slėgio skaičiuoklė'!$T$13,IF($T$15=$AD$35,'Vėjo slėgio skaičiuoklė'!$AM$3*'Vėjo slėgio skaičiuoklė'!$AE$86,"-")),"-")</f>
        <v>-0.34103238069579617</v>
      </c>
      <c r="AC86" s="168">
        <f>AC96*2+AD96*2</f>
        <v>0</v>
      </c>
      <c r="AD86" s="123">
        <f>IFERROR(AC86/'Vėjo slėgio skaičiuoklė'!$BA$14,"-")</f>
        <v>0</v>
      </c>
      <c r="AE86" s="267">
        <f>IF($C$54=X85,AF86,IF($C$54=X86,AG86,IF($C$54=X87,AH86,IF($C$54=X88,AI86))))</f>
        <v>-0.3</v>
      </c>
      <c r="AF86" s="266">
        <v>0</v>
      </c>
      <c r="AG86" s="24">
        <v>-0.3</v>
      </c>
      <c r="AH86" s="24">
        <v>-0.3</v>
      </c>
      <c r="AI86" s="24">
        <f>H62</f>
        <v>-0.15</v>
      </c>
      <c r="DS86" s="14"/>
      <c r="EE86" s="14"/>
      <c r="EF86" s="15"/>
      <c r="EO86" s="14"/>
      <c r="EP86" s="15"/>
      <c r="EZ86" s="14"/>
      <c r="FA86" s="15"/>
    </row>
    <row r="87" spans="1:157" ht="13.5" thickBot="1" x14ac:dyDescent="0.25">
      <c r="A87" s="29"/>
      <c r="B87" s="204" t="s">
        <v>23</v>
      </c>
      <c r="C87" s="209" cm="1">
        <f t="array" aca="1" ref="C87" ca="1">IF(AND($T$9&gt;0,$T$10&gt;0,$T$11&lt;&gt;$X$11,$T$13&lt;&gt;$X$13,COUNT($T$17:$T$21)=5),IF(C80=X91,MIN(AA9,AB9),IF(C80=X92,MIN(AA9/Table10[C]*AI30,AB9/Table1012[C]*AI30),IF(C80=X93,MIN(AA9/Table10[C]*AI31,AB9/Table1012[C]*AI31),IF(C80=X94,MIN(AA9/Table10[C]*AI30,AB9/Table1012[C]*AI30),IF(C80=X95,MIN(AA9/Table10[C]*AI27,AB9/Table1012[C]*AI27),IF(C80=X96,MIN(AA9/Table10[C]*AI29,AB9/Table1012[C]*AI29),"-")))))),"-")</f>
        <v>-0.81323106165920633</v>
      </c>
      <c r="D87" s="209">
        <f ca="1">C61</f>
        <v>0.22735492046386413</v>
      </c>
      <c r="E87" s="232">
        <f ca="1">C87-D87</f>
        <v>-1.0405859821230705</v>
      </c>
      <c r="F87" s="322" t="s">
        <v>244</v>
      </c>
      <c r="G87" s="285">
        <f>AI30</f>
        <v>-0.7153846153846154</v>
      </c>
      <c r="H87" s="249">
        <f>G87-F61</f>
        <v>-0.91538461538461546</v>
      </c>
      <c r="J87" s="260" t="s">
        <v>178</v>
      </c>
      <c r="K87" s="290">
        <v>26</v>
      </c>
      <c r="L87" s="261" t="s">
        <v>190</v>
      </c>
      <c r="M87" s="33"/>
      <c r="X87" s="263" t="s">
        <v>166</v>
      </c>
      <c r="Z87" s="120" t="s">
        <v>25</v>
      </c>
      <c r="AA87" s="190">
        <f ca="1">IFERROR(IF($T$15&lt;&gt;$AD$35,'Vėjo slėgio skaičiuoklė'!$AM$3*'Vėjo slėgio skaičiuoklė'!$AE$87*'Vėjo slėgio skaičiuoklė'!$T$13,IF($T$15=$AD$35,'Vėjo slėgio skaičiuoklė'!$AM$3*'Vėjo slėgio skaičiuoklė'!$AE$87,"-")),"-")</f>
        <v>0.22735492046386413</v>
      </c>
      <c r="AB87" s="190">
        <f ca="1">IFERROR(IF($T$15&lt;&gt;$AD$35,'Vėjo slėgio skaičiuoklė'!$AM$3*'Vėjo slėgio skaičiuoklė'!$AE$87*'Vėjo slėgio skaičiuoklė'!$T$13,IF($T$15=$AD$35,'Vėjo slėgio skaičiuoklė'!$AM$3*'Vėjo slėgio skaičiuoklė'!$AE$87,"-")),"-")</f>
        <v>0.22735492046386413</v>
      </c>
      <c r="AC87" s="168">
        <f>AC97*2+AD97*2</f>
        <v>0</v>
      </c>
      <c r="AD87" s="121">
        <f>IFERROR(AC87/'Vėjo slėgio skaičiuoklė'!$BA$14,"-")</f>
        <v>0</v>
      </c>
      <c r="AE87" s="267">
        <f>IF($C$54=X85,AF87,IF($C$54=X86,AG87,IF($C$54=X87,AH87,IF($C$54=X88,AI87))))</f>
        <v>0.2</v>
      </c>
      <c r="AF87" s="266">
        <v>0</v>
      </c>
      <c r="AG87" s="24"/>
      <c r="AH87" s="24">
        <v>0.2</v>
      </c>
      <c r="AI87" s="24">
        <f>H63</f>
        <v>0.1</v>
      </c>
      <c r="DS87" s="273"/>
      <c r="EE87" s="14"/>
      <c r="EF87" s="15"/>
      <c r="EO87" s="14"/>
      <c r="EP87" s="15"/>
      <c r="EZ87" s="14"/>
      <c r="FA87" s="15"/>
    </row>
    <row r="88" spans="1:157" ht="13.5" thickTop="1" x14ac:dyDescent="0.2">
      <c r="A88" s="29"/>
      <c r="B88" s="235" t="s">
        <v>226</v>
      </c>
      <c r="C88" s="211">
        <f ca="1">C37</f>
        <v>0.90941968185545652</v>
      </c>
      <c r="D88" s="211">
        <f ca="1">C62</f>
        <v>-0.34103238069579617</v>
      </c>
      <c r="E88" s="233">
        <f ca="1">C88-D88</f>
        <v>1.2504520625512527</v>
      </c>
      <c r="F88" s="270"/>
      <c r="G88" s="249">
        <f ca="1">G37</f>
        <v>0.8</v>
      </c>
      <c r="H88" s="249">
        <f ca="1">G88-F62</f>
        <v>1.1000000000000001</v>
      </c>
      <c r="J88" s="260" t="s">
        <v>224</v>
      </c>
      <c r="K88" s="290">
        <v>71</v>
      </c>
      <c r="L88" s="261" t="s">
        <v>190</v>
      </c>
      <c r="M88" s="33"/>
      <c r="X88" s="263" t="s">
        <v>186</v>
      </c>
      <c r="Z88" s="222"/>
      <c r="AA88" s="223"/>
      <c r="AB88" s="223"/>
      <c r="AC88" s="224"/>
      <c r="AD88" s="225"/>
      <c r="DS88" s="14"/>
      <c r="EE88" s="14"/>
      <c r="EF88" s="15"/>
      <c r="EO88" s="14"/>
      <c r="EZ88" s="14"/>
      <c r="FA88" s="15"/>
    </row>
    <row r="89" spans="1:157" x14ac:dyDescent="0.2">
      <c r="A89" s="29"/>
      <c r="B89" s="215" t="s">
        <v>230</v>
      </c>
      <c r="C89" s="216">
        <f ca="1">C38</f>
        <v>-0.67638088837999577</v>
      </c>
      <c r="D89" s="216">
        <f ca="1">C63</f>
        <v>0.22735492046386413</v>
      </c>
      <c r="E89" s="234">
        <f ca="1">C89-D89</f>
        <v>-0.90373580884385984</v>
      </c>
      <c r="F89" s="270"/>
      <c r="G89" s="249">
        <f ca="1">G38</f>
        <v>-0.59499999999999997</v>
      </c>
      <c r="H89" s="249">
        <f ca="1">G89-F63</f>
        <v>-0.79499999999999993</v>
      </c>
      <c r="J89" s="260" t="s">
        <v>225</v>
      </c>
      <c r="K89" s="290">
        <v>89</v>
      </c>
      <c r="L89" s="261" t="s">
        <v>190</v>
      </c>
      <c r="M89" s="33"/>
      <c r="DS89" s="14"/>
      <c r="EE89" s="14"/>
      <c r="EO89" s="14"/>
      <c r="EP89" s="15"/>
      <c r="EZ89" s="14"/>
      <c r="FA89" s="15"/>
    </row>
    <row r="90" spans="1:157" ht="12.75" customHeight="1" thickBot="1" x14ac:dyDescent="0.25">
      <c r="A90" s="29"/>
      <c r="C90" s="402" t="s">
        <v>222</v>
      </c>
      <c r="E90" s="402" t="s">
        <v>252</v>
      </c>
      <c r="F90" s="292"/>
      <c r="J90" s="300" t="s">
        <v>172</v>
      </c>
      <c r="K90" s="247">
        <v>26</v>
      </c>
      <c r="L90" s="259" t="s">
        <v>169</v>
      </c>
      <c r="M90" s="33"/>
      <c r="X90" s="251" t="s">
        <v>194</v>
      </c>
      <c r="DS90" s="273"/>
      <c r="EE90" s="14"/>
      <c r="EF90" s="70"/>
      <c r="EG90" s="70"/>
      <c r="EH90" s="70"/>
      <c r="EI90" s="70"/>
      <c r="EJ90" s="70"/>
      <c r="EK90" s="70"/>
      <c r="EL90" s="70"/>
      <c r="EM90" s="70"/>
      <c r="EN90" s="70"/>
      <c r="EO90" s="153"/>
      <c r="EP90" s="70"/>
      <c r="EQ90" s="70"/>
      <c r="ER90" s="70"/>
      <c r="ES90" s="70"/>
      <c r="ET90" s="70"/>
      <c r="EU90" s="70"/>
      <c r="EV90" s="70"/>
      <c r="EW90" s="70"/>
      <c r="EX90" s="70"/>
      <c r="EY90" s="70"/>
      <c r="EZ90" s="153"/>
      <c r="FA90" s="15"/>
    </row>
    <row r="91" spans="1:157" ht="14.25" thickTop="1" thickBot="1" x14ac:dyDescent="0.25">
      <c r="A91" s="29"/>
      <c r="C91" s="403"/>
      <c r="E91" s="403"/>
      <c r="F91" s="292"/>
      <c r="J91" s="301" t="s">
        <v>231</v>
      </c>
      <c r="K91" s="247">
        <v>19</v>
      </c>
      <c r="L91" s="259" t="s">
        <v>169</v>
      </c>
      <c r="M91" s="33"/>
      <c r="X91" s="13" t="s">
        <v>185</v>
      </c>
      <c r="DS91" s="14"/>
      <c r="EE91" s="14"/>
      <c r="EO91" s="14"/>
      <c r="EZ91" s="14"/>
      <c r="FA91" s="15"/>
    </row>
    <row r="92" spans="1:157" ht="13.5" thickTop="1" x14ac:dyDescent="0.2">
      <c r="A92" s="29"/>
      <c r="E92" s="291"/>
      <c r="J92" s="260" t="s">
        <v>179</v>
      </c>
      <c r="K92" s="290">
        <v>19</v>
      </c>
      <c r="L92" s="261" t="s">
        <v>190</v>
      </c>
      <c r="M92" s="33"/>
      <c r="X92" s="13" t="s">
        <v>248</v>
      </c>
      <c r="DS92" s="14"/>
      <c r="EE92" s="14"/>
      <c r="EF92" s="15"/>
      <c r="EO92" s="14"/>
      <c r="EP92" s="15"/>
      <c r="EZ92" s="14"/>
      <c r="FA92" s="15"/>
    </row>
    <row r="93" spans="1:157" x14ac:dyDescent="0.2">
      <c r="A93" s="29"/>
      <c r="B93" s="336" t="s">
        <v>253</v>
      </c>
      <c r="J93" s="260" t="s">
        <v>180</v>
      </c>
      <c r="K93" s="290"/>
      <c r="L93" s="261" t="s">
        <v>190</v>
      </c>
      <c r="M93" s="33"/>
      <c r="X93" s="13" t="s">
        <v>184</v>
      </c>
      <c r="DS93" s="273"/>
      <c r="EE93" s="14"/>
      <c r="EF93" s="15"/>
      <c r="EO93" s="14"/>
      <c r="EZ93" s="14"/>
      <c r="FA93" s="15"/>
    </row>
    <row r="94" spans="1:157" ht="12.75" customHeight="1" x14ac:dyDescent="0.2">
      <c r="A94" s="29"/>
      <c r="B94" s="336" t="s">
        <v>254</v>
      </c>
      <c r="J94" s="260" t="s">
        <v>181</v>
      </c>
      <c r="K94" s="290">
        <v>19</v>
      </c>
      <c r="L94" s="261" t="s">
        <v>190</v>
      </c>
      <c r="M94" s="33"/>
      <c r="X94" s="13" t="s">
        <v>261</v>
      </c>
      <c r="DS94" s="14"/>
      <c r="EE94" s="14"/>
      <c r="EF94" s="15"/>
      <c r="EO94" s="14"/>
      <c r="EP94" s="15"/>
      <c r="EZ94" s="14"/>
      <c r="FA94" s="15"/>
    </row>
    <row r="95" spans="1:157" x14ac:dyDescent="0.2">
      <c r="A95" s="29"/>
      <c r="B95" s="134" t="s">
        <v>203</v>
      </c>
      <c r="J95" s="244" t="s">
        <v>183</v>
      </c>
      <c r="M95" s="33"/>
      <c r="X95" s="13" t="s">
        <v>263</v>
      </c>
      <c r="DS95" s="14"/>
      <c r="EE95" s="14"/>
      <c r="EF95" s="15"/>
      <c r="EO95" s="14"/>
      <c r="EP95" s="15"/>
      <c r="EZ95" s="14"/>
      <c r="FA95" s="15"/>
    </row>
    <row r="96" spans="1:157" x14ac:dyDescent="0.2">
      <c r="A96" s="29"/>
      <c r="J96" s="269" t="s">
        <v>189</v>
      </c>
      <c r="M96" s="33"/>
      <c r="X96" s="13" t="s">
        <v>186</v>
      </c>
      <c r="DS96" s="273"/>
      <c r="EE96" s="14"/>
      <c r="EF96" s="15"/>
      <c r="EO96" s="14"/>
      <c r="EP96" s="15"/>
      <c r="EZ96" s="14"/>
      <c r="FA96" s="15"/>
    </row>
    <row r="97" spans="1:157" x14ac:dyDescent="0.2">
      <c r="A97" s="29"/>
      <c r="I97" s="269" t="s">
        <v>214</v>
      </c>
      <c r="J97" s="13" t="s">
        <v>290</v>
      </c>
      <c r="M97" s="33"/>
      <c r="DS97" s="14"/>
      <c r="EE97" s="14"/>
      <c r="EF97" s="15"/>
      <c r="EO97" s="14"/>
      <c r="EP97" s="15"/>
      <c r="EZ97" s="14"/>
      <c r="FA97" s="15"/>
    </row>
    <row r="98" spans="1:157" x14ac:dyDescent="0.2">
      <c r="A98" s="29"/>
      <c r="I98" s="269" t="s">
        <v>215</v>
      </c>
      <c r="J98" s="13" t="s">
        <v>291</v>
      </c>
      <c r="M98" s="33"/>
      <c r="DS98" s="14"/>
      <c r="EE98" s="14"/>
      <c r="EF98" s="15"/>
      <c r="EO98" s="14"/>
      <c r="EZ98" s="14"/>
      <c r="FA98" s="15"/>
    </row>
    <row r="99" spans="1:157" x14ac:dyDescent="0.2">
      <c r="A99" s="29"/>
      <c r="I99" s="269"/>
      <c r="M99" s="33"/>
      <c r="DS99" s="273"/>
      <c r="EE99" s="14"/>
      <c r="EF99" s="15"/>
      <c r="EO99" s="14"/>
      <c r="EP99" s="15"/>
      <c r="EZ99" s="14"/>
      <c r="FA99" s="15"/>
    </row>
    <row r="100" spans="1:157" x14ac:dyDescent="0.2">
      <c r="A100" s="29"/>
      <c r="I100" s="269"/>
      <c r="M100" s="33"/>
      <c r="DS100" s="14"/>
      <c r="EE100" s="14"/>
      <c r="EF100" s="15"/>
      <c r="EO100" s="14"/>
      <c r="EP100" s="15"/>
      <c r="EZ100" s="14"/>
      <c r="FA100" s="15"/>
    </row>
    <row r="101" spans="1:157" x14ac:dyDescent="0.2">
      <c r="A101" s="29"/>
      <c r="M101" s="33"/>
      <c r="DS101" s="14"/>
      <c r="EE101" s="14"/>
      <c r="EF101" s="15"/>
      <c r="EO101" s="14"/>
      <c r="EP101" s="15"/>
      <c r="EZ101" s="14"/>
      <c r="FA101" s="15"/>
    </row>
    <row r="102" spans="1:157" x14ac:dyDescent="0.2">
      <c r="A102" s="29"/>
      <c r="M102" s="33"/>
      <c r="DS102" s="273"/>
      <c r="EE102" s="14"/>
      <c r="EF102" s="15"/>
      <c r="EO102" s="14"/>
      <c r="EP102" s="15"/>
      <c r="EZ102" s="14"/>
      <c r="FA102" s="15"/>
    </row>
    <row r="103" spans="1:157" x14ac:dyDescent="0.2">
      <c r="A103" s="29"/>
      <c r="M103" s="33"/>
      <c r="DS103" s="14"/>
      <c r="EE103" s="14"/>
      <c r="EF103" s="15"/>
      <c r="EO103" s="14"/>
      <c r="EZ103" s="14"/>
      <c r="FA103" s="15"/>
    </row>
    <row r="104" spans="1:157" x14ac:dyDescent="0.2">
      <c r="A104" s="29"/>
      <c r="M104" s="33"/>
      <c r="DS104" s="14"/>
      <c r="EE104" s="14"/>
      <c r="EF104" s="15"/>
      <c r="EO104" s="14"/>
      <c r="EP104" s="15"/>
      <c r="EZ104" s="14"/>
      <c r="FA104" s="15"/>
    </row>
    <row r="105" spans="1:157" x14ac:dyDescent="0.2">
      <c r="A105" s="29"/>
      <c r="M105" s="33"/>
      <c r="DJ105" s="228" t="s">
        <v>258</v>
      </c>
      <c r="DS105" s="273"/>
      <c r="EE105" s="14"/>
      <c r="EF105" s="15"/>
      <c r="EO105" s="14"/>
      <c r="EP105" s="15"/>
      <c r="EZ105" s="14"/>
      <c r="FA105" s="15"/>
    </row>
    <row r="106" spans="1:157" x14ac:dyDescent="0.2">
      <c r="A106" s="29"/>
      <c r="M106" s="33"/>
      <c r="DS106" s="14"/>
      <c r="EE106" s="14"/>
      <c r="EF106" s="15"/>
      <c r="EO106" s="14"/>
      <c r="EP106" s="15"/>
      <c r="EZ106" s="14"/>
      <c r="FA106" s="15"/>
    </row>
    <row r="107" spans="1:157" x14ac:dyDescent="0.2">
      <c r="A107" s="29"/>
      <c r="M107" s="33"/>
      <c r="DS107" s="14"/>
      <c r="EE107" s="14"/>
      <c r="EF107" s="15"/>
      <c r="EO107" s="14"/>
      <c r="EP107" s="15"/>
      <c r="EZ107" s="14"/>
      <c r="FA107" s="15"/>
    </row>
    <row r="108" spans="1:157" x14ac:dyDescent="0.2">
      <c r="A108" s="29"/>
      <c r="M108" s="33"/>
      <c r="DS108" s="273"/>
      <c r="EE108" s="14"/>
      <c r="EF108" s="15"/>
      <c r="EO108" s="14"/>
      <c r="EZ108" s="14"/>
      <c r="FA108" s="15"/>
    </row>
    <row r="109" spans="1:157" x14ac:dyDescent="0.2">
      <c r="A109" s="29"/>
      <c r="M109" s="33"/>
      <c r="DS109" s="14"/>
      <c r="EE109" s="14"/>
      <c r="EF109" s="15"/>
      <c r="EO109" s="14"/>
      <c r="EP109" s="15"/>
      <c r="EZ109" s="14"/>
      <c r="FA109" s="15"/>
    </row>
    <row r="110" spans="1:157" x14ac:dyDescent="0.2">
      <c r="A110" s="29"/>
      <c r="M110" s="33"/>
      <c r="DS110" s="14"/>
      <c r="EE110" s="14"/>
      <c r="EF110" s="15"/>
      <c r="EO110" s="14"/>
      <c r="EP110" s="15"/>
      <c r="EZ110" s="14"/>
      <c r="FA110" s="15"/>
    </row>
    <row r="111" spans="1:157" x14ac:dyDescent="0.2">
      <c r="A111" s="29"/>
      <c r="M111" s="33"/>
      <c r="DS111" s="273"/>
      <c r="EE111" s="14"/>
      <c r="EO111" s="14"/>
      <c r="EP111" s="15"/>
      <c r="EZ111" s="14"/>
      <c r="FA111" s="15"/>
    </row>
    <row r="112" spans="1:157" x14ac:dyDescent="0.2">
      <c r="A112" s="29"/>
      <c r="M112" s="33"/>
      <c r="DS112" s="14"/>
      <c r="EE112" s="14"/>
      <c r="EF112" s="15"/>
      <c r="EO112" s="14"/>
      <c r="EP112" s="15"/>
      <c r="EZ112" s="14"/>
      <c r="FA112" s="15"/>
    </row>
    <row r="113" spans="1:157" x14ac:dyDescent="0.2">
      <c r="A113" s="29"/>
      <c r="M113" s="33"/>
      <c r="DS113" s="14"/>
      <c r="EE113" s="14"/>
      <c r="EF113" s="15"/>
      <c r="EO113" s="14"/>
      <c r="EZ113" s="14"/>
      <c r="FA113" s="15"/>
    </row>
    <row r="114" spans="1:157" x14ac:dyDescent="0.2">
      <c r="A114" s="29"/>
      <c r="M114" s="33"/>
      <c r="DS114" s="273"/>
      <c r="EE114" s="14"/>
      <c r="EF114" s="15"/>
      <c r="EO114" s="14"/>
      <c r="EP114" s="15"/>
      <c r="EZ114" s="14"/>
      <c r="FA114" s="15"/>
    </row>
    <row r="115" spans="1:157" x14ac:dyDescent="0.2">
      <c r="A115" s="29"/>
      <c r="M115" s="33"/>
      <c r="DS115" s="14"/>
      <c r="EE115" s="14"/>
      <c r="EF115" s="15"/>
      <c r="EO115" s="14"/>
      <c r="EP115" s="15"/>
      <c r="EZ115" s="14"/>
      <c r="FA115" s="15"/>
    </row>
    <row r="116" spans="1:157" x14ac:dyDescent="0.2">
      <c r="A116" s="29"/>
      <c r="E116" s="251"/>
      <c r="M116" s="33"/>
      <c r="DS116" s="14"/>
      <c r="EE116" s="14"/>
      <c r="EF116" s="15"/>
      <c r="EO116" s="14"/>
      <c r="EP116" s="15"/>
      <c r="EZ116" s="14"/>
      <c r="FA116" s="15"/>
    </row>
    <row r="117" spans="1:157" x14ac:dyDescent="0.2">
      <c r="A117" s="29"/>
      <c r="E117" s="340" t="str">
        <f>IF($T$2=$X$27,"Schema 4: Funneling efekto Įvesties parametrams",IF($T$2=$X$28,"Figure 4: Funneling scheme for Input parameters","   "))</f>
        <v>Figure 4: Funneling scheme for Input parameters</v>
      </c>
      <c r="M117" s="33"/>
      <c r="DS117" s="273"/>
      <c r="EE117" s="14"/>
      <c r="EF117" s="15"/>
      <c r="EO117" s="14"/>
      <c r="EP117" s="15"/>
      <c r="EZ117" s="14"/>
      <c r="FA117" s="15"/>
    </row>
    <row r="118" spans="1:157" x14ac:dyDescent="0.2">
      <c r="A118" s="55"/>
      <c r="B118" s="56"/>
      <c r="C118" s="56"/>
      <c r="D118" s="56"/>
      <c r="E118" s="56"/>
      <c r="F118" s="56"/>
      <c r="G118" s="56"/>
      <c r="H118" s="56"/>
      <c r="I118" s="56"/>
      <c r="J118" s="56"/>
      <c r="K118" s="56"/>
      <c r="L118" s="56"/>
      <c r="M118" s="57"/>
      <c r="DS118" s="14"/>
      <c r="EE118" s="14"/>
      <c r="EF118" s="15"/>
      <c r="EO118" s="14"/>
      <c r="EZ118" s="14"/>
      <c r="FA118" s="15"/>
    </row>
    <row r="119" spans="1:157" ht="15" x14ac:dyDescent="0.25">
      <c r="A119" s="304" t="s">
        <v>287</v>
      </c>
      <c r="B119" s="304"/>
      <c r="DS119" s="14"/>
      <c r="EE119" s="14"/>
      <c r="EF119" s="15"/>
      <c r="EO119" s="14"/>
      <c r="EP119" s="15"/>
      <c r="EZ119" s="14"/>
      <c r="FA119" s="15"/>
    </row>
    <row r="120" spans="1:157" ht="13.5" thickBot="1" x14ac:dyDescent="0.25">
      <c r="DS120" s="273"/>
      <c r="EE120" s="14"/>
      <c r="EF120" s="15"/>
      <c r="EO120" s="14"/>
      <c r="EP120" s="15"/>
      <c r="EZ120" s="14"/>
      <c r="FA120" s="15"/>
    </row>
    <row r="121" spans="1:157" x14ac:dyDescent="0.2">
      <c r="A121" s="16"/>
      <c r="B121" s="16"/>
      <c r="C121" s="16"/>
      <c r="D121" s="16"/>
      <c r="E121" s="16"/>
      <c r="F121" s="16"/>
      <c r="G121" s="16"/>
      <c r="H121" s="16"/>
      <c r="I121" s="16"/>
      <c r="J121" s="16"/>
      <c r="K121" s="16"/>
      <c r="L121" s="16"/>
      <c r="M121" s="16"/>
      <c r="O121" s="16"/>
      <c r="P121" s="16"/>
      <c r="Q121" s="16"/>
      <c r="R121" s="16"/>
      <c r="S121" s="16"/>
      <c r="T121" s="16"/>
      <c r="U121" s="16"/>
      <c r="V121" s="16"/>
      <c r="DS121" s="14"/>
      <c r="EE121" s="14"/>
      <c r="EF121" s="15"/>
      <c r="EO121" s="14"/>
      <c r="EP121" s="15"/>
      <c r="EZ121" s="14"/>
      <c r="FA121" s="15"/>
    </row>
    <row r="122" spans="1:157" x14ac:dyDescent="0.2">
      <c r="B122" s="312"/>
      <c r="C122" s="312"/>
      <c r="D122" s="312"/>
      <c r="E122" s="312"/>
      <c r="F122" s="312"/>
      <c r="G122" s="312"/>
      <c r="H122" s="312"/>
      <c r="I122" s="312"/>
      <c r="J122" s="312"/>
      <c r="K122" s="312"/>
      <c r="L122" s="312"/>
      <c r="DS122" s="14"/>
      <c r="EE122" s="14"/>
      <c r="EF122" s="15"/>
      <c r="EO122" s="14"/>
      <c r="EP122" s="15"/>
      <c r="EZ122" s="14"/>
      <c r="FA122" s="15"/>
    </row>
    <row r="123" spans="1:157" ht="12.75" customHeight="1" x14ac:dyDescent="0.2">
      <c r="B123" s="312"/>
      <c r="C123" s="312"/>
      <c r="D123" s="312"/>
      <c r="E123" s="312"/>
      <c r="F123" s="312"/>
      <c r="G123" s="312"/>
      <c r="H123" s="312"/>
      <c r="I123" s="312"/>
      <c r="J123" s="312"/>
      <c r="K123" s="312"/>
      <c r="L123" s="312"/>
      <c r="DS123" s="273"/>
      <c r="EE123" s="14"/>
      <c r="EF123" s="15"/>
      <c r="EO123" s="14"/>
      <c r="EZ123" s="14"/>
      <c r="FA123" s="15"/>
    </row>
    <row r="124" spans="1:157" x14ac:dyDescent="0.2">
      <c r="B124" s="338"/>
      <c r="C124" s="338"/>
      <c r="D124" s="338"/>
      <c r="E124" s="338"/>
      <c r="F124" s="338"/>
      <c r="G124" s="338"/>
      <c r="H124" s="338"/>
      <c r="I124" s="338"/>
      <c r="J124" s="338"/>
      <c r="K124" s="338"/>
      <c r="L124" s="338"/>
      <c r="DS124" s="14"/>
      <c r="EE124" s="14"/>
      <c r="EF124" s="15"/>
      <c r="EO124" s="14"/>
      <c r="EP124" s="15"/>
      <c r="EZ124" s="14"/>
      <c r="FA124" s="15"/>
    </row>
    <row r="125" spans="1:157" x14ac:dyDescent="0.2">
      <c r="B125" s="338"/>
      <c r="C125" s="338"/>
      <c r="D125" s="338"/>
      <c r="E125" s="338"/>
      <c r="F125" s="338"/>
      <c r="G125" s="338"/>
      <c r="H125" s="338"/>
      <c r="I125" s="338"/>
      <c r="J125" s="338"/>
      <c r="K125" s="338"/>
      <c r="L125" s="338"/>
      <c r="DS125" s="14"/>
      <c r="EE125" s="14"/>
      <c r="EF125" s="15"/>
      <c r="EO125" s="14"/>
      <c r="EP125" s="15"/>
      <c r="EZ125" s="14"/>
      <c r="FA125" s="15"/>
    </row>
    <row r="126" spans="1:157" x14ac:dyDescent="0.2">
      <c r="B126" s="338"/>
      <c r="C126" s="338"/>
      <c r="D126" s="338"/>
      <c r="E126" s="338"/>
      <c r="F126" s="338"/>
      <c r="G126" s="338"/>
      <c r="H126" s="338"/>
      <c r="I126" s="338"/>
      <c r="J126" s="338"/>
      <c r="K126" s="338"/>
      <c r="L126" s="338"/>
      <c r="X126" s="270" t="s">
        <v>210</v>
      </c>
      <c r="DS126" s="273"/>
      <c r="EE126" s="14"/>
      <c r="EF126" s="15"/>
      <c r="EO126" s="14"/>
      <c r="EP126" s="15"/>
      <c r="EZ126" s="14"/>
      <c r="FA126" s="15"/>
    </row>
    <row r="127" spans="1:157" x14ac:dyDescent="0.2">
      <c r="B127" s="312"/>
      <c r="C127" s="312"/>
      <c r="D127" s="312"/>
      <c r="E127" s="312"/>
      <c r="F127" s="312"/>
      <c r="G127" s="312"/>
      <c r="H127" s="312"/>
      <c r="I127" s="312"/>
      <c r="J127" s="312"/>
      <c r="K127" s="312"/>
      <c r="L127" s="312"/>
      <c r="X127" s="24">
        <v>2.1</v>
      </c>
      <c r="Y127" s="13">
        <f>B127</f>
        <v>0</v>
      </c>
      <c r="DS127" s="14"/>
      <c r="EE127" s="14"/>
      <c r="EF127" s="15"/>
      <c r="EO127" s="14"/>
      <c r="EP127" s="15"/>
      <c r="EZ127" s="14"/>
      <c r="FA127" s="15"/>
    </row>
    <row r="128" spans="1:157" ht="12.75" customHeight="1" x14ac:dyDescent="0.2">
      <c r="B128" s="272"/>
      <c r="C128" s="272"/>
      <c r="D128" s="272"/>
      <c r="E128" s="272"/>
      <c r="F128" s="272"/>
      <c r="G128" s="272"/>
      <c r="H128" s="272"/>
      <c r="I128" s="272"/>
      <c r="J128" s="272"/>
      <c r="K128" s="272"/>
      <c r="L128" s="272"/>
      <c r="X128" s="24">
        <v>1.8</v>
      </c>
      <c r="Y128" s="13">
        <f>B128</f>
        <v>0</v>
      </c>
      <c r="DS128" s="14"/>
      <c r="EE128" s="14"/>
      <c r="EF128" s="15"/>
      <c r="EO128" s="14"/>
      <c r="EZ128" s="14"/>
      <c r="FA128" s="15"/>
    </row>
    <row r="129" spans="2:157" x14ac:dyDescent="0.2">
      <c r="B129" s="272"/>
      <c r="C129" s="272"/>
      <c r="D129" s="272"/>
      <c r="E129" s="272"/>
      <c r="F129" s="272"/>
      <c r="G129" s="272"/>
      <c r="H129" s="272"/>
      <c r="I129" s="272"/>
      <c r="J129" s="272"/>
      <c r="K129" s="272"/>
      <c r="L129" s="272"/>
      <c r="X129" s="320"/>
      <c r="Y129" s="13">
        <f t="shared" ref="Y129:Y139" si="7">B129</f>
        <v>0</v>
      </c>
      <c r="DS129" s="273"/>
      <c r="EE129" s="14"/>
      <c r="EF129" s="15"/>
      <c r="EO129" s="14"/>
      <c r="EP129" s="15"/>
      <c r="EZ129" s="14"/>
      <c r="FA129" s="15"/>
    </row>
    <row r="130" spans="2:157" x14ac:dyDescent="0.2">
      <c r="B130" s="312"/>
      <c r="C130" s="312"/>
      <c r="D130" s="312"/>
      <c r="E130" s="312"/>
      <c r="F130" s="312"/>
      <c r="G130" s="312"/>
      <c r="H130" s="312"/>
      <c r="I130" s="312"/>
      <c r="J130" s="312"/>
      <c r="K130" s="312"/>
      <c r="L130" s="312"/>
      <c r="X130" s="320"/>
      <c r="Y130" s="13">
        <f t="shared" si="7"/>
        <v>0</v>
      </c>
      <c r="DS130" s="14"/>
      <c r="EE130" s="14"/>
      <c r="EF130" s="15"/>
      <c r="EO130" s="14"/>
      <c r="EP130" s="15"/>
      <c r="EZ130" s="14"/>
      <c r="FA130" s="15"/>
    </row>
    <row r="131" spans="2:157" x14ac:dyDescent="0.2">
      <c r="B131" s="376" t="s">
        <v>241</v>
      </c>
      <c r="C131" s="376"/>
      <c r="D131" s="376"/>
      <c r="E131" s="376"/>
      <c r="F131" s="376"/>
      <c r="G131" s="376"/>
      <c r="H131" s="376"/>
      <c r="I131" s="376"/>
      <c r="J131" s="376"/>
      <c r="K131" s="376"/>
      <c r="L131" s="376"/>
      <c r="X131" s="24"/>
      <c r="Y131" s="13" t="str">
        <f>B131</f>
        <v>Keletas patarimų/taisyklių susijusių su vėjo apkrovomis fasaduose (pabrėžiu fasaduose, nes tai šiek tiek skiriasi nuo vėjo apkrovų skaičiavimo pastato konstruktyvui):</v>
      </c>
      <c r="DS131" s="14"/>
      <c r="EE131" s="14"/>
      <c r="EF131" s="15"/>
      <c r="EO131" s="14"/>
      <c r="EP131" s="15"/>
      <c r="EZ131" s="14"/>
      <c r="FA131" s="15"/>
    </row>
    <row r="132" spans="2:157" ht="12.75" customHeight="1" x14ac:dyDescent="0.2">
      <c r="B132" s="376"/>
      <c r="C132" s="376"/>
      <c r="D132" s="376"/>
      <c r="E132" s="376"/>
      <c r="F132" s="376"/>
      <c r="G132" s="376"/>
      <c r="H132" s="376"/>
      <c r="I132" s="376"/>
      <c r="J132" s="376"/>
      <c r="K132" s="376"/>
      <c r="L132" s="376"/>
      <c r="X132" s="24">
        <v>2.1</v>
      </c>
      <c r="Y132" s="13">
        <f t="shared" si="7"/>
        <v>0</v>
      </c>
      <c r="DS132" s="273"/>
      <c r="EE132" s="14"/>
      <c r="EF132" s="15"/>
      <c r="EO132" s="14"/>
      <c r="EP132" s="15"/>
      <c r="EZ132" s="14"/>
      <c r="FA132" s="15"/>
    </row>
    <row r="133" spans="2:157" x14ac:dyDescent="0.2">
      <c r="B133" s="312"/>
      <c r="C133" s="312"/>
      <c r="D133" s="312"/>
      <c r="E133" s="312"/>
      <c r="F133" s="312"/>
      <c r="G133" s="312"/>
      <c r="H133" s="312"/>
      <c r="I133" s="312"/>
      <c r="J133" s="312"/>
      <c r="K133" s="312"/>
      <c r="L133" s="312"/>
      <c r="X133" s="24">
        <v>1.8</v>
      </c>
      <c r="Y133" s="13">
        <f t="shared" si="7"/>
        <v>0</v>
      </c>
      <c r="DS133" s="14"/>
      <c r="EE133" s="14"/>
      <c r="EO133" s="14"/>
      <c r="EZ133" s="14"/>
      <c r="FA133" s="15"/>
    </row>
    <row r="134" spans="2:157" x14ac:dyDescent="0.2">
      <c r="B134" s="312" t="s">
        <v>162</v>
      </c>
      <c r="C134" s="312"/>
      <c r="D134" s="312"/>
      <c r="E134" s="312"/>
      <c r="F134" s="312"/>
      <c r="G134" s="312"/>
      <c r="H134" s="312"/>
      <c r="I134" s="312"/>
      <c r="J134" s="312"/>
      <c r="K134" s="312"/>
      <c r="L134" s="312"/>
      <c r="X134" s="320"/>
      <c r="Y134" s="13" t="str">
        <f>B134</f>
        <v xml:space="preserve">EN 1991-1-4 negali būti taikomas be tos šalies NA (nacionalinio priedo). </v>
      </c>
      <c r="DS134" s="14"/>
      <c r="EE134" s="14"/>
      <c r="EF134" s="15"/>
      <c r="EO134" s="14"/>
      <c r="EP134" s="15"/>
      <c r="EZ134" s="14"/>
      <c r="FA134" s="15"/>
    </row>
    <row r="135" spans="2:157" x14ac:dyDescent="0.2">
      <c r="B135" s="312"/>
      <c r="C135" s="312"/>
      <c r="D135" s="312"/>
      <c r="E135" s="312"/>
      <c r="F135" s="312"/>
      <c r="G135" s="312"/>
      <c r="H135" s="312"/>
      <c r="I135" s="312"/>
      <c r="J135" s="312"/>
      <c r="K135" s="312"/>
      <c r="L135" s="312"/>
      <c r="X135" s="320"/>
      <c r="Y135" s="13">
        <f t="shared" si="7"/>
        <v>0</v>
      </c>
      <c r="DS135" s="273"/>
      <c r="EE135" s="14"/>
      <c r="EF135" s="15"/>
      <c r="EO135" s="14"/>
      <c r="EP135" s="15"/>
      <c r="EZ135" s="14"/>
      <c r="FA135" s="15"/>
    </row>
    <row r="136" spans="2:157" x14ac:dyDescent="0.2">
      <c r="B136" s="377" t="s">
        <v>229</v>
      </c>
      <c r="C136" s="377"/>
      <c r="D136" s="377"/>
      <c r="E136" s="377"/>
      <c r="F136" s="377"/>
      <c r="G136" s="377"/>
      <c r="H136" s="377"/>
      <c r="I136" s="377"/>
      <c r="J136" s="377"/>
      <c r="K136" s="377"/>
      <c r="L136" s="377"/>
      <c r="X136" s="24"/>
      <c r="Y136" s="13" t="str">
        <f t="shared" si="7"/>
        <v>UK vėjo apkrovoms yra skirtas tikslesnis BS 6399 ; PD6688-1-4:2009 (praktiškai jie į savo NA ir sudėjo visą tą standartą, kaip daugelis šalių taip su savo nacionaliniais dokumentais ir padarė). Kadangi jis nesikerta su EC, gali būti naudojamas kaip papildomas dokumentas (EC tai leidžia). Standartas apima sudėtingesnes pastatų formas ir pan.</v>
      </c>
      <c r="DS136" s="14"/>
      <c r="EE136" s="14"/>
      <c r="EF136" s="15"/>
      <c r="EO136" s="14"/>
      <c r="EP136" s="15"/>
      <c r="EZ136" s="14"/>
      <c r="FA136" s="15"/>
    </row>
    <row r="137" spans="2:157" x14ac:dyDescent="0.2">
      <c r="B137" s="377"/>
      <c r="C137" s="377"/>
      <c r="D137" s="377"/>
      <c r="E137" s="377"/>
      <c r="F137" s="377"/>
      <c r="G137" s="377"/>
      <c r="H137" s="377"/>
      <c r="I137" s="377"/>
      <c r="J137" s="377"/>
      <c r="K137" s="377"/>
      <c r="L137" s="377"/>
      <c r="X137" s="24">
        <v>1.4</v>
      </c>
      <c r="Y137" s="13">
        <f>B137</f>
        <v>0</v>
      </c>
      <c r="DS137" s="14"/>
      <c r="EE137" s="14"/>
      <c r="EF137" s="15"/>
      <c r="EO137" s="14"/>
      <c r="EP137" s="15"/>
      <c r="EZ137" s="14"/>
      <c r="FA137" s="15"/>
    </row>
    <row r="138" spans="2:157" x14ac:dyDescent="0.2">
      <c r="B138" s="377"/>
      <c r="C138" s="377"/>
      <c r="D138" s="377"/>
      <c r="E138" s="377"/>
      <c r="F138" s="377"/>
      <c r="G138" s="377"/>
      <c r="H138" s="377"/>
      <c r="I138" s="377"/>
      <c r="J138" s="377"/>
      <c r="K138" s="377"/>
      <c r="L138" s="377"/>
      <c r="X138" s="24">
        <v>1.8</v>
      </c>
      <c r="Y138" s="13">
        <f t="shared" si="7"/>
        <v>0</v>
      </c>
      <c r="DS138" s="273"/>
      <c r="EE138" s="14"/>
      <c r="EF138" s="15"/>
      <c r="EO138" s="14"/>
      <c r="EZ138" s="14"/>
      <c r="FA138" s="15"/>
    </row>
    <row r="139" spans="2:157" x14ac:dyDescent="0.2">
      <c r="B139" s="312"/>
      <c r="C139" s="312"/>
      <c r="D139" s="312"/>
      <c r="E139" s="312"/>
      <c r="F139" s="312"/>
      <c r="G139" s="312"/>
      <c r="H139" s="312"/>
      <c r="I139" s="312"/>
      <c r="J139" s="312"/>
      <c r="K139" s="312"/>
      <c r="L139" s="312"/>
      <c r="X139" s="24">
        <v>2.1</v>
      </c>
      <c r="Y139" s="13">
        <f t="shared" si="7"/>
        <v>0</v>
      </c>
      <c r="DS139" s="14"/>
      <c r="EE139" s="14"/>
      <c r="EF139" s="15"/>
      <c r="EO139" s="14"/>
      <c r="EP139" s="15"/>
      <c r="EZ139" s="14"/>
      <c r="FA139" s="15"/>
    </row>
    <row r="140" spans="2:157" x14ac:dyDescent="0.2">
      <c r="B140" s="375" t="s">
        <v>240</v>
      </c>
      <c r="C140" s="375"/>
      <c r="D140" s="375"/>
      <c r="E140" s="375"/>
      <c r="F140" s="375"/>
      <c r="G140" s="375"/>
      <c r="H140" s="375"/>
      <c r="I140" s="375"/>
      <c r="J140" s="375"/>
      <c r="K140" s="375"/>
      <c r="L140" s="375"/>
      <c r="X140" s="320"/>
      <c r="Y140" s="13" t="str">
        <f>B140</f>
        <v>Skaičiuojant apkrovas fasadams neleidžiamas horizontalus vėjo apkrovų segmentavimas (nepriklausomai nuo h ir b santykio). Kitaip sakant, viršūninį vėjo greičio slėgį aukštyje z (z=h) turime taikyti per visą pastato aukštį. (Segmentavimas taikomas konstruktyvo skaičiavimui, kadangi didžiausią lenkimo momentą ties pamatu sukuria didžiausias vėjo slėgis viršuje, o apačioje beveik neturi įtakos).</v>
      </c>
      <c r="DS140" s="14"/>
      <c r="EE140" s="14"/>
      <c r="EF140" s="15"/>
      <c r="EO140" s="14"/>
      <c r="EP140" s="15"/>
      <c r="EZ140" s="14"/>
      <c r="FA140" s="15"/>
    </row>
    <row r="141" spans="2:157" x14ac:dyDescent="0.2">
      <c r="B141" s="375"/>
      <c r="C141" s="375"/>
      <c r="D141" s="375"/>
      <c r="E141" s="375"/>
      <c r="F141" s="375"/>
      <c r="G141" s="375"/>
      <c r="H141" s="375"/>
      <c r="I141" s="375"/>
      <c r="J141" s="375"/>
      <c r="K141" s="375"/>
      <c r="L141" s="375"/>
      <c r="X141" s="320"/>
      <c r="Y141" s="13">
        <f>B141</f>
        <v>0</v>
      </c>
      <c r="DS141" s="273"/>
      <c r="EE141" s="14"/>
      <c r="EF141" s="15"/>
      <c r="EO141" s="14"/>
      <c r="EP141" s="15"/>
      <c r="EZ141" s="14"/>
      <c r="FA141" s="15"/>
    </row>
    <row r="142" spans="2:157" x14ac:dyDescent="0.2">
      <c r="B142" s="375"/>
      <c r="C142" s="375"/>
      <c r="D142" s="375"/>
      <c r="E142" s="375"/>
      <c r="F142" s="375"/>
      <c r="G142" s="375"/>
      <c r="H142" s="375"/>
      <c r="I142" s="375"/>
      <c r="J142" s="375"/>
      <c r="K142" s="375"/>
      <c r="L142" s="375"/>
      <c r="DS142" s="14"/>
      <c r="EE142" s="14"/>
      <c r="EF142" s="15"/>
      <c r="EO142" s="14"/>
      <c r="EP142" s="15"/>
      <c r="EZ142" s="14"/>
      <c r="FA142" s="15"/>
    </row>
    <row r="143" spans="2:157" x14ac:dyDescent="0.2">
      <c r="B143" s="312"/>
      <c r="C143" s="312"/>
      <c r="D143" s="312"/>
      <c r="E143" s="312"/>
      <c r="F143" s="312"/>
      <c r="G143" s="312"/>
      <c r="H143" s="312"/>
      <c r="I143" s="312"/>
      <c r="J143" s="312"/>
      <c r="K143" s="312"/>
      <c r="L143" s="312"/>
      <c r="DS143" s="14"/>
      <c r="EE143" s="14"/>
      <c r="EF143" s="15"/>
      <c r="EO143" s="14"/>
      <c r="EZ143" s="14"/>
      <c r="FA143" s="15"/>
    </row>
    <row r="144" spans="2:157" x14ac:dyDescent="0.2">
      <c r="B144" s="319" t="s">
        <v>161</v>
      </c>
      <c r="C144" s="312"/>
      <c r="D144" s="312"/>
      <c r="E144" s="312"/>
      <c r="F144" s="312"/>
      <c r="G144" s="312"/>
      <c r="H144" s="312"/>
      <c r="I144" s="312"/>
      <c r="J144" s="312"/>
      <c r="K144" s="312"/>
      <c r="L144" s="312"/>
      <c r="DS144" s="273"/>
      <c r="EE144" s="14"/>
      <c r="EF144" s="15"/>
      <c r="EO144" s="14"/>
      <c r="EP144" s="15"/>
      <c r="EZ144" s="14"/>
      <c r="FA144" s="15"/>
    </row>
    <row r="145" spans="2:157" ht="15" customHeight="1" x14ac:dyDescent="0.2">
      <c r="B145" s="272"/>
      <c r="C145" s="272"/>
      <c r="D145" s="272"/>
      <c r="E145" s="272"/>
      <c r="F145" s="272"/>
      <c r="G145" s="272"/>
      <c r="H145" s="272"/>
      <c r="I145" s="272"/>
      <c r="J145" s="272"/>
      <c r="K145" s="272"/>
      <c r="L145" s="272"/>
      <c r="DS145" s="14"/>
      <c r="EE145" s="14"/>
      <c r="EF145" s="15"/>
      <c r="EO145" s="14"/>
      <c r="EP145" s="15"/>
      <c r="EZ145" s="14"/>
      <c r="FA145" s="15"/>
    </row>
    <row r="146" spans="2:157" ht="12.75" customHeight="1" x14ac:dyDescent="0.2">
      <c r="B146" s="312"/>
      <c r="C146" s="312"/>
      <c r="D146" s="312"/>
      <c r="E146" s="312"/>
      <c r="F146" s="312"/>
      <c r="G146" s="312"/>
      <c r="H146" s="312"/>
      <c r="I146" s="312"/>
      <c r="J146" s="312"/>
      <c r="K146" s="312"/>
      <c r="L146" s="312"/>
      <c r="DS146" s="14"/>
      <c r="EE146" s="14"/>
      <c r="EF146" s="15"/>
      <c r="EO146" s="14"/>
      <c r="EP146" s="15"/>
      <c r="EZ146" s="14"/>
      <c r="FA146" s="15"/>
    </row>
    <row r="147" spans="2:157" ht="15" customHeight="1" x14ac:dyDescent="0.2">
      <c r="B147" s="312"/>
      <c r="C147" s="312"/>
      <c r="D147" s="312"/>
      <c r="E147" s="312"/>
      <c r="F147" s="312"/>
      <c r="G147" s="312"/>
      <c r="H147" s="312"/>
      <c r="I147" s="312"/>
      <c r="J147" s="312"/>
      <c r="K147" s="312"/>
      <c r="L147" s="312"/>
      <c r="DS147" s="273"/>
      <c r="EE147" s="14"/>
      <c r="EF147" s="15"/>
      <c r="EO147" s="14"/>
      <c r="EP147" s="15"/>
      <c r="EZ147" s="14"/>
      <c r="FA147" s="15"/>
    </row>
    <row r="148" spans="2:157" ht="15" customHeight="1" x14ac:dyDescent="0.2">
      <c r="B148" s="338"/>
      <c r="C148" s="338"/>
      <c r="D148" s="338"/>
      <c r="E148" s="338"/>
      <c r="F148" s="338"/>
      <c r="G148" s="338"/>
      <c r="H148" s="338"/>
      <c r="I148" s="338"/>
      <c r="J148" s="338"/>
      <c r="K148" s="338"/>
      <c r="L148" s="338"/>
      <c r="DS148" s="14"/>
      <c r="EE148" s="14"/>
      <c r="EF148" s="15"/>
      <c r="EO148" s="14"/>
      <c r="EZ148" s="14"/>
      <c r="FA148" s="15"/>
    </row>
    <row r="149" spans="2:157" x14ac:dyDescent="0.2">
      <c r="B149" s="338"/>
      <c r="C149" s="338"/>
      <c r="D149" s="338"/>
      <c r="E149" s="338"/>
      <c r="F149" s="338"/>
      <c r="G149" s="338"/>
      <c r="H149" s="338"/>
      <c r="I149" s="338"/>
      <c r="J149" s="338"/>
      <c r="K149" s="338"/>
      <c r="L149" s="338"/>
      <c r="DS149" s="14"/>
      <c r="EE149" s="14"/>
      <c r="EF149" s="15"/>
      <c r="EO149" s="14"/>
      <c r="EP149" s="15"/>
      <c r="EZ149" s="14"/>
      <c r="FA149" s="15"/>
    </row>
    <row r="150" spans="2:157" x14ac:dyDescent="0.2">
      <c r="B150" s="338"/>
      <c r="C150" s="338"/>
      <c r="D150" s="338"/>
      <c r="E150" s="338"/>
      <c r="F150" s="338"/>
      <c r="G150" s="338"/>
      <c r="H150" s="338"/>
      <c r="I150" s="338"/>
      <c r="J150" s="338"/>
      <c r="K150" s="338"/>
      <c r="L150" s="338"/>
      <c r="DS150" s="273"/>
      <c r="EE150" s="14"/>
      <c r="EF150" s="15"/>
      <c r="EO150" s="14"/>
      <c r="EP150" s="15"/>
      <c r="EZ150" s="14"/>
      <c r="FA150" s="15"/>
    </row>
    <row r="151" spans="2:157" x14ac:dyDescent="0.2">
      <c r="B151" s="312"/>
      <c r="C151" s="312"/>
      <c r="D151" s="312"/>
      <c r="E151" s="312"/>
      <c r="F151" s="312"/>
      <c r="G151" s="312"/>
      <c r="H151" s="312"/>
      <c r="I151" s="312"/>
      <c r="J151" s="312"/>
      <c r="K151" s="312"/>
      <c r="L151" s="312"/>
      <c r="DS151" s="14"/>
      <c r="EE151" s="14"/>
      <c r="EF151" s="15"/>
      <c r="EO151" s="14"/>
      <c r="EP151" s="15"/>
      <c r="EZ151" s="14"/>
      <c r="FA151" s="15"/>
    </row>
    <row r="152" spans="2:157" x14ac:dyDescent="0.2">
      <c r="B152" s="272"/>
      <c r="C152" s="272"/>
      <c r="D152" s="272"/>
      <c r="E152" s="272"/>
      <c r="F152" s="272"/>
      <c r="G152" s="272"/>
      <c r="H152" s="272"/>
      <c r="I152" s="272"/>
      <c r="J152" s="272"/>
      <c r="K152" s="272"/>
      <c r="L152" s="272"/>
      <c r="DS152" s="14"/>
      <c r="EE152" s="14"/>
      <c r="EF152" s="15"/>
      <c r="EO152" s="14"/>
      <c r="EP152" s="15"/>
      <c r="EZ152" s="14"/>
      <c r="FA152" s="15"/>
    </row>
    <row r="153" spans="2:157" x14ac:dyDescent="0.2">
      <c r="B153" s="272"/>
      <c r="C153" s="272"/>
      <c r="D153" s="272"/>
      <c r="E153" s="272"/>
      <c r="F153" s="272"/>
      <c r="G153" s="272"/>
      <c r="H153" s="272"/>
      <c r="I153" s="272"/>
      <c r="J153" s="272"/>
      <c r="K153" s="272"/>
      <c r="L153" s="272"/>
      <c r="DS153" s="273"/>
      <c r="EE153" s="14"/>
      <c r="EF153" s="15"/>
      <c r="EO153" s="14"/>
      <c r="EZ153" s="14"/>
      <c r="FA153" s="15"/>
    </row>
    <row r="154" spans="2:157" x14ac:dyDescent="0.2">
      <c r="B154" s="312"/>
      <c r="C154" s="312"/>
      <c r="D154" s="312"/>
      <c r="E154" s="312"/>
      <c r="F154" s="312"/>
      <c r="G154" s="312"/>
      <c r="H154" s="312"/>
      <c r="I154" s="312"/>
      <c r="J154" s="312"/>
      <c r="K154" s="312"/>
      <c r="L154" s="312"/>
      <c r="DS154" s="14"/>
      <c r="EE154" s="14"/>
      <c r="EF154" s="15"/>
      <c r="EO154" s="14"/>
      <c r="EP154" s="15"/>
      <c r="EZ154" s="14"/>
      <c r="FA154" s="15"/>
    </row>
    <row r="155" spans="2:157" x14ac:dyDescent="0.2">
      <c r="B155" s="312"/>
      <c r="C155" s="312"/>
      <c r="D155" s="312"/>
      <c r="E155" s="312"/>
      <c r="F155" s="312"/>
      <c r="G155" s="312"/>
      <c r="H155" s="312"/>
      <c r="I155" s="312"/>
      <c r="J155" s="312"/>
      <c r="K155" s="312"/>
      <c r="L155" s="312"/>
      <c r="DS155" s="14"/>
      <c r="EE155" s="14"/>
      <c r="EO155" s="14"/>
      <c r="EP155" s="15"/>
      <c r="EZ155" s="14"/>
      <c r="FA155" s="15"/>
    </row>
    <row r="156" spans="2:157" x14ac:dyDescent="0.2">
      <c r="B156" s="338"/>
      <c r="C156" s="338"/>
      <c r="D156" s="338"/>
      <c r="E156" s="338"/>
      <c r="F156" s="338"/>
      <c r="G156" s="338"/>
      <c r="H156" s="338"/>
      <c r="I156" s="338"/>
      <c r="J156" s="338"/>
      <c r="K156" s="338"/>
      <c r="L156" s="338"/>
      <c r="DS156" s="273"/>
      <c r="EE156" s="14"/>
      <c r="EF156" s="15"/>
      <c r="EO156" s="14"/>
      <c r="EP156" s="15"/>
      <c r="EZ156" s="14"/>
      <c r="FA156" s="15"/>
    </row>
    <row r="157" spans="2:157" x14ac:dyDescent="0.2">
      <c r="B157" s="338"/>
      <c r="C157" s="338"/>
      <c r="D157" s="338"/>
      <c r="E157" s="338"/>
      <c r="F157" s="338"/>
      <c r="G157" s="338"/>
      <c r="H157" s="338"/>
      <c r="I157" s="338"/>
      <c r="J157" s="338"/>
      <c r="K157" s="338"/>
      <c r="L157" s="338"/>
      <c r="DS157" s="14"/>
      <c r="EE157" s="14"/>
      <c r="EF157" s="15"/>
      <c r="EO157" s="14"/>
      <c r="EP157" s="15"/>
      <c r="EZ157" s="14"/>
      <c r="FA157" s="15"/>
    </row>
    <row r="158" spans="2:157" x14ac:dyDescent="0.2">
      <c r="B158" s="338"/>
      <c r="C158" s="338"/>
      <c r="D158" s="338"/>
      <c r="E158" s="338"/>
      <c r="F158" s="338"/>
      <c r="G158" s="338"/>
      <c r="H158" s="338"/>
      <c r="I158" s="338"/>
      <c r="J158" s="338"/>
      <c r="K158" s="338"/>
      <c r="L158" s="338"/>
      <c r="DS158" s="14"/>
      <c r="EE158" s="14"/>
      <c r="EF158" s="15"/>
      <c r="EO158" s="14"/>
      <c r="EZ158" s="14"/>
      <c r="FA158" s="15"/>
    </row>
    <row r="159" spans="2:157" x14ac:dyDescent="0.2">
      <c r="B159" s="312"/>
      <c r="C159" s="312"/>
      <c r="D159" s="312"/>
      <c r="E159" s="312"/>
      <c r="F159" s="312"/>
      <c r="G159" s="312"/>
      <c r="H159" s="312"/>
      <c r="I159" s="312"/>
      <c r="J159" s="312"/>
      <c r="K159" s="312"/>
      <c r="L159" s="312"/>
      <c r="X159" s="313">
        <v>-2</v>
      </c>
      <c r="Y159" s="13">
        <f>B159</f>
        <v>0</v>
      </c>
      <c r="DS159" s="273"/>
      <c r="EE159" s="14"/>
      <c r="EF159" s="15"/>
      <c r="EO159" s="14"/>
      <c r="EP159" s="15"/>
      <c r="EZ159" s="14"/>
      <c r="FA159" s="15"/>
    </row>
    <row r="160" spans="2:157" x14ac:dyDescent="0.2">
      <c r="B160" s="272"/>
      <c r="C160" s="272"/>
      <c r="D160" s="272"/>
      <c r="E160" s="272"/>
      <c r="F160" s="272"/>
      <c r="G160" s="272"/>
      <c r="H160" s="272"/>
      <c r="I160" s="272"/>
      <c r="J160" s="272"/>
      <c r="K160" s="272"/>
      <c r="L160" s="272"/>
      <c r="X160" s="313">
        <v>-2.2000000000000002</v>
      </c>
      <c r="Y160" s="13">
        <f>B160</f>
        <v>0</v>
      </c>
      <c r="DS160" s="14"/>
      <c r="EE160" s="14"/>
      <c r="EF160" s="15"/>
      <c r="EO160" s="14"/>
      <c r="EP160" s="15"/>
      <c r="EZ160" s="14"/>
      <c r="FA160" s="15"/>
    </row>
    <row r="161" spans="2:157" x14ac:dyDescent="0.2">
      <c r="B161" s="272"/>
      <c r="C161" s="272"/>
      <c r="D161" s="272"/>
      <c r="E161" s="272"/>
      <c r="F161" s="272"/>
      <c r="G161" s="272"/>
      <c r="H161" s="272"/>
      <c r="I161" s="272"/>
      <c r="J161" s="272"/>
      <c r="K161" s="272"/>
      <c r="L161" s="272"/>
      <c r="X161" s="313">
        <v>-1.8</v>
      </c>
      <c r="Y161" s="13">
        <f>B161</f>
        <v>0</v>
      </c>
      <c r="DS161" s="14"/>
      <c r="EE161" s="14"/>
      <c r="EF161" s="15"/>
      <c r="EO161" s="14"/>
      <c r="EP161" s="15"/>
      <c r="EZ161" s="14"/>
      <c r="FA161" s="15"/>
    </row>
    <row r="162" spans="2:157" x14ac:dyDescent="0.2">
      <c r="B162" s="312"/>
      <c r="C162" s="312"/>
      <c r="D162" s="312"/>
      <c r="E162" s="312"/>
      <c r="F162" s="312"/>
      <c r="G162" s="312"/>
      <c r="H162" s="312"/>
      <c r="I162" s="312"/>
      <c r="J162" s="312"/>
      <c r="K162" s="312"/>
      <c r="L162" s="312"/>
      <c r="X162" s="313">
        <v>-2.5</v>
      </c>
      <c r="Y162" s="13">
        <f>B162</f>
        <v>0</v>
      </c>
      <c r="DS162" s="273"/>
      <c r="EE162" s="14"/>
      <c r="EF162" s="15"/>
      <c r="EO162" s="14"/>
      <c r="EP162" s="15"/>
      <c r="EZ162" s="14"/>
      <c r="FA162" s="15"/>
    </row>
    <row r="163" spans="2:157" x14ac:dyDescent="0.2">
      <c r="B163" s="312"/>
      <c r="C163" s="312"/>
      <c r="D163" s="312"/>
      <c r="E163" s="312"/>
      <c r="F163" s="312"/>
      <c r="G163" s="312"/>
      <c r="H163" s="312"/>
      <c r="I163" s="312"/>
      <c r="J163" s="312"/>
      <c r="K163" s="312"/>
      <c r="L163" s="312"/>
      <c r="X163" s="24"/>
      <c r="Y163" s="13">
        <f>B165</f>
        <v>0</v>
      </c>
      <c r="DS163" s="14"/>
      <c r="EE163" s="14"/>
      <c r="EF163" s="15"/>
      <c r="EO163" s="14"/>
      <c r="EZ163" s="14"/>
      <c r="FA163" s="15"/>
    </row>
    <row r="164" spans="2:157" x14ac:dyDescent="0.2">
      <c r="B164" s="338"/>
      <c r="C164" s="338"/>
      <c r="D164" s="338"/>
      <c r="E164" s="338"/>
      <c r="F164" s="338"/>
      <c r="G164" s="338"/>
      <c r="H164" s="338"/>
      <c r="I164" s="338"/>
      <c r="J164" s="338"/>
      <c r="K164" s="338"/>
      <c r="L164" s="338"/>
      <c r="DS164" s="14"/>
      <c r="EE164" s="14"/>
      <c r="EF164" s="15"/>
      <c r="EO164" s="14"/>
      <c r="EP164" s="15"/>
      <c r="EZ164" s="14"/>
      <c r="FA164" s="15"/>
    </row>
    <row r="165" spans="2:157" x14ac:dyDescent="0.2">
      <c r="B165" s="338"/>
      <c r="C165" s="338"/>
      <c r="D165" s="338"/>
      <c r="E165" s="338"/>
      <c r="F165" s="338"/>
      <c r="G165" s="338"/>
      <c r="H165" s="338"/>
      <c r="I165" s="338"/>
      <c r="J165" s="338"/>
      <c r="K165" s="338"/>
      <c r="L165" s="338"/>
      <c r="X165" s="320"/>
      <c r="Y165" s="13">
        <f>B168</f>
        <v>0</v>
      </c>
      <c r="DS165" s="273"/>
      <c r="EE165" s="14"/>
      <c r="EF165" s="15"/>
      <c r="EO165" s="14"/>
      <c r="EP165" s="15"/>
      <c r="EZ165" s="14"/>
      <c r="FA165" s="15"/>
    </row>
    <row r="166" spans="2:157" x14ac:dyDescent="0.2">
      <c r="B166" s="338"/>
      <c r="C166" s="338"/>
      <c r="D166" s="338"/>
      <c r="E166" s="338"/>
      <c r="F166" s="338"/>
      <c r="G166" s="338"/>
      <c r="H166" s="338"/>
      <c r="I166" s="338"/>
      <c r="J166" s="338"/>
      <c r="K166" s="338"/>
      <c r="L166" s="338"/>
      <c r="X166" s="320"/>
      <c r="Y166" s="13">
        <f>B163</f>
        <v>0</v>
      </c>
      <c r="DS166" s="14"/>
      <c r="EE166" s="14"/>
      <c r="EF166" s="15"/>
      <c r="EO166" s="14"/>
      <c r="EP166" s="15"/>
      <c r="EZ166" s="14"/>
      <c r="FA166" s="15"/>
    </row>
    <row r="167" spans="2:157" x14ac:dyDescent="0.2">
      <c r="B167" s="312"/>
      <c r="C167" s="312"/>
      <c r="D167" s="312"/>
      <c r="E167" s="312"/>
      <c r="F167" s="312"/>
      <c r="G167" s="312"/>
      <c r="H167" s="312"/>
      <c r="I167" s="312"/>
      <c r="J167" s="312"/>
      <c r="K167" s="312"/>
      <c r="L167" s="312"/>
      <c r="X167" s="320"/>
      <c r="Y167" s="13">
        <f>B164</f>
        <v>0</v>
      </c>
      <c r="DS167" s="14"/>
      <c r="EE167" s="14"/>
      <c r="EF167" s="15"/>
      <c r="EO167" s="14"/>
      <c r="EP167" s="15"/>
      <c r="EZ167" s="14"/>
      <c r="FA167" s="15"/>
    </row>
    <row r="168" spans="2:157" x14ac:dyDescent="0.2">
      <c r="B168" s="272"/>
      <c r="C168" s="272"/>
      <c r="D168" s="272"/>
      <c r="E168" s="272"/>
      <c r="F168" s="272"/>
      <c r="G168" s="272"/>
      <c r="H168" s="272"/>
      <c r="I168" s="272"/>
      <c r="J168" s="272"/>
      <c r="K168" s="272"/>
      <c r="L168" s="272"/>
      <c r="X168" s="320"/>
      <c r="Y168" s="13">
        <f>B169</f>
        <v>0</v>
      </c>
      <c r="DS168" s="273"/>
      <c r="EE168" s="14"/>
      <c r="EF168" s="15"/>
      <c r="EO168" s="14"/>
      <c r="EZ168" s="14"/>
      <c r="FA168" s="15"/>
    </row>
    <row r="169" spans="2:157" x14ac:dyDescent="0.2">
      <c r="B169" s="272"/>
      <c r="C169" s="272"/>
      <c r="D169" s="272"/>
      <c r="E169" s="272"/>
      <c r="F169" s="272"/>
      <c r="G169" s="272"/>
      <c r="H169" s="272"/>
      <c r="I169" s="272"/>
      <c r="J169" s="272"/>
      <c r="K169" s="272"/>
      <c r="L169" s="272"/>
      <c r="DS169" s="14"/>
      <c r="EE169" s="14"/>
      <c r="EF169" s="15"/>
      <c r="EO169" s="14"/>
      <c r="EP169" s="15"/>
      <c r="EZ169" s="14"/>
      <c r="FA169" s="15"/>
    </row>
    <row r="170" spans="2:157" ht="12.75" customHeight="1" x14ac:dyDescent="0.2">
      <c r="B170" s="312"/>
      <c r="C170" s="312"/>
      <c r="D170" s="312"/>
      <c r="E170" s="312"/>
      <c r="F170" s="312"/>
      <c r="G170" s="312"/>
      <c r="H170" s="312"/>
      <c r="I170" s="312"/>
      <c r="J170" s="312"/>
      <c r="K170" s="312"/>
      <c r="L170" s="312"/>
      <c r="DS170" s="14"/>
      <c r="EE170" s="14"/>
      <c r="EF170" s="15"/>
      <c r="EO170" s="14"/>
      <c r="EP170" s="15"/>
      <c r="EZ170" s="14"/>
      <c r="FA170" s="15"/>
    </row>
    <row r="171" spans="2:157" ht="12.75" customHeight="1" x14ac:dyDescent="0.2">
      <c r="B171" s="312"/>
      <c r="C171" s="312"/>
      <c r="D171" s="312"/>
      <c r="E171" s="312"/>
      <c r="F171" s="312"/>
      <c r="G171" s="312"/>
      <c r="H171" s="312"/>
      <c r="I171" s="312"/>
      <c r="J171" s="312"/>
      <c r="K171" s="312"/>
      <c r="L171" s="312"/>
      <c r="DS171" s="273"/>
      <c r="EE171" s="14"/>
      <c r="EF171" s="15"/>
      <c r="EO171" s="14"/>
      <c r="EP171" s="15"/>
      <c r="EZ171" s="14"/>
      <c r="FA171" s="15"/>
    </row>
    <row r="172" spans="2:157" x14ac:dyDescent="0.2">
      <c r="B172" s="338"/>
      <c r="C172" s="338"/>
      <c r="D172" s="338"/>
      <c r="E172" s="338"/>
      <c r="F172" s="338"/>
      <c r="G172" s="338"/>
      <c r="H172" s="338"/>
      <c r="I172" s="338"/>
      <c r="J172" s="338"/>
      <c r="K172" s="338"/>
      <c r="L172" s="338"/>
      <c r="EE172" s="14"/>
      <c r="EF172" s="15"/>
    </row>
    <row r="173" spans="2:157" x14ac:dyDescent="0.2">
      <c r="B173" s="338"/>
      <c r="C173" s="338"/>
      <c r="D173" s="338"/>
      <c r="E173" s="338"/>
      <c r="F173" s="338"/>
      <c r="G173" s="338"/>
      <c r="H173" s="338"/>
      <c r="I173" s="338"/>
      <c r="J173" s="338"/>
      <c r="K173" s="338"/>
      <c r="L173" s="338"/>
    </row>
    <row r="174" spans="2:157" x14ac:dyDescent="0.2">
      <c r="B174" s="338"/>
      <c r="C174" s="338"/>
      <c r="D174" s="338"/>
      <c r="E174" s="338"/>
      <c r="F174" s="338"/>
      <c r="G174" s="338"/>
      <c r="H174" s="338"/>
      <c r="I174" s="338"/>
      <c r="J174" s="338"/>
      <c r="K174" s="338"/>
      <c r="L174" s="338"/>
    </row>
    <row r="175" spans="2:157" x14ac:dyDescent="0.2">
      <c r="B175" s="312"/>
      <c r="C175" s="312"/>
      <c r="D175" s="312"/>
      <c r="E175" s="312"/>
      <c r="F175" s="312"/>
      <c r="G175" s="312"/>
      <c r="H175" s="312"/>
      <c r="I175" s="312"/>
      <c r="J175" s="312"/>
      <c r="K175" s="312"/>
      <c r="L175" s="312"/>
    </row>
    <row r="176" spans="2:157" x14ac:dyDescent="0.2">
      <c r="B176" s="272"/>
      <c r="C176" s="272"/>
      <c r="D176" s="272"/>
      <c r="E176" s="272"/>
      <c r="F176" s="272"/>
      <c r="G176" s="272"/>
      <c r="H176" s="272"/>
      <c r="I176" s="272"/>
      <c r="J176" s="272"/>
      <c r="K176" s="272"/>
      <c r="L176" s="272"/>
    </row>
    <row r="177" spans="2:25" x14ac:dyDescent="0.2">
      <c r="B177" s="272"/>
      <c r="C177" s="272"/>
      <c r="D177" s="272"/>
      <c r="E177" s="272"/>
      <c r="F177" s="272"/>
      <c r="G177" s="272"/>
      <c r="H177" s="272"/>
      <c r="I177" s="272"/>
      <c r="J177" s="272"/>
      <c r="K177" s="272"/>
      <c r="L177" s="272"/>
    </row>
    <row r="178" spans="2:25" x14ac:dyDescent="0.2">
      <c r="B178" s="312"/>
      <c r="C178" s="312"/>
      <c r="D178" s="312"/>
      <c r="E178" s="312"/>
      <c r="F178" s="312"/>
      <c r="G178" s="312"/>
      <c r="H178" s="312"/>
      <c r="I178" s="312"/>
      <c r="J178" s="312"/>
      <c r="K178" s="312"/>
      <c r="L178" s="312"/>
    </row>
    <row r="179" spans="2:25" x14ac:dyDescent="0.2">
      <c r="B179" s="312"/>
      <c r="C179" s="312"/>
      <c r="D179" s="312"/>
      <c r="E179" s="312"/>
      <c r="F179" s="312"/>
      <c r="G179" s="312"/>
      <c r="H179" s="312"/>
      <c r="I179" s="312"/>
      <c r="J179" s="312"/>
      <c r="K179" s="312"/>
      <c r="L179" s="312"/>
    </row>
    <row r="180" spans="2:25" x14ac:dyDescent="0.2">
      <c r="B180" s="338"/>
      <c r="C180" s="338"/>
      <c r="D180" s="338"/>
      <c r="E180" s="338"/>
      <c r="F180" s="338"/>
      <c r="G180" s="338"/>
      <c r="H180" s="338"/>
      <c r="I180" s="338"/>
      <c r="J180" s="338"/>
      <c r="K180" s="338"/>
      <c r="L180" s="338"/>
    </row>
    <row r="181" spans="2:25" x14ac:dyDescent="0.2">
      <c r="B181" s="338"/>
      <c r="C181" s="338"/>
      <c r="D181" s="338"/>
      <c r="E181" s="338"/>
      <c r="F181" s="338"/>
      <c r="G181" s="338"/>
      <c r="H181" s="338"/>
      <c r="I181" s="338"/>
      <c r="J181" s="338"/>
      <c r="K181" s="338"/>
      <c r="L181" s="338"/>
    </row>
    <row r="182" spans="2:25" x14ac:dyDescent="0.2">
      <c r="B182" s="338"/>
      <c r="C182" s="338"/>
      <c r="D182" s="338"/>
      <c r="E182" s="338"/>
      <c r="F182" s="338"/>
      <c r="G182" s="338"/>
      <c r="H182" s="338"/>
      <c r="I182" s="338"/>
      <c r="J182" s="338"/>
      <c r="K182" s="338"/>
      <c r="L182" s="338"/>
    </row>
    <row r="183" spans="2:25" ht="25.5" customHeight="1" x14ac:dyDescent="0.2">
      <c r="B183" s="312"/>
      <c r="C183" s="312"/>
      <c r="D183" s="312"/>
      <c r="E183" s="312"/>
      <c r="F183" s="312"/>
      <c r="G183" s="312"/>
      <c r="H183" s="312"/>
      <c r="I183" s="312"/>
      <c r="J183" s="312"/>
      <c r="K183" s="312"/>
      <c r="L183" s="312"/>
    </row>
    <row r="184" spans="2:25" x14ac:dyDescent="0.2">
      <c r="B184" s="272"/>
      <c r="C184" s="272"/>
      <c r="D184" s="272"/>
      <c r="E184" s="272"/>
      <c r="F184" s="272"/>
      <c r="G184" s="272"/>
      <c r="H184" s="272"/>
      <c r="I184" s="272"/>
      <c r="J184" s="272"/>
      <c r="K184" s="272"/>
      <c r="L184" s="272"/>
      <c r="W184" s="349" t="s">
        <v>21</v>
      </c>
      <c r="X184" s="313">
        <v>0.5</v>
      </c>
      <c r="Y184" s="13">
        <f>B184</f>
        <v>0</v>
      </c>
    </row>
    <row r="185" spans="2:25" x14ac:dyDescent="0.2">
      <c r="B185" s="272"/>
      <c r="C185" s="272"/>
      <c r="D185" s="272"/>
      <c r="E185" s="272"/>
      <c r="F185" s="272"/>
      <c r="G185" s="272"/>
      <c r="H185" s="272"/>
      <c r="I185" s="272"/>
      <c r="J185" s="272"/>
      <c r="K185" s="272"/>
      <c r="L185" s="272"/>
      <c r="W185" s="349" t="s">
        <v>21</v>
      </c>
      <c r="X185" s="313">
        <v>-0.6</v>
      </c>
      <c r="Y185" s="13">
        <f t="shared" ref="Y185:Y205" si="8">B185</f>
        <v>0</v>
      </c>
    </row>
    <row r="186" spans="2:25" x14ac:dyDescent="0.2">
      <c r="B186" s="312"/>
      <c r="C186" s="312"/>
      <c r="D186" s="312"/>
      <c r="E186" s="312"/>
      <c r="F186" s="312"/>
      <c r="G186" s="312"/>
      <c r="H186" s="312"/>
      <c r="I186" s="312"/>
      <c r="J186" s="312"/>
      <c r="K186" s="312"/>
      <c r="L186" s="312"/>
      <c r="W186" s="350" t="s">
        <v>21</v>
      </c>
      <c r="X186" s="313">
        <v>-1.5</v>
      </c>
      <c r="Y186" s="13">
        <f t="shared" si="8"/>
        <v>0</v>
      </c>
    </row>
    <row r="187" spans="2:25" x14ac:dyDescent="0.2">
      <c r="B187" s="312"/>
      <c r="C187" s="312"/>
      <c r="D187" s="312"/>
      <c r="E187" s="312"/>
      <c r="F187" s="312"/>
      <c r="G187" s="312"/>
      <c r="H187" s="312"/>
      <c r="I187" s="312"/>
      <c r="J187" s="312"/>
      <c r="K187" s="312"/>
      <c r="L187" s="312"/>
      <c r="W187" s="349" t="s">
        <v>22</v>
      </c>
      <c r="X187" s="313">
        <v>1.8</v>
      </c>
      <c r="Y187" s="13">
        <f t="shared" si="8"/>
        <v>0</v>
      </c>
    </row>
    <row r="188" spans="2:25" x14ac:dyDescent="0.2">
      <c r="B188" s="338"/>
      <c r="C188" s="338"/>
      <c r="D188" s="338"/>
      <c r="E188" s="338"/>
      <c r="F188" s="338"/>
      <c r="G188" s="338"/>
      <c r="H188" s="338"/>
      <c r="I188" s="338"/>
      <c r="J188" s="338"/>
      <c r="K188" s="338"/>
      <c r="L188" s="338"/>
      <c r="W188" s="349" t="s">
        <v>22</v>
      </c>
      <c r="X188" s="313">
        <v>-1.3</v>
      </c>
      <c r="Y188" s="13">
        <f t="shared" si="8"/>
        <v>0</v>
      </c>
    </row>
    <row r="189" spans="2:25" x14ac:dyDescent="0.2">
      <c r="B189" s="338"/>
      <c r="C189" s="338"/>
      <c r="D189" s="338"/>
      <c r="E189" s="338"/>
      <c r="F189" s="338"/>
      <c r="G189" s="338"/>
      <c r="H189" s="338"/>
      <c r="I189" s="338"/>
      <c r="J189" s="338"/>
      <c r="K189" s="338"/>
      <c r="L189" s="338"/>
      <c r="W189" s="349" t="s">
        <v>22</v>
      </c>
      <c r="X189" s="313">
        <v>-1.8</v>
      </c>
      <c r="Y189" s="13">
        <f t="shared" si="8"/>
        <v>0</v>
      </c>
    </row>
    <row r="190" spans="2:25" x14ac:dyDescent="0.2">
      <c r="B190" s="338"/>
      <c r="C190" s="338"/>
      <c r="D190" s="338"/>
      <c r="E190" s="338"/>
      <c r="F190" s="338"/>
      <c r="G190" s="338"/>
      <c r="H190" s="338"/>
      <c r="I190" s="338"/>
      <c r="J190" s="338"/>
      <c r="K190" s="338"/>
      <c r="L190" s="338"/>
      <c r="W190" s="350" t="s">
        <v>23</v>
      </c>
      <c r="X190" s="313">
        <v>1.1000000000000001</v>
      </c>
      <c r="Y190" s="13">
        <f t="shared" si="8"/>
        <v>0</v>
      </c>
    </row>
    <row r="191" spans="2:25" x14ac:dyDescent="0.2">
      <c r="B191" s="312"/>
      <c r="C191" s="312"/>
      <c r="D191" s="312"/>
      <c r="E191" s="312"/>
      <c r="F191" s="312"/>
      <c r="G191" s="312"/>
      <c r="H191" s="312"/>
      <c r="I191" s="312"/>
      <c r="J191" s="312"/>
      <c r="K191" s="312"/>
      <c r="L191" s="312"/>
      <c r="W191" s="350" t="s">
        <v>23</v>
      </c>
      <c r="X191" s="313">
        <v>-1.4</v>
      </c>
      <c r="Y191" s="13">
        <f t="shared" si="8"/>
        <v>0</v>
      </c>
    </row>
    <row r="192" spans="2:25" x14ac:dyDescent="0.2">
      <c r="B192" s="272"/>
      <c r="C192" s="272"/>
      <c r="D192" s="272"/>
      <c r="E192" s="272"/>
      <c r="F192" s="272"/>
      <c r="G192" s="272"/>
      <c r="H192" s="272"/>
      <c r="I192" s="272"/>
      <c r="J192" s="272"/>
      <c r="K192" s="272"/>
      <c r="L192" s="272"/>
      <c r="W192" s="350" t="s">
        <v>23</v>
      </c>
      <c r="X192" s="313">
        <v>-2.2000000000000002</v>
      </c>
      <c r="Y192" s="13">
        <f t="shared" si="8"/>
        <v>0</v>
      </c>
    </row>
    <row r="193" spans="2:25" x14ac:dyDescent="0.2">
      <c r="B193" s="272"/>
      <c r="C193" s="272"/>
      <c r="D193" s="272"/>
      <c r="E193" s="272"/>
      <c r="F193" s="272"/>
      <c r="G193" s="272"/>
      <c r="H193" s="272"/>
      <c r="I193" s="272"/>
      <c r="J193" s="272"/>
      <c r="K193" s="272"/>
      <c r="L193" s="272"/>
      <c r="W193" s="350"/>
      <c r="X193" s="313"/>
    </row>
    <row r="194" spans="2:25" x14ac:dyDescent="0.2">
      <c r="B194" s="312"/>
      <c r="C194" s="312"/>
      <c r="D194" s="312"/>
      <c r="E194" s="312"/>
      <c r="F194" s="312"/>
      <c r="G194" s="312"/>
      <c r="H194" s="312"/>
      <c r="I194" s="312"/>
      <c r="J194" s="312"/>
      <c r="K194" s="312"/>
      <c r="L194" s="312"/>
      <c r="W194" s="350"/>
      <c r="X194" s="313"/>
    </row>
    <row r="195" spans="2:25" x14ac:dyDescent="0.2">
      <c r="B195" s="312"/>
      <c r="C195" s="312"/>
      <c r="D195" s="312"/>
      <c r="E195" s="312"/>
      <c r="F195" s="312"/>
      <c r="G195" s="312"/>
      <c r="H195" s="312"/>
      <c r="I195" s="312"/>
      <c r="J195" s="312"/>
      <c r="K195" s="312"/>
      <c r="L195" s="312"/>
      <c r="W195" s="350"/>
      <c r="X195" s="313"/>
    </row>
    <row r="196" spans="2:25" x14ac:dyDescent="0.2">
      <c r="B196" s="338"/>
      <c r="C196" s="338"/>
      <c r="D196" s="338"/>
      <c r="E196" s="338"/>
      <c r="F196" s="338"/>
      <c r="G196" s="338"/>
      <c r="H196" s="338"/>
      <c r="I196" s="338"/>
      <c r="J196" s="338"/>
      <c r="K196" s="338"/>
      <c r="L196" s="338"/>
      <c r="W196" s="350"/>
      <c r="X196" s="313"/>
    </row>
    <row r="197" spans="2:25" x14ac:dyDescent="0.2">
      <c r="B197" s="338"/>
      <c r="C197" s="338"/>
      <c r="D197" s="338"/>
      <c r="E197" s="338"/>
      <c r="F197" s="338"/>
      <c r="G197" s="338"/>
      <c r="H197" s="338"/>
      <c r="I197" s="338"/>
      <c r="J197" s="338"/>
      <c r="K197" s="338"/>
      <c r="L197" s="338"/>
      <c r="W197" s="349" t="s">
        <v>21</v>
      </c>
      <c r="X197" s="313">
        <v>0.8</v>
      </c>
      <c r="Y197" s="13">
        <f t="shared" si="8"/>
        <v>0</v>
      </c>
    </row>
    <row r="198" spans="2:25" x14ac:dyDescent="0.2">
      <c r="B198" s="338"/>
      <c r="C198" s="338"/>
      <c r="D198" s="338"/>
      <c r="E198" s="338"/>
      <c r="F198" s="338"/>
      <c r="G198" s="338"/>
      <c r="H198" s="338"/>
      <c r="I198" s="338"/>
      <c r="J198" s="338"/>
      <c r="K198" s="338"/>
      <c r="L198" s="338"/>
      <c r="W198" s="349" t="s">
        <v>21</v>
      </c>
      <c r="X198" s="313">
        <v>-1.1000000000000001</v>
      </c>
      <c r="Y198" s="13">
        <f t="shared" si="8"/>
        <v>0</v>
      </c>
    </row>
    <row r="199" spans="2:25" x14ac:dyDescent="0.2">
      <c r="B199" s="312"/>
      <c r="C199" s="312"/>
      <c r="D199" s="312"/>
      <c r="E199" s="312"/>
      <c r="F199" s="312"/>
      <c r="G199" s="312"/>
      <c r="H199" s="312"/>
      <c r="I199" s="312"/>
      <c r="J199" s="312"/>
      <c r="K199" s="312"/>
      <c r="L199" s="312"/>
      <c r="W199" s="350" t="s">
        <v>21</v>
      </c>
      <c r="X199" s="313">
        <v>-1.6</v>
      </c>
      <c r="Y199" s="13">
        <f t="shared" si="8"/>
        <v>0</v>
      </c>
    </row>
    <row r="200" spans="2:25" x14ac:dyDescent="0.2">
      <c r="B200" s="272"/>
      <c r="C200" s="272"/>
      <c r="D200" s="272"/>
      <c r="E200" s="272"/>
      <c r="F200" s="272"/>
      <c r="G200" s="272"/>
      <c r="H200" s="272"/>
      <c r="I200" s="272"/>
      <c r="J200" s="272"/>
      <c r="K200" s="272"/>
      <c r="L200" s="272"/>
      <c r="W200" s="349" t="s">
        <v>22</v>
      </c>
      <c r="X200" s="313">
        <v>2.1</v>
      </c>
      <c r="Y200" s="13">
        <f t="shared" si="8"/>
        <v>0</v>
      </c>
    </row>
    <row r="201" spans="2:25" x14ac:dyDescent="0.2">
      <c r="B201" s="272"/>
      <c r="C201" s="272"/>
      <c r="D201" s="272"/>
      <c r="E201" s="272"/>
      <c r="F201" s="272"/>
      <c r="G201" s="272"/>
      <c r="H201" s="272"/>
      <c r="I201" s="272"/>
      <c r="J201" s="272"/>
      <c r="K201" s="272"/>
      <c r="L201" s="272"/>
      <c r="W201" s="349" t="s">
        <v>22</v>
      </c>
      <c r="X201" s="313">
        <v>-1.7</v>
      </c>
      <c r="Y201" s="13">
        <f t="shared" si="8"/>
        <v>0</v>
      </c>
    </row>
    <row r="202" spans="2:25" x14ac:dyDescent="0.2">
      <c r="B202" s="312"/>
      <c r="C202" s="312"/>
      <c r="D202" s="312"/>
      <c r="E202" s="312"/>
      <c r="F202" s="312"/>
      <c r="G202" s="312"/>
      <c r="H202" s="312"/>
      <c r="I202" s="312"/>
      <c r="J202" s="312"/>
      <c r="K202" s="312"/>
      <c r="L202" s="312"/>
      <c r="W202" s="349" t="s">
        <v>22</v>
      </c>
      <c r="X202" s="313">
        <v>-2.2000000000000002</v>
      </c>
      <c r="Y202" s="13">
        <f t="shared" si="8"/>
        <v>0</v>
      </c>
    </row>
    <row r="203" spans="2:25" x14ac:dyDescent="0.2">
      <c r="B203" s="312"/>
      <c r="C203" s="312"/>
      <c r="D203" s="312"/>
      <c r="E203" s="312"/>
      <c r="F203" s="312"/>
      <c r="G203" s="312"/>
      <c r="H203" s="312"/>
      <c r="I203" s="312"/>
      <c r="J203" s="312"/>
      <c r="K203" s="312"/>
      <c r="L203" s="312"/>
      <c r="W203" s="350" t="s">
        <v>23</v>
      </c>
      <c r="X203" s="313">
        <v>1.3</v>
      </c>
      <c r="Y203" s="13">
        <f t="shared" si="8"/>
        <v>0</v>
      </c>
    </row>
    <row r="204" spans="2:25" x14ac:dyDescent="0.2">
      <c r="B204" s="338"/>
      <c r="C204" s="338"/>
      <c r="D204" s="338"/>
      <c r="E204" s="338"/>
      <c r="F204" s="338"/>
      <c r="G204" s="338"/>
      <c r="H204" s="338"/>
      <c r="I204" s="338"/>
      <c r="J204" s="338"/>
      <c r="K204" s="338"/>
      <c r="L204" s="338"/>
      <c r="W204" s="350" t="s">
        <v>23</v>
      </c>
      <c r="X204" s="313">
        <v>-1.8</v>
      </c>
      <c r="Y204" s="13">
        <f t="shared" si="8"/>
        <v>0</v>
      </c>
    </row>
    <row r="205" spans="2:25" x14ac:dyDescent="0.2">
      <c r="B205" s="338"/>
      <c r="C205" s="338"/>
      <c r="D205" s="338"/>
      <c r="E205" s="338"/>
      <c r="F205" s="338"/>
      <c r="G205" s="338"/>
      <c r="H205" s="338"/>
      <c r="I205" s="338"/>
      <c r="J205" s="338"/>
      <c r="K205" s="338"/>
      <c r="L205" s="338"/>
      <c r="W205" s="350" t="s">
        <v>23</v>
      </c>
      <c r="X205" s="313">
        <v>-2.5</v>
      </c>
      <c r="Y205" s="13">
        <f t="shared" si="8"/>
        <v>0</v>
      </c>
    </row>
    <row r="206" spans="2:25" x14ac:dyDescent="0.2">
      <c r="B206" s="338"/>
      <c r="C206" s="338"/>
      <c r="D206" s="338"/>
      <c r="E206" s="338"/>
      <c r="F206" s="338"/>
      <c r="G206" s="338"/>
      <c r="H206" s="338"/>
      <c r="I206" s="338"/>
      <c r="J206" s="338"/>
      <c r="K206" s="338"/>
      <c r="L206" s="338"/>
      <c r="W206" s="350"/>
      <c r="X206" s="313"/>
    </row>
    <row r="207" spans="2:25" x14ac:dyDescent="0.2">
      <c r="B207" s="312"/>
      <c r="C207" s="312"/>
      <c r="D207" s="312"/>
      <c r="E207" s="312"/>
      <c r="F207" s="312"/>
      <c r="G207" s="312"/>
      <c r="H207" s="312"/>
      <c r="I207" s="312"/>
      <c r="J207" s="312"/>
      <c r="K207" s="312"/>
      <c r="L207" s="312"/>
      <c r="W207" s="350"/>
      <c r="X207" s="313"/>
    </row>
    <row r="208" spans="2:25" x14ac:dyDescent="0.2">
      <c r="B208" s="272"/>
      <c r="C208" s="272"/>
      <c r="D208" s="272"/>
      <c r="E208" s="272"/>
      <c r="F208" s="272"/>
      <c r="G208" s="272"/>
      <c r="H208" s="272"/>
      <c r="I208" s="272"/>
      <c r="J208" s="272"/>
      <c r="K208" s="272"/>
      <c r="L208" s="272"/>
      <c r="W208" s="350"/>
      <c r="X208" s="313"/>
    </row>
    <row r="209" spans="2:25" x14ac:dyDescent="0.2">
      <c r="B209" s="272"/>
      <c r="C209" s="272"/>
      <c r="D209" s="272"/>
      <c r="E209" s="272"/>
      <c r="F209" s="272"/>
      <c r="G209" s="272"/>
      <c r="H209" s="272"/>
      <c r="I209" s="272"/>
      <c r="J209" s="272"/>
      <c r="K209" s="272"/>
      <c r="L209" s="272"/>
      <c r="W209" s="350"/>
      <c r="X209" s="313"/>
    </row>
    <row r="210" spans="2:25" x14ac:dyDescent="0.2">
      <c r="B210" s="312"/>
      <c r="C210" s="312"/>
      <c r="D210" s="312"/>
      <c r="E210" s="312"/>
      <c r="F210" s="312"/>
      <c r="G210" s="312"/>
      <c r="H210" s="312"/>
      <c r="I210" s="312"/>
      <c r="J210" s="312"/>
      <c r="K210" s="312"/>
      <c r="L210" s="312"/>
      <c r="W210" s="349" t="s">
        <v>21</v>
      </c>
      <c r="X210" s="313">
        <v>0.8</v>
      </c>
      <c r="Y210" s="13">
        <f t="shared" ref="Y210:Y218" si="9">B210</f>
        <v>0</v>
      </c>
    </row>
    <row r="211" spans="2:25" x14ac:dyDescent="0.2">
      <c r="B211" s="312"/>
      <c r="C211" s="312"/>
      <c r="D211" s="312"/>
      <c r="E211" s="312"/>
      <c r="F211" s="312"/>
      <c r="G211" s="312"/>
      <c r="H211" s="312"/>
      <c r="I211" s="312"/>
      <c r="J211" s="312"/>
      <c r="K211" s="312"/>
      <c r="L211" s="312"/>
      <c r="W211" s="349" t="s">
        <v>21</v>
      </c>
      <c r="X211" s="313">
        <v>-1.1000000000000001</v>
      </c>
      <c r="Y211" s="13">
        <f t="shared" si="9"/>
        <v>0</v>
      </c>
    </row>
    <row r="212" spans="2:25" x14ac:dyDescent="0.2">
      <c r="B212" s="338"/>
      <c r="C212" s="338"/>
      <c r="D212" s="338"/>
      <c r="E212" s="338"/>
      <c r="F212" s="338"/>
      <c r="G212" s="338"/>
      <c r="H212" s="338"/>
      <c r="I212" s="338"/>
      <c r="J212" s="338"/>
      <c r="K212" s="338"/>
      <c r="L212" s="338"/>
      <c r="W212" s="350" t="s">
        <v>21</v>
      </c>
      <c r="X212" s="313">
        <v>-1.6</v>
      </c>
      <c r="Y212" s="13">
        <f t="shared" si="9"/>
        <v>0</v>
      </c>
    </row>
    <row r="213" spans="2:25" x14ac:dyDescent="0.2">
      <c r="B213" s="338"/>
      <c r="C213" s="338"/>
      <c r="D213" s="338"/>
      <c r="E213" s="338"/>
      <c r="F213" s="338"/>
      <c r="G213" s="338"/>
      <c r="H213" s="338"/>
      <c r="I213" s="338"/>
      <c r="J213" s="338"/>
      <c r="K213" s="338"/>
      <c r="L213" s="338"/>
      <c r="W213" s="349" t="s">
        <v>22</v>
      </c>
      <c r="X213" s="313">
        <v>2.1</v>
      </c>
      <c r="Y213" s="13">
        <f t="shared" si="9"/>
        <v>0</v>
      </c>
    </row>
    <row r="214" spans="2:25" x14ac:dyDescent="0.2">
      <c r="B214" s="338"/>
      <c r="C214" s="338"/>
      <c r="D214" s="338"/>
      <c r="E214" s="338"/>
      <c r="F214" s="338"/>
      <c r="G214" s="338"/>
      <c r="H214" s="338"/>
      <c r="I214" s="338"/>
      <c r="J214" s="338"/>
      <c r="K214" s="338"/>
      <c r="L214" s="338"/>
      <c r="W214" s="349" t="s">
        <v>22</v>
      </c>
      <c r="X214" s="313">
        <v>-1.7</v>
      </c>
      <c r="Y214" s="13">
        <f t="shared" si="9"/>
        <v>0</v>
      </c>
    </row>
    <row r="215" spans="2:25" x14ac:dyDescent="0.2">
      <c r="B215" s="312"/>
      <c r="C215" s="312"/>
      <c r="D215" s="312"/>
      <c r="E215" s="312"/>
      <c r="F215" s="312"/>
      <c r="G215" s="312"/>
      <c r="H215" s="312"/>
      <c r="I215" s="312"/>
      <c r="J215" s="312"/>
      <c r="K215" s="312"/>
      <c r="L215" s="312"/>
      <c r="W215" s="349" t="s">
        <v>22</v>
      </c>
      <c r="X215" s="313">
        <v>-2.2000000000000002</v>
      </c>
      <c r="Y215" s="13">
        <f t="shared" si="9"/>
        <v>0</v>
      </c>
    </row>
    <row r="216" spans="2:25" x14ac:dyDescent="0.2">
      <c r="B216" s="272"/>
      <c r="C216" s="272"/>
      <c r="D216" s="272"/>
      <c r="E216" s="272"/>
      <c r="F216" s="272"/>
      <c r="G216" s="272"/>
      <c r="H216" s="272"/>
      <c r="I216" s="272"/>
      <c r="J216" s="272"/>
      <c r="K216" s="272"/>
      <c r="L216" s="272"/>
      <c r="W216" s="350" t="s">
        <v>23</v>
      </c>
      <c r="X216" s="313">
        <v>1.3</v>
      </c>
      <c r="Y216" s="13">
        <f t="shared" si="9"/>
        <v>0</v>
      </c>
    </row>
    <row r="217" spans="2:25" x14ac:dyDescent="0.2">
      <c r="B217" s="272"/>
      <c r="C217" s="272"/>
      <c r="D217" s="272"/>
      <c r="E217" s="272"/>
      <c r="F217" s="272"/>
      <c r="G217" s="272"/>
      <c r="H217" s="272"/>
      <c r="I217" s="272"/>
      <c r="J217" s="272"/>
      <c r="K217" s="272"/>
      <c r="L217" s="272"/>
      <c r="W217" s="350" t="s">
        <v>23</v>
      </c>
      <c r="X217" s="313">
        <v>-1.8</v>
      </c>
      <c r="Y217" s="13">
        <f t="shared" si="9"/>
        <v>0</v>
      </c>
    </row>
    <row r="218" spans="2:25" x14ac:dyDescent="0.2">
      <c r="B218" s="312"/>
      <c r="C218" s="312"/>
      <c r="D218" s="312"/>
      <c r="E218" s="312"/>
      <c r="F218" s="312"/>
      <c r="G218" s="312"/>
      <c r="H218" s="312"/>
      <c r="I218" s="312"/>
      <c r="J218" s="312"/>
      <c r="K218" s="312"/>
      <c r="L218" s="312"/>
      <c r="W218" s="350" t="s">
        <v>23</v>
      </c>
      <c r="X218" s="313">
        <v>-2.5</v>
      </c>
      <c r="Y218" s="13">
        <f t="shared" si="9"/>
        <v>0</v>
      </c>
    </row>
    <row r="219" spans="2:25" x14ac:dyDescent="0.2">
      <c r="B219" s="312"/>
      <c r="C219" s="312"/>
      <c r="D219" s="312"/>
      <c r="E219" s="312"/>
      <c r="F219" s="312"/>
      <c r="G219" s="312"/>
      <c r="H219" s="312"/>
      <c r="I219" s="312"/>
      <c r="J219" s="312"/>
      <c r="K219" s="312"/>
      <c r="L219" s="312"/>
    </row>
    <row r="220" spans="2:25" x14ac:dyDescent="0.2">
      <c r="B220" s="338"/>
      <c r="C220" s="338"/>
      <c r="D220" s="338"/>
      <c r="E220" s="338"/>
      <c r="F220" s="338"/>
      <c r="G220" s="338"/>
      <c r="H220" s="338"/>
      <c r="I220" s="338"/>
      <c r="J220" s="338"/>
      <c r="K220" s="338"/>
      <c r="L220" s="338"/>
    </row>
    <row r="221" spans="2:25" x14ac:dyDescent="0.2">
      <c r="B221" s="338"/>
      <c r="C221" s="338"/>
      <c r="D221" s="338"/>
      <c r="E221" s="338"/>
      <c r="F221" s="338"/>
      <c r="G221" s="338"/>
      <c r="H221" s="338"/>
      <c r="I221" s="338"/>
      <c r="J221" s="338"/>
      <c r="K221" s="338"/>
      <c r="L221" s="338"/>
    </row>
    <row r="222" spans="2:25" x14ac:dyDescent="0.2">
      <c r="B222" s="338"/>
      <c r="C222" s="338"/>
      <c r="D222" s="338"/>
      <c r="E222" s="338"/>
      <c r="F222" s="338"/>
      <c r="G222" s="338"/>
      <c r="H222" s="338"/>
      <c r="I222" s="338"/>
      <c r="J222" s="338"/>
      <c r="K222" s="338"/>
      <c r="L222" s="338"/>
    </row>
    <row r="223" spans="2:25" x14ac:dyDescent="0.2">
      <c r="B223" s="312"/>
      <c r="C223" s="312"/>
      <c r="D223" s="312"/>
      <c r="E223" s="312"/>
      <c r="F223" s="312"/>
      <c r="G223" s="312"/>
      <c r="H223" s="312"/>
      <c r="I223" s="312"/>
      <c r="J223" s="312"/>
      <c r="K223" s="312"/>
      <c r="L223" s="312"/>
    </row>
    <row r="224" spans="2:25" x14ac:dyDescent="0.2">
      <c r="B224" s="272"/>
      <c r="C224" s="272"/>
      <c r="D224" s="272"/>
      <c r="E224" s="272"/>
      <c r="F224" s="272"/>
      <c r="G224" s="272"/>
      <c r="H224" s="272"/>
      <c r="I224" s="272"/>
      <c r="J224" s="272"/>
      <c r="K224" s="272"/>
      <c r="L224" s="272"/>
    </row>
    <row r="225" spans="2:12" x14ac:dyDescent="0.2">
      <c r="B225" s="272"/>
      <c r="C225" s="272"/>
      <c r="D225" s="272"/>
      <c r="E225" s="272"/>
      <c r="F225" s="272"/>
      <c r="G225" s="272"/>
      <c r="H225" s="272"/>
      <c r="I225" s="272"/>
      <c r="J225" s="272"/>
      <c r="K225" s="272"/>
      <c r="L225" s="272"/>
    </row>
    <row r="226" spans="2:12" x14ac:dyDescent="0.2">
      <c r="B226" s="312"/>
      <c r="C226" s="312"/>
      <c r="D226" s="312"/>
      <c r="E226" s="312"/>
      <c r="F226" s="312"/>
      <c r="G226" s="312"/>
      <c r="H226" s="312"/>
      <c r="I226" s="312"/>
      <c r="J226" s="312"/>
      <c r="K226" s="312"/>
      <c r="L226" s="312"/>
    </row>
    <row r="227" spans="2:12" x14ac:dyDescent="0.2">
      <c r="B227" s="312"/>
      <c r="C227" s="312"/>
      <c r="D227" s="312"/>
      <c r="E227" s="312"/>
      <c r="F227" s="312"/>
      <c r="G227" s="312"/>
      <c r="H227" s="312"/>
      <c r="I227" s="312"/>
      <c r="J227" s="312"/>
      <c r="K227" s="312"/>
      <c r="L227" s="312"/>
    </row>
    <row r="228" spans="2:12" x14ac:dyDescent="0.2">
      <c r="B228" s="338"/>
      <c r="C228" s="338"/>
      <c r="D228" s="338"/>
      <c r="E228" s="338"/>
      <c r="F228" s="338"/>
      <c r="G228" s="338"/>
      <c r="H228" s="338"/>
      <c r="I228" s="338"/>
      <c r="J228" s="338"/>
      <c r="K228" s="338"/>
      <c r="L228" s="338"/>
    </row>
    <row r="229" spans="2:12" x14ac:dyDescent="0.2">
      <c r="B229" s="312"/>
      <c r="C229" s="312"/>
      <c r="D229" s="312"/>
      <c r="E229" s="312"/>
      <c r="F229" s="312"/>
      <c r="G229" s="312"/>
      <c r="H229" s="312"/>
      <c r="I229" s="312"/>
      <c r="J229" s="312"/>
      <c r="K229" s="312"/>
      <c r="L229" s="312"/>
    </row>
    <row r="230" spans="2:12" x14ac:dyDescent="0.2">
      <c r="B230" s="312"/>
      <c r="C230" s="312"/>
      <c r="D230" s="312"/>
      <c r="E230" s="312"/>
      <c r="F230" s="312"/>
      <c r="G230" s="312"/>
      <c r="H230" s="312"/>
      <c r="I230" s="312"/>
      <c r="J230" s="312"/>
      <c r="K230" s="312"/>
      <c r="L230" s="312"/>
    </row>
    <row r="231" spans="2:12" x14ac:dyDescent="0.2">
      <c r="B231" s="312"/>
      <c r="C231" s="312"/>
      <c r="D231" s="312"/>
      <c r="E231" s="312"/>
      <c r="F231" s="312"/>
      <c r="G231" s="312"/>
      <c r="H231" s="312"/>
      <c r="I231" s="312"/>
      <c r="J231" s="312"/>
      <c r="K231" s="312"/>
      <c r="L231" s="312"/>
    </row>
    <row r="232" spans="2:12" x14ac:dyDescent="0.2">
      <c r="B232" s="338"/>
      <c r="C232" s="338"/>
      <c r="D232" s="338"/>
      <c r="E232" s="338"/>
      <c r="F232" s="338"/>
      <c r="G232" s="338"/>
      <c r="H232" s="338"/>
      <c r="I232" s="338"/>
      <c r="J232" s="338"/>
      <c r="K232" s="338"/>
      <c r="L232" s="338"/>
    </row>
    <row r="233" spans="2:12" x14ac:dyDescent="0.2">
      <c r="B233" s="338"/>
      <c r="C233" s="338"/>
      <c r="D233" s="338"/>
      <c r="E233" s="338"/>
      <c r="F233" s="338"/>
      <c r="G233" s="338"/>
      <c r="H233" s="338"/>
      <c r="I233" s="338"/>
      <c r="J233" s="338"/>
      <c r="K233" s="338"/>
      <c r="L233" s="338"/>
    </row>
    <row r="234" spans="2:12" x14ac:dyDescent="0.2">
      <c r="B234" s="338"/>
      <c r="C234" s="338"/>
      <c r="D234" s="338"/>
      <c r="E234" s="338"/>
      <c r="F234" s="338"/>
      <c r="G234" s="338"/>
      <c r="H234" s="338"/>
      <c r="I234" s="338"/>
      <c r="J234" s="338"/>
      <c r="K234" s="338"/>
      <c r="L234" s="338"/>
    </row>
    <row r="235" spans="2:12" x14ac:dyDescent="0.2">
      <c r="B235" s="312"/>
      <c r="C235" s="312"/>
      <c r="D235" s="312"/>
      <c r="E235" s="312"/>
      <c r="F235" s="312"/>
      <c r="G235" s="312"/>
      <c r="H235" s="312"/>
      <c r="I235" s="312"/>
      <c r="J235" s="312"/>
      <c r="K235" s="312"/>
      <c r="L235" s="312"/>
    </row>
    <row r="236" spans="2:12" x14ac:dyDescent="0.2">
      <c r="B236" s="272"/>
      <c r="C236" s="272"/>
      <c r="D236" s="272"/>
      <c r="E236" s="272"/>
      <c r="F236" s="272"/>
      <c r="G236" s="272"/>
      <c r="H236" s="272"/>
      <c r="I236" s="272"/>
      <c r="J236" s="272"/>
      <c r="K236" s="272"/>
      <c r="L236" s="272"/>
    </row>
    <row r="237" spans="2:12" x14ac:dyDescent="0.2">
      <c r="B237" s="272"/>
      <c r="C237" s="272"/>
      <c r="D237" s="272"/>
      <c r="E237" s="272"/>
      <c r="F237" s="272"/>
      <c r="G237" s="272"/>
      <c r="H237" s="272"/>
      <c r="I237" s="272"/>
      <c r="J237" s="272"/>
      <c r="K237" s="272"/>
      <c r="L237" s="272"/>
    </row>
    <row r="238" spans="2:12" x14ac:dyDescent="0.2">
      <c r="B238" s="272"/>
      <c r="C238" s="272"/>
      <c r="D238" s="272"/>
      <c r="E238" s="272"/>
      <c r="F238" s="272"/>
      <c r="G238" s="272"/>
      <c r="H238" s="272"/>
      <c r="I238" s="272"/>
      <c r="J238" s="272"/>
      <c r="K238" s="272"/>
      <c r="L238" s="272"/>
    </row>
    <row r="239" spans="2:12" x14ac:dyDescent="0.2">
      <c r="B239" s="312"/>
      <c r="C239" s="312"/>
      <c r="D239" s="312"/>
      <c r="E239" s="312"/>
      <c r="F239" s="312"/>
      <c r="G239" s="312"/>
      <c r="H239" s="312"/>
      <c r="I239" s="312"/>
      <c r="J239" s="312"/>
      <c r="K239" s="312"/>
      <c r="L239" s="312"/>
    </row>
    <row r="240" spans="2:12" x14ac:dyDescent="0.2">
      <c r="B240" s="319"/>
      <c r="C240" s="312"/>
      <c r="D240" s="312"/>
      <c r="E240" s="312"/>
      <c r="F240" s="312"/>
      <c r="G240" s="312"/>
      <c r="H240" s="312"/>
      <c r="I240" s="312"/>
      <c r="J240" s="312"/>
      <c r="K240" s="312"/>
      <c r="L240" s="312"/>
    </row>
    <row r="242" spans="2:12" x14ac:dyDescent="0.2">
      <c r="B242" s="376"/>
      <c r="C242" s="376"/>
      <c r="D242" s="376"/>
      <c r="E242" s="376"/>
      <c r="F242" s="376"/>
      <c r="G242" s="376"/>
      <c r="H242" s="376"/>
      <c r="I242" s="376"/>
      <c r="J242" s="376"/>
      <c r="K242" s="376"/>
      <c r="L242" s="376"/>
    </row>
    <row r="243" spans="2:12" x14ac:dyDescent="0.2">
      <c r="B243" s="376"/>
      <c r="C243" s="376"/>
      <c r="D243" s="376"/>
      <c r="E243" s="376"/>
      <c r="F243" s="376"/>
      <c r="G243" s="376"/>
      <c r="H243" s="376"/>
      <c r="I243" s="376"/>
      <c r="J243" s="376"/>
      <c r="K243" s="376"/>
      <c r="L243" s="376"/>
    </row>
    <row r="244" spans="2:12" x14ac:dyDescent="0.2">
      <c r="B244" s="312"/>
      <c r="C244" s="312"/>
      <c r="D244" s="312"/>
      <c r="E244" s="312"/>
      <c r="F244" s="312"/>
      <c r="G244" s="312"/>
      <c r="H244" s="312"/>
      <c r="I244" s="312"/>
      <c r="J244" s="312"/>
      <c r="K244" s="312"/>
      <c r="L244" s="312"/>
    </row>
    <row r="245" spans="2:12" x14ac:dyDescent="0.2">
      <c r="B245" s="312"/>
      <c r="C245" s="312"/>
      <c r="D245" s="312"/>
      <c r="E245" s="312"/>
      <c r="F245" s="312"/>
      <c r="G245" s="312"/>
      <c r="H245" s="312"/>
      <c r="I245" s="312"/>
      <c r="J245" s="312"/>
      <c r="K245" s="312"/>
      <c r="L245" s="312"/>
    </row>
    <row r="246" spans="2:12" x14ac:dyDescent="0.2">
      <c r="B246" s="312"/>
      <c r="C246" s="312"/>
      <c r="D246" s="312"/>
      <c r="E246" s="312"/>
      <c r="F246" s="312"/>
      <c r="G246" s="312"/>
      <c r="H246" s="312"/>
      <c r="I246" s="312"/>
      <c r="J246" s="312"/>
      <c r="K246" s="312"/>
      <c r="L246" s="312"/>
    </row>
    <row r="247" spans="2:12" x14ac:dyDescent="0.2">
      <c r="B247" s="377"/>
      <c r="C247" s="377"/>
      <c r="D247" s="377"/>
      <c r="E247" s="377"/>
      <c r="F247" s="377"/>
      <c r="G247" s="377"/>
      <c r="H247" s="377"/>
      <c r="I247" s="377"/>
      <c r="J247" s="377"/>
      <c r="K247" s="377"/>
      <c r="L247" s="377"/>
    </row>
    <row r="248" spans="2:12" x14ac:dyDescent="0.2">
      <c r="B248" s="377"/>
      <c r="C248" s="377"/>
      <c r="D248" s="377"/>
      <c r="E248" s="377"/>
      <c r="F248" s="377"/>
      <c r="G248" s="377"/>
      <c r="H248" s="377"/>
      <c r="I248" s="377"/>
      <c r="J248" s="377"/>
      <c r="K248" s="377"/>
      <c r="L248" s="377"/>
    </row>
    <row r="249" spans="2:12" x14ac:dyDescent="0.2">
      <c r="B249" s="377"/>
      <c r="C249" s="377"/>
      <c r="D249" s="377"/>
      <c r="E249" s="377"/>
      <c r="F249" s="377"/>
      <c r="G249" s="377"/>
      <c r="H249" s="377"/>
      <c r="I249" s="377"/>
      <c r="J249" s="377"/>
      <c r="K249" s="377"/>
      <c r="L249" s="377"/>
    </row>
    <row r="250" spans="2:12" x14ac:dyDescent="0.2">
      <c r="B250" s="312"/>
      <c r="C250" s="312"/>
      <c r="D250" s="312"/>
      <c r="E250" s="312"/>
      <c r="F250" s="312"/>
      <c r="G250" s="312"/>
      <c r="H250" s="312"/>
      <c r="I250" s="312"/>
      <c r="J250" s="312"/>
      <c r="K250" s="312"/>
      <c r="L250" s="312"/>
    </row>
    <row r="251" spans="2:12" x14ac:dyDescent="0.2">
      <c r="B251" s="375"/>
      <c r="C251" s="375"/>
      <c r="D251" s="375"/>
      <c r="E251" s="375"/>
      <c r="F251" s="375"/>
      <c r="G251" s="375"/>
      <c r="H251" s="375"/>
      <c r="I251" s="375"/>
      <c r="J251" s="375"/>
      <c r="K251" s="375"/>
      <c r="L251" s="375"/>
    </row>
    <row r="252" spans="2:12" x14ac:dyDescent="0.2">
      <c r="B252" s="375"/>
      <c r="C252" s="375"/>
      <c r="D252" s="375"/>
      <c r="E252" s="375"/>
      <c r="F252" s="375"/>
      <c r="G252" s="375"/>
      <c r="H252" s="375"/>
      <c r="I252" s="375"/>
      <c r="J252" s="375"/>
      <c r="K252" s="375"/>
      <c r="L252" s="375"/>
    </row>
    <row r="253" spans="2:12" x14ac:dyDescent="0.2">
      <c r="B253" s="375"/>
      <c r="C253" s="375"/>
      <c r="D253" s="375"/>
      <c r="E253" s="375"/>
      <c r="F253" s="375"/>
      <c r="G253" s="375"/>
      <c r="H253" s="375"/>
      <c r="I253" s="375"/>
      <c r="J253" s="375"/>
      <c r="K253" s="375"/>
      <c r="L253" s="375"/>
    </row>
    <row r="254" spans="2:12" x14ac:dyDescent="0.2">
      <c r="B254" s="312"/>
      <c r="C254" s="312"/>
      <c r="D254" s="312"/>
      <c r="E254" s="312"/>
      <c r="F254" s="312"/>
      <c r="G254" s="312"/>
      <c r="H254" s="312"/>
      <c r="I254" s="312"/>
      <c r="J254" s="312"/>
      <c r="K254" s="312"/>
      <c r="L254" s="312"/>
    </row>
    <row r="255" spans="2:12" x14ac:dyDescent="0.2">
      <c r="B255" s="319"/>
      <c r="C255" s="312"/>
      <c r="D255" s="312"/>
      <c r="E255" s="312"/>
      <c r="F255" s="312"/>
      <c r="G255" s="312"/>
      <c r="H255" s="312"/>
      <c r="I255" s="312"/>
      <c r="J255" s="312"/>
      <c r="K255" s="312"/>
      <c r="L255" s="312"/>
    </row>
  </sheetData>
  <sheetProtection algorithmName="SHA-512" hashValue="go+myxnwB6yh+6uP/wUV1fwcgd0IywHwpR3q+2evDkn7V1KLRt6wcIQJh7jXPEKlky2PHkmNtAERZAIAG0hB1w==" saltValue="Etosf1usDIXbSIvekErZZQ==" spinCount="100000" sheet="1" objects="1" scenarios="1"/>
  <protectedRanges>
    <protectedRange sqref="K86:K94" name="Range5"/>
    <protectedRange sqref="E21:F25" name="Range3"/>
    <protectedRange sqref="T2 T6:T10 T13:T15 T17:T21 T26:T27 U6:U7 U10" name="Range1"/>
    <protectedRange sqref="P25:P27" name="Range2"/>
    <protectedRange sqref="H59:H63" name="Range4"/>
    <protectedRange sqref="D129:D130" name="Range6"/>
    <protectedRange sqref="D163:D164 D168:D169" name="Range7"/>
    <protectedRange sqref="D193:D195 D206:D208 D219:D221" name="Range8"/>
    <protectedRange sqref="C54 C80" name="Range9"/>
  </protectedRanges>
  <mergeCells count="32">
    <mergeCell ref="B131:L132"/>
    <mergeCell ref="B136:L138"/>
    <mergeCell ref="B140:L142"/>
    <mergeCell ref="P33:V33"/>
    <mergeCell ref="B14:E14"/>
    <mergeCell ref="D32:F32"/>
    <mergeCell ref="B15:E15"/>
    <mergeCell ref="B16:E16"/>
    <mergeCell ref="E90:E91"/>
    <mergeCell ref="C90:C91"/>
    <mergeCell ref="DJ81:DS82"/>
    <mergeCell ref="H40:M42"/>
    <mergeCell ref="AC81:AD81"/>
    <mergeCell ref="AA82:AB82"/>
    <mergeCell ref="O33:O51"/>
    <mergeCell ref="O52:O66"/>
    <mergeCell ref="B251:L253"/>
    <mergeCell ref="B242:L243"/>
    <mergeCell ref="B247:L249"/>
    <mergeCell ref="AC5:AD5"/>
    <mergeCell ref="B2:G2"/>
    <mergeCell ref="B9:E9"/>
    <mergeCell ref="B12:E12"/>
    <mergeCell ref="B13:E13"/>
    <mergeCell ref="AA6:AB6"/>
    <mergeCell ref="B11:E11"/>
    <mergeCell ref="B10:E10"/>
    <mergeCell ref="G82:H82"/>
    <mergeCell ref="B53:C53"/>
    <mergeCell ref="B17:E17"/>
    <mergeCell ref="B29:C29"/>
    <mergeCell ref="B18:E18"/>
  </mergeCells>
  <phoneticPr fontId="39" type="noConversion"/>
  <conditionalFormatting sqref="B34:B38 B59:B63 B85:B89">
    <cfRule type="expression" dxfId="39" priority="130">
      <formula>OR(AND($C34&lt;&gt;0,$C34=MAX($C$34:$C$38)),AND($C34&lt;&gt;0,$C34=MIN($C$34:$C$38)))</formula>
    </cfRule>
  </conditionalFormatting>
  <conditionalFormatting sqref="C20">
    <cfRule type="expression" dxfId="38" priority="12">
      <formula>$U$10&lt;&gt;$Y$17</formula>
    </cfRule>
  </conditionalFormatting>
  <conditionalFormatting sqref="C34:C38">
    <cfRule type="expression" dxfId="37" priority="136">
      <formula>OR($C34=MAX($C$34:$C$38),$C34=MIN($C$34:$C$38))</formula>
    </cfRule>
    <cfRule type="colorScale" priority="141">
      <colorScale>
        <cfvo type="min"/>
        <cfvo type="percentile" val="50"/>
        <cfvo type="max"/>
        <color rgb="FFFFC000"/>
        <color theme="7" tint="0.59999389629810485"/>
        <color rgb="FF92D050"/>
      </colorScale>
    </cfRule>
  </conditionalFormatting>
  <conditionalFormatting sqref="C41:C42">
    <cfRule type="expression" dxfId="36" priority="83">
      <formula>OR($C41=MAX($C$34:$C$38),$C41=MIN($C$34:$C$38))</formula>
    </cfRule>
    <cfRule type="colorScale" priority="84">
      <colorScale>
        <cfvo type="min"/>
        <cfvo type="percentile" val="50"/>
        <cfvo type="max"/>
        <color rgb="FFFFC000"/>
        <color theme="7" tint="0.59999389629810485"/>
        <color rgb="FF92D050"/>
      </colorScale>
    </cfRule>
  </conditionalFormatting>
  <conditionalFormatting sqref="C59:C63">
    <cfRule type="colorScale" priority="190">
      <colorScale>
        <cfvo type="min"/>
        <cfvo type="percentile" val="50"/>
        <cfvo type="max"/>
        <color rgb="FFFFC000"/>
        <color theme="7" tint="0.59999389629810485"/>
        <color rgb="FF92D050"/>
      </colorScale>
    </cfRule>
  </conditionalFormatting>
  <conditionalFormatting sqref="C66:C67">
    <cfRule type="colorScale" priority="69">
      <colorScale>
        <cfvo type="min"/>
        <cfvo type="percentile" val="50"/>
        <cfvo type="max"/>
        <color rgb="FFFFC000"/>
        <color theme="7" tint="0.59999389629810485"/>
        <color rgb="FF92D050"/>
      </colorScale>
    </cfRule>
  </conditionalFormatting>
  <conditionalFormatting sqref="C85:C89">
    <cfRule type="colorScale" priority="106">
      <colorScale>
        <cfvo type="min"/>
        <cfvo type="percentile" val="50"/>
        <cfvo type="max"/>
        <color rgb="FFFFC000"/>
        <color theme="7" tint="0.59999389629810485"/>
        <color rgb="FF92D050"/>
      </colorScale>
    </cfRule>
  </conditionalFormatting>
  <conditionalFormatting sqref="C59:D63">
    <cfRule type="expression" dxfId="35" priority="189">
      <formula>OR($C59=MAX($C$34:$C$38),$C59=MIN($C$34:$C$38))</formula>
    </cfRule>
  </conditionalFormatting>
  <conditionalFormatting sqref="C66:D67">
    <cfRule type="expression" dxfId="34" priority="66">
      <formula>OR($C66=MAX($C$34:$C$38),$C66=MIN($C$34:$C$38))</formula>
    </cfRule>
  </conditionalFormatting>
  <conditionalFormatting sqref="C85:E89">
    <cfRule type="expression" dxfId="33" priority="99">
      <formula>OR($C85=MAX($C$34:$C$38),$C85=MIN($C$34:$C$38))</formula>
    </cfRule>
  </conditionalFormatting>
  <conditionalFormatting sqref="D59:D63">
    <cfRule type="colorScale" priority="192">
      <colorScale>
        <cfvo type="min"/>
        <cfvo type="percentile" val="50"/>
        <cfvo type="max"/>
        <color rgb="FFFFC000"/>
        <color theme="7" tint="0.59999389629810485"/>
        <color rgb="FF92D050"/>
      </colorScale>
    </cfRule>
  </conditionalFormatting>
  <conditionalFormatting sqref="D66:D67">
    <cfRule type="colorScale" priority="67">
      <colorScale>
        <cfvo type="min"/>
        <cfvo type="percentile" val="50"/>
        <cfvo type="max"/>
        <color rgb="FFFFC000"/>
        <color theme="7" tint="0.59999389629810485"/>
        <color rgb="FF92D050"/>
      </colorScale>
    </cfRule>
  </conditionalFormatting>
  <conditionalFormatting sqref="D85:D89">
    <cfRule type="colorScale" priority="104">
      <colorScale>
        <cfvo type="min"/>
        <cfvo type="percentile" val="50"/>
        <cfvo type="max"/>
        <color rgb="FFFFC000"/>
        <color theme="7" tint="0.59999389629810485"/>
        <color rgb="FF92D050"/>
      </colorScale>
    </cfRule>
  </conditionalFormatting>
  <conditionalFormatting sqref="D20:F25">
    <cfRule type="expression" dxfId="32" priority="46">
      <formula>$U$10&lt;&gt;$Y$17</formula>
    </cfRule>
  </conditionalFormatting>
  <conditionalFormatting sqref="E21">
    <cfRule type="expression" dxfId="31" priority="209">
      <formula>$E$21&lt;&gt;$AN$36</formula>
    </cfRule>
  </conditionalFormatting>
  <conditionalFormatting sqref="E22">
    <cfRule type="expression" dxfId="30" priority="210">
      <formula>$E$22&lt;&gt;$AN$37</formula>
    </cfRule>
  </conditionalFormatting>
  <conditionalFormatting sqref="E23">
    <cfRule type="expression" dxfId="29" priority="43">
      <formula>$E$23&lt;&gt;$AN$38</formula>
    </cfRule>
  </conditionalFormatting>
  <conditionalFormatting sqref="E24">
    <cfRule type="expression" dxfId="28" priority="42">
      <formula>$E$24&lt;&gt;$AN$39</formula>
    </cfRule>
  </conditionalFormatting>
  <conditionalFormatting sqref="E25">
    <cfRule type="expression" dxfId="27" priority="41">
      <formula>$E$25&lt;&gt;$AN$40</formula>
    </cfRule>
  </conditionalFormatting>
  <conditionalFormatting sqref="E85:E89">
    <cfRule type="colorScale" priority="100">
      <colorScale>
        <cfvo type="min"/>
        <cfvo type="percentile" val="50"/>
        <cfvo type="max"/>
        <color rgb="FFFFC000"/>
        <color theme="7" tint="0.59999389629810485"/>
        <color rgb="FF92D050"/>
      </colorScale>
    </cfRule>
  </conditionalFormatting>
  <conditionalFormatting sqref="F21">
    <cfRule type="expression" dxfId="26" priority="40">
      <formula>$F$21&lt;&gt;$AO$36</formula>
    </cfRule>
  </conditionalFormatting>
  <conditionalFormatting sqref="F22">
    <cfRule type="expression" dxfId="25" priority="39">
      <formula>$F$22&lt;&gt;$AO$37</formula>
    </cfRule>
  </conditionalFormatting>
  <conditionalFormatting sqref="P25:P27">
    <cfRule type="expression" dxfId="24" priority="1">
      <formula>AND($U$6=$Y$7,$T$6=$X$9)</formula>
    </cfRule>
    <cfRule type="expression" dxfId="23" priority="48">
      <formula>AND($U$6=$Y$7,$T$6=$X$7)</formula>
    </cfRule>
    <cfRule type="expression" dxfId="22" priority="49">
      <formula>$U$6&lt;&gt;$Y$8</formula>
    </cfRule>
  </conditionalFormatting>
  <conditionalFormatting sqref="P28:P29">
    <cfRule type="expression" dxfId="21" priority="4">
      <formula>$U$6=$Y$7</formula>
    </cfRule>
    <cfRule type="expression" dxfId="20" priority="5">
      <formula>$U$6&lt;&gt;$Y$8</formula>
    </cfRule>
  </conditionalFormatting>
  <conditionalFormatting sqref="R13:T13">
    <cfRule type="expression" dxfId="19" priority="142">
      <formula>OR(ISBLANK($T$9),ISBLANK($T$10),$T$11=$X$11)</formula>
    </cfRule>
  </conditionalFormatting>
  <conditionalFormatting sqref="R18:T19">
    <cfRule type="expression" dxfId="18" priority="121">
      <formula>AND($T$18&gt;0,$T$19&gt;0,$T$18&gt;$T$19)</formula>
    </cfRule>
  </conditionalFormatting>
  <conditionalFormatting sqref="S14">
    <cfRule type="expression" dxfId="17" priority="146">
      <formula>$T$13=$X$13</formula>
    </cfRule>
  </conditionalFormatting>
  <conditionalFormatting sqref="S14:T14">
    <cfRule type="expression" dxfId="16" priority="200">
      <formula>OR(ISBLANK($T$9),ISBLANK($T$10),$T$11=$X$11,$T$9&lt;&gt;$AB$37)</formula>
    </cfRule>
  </conditionalFormatting>
  <conditionalFormatting sqref="T2">
    <cfRule type="expression" dxfId="15" priority="118">
      <formula>ISBLANK($T$2)</formula>
    </cfRule>
  </conditionalFormatting>
  <conditionalFormatting sqref="T6:T10">
    <cfRule type="expression" dxfId="14" priority="91">
      <formula>ISBLANK($T6)</formula>
    </cfRule>
  </conditionalFormatting>
  <conditionalFormatting sqref="T11:T12">
    <cfRule type="expression" dxfId="13" priority="128">
      <formula>$U$7&gt;0</formula>
    </cfRule>
    <cfRule type="expression" dxfId="12" priority="143">
      <formula>$T$11=$X$11</formula>
    </cfRule>
  </conditionalFormatting>
  <conditionalFormatting sqref="T14">
    <cfRule type="expression" dxfId="11" priority="145">
      <formula>$T$13=$X$13</formula>
    </cfRule>
  </conditionalFormatting>
  <conditionalFormatting sqref="T15">
    <cfRule type="expression" dxfId="10" priority="199">
      <formula>$T$15=$AD$35</formula>
    </cfRule>
  </conditionalFormatting>
  <conditionalFormatting sqref="T17:T21 T15">
    <cfRule type="expression" dxfId="9" priority="140">
      <formula>ISBLANK($T15)</formula>
    </cfRule>
  </conditionalFormatting>
  <conditionalFormatting sqref="U6">
    <cfRule type="expression" dxfId="8" priority="37">
      <formula>$U$6=$Y$6</formula>
    </cfRule>
    <cfRule type="expression" dxfId="7" priority="58">
      <formula>OR($T$6&lt;&gt;$X$7,$T$6&lt;&gt;$X$9)</formula>
    </cfRule>
    <cfRule type="expression" dxfId="6" priority="55">
      <formula>$T$6=$X$7</formula>
    </cfRule>
    <cfRule type="expression" dxfId="5" priority="54">
      <formula>AND($T$6=$X$9,$U$6=$Y$7)</formula>
    </cfRule>
  </conditionalFormatting>
  <conditionalFormatting sqref="U10">
    <cfRule type="expression" dxfId="4" priority="38">
      <formula>$U$10=$Y$17</formula>
    </cfRule>
  </conditionalFormatting>
  <conditionalFormatting sqref="AA7:AB9">
    <cfRule type="expression" dxfId="3" priority="201">
      <formula>OR($C7=MAX($C$34:$C$38),$C7=MIN($C$34:$C$38))</formula>
    </cfRule>
    <cfRule type="colorScale" priority="202">
      <colorScale>
        <cfvo type="min"/>
        <cfvo type="percentile" val="50"/>
        <cfvo type="max"/>
        <color rgb="FFFFC000"/>
        <color theme="7" tint="0.59999389629810485"/>
        <color rgb="FF92D050"/>
      </colorScale>
    </cfRule>
  </conditionalFormatting>
  <conditionalFormatting sqref="AA10:AB10">
    <cfRule type="colorScale" priority="208">
      <colorScale>
        <cfvo type="min"/>
        <cfvo type="percentile" val="50"/>
        <cfvo type="max"/>
        <color rgb="FFFFC000"/>
        <color theme="7" tint="0.59999389629810485"/>
        <color rgb="FF92D050"/>
      </colorScale>
    </cfRule>
  </conditionalFormatting>
  <conditionalFormatting sqref="AA10:AB11">
    <cfRule type="expression" dxfId="2" priority="203">
      <formula>OR($C11=MAX($C$34:$C$38),$C11=MIN($C$34:$C$38))</formula>
    </cfRule>
  </conditionalFormatting>
  <conditionalFormatting sqref="AA11:AB11">
    <cfRule type="colorScale" priority="204">
      <colorScale>
        <cfvo type="min"/>
        <cfvo type="percentile" val="50"/>
        <cfvo type="max"/>
        <color rgb="FFFFC000"/>
        <color theme="7" tint="0.59999389629810485"/>
        <color rgb="FF92D050"/>
      </colorScale>
    </cfRule>
  </conditionalFormatting>
  <conditionalFormatting sqref="AA12:AB12">
    <cfRule type="expression" dxfId="1" priority="205">
      <formula>OR(#REF!=MAX($C$34:$C$38),#REF!=MIN($C$34:$C$38))</formula>
    </cfRule>
    <cfRule type="colorScale" priority="206">
      <colorScale>
        <cfvo type="min"/>
        <cfvo type="percentile" val="50"/>
        <cfvo type="max"/>
        <color rgb="FFFFC000"/>
        <color theme="7" tint="0.59999389629810485"/>
        <color rgb="FF92D050"/>
      </colorScale>
    </cfRule>
  </conditionalFormatting>
  <conditionalFormatting sqref="AA83:AB88">
    <cfRule type="colorScale" priority="117">
      <colorScale>
        <cfvo type="min"/>
        <cfvo type="percentile" val="50"/>
        <cfvo type="max"/>
        <color rgb="FFFFC000"/>
        <color theme="7" tint="0.59999389629810485"/>
        <color rgb="FF92D050"/>
      </colorScale>
    </cfRule>
    <cfRule type="expression" dxfId="0" priority="116">
      <formula>OR($C83=MAX($C$34:$C$38),$C83=MIN($C$34:$C$38))</formula>
    </cfRule>
  </conditionalFormatting>
  <dataValidations count="30">
    <dataValidation type="list" allowBlank="1" showInputMessage="1" showErrorMessage="1" sqref="T7" xr:uid="{00000000-0002-0000-0000-000000000000}">
      <formula1>$X$34:$X$65</formula1>
    </dataValidation>
    <dataValidation type="list" allowBlank="1" sqref="T17" xr:uid="{00000000-0002-0000-0000-000002000000}">
      <formula1>$T$28:$T$29</formula1>
    </dataValidation>
    <dataValidation type="list" allowBlank="1" showInputMessage="1" showErrorMessage="1" sqref="T10" xr:uid="{00000000-0002-0000-0000-000003000000}">
      <formula1>$X$16:$X$20</formula1>
    </dataValidation>
    <dataValidation type="list" allowBlank="1" showInputMessage="1" showErrorMessage="1" sqref="T14" xr:uid="{00000000-0002-0000-0000-000004000000}">
      <formula1>$Z$34:$Z$35</formula1>
    </dataValidation>
    <dataValidation type="list" allowBlank="1" showInputMessage="1" showErrorMessage="1" sqref="T9" xr:uid="{00000000-0002-0000-0000-000005000000}">
      <formula1>$AB$34:$AB$37</formula1>
    </dataValidation>
    <dataValidation type="list" allowBlank="1" showInputMessage="1" showErrorMessage="1" sqref="T15" xr:uid="{00000000-0002-0000-0000-000006000000}">
      <formula1>$AD$34:$AD$35</formula1>
    </dataValidation>
    <dataValidation type="list" allowBlank="1" showInputMessage="1" showErrorMessage="1" sqref="T2" xr:uid="{00000000-0002-0000-0000-000007000000}">
      <formula1>$X$27:$X$28</formula1>
    </dataValidation>
    <dataValidation type="list" allowBlank="1" showInputMessage="1" sqref="K91" xr:uid="{9790094A-EAC8-40FB-B33E-9BCA1D8639CF}">
      <formula1>$K$92:$K$94</formula1>
    </dataValidation>
    <dataValidation type="list" allowBlank="1" showInputMessage="1" sqref="K90" xr:uid="{CF760B06-A2F4-4AF3-977A-180F40659173}">
      <formula1>$K$80:$K$87</formula1>
    </dataValidation>
    <dataValidation type="list" allowBlank="1" showInputMessage="1" showErrorMessage="1" sqref="C54" xr:uid="{FD6D754D-D11D-4595-9073-5702F9CBB56B}">
      <formula1>$X$85:$X$88</formula1>
    </dataValidation>
    <dataValidation type="list" allowBlank="1" showInputMessage="1" showErrorMessage="1" sqref="T8" xr:uid="{D9A480BF-DFBC-4CAD-AE41-54FB696189DD}">
      <formula1>$AP$10:$AP$11</formula1>
    </dataValidation>
    <dataValidation type="list" allowBlank="1" showInputMessage="1" showErrorMessage="1" sqref="T6" xr:uid="{00000000-0002-0000-0000-000001000000}">
      <formula1>$AL$5:$AL$10</formula1>
    </dataValidation>
    <dataValidation type="list" allowBlank="1" showInputMessage="1" showErrorMessage="1" sqref="U6" xr:uid="{9FDF711D-7019-4EB6-B7E4-0AE3933FCE10}">
      <formula1>$Y$6:$Y$7</formula1>
    </dataValidation>
    <dataValidation type="list" errorStyle="warning" allowBlank="1" showInputMessage="1" showErrorMessage="1" error="Change default Eurocode value?" sqref="E21" xr:uid="{F66383B4-1329-4743-A20F-56912AB6A83B}">
      <formula1>$AN$36</formula1>
    </dataValidation>
    <dataValidation type="list" errorStyle="warning" allowBlank="1" showInputMessage="1" showErrorMessage="1" error="Change default Eurocode value?" sqref="F21" xr:uid="{779100E3-AB09-49FA-A6BD-E4378851CA9C}">
      <formula1>$AO$36</formula1>
    </dataValidation>
    <dataValidation type="list" errorStyle="warning" allowBlank="1" showInputMessage="1" showErrorMessage="1" error="Change default Eurocode value?" sqref="E22" xr:uid="{9516C976-1C35-4C31-B950-9B02401DF9F6}">
      <formula1>$AN$37</formula1>
    </dataValidation>
    <dataValidation type="list" errorStyle="warning" allowBlank="1" showInputMessage="1" showErrorMessage="1" error="Change default Eurocode value?" sqref="F22" xr:uid="{0C120F21-8854-40ED-993C-4CBFD9AE5A9B}">
      <formula1>$AO$37</formula1>
    </dataValidation>
    <dataValidation type="list" errorStyle="warning" allowBlank="1" showInputMessage="1" showErrorMessage="1" error="Change default Eurocode value?" sqref="E23" xr:uid="{555080BD-CC32-4887-9F74-FED6F74EE36C}">
      <formula1>$AN$38</formula1>
    </dataValidation>
    <dataValidation type="list" errorStyle="warning" allowBlank="1" showInputMessage="1" showErrorMessage="1" error="Change default Eurocode value?" sqref="F23" xr:uid="{9AE183CE-6AD1-4F0E-9D50-8F603B3B05CB}">
      <formula1>$AO$38</formula1>
    </dataValidation>
    <dataValidation type="list" errorStyle="warning" allowBlank="1" showInputMessage="1" showErrorMessage="1" error="Change default Eurocode value?" sqref="E24" xr:uid="{B8A300DD-B910-41ED-AA97-28CA38D0B877}">
      <formula1>$AN$39</formula1>
    </dataValidation>
    <dataValidation type="list" errorStyle="warning" allowBlank="1" showInputMessage="1" showErrorMessage="1" error="Change default Eurocode value?" sqref="F24" xr:uid="{F639E9E6-BD60-48C9-9771-C78DD92DFAB1}">
      <formula1>$AO$39</formula1>
    </dataValidation>
    <dataValidation type="list" errorStyle="warning" allowBlank="1" showInputMessage="1" showErrorMessage="1" error="Change default Eurocode value?" sqref="E25" xr:uid="{B7571FFA-F431-4A0F-ADE0-041F5C1B76D3}">
      <formula1>$AN$40</formula1>
    </dataValidation>
    <dataValidation type="list" errorStyle="warning" allowBlank="1" showInputMessage="1" showErrorMessage="1" error="Change default Eurocode value?" sqref="F25" xr:uid="{28200648-AB17-4121-A59B-3547B1835776}">
      <formula1>$AO$40</formula1>
    </dataValidation>
    <dataValidation type="list" allowBlank="1" showInputMessage="1" showErrorMessage="1" sqref="U10" xr:uid="{5842DECE-1380-4B39-9EA5-CAD285A3D3BC}">
      <formula1>$Y$16:$Y$17</formula1>
    </dataValidation>
    <dataValidation type="list" allowBlank="1" showInputMessage="1" showErrorMessage="1" sqref="C80" xr:uid="{9456F5EC-751C-4F9E-AB1F-8ABE2643B17A}">
      <formula1>$X$91:$X$96</formula1>
    </dataValidation>
    <dataValidation type="list" errorStyle="warning" allowBlank="1" showInputMessage="1" showErrorMessage="1" error="Input custom value?" sqref="P27" xr:uid="{64BEA77A-F062-4DFE-B5DA-A7350BB18BAF}">
      <formula1>$AN$25</formula1>
    </dataValidation>
    <dataValidation type="list" errorStyle="warning" allowBlank="1" showInputMessage="1" showErrorMessage="1" error="Input custom value?" sqref="P25" xr:uid="{6F91599B-B1AC-450C-9312-46FA63D6A360}">
      <formula1>$AO$21</formula1>
    </dataValidation>
    <dataValidation type="list" errorStyle="warning" allowBlank="1" showInputMessage="1" showErrorMessage="1" error="Input custom value?" sqref="P26" xr:uid="{04F2BF02-8757-400A-BC82-C06EDCF5B0CA}">
      <formula1>$AN$24</formula1>
    </dataValidation>
    <dataValidation type="list" errorStyle="warning" allowBlank="1" showInputMessage="1" showErrorMessage="1" error="Input custom value?" sqref="P29" xr:uid="{B1BE49EF-CCAD-4B89-AF7D-670CC70BBEFA}">
      <formula1>$AN$27</formula1>
    </dataValidation>
    <dataValidation type="list" errorStyle="warning" allowBlank="1" showInputMessage="1" showErrorMessage="1" error="Input custom value?" sqref="P28" xr:uid="{AC890C73-81A0-4F5F-81BA-22C8048554BE}">
      <formula1>$AN$26</formula1>
    </dataValidation>
  </dataValidations>
  <hyperlinks>
    <hyperlink ref="U5" r:id="rId1" display="http://bcsatools.steel-sci.org/WindLoading/Input" xr:uid="{AB4E76DB-A1A3-4F5A-802E-4AD2882827F4}"/>
  </hyperlinks>
  <pageMargins left="0.78740157480314965" right="0.39370078740157483" top="0.70866141732283472" bottom="0.47244094488188981" header="0.31496062992125984" footer="0.19685039370078741"/>
  <pageSetup paperSize="9" scale="67" fitToHeight="0" orientation="portrait" r:id="rId2"/>
  <headerFooter scaleWithDoc="0">
    <oddHeader>&amp;L&amp;"-,Bold Italic"&amp;20&amp;U&amp;K0070C0StaticusLab&amp;U S-Wind-3.0_Mind&amp;C
&amp;R&amp;G</oddHeader>
    <oddFooter>&amp;L&amp;"-,Bold Italic"&amp;10&amp;U&amp;K0070C0StaticusLab&amp;U S-Wind-3.0_Mind&amp;12
&amp;7&amp;KC00000IT CONTAINS CONFIDENTIAL UAB STATICUS INFORMATION, ANY COPYING OR DISTRIBUTION OF THIS FILE IS STRICTLY PROHIBITED AND UNLAWFUL !&amp;R
&amp;P  of   &amp;N</oddFooter>
  </headerFooter>
  <rowBreaks count="1" manualBreakCount="1">
    <brk id="50" max="12" man="1"/>
  </rowBreaks>
  <drawing r:id="rId3"/>
  <legacyDrawing r:id="rId4"/>
  <legacyDrawingHF r:id="rId5"/>
  <tableParts count="12">
    <tablePart r:id="rId6"/>
    <tablePart r:id="rId7"/>
    <tablePart r:id="rId8"/>
    <tablePart r:id="rId9"/>
    <tablePart r:id="rId10"/>
    <tablePart r:id="rId11"/>
    <tablePart r:id="rId12"/>
    <tablePart r:id="rId13"/>
    <tablePart r:id="rId14"/>
    <tablePart r:id="rId15"/>
    <tablePart r:id="rId16"/>
    <tablePart r:id="rId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AE35-B392-4CD2-ADC5-D880AEDB60BB}">
  <dimension ref="B2:O51"/>
  <sheetViews>
    <sheetView workbookViewId="0">
      <selection activeCell="B4" sqref="B4"/>
    </sheetView>
  </sheetViews>
  <sheetFormatPr defaultRowHeight="15" x14ac:dyDescent="0.25"/>
  <cols>
    <col min="2" max="2" width="27.140625" customWidth="1"/>
    <col min="3" max="3" width="18.5703125" customWidth="1"/>
    <col min="4" max="4" width="18.7109375" customWidth="1"/>
  </cols>
  <sheetData>
    <row r="2" spans="2:15" x14ac:dyDescent="0.25">
      <c r="B2" s="360" t="s">
        <v>292</v>
      </c>
      <c r="C2" s="361" t="s">
        <v>293</v>
      </c>
      <c r="D2" s="361" t="s">
        <v>294</v>
      </c>
      <c r="L2" s="362" t="s">
        <v>295</v>
      </c>
      <c r="M2" s="363"/>
      <c r="N2" s="363"/>
      <c r="O2" s="363"/>
    </row>
    <row r="3" spans="2:15" x14ac:dyDescent="0.25">
      <c r="B3" s="364" t="s">
        <v>296</v>
      </c>
      <c r="C3" s="365"/>
      <c r="D3" s="366"/>
    </row>
    <row r="4" spans="2:15" ht="28.5" x14ac:dyDescent="0.25">
      <c r="B4" s="364" t="s">
        <v>297</v>
      </c>
      <c r="C4" s="365"/>
      <c r="D4" s="366"/>
      <c r="E4" s="367"/>
    </row>
    <row r="5" spans="2:15" x14ac:dyDescent="0.25">
      <c r="B5" s="364" t="s">
        <v>298</v>
      </c>
      <c r="C5" s="368"/>
      <c r="D5" s="366"/>
    </row>
    <row r="6" spans="2:15" ht="28.5" x14ac:dyDescent="0.25">
      <c r="B6" s="364" t="s">
        <v>299</v>
      </c>
      <c r="C6" s="368"/>
      <c r="D6" s="366"/>
    </row>
    <row r="7" spans="2:15" ht="28.5" x14ac:dyDescent="0.25">
      <c r="B7" s="364" t="s">
        <v>300</v>
      </c>
      <c r="C7" s="368"/>
      <c r="D7" s="366"/>
      <c r="F7" s="367"/>
    </row>
    <row r="8" spans="2:15" ht="28.5" x14ac:dyDescent="0.25">
      <c r="B8" s="364" t="s">
        <v>301</v>
      </c>
      <c r="C8" s="368"/>
      <c r="D8" s="366"/>
    </row>
    <row r="10" spans="2:15" ht="30" x14ac:dyDescent="0.25">
      <c r="B10" s="369" t="s">
        <v>302</v>
      </c>
    </row>
    <row r="11" spans="2:15" x14ac:dyDescent="0.25">
      <c r="B11" s="370" t="s">
        <v>303</v>
      </c>
    </row>
    <row r="12" spans="2:15" x14ac:dyDescent="0.25">
      <c r="B12" s="371" t="s">
        <v>304</v>
      </c>
      <c r="C12" s="372" t="s">
        <v>305</v>
      </c>
    </row>
    <row r="13" spans="2:15" ht="28.5" x14ac:dyDescent="0.25">
      <c r="B13" s="371" t="s">
        <v>306</v>
      </c>
      <c r="C13" s="373" t="s">
        <v>307</v>
      </c>
    </row>
    <row r="14" spans="2:15" ht="45" x14ac:dyDescent="0.25">
      <c r="B14" s="367" t="s">
        <v>308</v>
      </c>
      <c r="C14" s="373" t="s">
        <v>309</v>
      </c>
    </row>
    <row r="16" spans="2:15" x14ac:dyDescent="0.25">
      <c r="B16" s="374" t="s">
        <v>310</v>
      </c>
    </row>
    <row r="45" spans="2:2" x14ac:dyDescent="0.25">
      <c r="B45" s="362" t="s">
        <v>311</v>
      </c>
    </row>
    <row r="51" spans="2:2" x14ac:dyDescent="0.25">
      <c r="B51" s="362" t="s">
        <v>312</v>
      </c>
    </row>
  </sheetData>
  <hyperlinks>
    <hyperlink ref="C12" r:id="rId1" display="https://eurocodeapplied.com/design/en1991/wind-peak-velocity-pressure-ireland-and-uk" xr:uid="{E9B141F3-BA10-4619-9196-D5EC847A3084}"/>
    <hyperlink ref="C14" r:id="rId2" tooltip="https://www.doogal.co.uk/distancetosea" xr:uid="{F520C32B-CC54-48B7-8D35-2F6AFAEED94C}"/>
    <hyperlink ref="C13" r:id="rId3" tooltip="https://www.freemaptools.com/elevation-finder.htm" xr:uid="{94711AF8-E230-4167-9996-16CE005C7154}"/>
  </hyperlinks>
  <pageMargins left="0.7" right="0.7" top="0.75" bottom="0.75" header="0.3" footer="0.3"/>
  <pageSetup paperSize="9"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abefdd-db06-4dd8-a60d-c5cb08c2bc54" xsi:nil="true"/>
    <lcf76f155ced4ddcb4097134ff3c332f xmlns="2191e156-96eb-4313-b388-dd572db2205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as" ma:contentTypeID="0x0101003C1BB82435BC954B9B0DCC6B8C30AFC1" ma:contentTypeVersion="16" ma:contentTypeDescription="Kurkite naują dokumentą." ma:contentTypeScope="" ma:versionID="0b9f5c5350c390482b094094c88db0f1">
  <xsd:schema xmlns:xsd="http://www.w3.org/2001/XMLSchema" xmlns:xs="http://www.w3.org/2001/XMLSchema" xmlns:p="http://schemas.microsoft.com/office/2006/metadata/properties" xmlns:ns2="2191e156-96eb-4313-b388-dd572db22052" xmlns:ns3="9babefdd-db06-4dd8-a60d-c5cb08c2bc54" targetNamespace="http://schemas.microsoft.com/office/2006/metadata/properties" ma:root="true" ma:fieldsID="80bc717d1de2a69be00d52f01746c7f1" ns2:_="" ns3:_="">
    <xsd:import namespace="2191e156-96eb-4313-b388-dd572db22052"/>
    <xsd:import namespace="9babefdd-db06-4dd8-a60d-c5cb08c2bc5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bjectDetectorVersions" minOccurs="0"/>
                <xsd:element ref="ns2:MediaServiceSearchProperties"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91e156-96eb-4313-b388-dd572db220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Vaizdų žymės" ma:readOnly="false" ma:fieldId="{5cf76f15-5ced-4ddc-b409-7134ff3c332f}" ma:taxonomyMulti="true" ma:sspId="aedb7326-ae39-45df-84e9-844f4dda17f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abefdd-db06-4dd8-a60d-c5cb08c2bc54" elementFormDefault="qualified">
    <xsd:import namespace="http://schemas.microsoft.com/office/2006/documentManagement/types"/>
    <xsd:import namespace="http://schemas.microsoft.com/office/infopath/2007/PartnerControls"/>
    <xsd:element name="SharedWithUsers" ma:index="10"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Bendrinta su išsamia informacija" ma:internalName="SharedWithDetails" ma:readOnly="true">
      <xsd:simpleType>
        <xsd:restriction base="dms:Note">
          <xsd:maxLength value="255"/>
        </xsd:restriction>
      </xsd:simpleType>
    </xsd:element>
    <xsd:element name="TaxCatchAll" ma:index="16" nillable="true" ma:displayName="Taxonomy Catch All Column" ma:hidden="true" ma:list="{b51c83eb-1b82-49c7-b4bf-9d8a3ff12b9a}" ma:internalName="TaxCatchAll" ma:showField="CatchAllData" ma:web="9babefdd-db06-4dd8-a60d-c5cb08c2bc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9D8C32-C4D7-407E-A09E-C5F6FA7F5677}">
  <ds:schemaRefs>
    <ds:schemaRef ds:uri="http://schemas.microsoft.com/office/infopath/2007/PartnerControls"/>
    <ds:schemaRef ds:uri="http://schemas.microsoft.com/office/2006/documentManagement/types"/>
    <ds:schemaRef ds:uri="http://purl.org/dc/dcmitype/"/>
    <ds:schemaRef ds:uri="http://www.w3.org/XML/1998/namespace"/>
    <ds:schemaRef ds:uri="http://purl.org/dc/elements/1.1/"/>
    <ds:schemaRef ds:uri="http://schemas.openxmlformats.org/package/2006/metadata/core-properties"/>
    <ds:schemaRef ds:uri="http://purl.org/dc/terms/"/>
    <ds:schemaRef ds:uri="9babefdd-db06-4dd8-a60d-c5cb08c2bc54"/>
    <ds:schemaRef ds:uri="2191e156-96eb-4313-b388-dd572db22052"/>
    <ds:schemaRef ds:uri="http://schemas.microsoft.com/office/2006/metadata/properties"/>
  </ds:schemaRefs>
</ds:datastoreItem>
</file>

<file path=customXml/itemProps2.xml><?xml version="1.0" encoding="utf-8"?>
<ds:datastoreItem xmlns:ds="http://schemas.openxmlformats.org/officeDocument/2006/customXml" ds:itemID="{C6700BFC-048D-4318-908B-8D78ED91E6D2}"/>
</file>

<file path=customXml/itemProps3.xml><?xml version="1.0" encoding="utf-8"?>
<ds:datastoreItem xmlns:ds="http://schemas.openxmlformats.org/officeDocument/2006/customXml" ds:itemID="{B6291F98-3D32-4A88-AFCB-469573FB190B}">
  <ds:schemaRefs>
    <ds:schemaRef ds:uri="http://schemas.microsoft.com/DataMashup"/>
  </ds:schemaRefs>
</ds:datastoreItem>
</file>

<file path=customXml/itemProps4.xml><?xml version="1.0" encoding="utf-8"?>
<ds:datastoreItem xmlns:ds="http://schemas.openxmlformats.org/officeDocument/2006/customXml" ds:itemID="{B019A121-2AB8-4C2B-80BD-C6AE00667F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Vėjo slėgio skaičiuoklė</vt:lpstr>
      <vt:lpstr>Notes on using excel sheet</vt:lpstr>
      <vt:lpstr>'Vėjo slėgio skaičiuoklė'!Print_Area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Mariia Komarivska</cp:lastModifiedBy>
  <cp:lastPrinted>2024-07-11T13:20:22Z</cp:lastPrinted>
  <dcterms:created xsi:type="dcterms:W3CDTF">2006-09-16T00:00:00Z</dcterms:created>
  <dcterms:modified xsi:type="dcterms:W3CDTF">2025-11-18T09:08:24Z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0x0101003C1BB82435BC954B9B0DCC6B8C30AFC1</vt:lpwstr>
  </property>
  <property fmtid="{D5CDD505-2E9C-101B-9397-08002B2CF9AE}" pid="3" name="MediaServiceImageTags">
    <vt:lpwstr/>
  </property>
</Properties>
</file>