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0cc\AC\Temp\"/>
    </mc:Choice>
  </mc:AlternateContent>
  <xr:revisionPtr revIDLastSave="0" documentId="8_{9D0A50F1-EB9C-7949-947B-3598D1DA46FB}" xr6:coauthVersionLast="47" xr6:coauthVersionMax="47" xr10:uidLastSave="{00000000-0000-0000-0000-000000000000}"/>
  <bookViews>
    <workbookView xWindow="-60" yWindow="-60" windowWidth="15480" windowHeight="11640" activeTab="3" xr2:uid="{00000000-000D-0000-FFFF-FFFF00000000}"/>
  </bookViews>
  <sheets>
    <sheet name="Staggered Crank" sheetId="1" r:id="rId1"/>
    <sheet name="&quot;Perfect&quot; Staggered Crank" sheetId="7" r:id="rId2"/>
    <sheet name="Duel Crank" sheetId="2" r:id="rId3"/>
    <sheet name="Help and Information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4" i="7"/>
  <c r="D15" i="7"/>
  <c r="D16" i="7"/>
  <c r="D17" i="7"/>
  <c r="D18" i="7"/>
  <c r="D21" i="7"/>
  <c r="D22" i="7"/>
  <c r="D23" i="7"/>
  <c r="D24" i="7"/>
  <c r="D25" i="7"/>
  <c r="D16" i="2"/>
  <c r="D14" i="2"/>
  <c r="D17" i="2"/>
  <c r="D15" i="2"/>
  <c r="D22" i="2"/>
  <c r="D20" i="2"/>
  <c r="D18" i="2"/>
  <c r="D23" i="2"/>
  <c r="D21" i="2"/>
  <c r="D19" i="2"/>
  <c r="D27" i="2"/>
  <c r="D26" i="2"/>
  <c r="D28" i="2"/>
  <c r="D29" i="2"/>
  <c r="D30" i="2"/>
  <c r="D15" i="1"/>
  <c r="D17" i="1"/>
  <c r="D19" i="1"/>
  <c r="D13" i="1"/>
  <c r="D16" i="1"/>
  <c r="D18" i="1"/>
  <c r="D20" i="1"/>
  <c r="D14" i="1"/>
  <c r="D24" i="1"/>
  <c r="D23" i="1"/>
  <c r="D25" i="1"/>
  <c r="D26" i="1"/>
  <c r="D27" i="1"/>
  <c r="D35" i="1"/>
  <c r="D55" i="1"/>
  <c r="C36" i="1"/>
  <c r="D36" i="1"/>
  <c r="D37" i="1"/>
  <c r="C38" i="1"/>
  <c r="D38" i="1"/>
  <c r="D40" i="1"/>
  <c r="C41" i="1"/>
  <c r="D41" i="1"/>
  <c r="D42" i="1"/>
  <c r="C43" i="1"/>
  <c r="D43" i="1"/>
  <c r="D45" i="1"/>
  <c r="D46" i="1"/>
  <c r="D47" i="1"/>
  <c r="D48" i="1"/>
  <c r="D56" i="1"/>
</calcChain>
</file>

<file path=xl/sharedStrings.xml><?xml version="1.0" encoding="utf-8"?>
<sst xmlns="http://schemas.openxmlformats.org/spreadsheetml/2006/main" count="153" uniqueCount="103">
  <si>
    <t>Inputs</t>
  </si>
  <si>
    <t>Place holders</t>
  </si>
  <si>
    <t xml:space="preserve">H: </t>
  </si>
  <si>
    <t xml:space="preserve">W: </t>
  </si>
  <si>
    <t xml:space="preserve">Y2: </t>
  </si>
  <si>
    <t xml:space="preserve">Y1: </t>
  </si>
  <si>
    <t xml:space="preserve">Z1: </t>
  </si>
  <si>
    <t xml:space="preserve">Z2: </t>
  </si>
  <si>
    <t xml:space="preserve">H2: </t>
  </si>
  <si>
    <t xml:space="preserve">H3: </t>
  </si>
  <si>
    <t xml:space="preserve">Ha: </t>
  </si>
  <si>
    <t>Outputs</t>
  </si>
  <si>
    <t>For wings up</t>
  </si>
  <si>
    <t>For wings down</t>
  </si>
  <si>
    <t>Z1 - Rx</t>
  </si>
  <si>
    <t>(Z1 - Z2) /2</t>
  </si>
  <si>
    <t xml:space="preserve">Hb: </t>
  </si>
  <si>
    <t>H + H2</t>
  </si>
  <si>
    <t>H - H3</t>
  </si>
  <si>
    <t>Ornithopter Crank Calculator</t>
  </si>
  <si>
    <t>Crank angle</t>
  </si>
  <si>
    <t>in Degrees</t>
  </si>
  <si>
    <t>Notes</t>
  </si>
  <si>
    <t>Type</t>
  </si>
  <si>
    <t>Graphing</t>
  </si>
  <si>
    <t xml:space="preserve">AxU: </t>
  </si>
  <si>
    <t xml:space="preserve">AxD: </t>
  </si>
  <si>
    <t>X = AxD - AxU</t>
  </si>
  <si>
    <t>Right wing</t>
  </si>
  <si>
    <t>common</t>
  </si>
  <si>
    <t>angle y axis</t>
  </si>
  <si>
    <t>phase x axis</t>
  </si>
  <si>
    <t xml:space="preserve">D: </t>
  </si>
  <si>
    <t>SQRT{(Y1 + D)^2 + (Ha)^2}</t>
  </si>
  <si>
    <t>SQRT{(Y2 + D)^2 + (Hb)^2}</t>
  </si>
  <si>
    <t>2* (aTan((Y1+D) / Ha))</t>
  </si>
  <si>
    <t>2* (aTan((Y2+D) / Hb))</t>
  </si>
  <si>
    <t xml:space="preserve">D1: </t>
  </si>
  <si>
    <t xml:space="preserve">D2: </t>
  </si>
  <si>
    <t xml:space="preserve">in degrees </t>
  </si>
  <si>
    <t>Place Holders</t>
  </si>
  <si>
    <t xml:space="preserve">D4: </t>
  </si>
  <si>
    <t xml:space="preserve">D3: </t>
  </si>
  <si>
    <t>D3 = (Y1 + D1) - D2</t>
  </si>
  <si>
    <t>D4 = (Y2 + D1) - D2</t>
  </si>
  <si>
    <t>SQRT{(D3)^2 + (Ha)^2}</t>
  </si>
  <si>
    <t>SQRT{(D4)^2 + (Hb)^2}</t>
  </si>
  <si>
    <t>L = Z1 - Rx</t>
  </si>
  <si>
    <t>Rx = (Z1 - Z2) / 2</t>
  </si>
  <si>
    <t>Ha = H + H2</t>
  </si>
  <si>
    <t>Crank root to center</t>
  </si>
  <si>
    <t>Wing root to center</t>
  </si>
  <si>
    <t>Hb = H - H3</t>
  </si>
  <si>
    <t>AxU = (aTan(D3/Ha))]</t>
  </si>
  <si>
    <t>AxD = (aTan(D4/Hb))]</t>
  </si>
  <si>
    <t xml:space="preserve">Dihedral: </t>
  </si>
  <si>
    <t xml:space="preserve">Anhedral: </t>
  </si>
  <si>
    <t>W(SIN(Dihedral))</t>
  </si>
  <si>
    <t>W(COS(Dihedral))</t>
  </si>
  <si>
    <t>W(COS(Anhedral))</t>
  </si>
  <si>
    <t>W(SIN(Anhedral))</t>
  </si>
  <si>
    <t>H3 = W(SIN(Anhedral))</t>
  </si>
  <si>
    <t>W(COS((Dihedral))</t>
  </si>
  <si>
    <t>H2 = W(SIN(Dihedral))</t>
  </si>
  <si>
    <t xml:space="preserve">Ax: </t>
  </si>
  <si>
    <t>(AxD + AxU)/2</t>
  </si>
  <si>
    <t>Avg. Crank angle</t>
  </si>
  <si>
    <t xml:space="preserve"> Maximum degree out of phase: </t>
  </si>
  <si>
    <t>ATAN(D/H)</t>
  </si>
  <si>
    <t>SQRT((D^2) + (H^2))</t>
  </si>
  <si>
    <t xml:space="preserve">Flap angle/2 </t>
  </si>
  <si>
    <t>COS(Aa)W</t>
  </si>
  <si>
    <t>Total Flapping angle</t>
  </si>
  <si>
    <t xml:space="preserve">Crank Radii: </t>
  </si>
  <si>
    <t xml:space="preserve">Linkage Length: </t>
  </si>
  <si>
    <t xml:space="preserve">Crank Angle: </t>
  </si>
  <si>
    <t>(Ax)2</t>
  </si>
  <si>
    <t xml:space="preserve">Axp: </t>
  </si>
  <si>
    <t xml:space="preserve">Aa: </t>
  </si>
  <si>
    <t xml:space="preserve">Wr: </t>
  </si>
  <si>
    <t xml:space="preserve">Hs: </t>
  </si>
  <si>
    <t>Axp + Ax</t>
  </si>
  <si>
    <t xml:space="preserve">AxT: </t>
  </si>
  <si>
    <t>[SIN(Aa)]W</t>
  </si>
  <si>
    <t>ACOS(Wr/Hs) + Axp</t>
  </si>
  <si>
    <t>SQRT[(Hs^2) - (Wr^2)] -Crank radii</t>
  </si>
  <si>
    <t>(-1) * (Axt - Aa)</t>
  </si>
  <si>
    <t>For Staggered Crank</t>
  </si>
  <si>
    <t>Prioritizes Symmetrical Flapping</t>
  </si>
  <si>
    <t>(-1) * (Dihedral - Flap angle)</t>
  </si>
  <si>
    <t>Equations</t>
  </si>
  <si>
    <r>
      <t xml:space="preserve">Flap angle:  </t>
    </r>
    <r>
      <rPr>
        <sz val="10"/>
        <rFont val="Arial"/>
      </rPr>
      <t xml:space="preserve"> </t>
    </r>
  </si>
  <si>
    <t>for Staggered Cranks</t>
  </si>
  <si>
    <t>AxD + AxU/2</t>
  </si>
  <si>
    <t>for Duel Cranks</t>
  </si>
  <si>
    <t xml:space="preserve">AxD or AxU: </t>
  </si>
  <si>
    <t>AxD-AxU/2</t>
  </si>
  <si>
    <t>[Testing needed]</t>
  </si>
  <si>
    <t>For wings down or AxD</t>
  </si>
  <si>
    <t>Help and Information</t>
  </si>
  <si>
    <t>For the newest release, please go to: https://github.com/OrnithopterX/Ornithopter-Crank-Designer</t>
  </si>
  <si>
    <t>Designs</t>
  </si>
  <si>
    <t>Version: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</si>
</sst>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2" fillId="0" borderId="7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" fillId="0" borderId="2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Wing Graph Output</a:t>
            </a:r>
          </a:p>
        </c:rich>
      </c:tx>
      <c:layout>
        <c:manualLayout>
          <c:xMode val="edge"/>
          <c:yMode val="edge"/>
          <c:x val="0.36873783576707692"/>
          <c:y val="6.20917014262325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262855068395"/>
          <c:y val="0.19281107284988017"/>
          <c:w val="0.63527116270740969"/>
          <c:h val="0.65686484140382906"/>
        </c:manualLayout>
      </c:layout>
      <c:scatterChart>
        <c:scatterStyle val="smoothMarker"/>
        <c:varyColors val="0"/>
        <c:ser>
          <c:idx val="0"/>
          <c:order val="0"/>
          <c:tx>
            <c:v>Optimum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'Staggered Crank'!$C$45:$C$48</c:f>
              <c:numCache>
                <c:formatCode>General</c:formatCode>
                <c:ptCount val="4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</c:numCache>
            </c:numRef>
          </c:xVal>
          <c:yVal>
            <c:numRef>
              <c:f>'Staggered Crank'!$D$45:$D$48</c:f>
              <c:numCache>
                <c:formatCode>General</c:formatCode>
                <c:ptCount val="4"/>
                <c:pt idx="0">
                  <c:v>-39.87182404</c:v>
                </c:pt>
                <c:pt idx="1">
                  <c:v>-4.2718240429999996</c:v>
                </c:pt>
                <c:pt idx="2">
                  <c:v>-39.87182404</c:v>
                </c:pt>
                <c:pt idx="3">
                  <c:v>-4.2718240429999996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5-4001-80F4-2DB13EE423EA}"/>
            </c:ext>
          </c:extLst>
        </c:ser>
        <c:ser>
          <c:idx val="1"/>
          <c:order val="1"/>
          <c:tx>
            <c:v>Left wing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'Staggered Crank'!$C$35:$C$38</c:f>
              <c:numCache>
                <c:formatCode>General</c:formatCode>
                <c:ptCount val="4"/>
                <c:pt idx="0">
                  <c:v>0</c:v>
                </c:pt>
                <c:pt idx="1">
                  <c:v>179.99999999958069</c:v>
                </c:pt>
                <c:pt idx="2">
                  <c:v>360</c:v>
                </c:pt>
                <c:pt idx="3">
                  <c:v>539.99999999958072</c:v>
                </c:pt>
              </c:numCache>
            </c:numRef>
          </c:xVal>
          <c:yVal>
            <c:numRef>
              <c:f>'Staggered Crank'!$D$35:$D$38</c:f>
              <c:numCache>
                <c:formatCode>General</c:formatCode>
                <c:ptCount val="4"/>
                <c:pt idx="0">
                  <c:v>-39.87182404</c:v>
                </c:pt>
                <c:pt idx="1">
                  <c:v>-4.2718240429999996</c:v>
                </c:pt>
                <c:pt idx="2">
                  <c:v>-39.87182404</c:v>
                </c:pt>
                <c:pt idx="3">
                  <c:v>-4.2718240429999996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5-4001-80F4-2DB13EE423EA}"/>
            </c:ext>
          </c:extLst>
        </c:ser>
        <c:ser>
          <c:idx val="2"/>
          <c:order val="2"/>
          <c:tx>
            <c:v>Right wing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'Staggered Crank'!$C$40:$C$43</c:f>
              <c:numCache>
                <c:formatCode>General</c:formatCode>
                <c:ptCount val="4"/>
                <c:pt idx="0">
                  <c:v>0</c:v>
                </c:pt>
                <c:pt idx="1">
                  <c:v>180.00000000041931</c:v>
                </c:pt>
                <c:pt idx="2">
                  <c:v>360</c:v>
                </c:pt>
                <c:pt idx="3">
                  <c:v>540.00000000041928</c:v>
                </c:pt>
              </c:numCache>
            </c:numRef>
          </c:xVal>
          <c:yVal>
            <c:numRef>
              <c:f>'Staggered Crank'!$D$40:$D$43</c:f>
              <c:numCache>
                <c:formatCode>General</c:formatCode>
                <c:ptCount val="4"/>
                <c:pt idx="0">
                  <c:v>-39.87182404</c:v>
                </c:pt>
                <c:pt idx="1">
                  <c:v>-4.2718240429999996</c:v>
                </c:pt>
                <c:pt idx="2">
                  <c:v>-39.87182404</c:v>
                </c:pt>
                <c:pt idx="3">
                  <c:v>-4.2718240429999996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5-4001-80F4-2DB13EE4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73135"/>
        <c:axId val="1"/>
      </c:scatterChart>
      <c:valAx>
        <c:axId val="111977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</a:t>
                </a:r>
              </a:p>
            </c:rich>
          </c:tx>
          <c:layout>
            <c:manualLayout>
              <c:xMode val="edge"/>
              <c:yMode val="edge"/>
              <c:x val="0.40481001535298661"/>
              <c:y val="0.88235575710962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Angle</a:t>
                </a:r>
              </a:p>
            </c:rich>
          </c:tx>
          <c:layout>
            <c:manualLayout>
              <c:xMode val="edge"/>
              <c:yMode val="edge"/>
              <c:x val="3.2064159631919727E-2"/>
              <c:y val="0.4607857842683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97731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62805065996313"/>
          <c:y val="0.42810594141244579"/>
          <c:w val="0.1783568879525535"/>
          <c:h val="0.18954308856428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 /><Relationship Id="rId2" Type="http://schemas.openxmlformats.org/officeDocument/2006/relationships/image" Target="../media/image1.jpeg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 /><Relationship Id="rId1" Type="http://schemas.openxmlformats.org/officeDocument/2006/relationships/image" Target="../media/image4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0</xdr:rowOff>
    </xdr:from>
    <xdr:to>
      <xdr:col>7</xdr:col>
      <xdr:colOff>838200</xdr:colOff>
      <xdr:row>51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AD56986-BC9D-0CD3-AEAD-A0FD97167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9525</xdr:colOff>
      <xdr:row>2</xdr:row>
      <xdr:rowOff>9525</xdr:rowOff>
    </xdr:from>
    <xdr:to>
      <xdr:col>18</xdr:col>
      <xdr:colOff>285750</xdr:colOff>
      <xdr:row>40</xdr:row>
      <xdr:rowOff>152400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91DF8D24-8247-2B9C-9C4F-9D690BB0A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57200"/>
          <a:ext cx="4543425" cy="641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2</xdr:row>
      <xdr:rowOff>9525</xdr:rowOff>
    </xdr:from>
    <xdr:to>
      <xdr:col>19</xdr:col>
      <xdr:colOff>4133850</xdr:colOff>
      <xdr:row>41</xdr:row>
      <xdr:rowOff>57150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98F3BF45-BF29-2F95-A53B-0E8DD88A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457200"/>
          <a:ext cx="4581525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9525</xdr:rowOff>
    </xdr:from>
    <xdr:to>
      <xdr:col>15</xdr:col>
      <xdr:colOff>314325</xdr:colOff>
      <xdr:row>42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E3A3B0D-0647-9EA9-57F1-2F7DA372C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457200"/>
          <a:ext cx="4572000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</xdr:row>
      <xdr:rowOff>19050</xdr:rowOff>
    </xdr:from>
    <xdr:to>
      <xdr:col>17</xdr:col>
      <xdr:colOff>352425</xdr:colOff>
      <xdr:row>42</xdr:row>
      <xdr:rowOff>57150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A266293B-442E-62D4-E15C-F1778E84F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466725"/>
          <a:ext cx="4610100" cy="651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295275</xdr:colOff>
      <xdr:row>2</xdr:row>
      <xdr:rowOff>9525</xdr:rowOff>
    </xdr:from>
    <xdr:to>
      <xdr:col>24</xdr:col>
      <xdr:colOff>600075</xdr:colOff>
      <xdr:row>42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8CBD4FD9-F6F5-3354-FF3D-0A4620DCE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457200"/>
          <a:ext cx="4572000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7"/>
  <sheetViews>
    <sheetView topLeftCell="G1" workbookViewId="0">
      <selection activeCell="K4" sqref="K4"/>
    </sheetView>
  </sheetViews>
  <sheetFormatPr defaultRowHeight="12.75" x14ac:dyDescent="0.15"/>
  <cols>
    <col min="1" max="1" width="2.42578125" customWidth="1"/>
    <col min="2" max="2" width="14.29296875" customWidth="1"/>
    <col min="3" max="3" width="16.44921875" bestFit="1" customWidth="1"/>
    <col min="4" max="4" width="13.75390625" customWidth="1"/>
    <col min="5" max="5" width="2.42578125" customWidth="1"/>
    <col min="6" max="6" width="23.734375" bestFit="1" customWidth="1"/>
    <col min="7" max="7" width="2.42578125" customWidth="1"/>
    <col min="8" max="8" width="15.1015625" bestFit="1" customWidth="1"/>
    <col min="9" max="9" width="2.42578125" customWidth="1"/>
    <col min="10" max="10" width="2.42578125" style="9" customWidth="1"/>
    <col min="17" max="17" width="9.16796875" style="19"/>
    <col min="20" max="20" width="64.45703125" customWidth="1"/>
    <col min="21" max="21" width="2.42578125" customWidth="1"/>
    <col min="22" max="22" width="9.16796875" style="9"/>
  </cols>
  <sheetData>
    <row r="2" spans="2:18" ht="22.5" customHeight="1" x14ac:dyDescent="0.15">
      <c r="B2" s="7" t="s">
        <v>19</v>
      </c>
      <c r="L2" s="1" t="s">
        <v>101</v>
      </c>
    </row>
    <row r="3" spans="2:18" ht="12.75" customHeight="1" x14ac:dyDescent="0.15">
      <c r="B3" s="8" t="s">
        <v>92</v>
      </c>
    </row>
    <row r="4" spans="2:18" x14ac:dyDescent="0.15">
      <c r="B4" s="4"/>
      <c r="R4" s="10"/>
    </row>
    <row r="5" spans="2:18" x14ac:dyDescent="0.15">
      <c r="C5" s="1" t="s">
        <v>0</v>
      </c>
      <c r="F5" t="s">
        <v>22</v>
      </c>
      <c r="H5" t="s">
        <v>23</v>
      </c>
    </row>
    <row r="6" spans="2:18" x14ac:dyDescent="0.15">
      <c r="C6" s="6" t="s">
        <v>2</v>
      </c>
      <c r="D6" s="5">
        <v>2000</v>
      </c>
    </row>
    <row r="7" spans="2:18" x14ac:dyDescent="0.15">
      <c r="C7" s="6" t="s">
        <v>3</v>
      </c>
      <c r="D7" s="5">
        <v>400</v>
      </c>
    </row>
    <row r="8" spans="2:18" x14ac:dyDescent="0.15">
      <c r="C8" s="6" t="s">
        <v>55</v>
      </c>
      <c r="D8" s="5">
        <v>-4.2718240429999996</v>
      </c>
      <c r="F8" t="s">
        <v>21</v>
      </c>
    </row>
    <row r="9" spans="2:18" x14ac:dyDescent="0.15">
      <c r="C9" s="6" t="s">
        <v>56</v>
      </c>
      <c r="D9" s="5">
        <v>39.87182404</v>
      </c>
      <c r="F9" t="s">
        <v>21</v>
      </c>
    </row>
    <row r="10" spans="2:18" x14ac:dyDescent="0.15">
      <c r="C10" s="16" t="s">
        <v>32</v>
      </c>
      <c r="D10" s="17">
        <v>400</v>
      </c>
      <c r="F10" t="s">
        <v>51</v>
      </c>
    </row>
    <row r="11" spans="2:18" x14ac:dyDescent="0.15">
      <c r="D11" s="3"/>
    </row>
    <row r="12" spans="2:18" x14ac:dyDescent="0.15">
      <c r="C12" s="1" t="s">
        <v>1</v>
      </c>
      <c r="D12" s="3"/>
      <c r="F12" t="s">
        <v>90</v>
      </c>
    </row>
    <row r="13" spans="2:18" x14ac:dyDescent="0.15">
      <c r="C13" s="29" t="s">
        <v>6</v>
      </c>
      <c r="D13" s="24">
        <f>SQRT(((D15+D10) * (D15+D10)) + (D19 * D19))</f>
        <v>2126.0126201459716</v>
      </c>
      <c r="E13" s="25"/>
      <c r="F13" s="26" t="s">
        <v>33</v>
      </c>
    </row>
    <row r="14" spans="2:18" x14ac:dyDescent="0.15">
      <c r="C14" s="30" t="s">
        <v>7</v>
      </c>
      <c r="D14" s="20">
        <f>SQRT(((D16+D10) * (D16+D10)) + (D20 * D20))</f>
        <v>1881.4563761954287</v>
      </c>
      <c r="E14" s="19"/>
      <c r="F14" s="11" t="s">
        <v>34</v>
      </c>
    </row>
    <row r="15" spans="2:18" x14ac:dyDescent="0.15">
      <c r="C15" s="30" t="s">
        <v>5</v>
      </c>
      <c r="D15" s="20">
        <f>COS(RADIANS(D8)) * D7</f>
        <v>398.88875389142521</v>
      </c>
      <c r="E15" s="19"/>
      <c r="F15" s="11" t="s">
        <v>58</v>
      </c>
    </row>
    <row r="16" spans="2:18" x14ac:dyDescent="0.15">
      <c r="C16" s="30" t="s">
        <v>4</v>
      </c>
      <c r="D16" s="20">
        <f>COS(RADIANS(D9)) * D7</f>
        <v>306.99220016398851</v>
      </c>
      <c r="E16" s="19"/>
      <c r="F16" s="11" t="s">
        <v>59</v>
      </c>
    </row>
    <row r="17" spans="1:15" x14ac:dyDescent="0.15">
      <c r="C17" s="30" t="s">
        <v>8</v>
      </c>
      <c r="D17" s="20">
        <f>SIN(RADIANS(D8)) * D7</f>
        <v>-29.795335523299997</v>
      </c>
      <c r="E17" s="19"/>
      <c r="F17" s="11" t="s">
        <v>57</v>
      </c>
    </row>
    <row r="18" spans="1:15" x14ac:dyDescent="0.15">
      <c r="C18" s="30" t="s">
        <v>9</v>
      </c>
      <c r="D18" s="20">
        <f>SIN(RADIANS(D9)) * D7</f>
        <v>256.42891615118918</v>
      </c>
      <c r="E18" s="19"/>
      <c r="F18" s="11" t="s">
        <v>60</v>
      </c>
    </row>
    <row r="19" spans="1:15" x14ac:dyDescent="0.15">
      <c r="C19" s="30" t="s">
        <v>10</v>
      </c>
      <c r="D19" s="20">
        <f xml:space="preserve"> D6 + D17</f>
        <v>1970.2046644766999</v>
      </c>
      <c r="E19" s="19"/>
      <c r="F19" s="11" t="s">
        <v>17</v>
      </c>
    </row>
    <row r="20" spans="1:15" x14ac:dyDescent="0.15">
      <c r="C20" s="31" t="s">
        <v>16</v>
      </c>
      <c r="D20" s="21">
        <f>D6 - D18</f>
        <v>1743.5710838488108</v>
      </c>
      <c r="E20" s="22"/>
      <c r="F20" s="13" t="s">
        <v>18</v>
      </c>
    </row>
    <row r="21" spans="1:15" x14ac:dyDescent="0.15">
      <c r="D21" s="3"/>
    </row>
    <row r="22" spans="1:15" x14ac:dyDescent="0.15">
      <c r="C22" s="1" t="s">
        <v>11</v>
      </c>
      <c r="D22" s="3"/>
    </row>
    <row r="23" spans="1:15" x14ac:dyDescent="0.15">
      <c r="C23" s="6" t="s">
        <v>74</v>
      </c>
      <c r="D23" s="2">
        <f>D13 - D24</f>
        <v>2003.7344981707001</v>
      </c>
      <c r="F23" t="s">
        <v>14</v>
      </c>
    </row>
    <row r="24" spans="1:15" x14ac:dyDescent="0.15">
      <c r="C24" s="6" t="s">
        <v>73</v>
      </c>
      <c r="D24" s="2">
        <f>(D13 - D14) /2</f>
        <v>122.27812197527146</v>
      </c>
      <c r="F24" t="s">
        <v>15</v>
      </c>
    </row>
    <row r="25" spans="1:15" x14ac:dyDescent="0.15">
      <c r="B25" t="s">
        <v>12</v>
      </c>
      <c r="C25" s="6" t="s">
        <v>25</v>
      </c>
      <c r="D25" s="2">
        <f>2*(DEGREES(ATAN((D15+D10)/D19)))</f>
        <v>44.143648086225937</v>
      </c>
      <c r="F25" t="s">
        <v>35</v>
      </c>
      <c r="H25" t="s">
        <v>20</v>
      </c>
    </row>
    <row r="26" spans="1:15" x14ac:dyDescent="0.15">
      <c r="B26" t="s">
        <v>13</v>
      </c>
      <c r="C26" s="6" t="s">
        <v>26</v>
      </c>
      <c r="D26" s="2">
        <f>2*(DEGREES(ATAN((D16+D10)/D20)))</f>
        <v>44.14364808664525</v>
      </c>
      <c r="F26" t="s">
        <v>36</v>
      </c>
      <c r="H26" t="s">
        <v>20</v>
      </c>
      <c r="L26" s="2"/>
      <c r="M26" s="2"/>
      <c r="N26" s="2"/>
      <c r="O26" s="2"/>
    </row>
    <row r="27" spans="1:15" x14ac:dyDescent="0.15">
      <c r="C27" s="6" t="s">
        <v>64</v>
      </c>
      <c r="D27" s="2">
        <f xml:space="preserve"> (D25+D26)/2</f>
        <v>44.14364808643559</v>
      </c>
      <c r="F27" t="s">
        <v>65</v>
      </c>
      <c r="H27" t="s">
        <v>66</v>
      </c>
    </row>
    <row r="28" spans="1:15" x14ac:dyDescent="0.15">
      <c r="A28" s="22"/>
      <c r="B28" s="22"/>
      <c r="C28" s="22"/>
      <c r="D28" s="22"/>
      <c r="E28" s="22"/>
      <c r="F28" s="22"/>
      <c r="G28" s="22"/>
      <c r="H28" s="22"/>
      <c r="I28" s="13"/>
    </row>
    <row r="30" spans="1:15" ht="22.5" customHeight="1" x14ac:dyDescent="0.15">
      <c r="B30" s="1" t="s">
        <v>24</v>
      </c>
    </row>
    <row r="31" spans="1:15" x14ac:dyDescent="0.15">
      <c r="B31" t="s">
        <v>97</v>
      </c>
    </row>
    <row r="33" spans="3:4" x14ac:dyDescent="0.15">
      <c r="C33" t="s">
        <v>98</v>
      </c>
    </row>
    <row r="34" spans="3:4" x14ac:dyDescent="0.15">
      <c r="C34" t="s">
        <v>31</v>
      </c>
      <c r="D34" t="s">
        <v>30</v>
      </c>
    </row>
    <row r="35" spans="3:4" x14ac:dyDescent="0.15">
      <c r="C35" s="9">
        <v>0</v>
      </c>
      <c r="D35" s="11">
        <f xml:space="preserve"> D9 * (-1)</f>
        <v>-39.87182404</v>
      </c>
    </row>
    <row r="36" spans="3:4" x14ac:dyDescent="0.15">
      <c r="C36" s="9">
        <f xml:space="preserve"> 180 - D55</f>
        <v>179.99999999958069</v>
      </c>
      <c r="D36" s="11">
        <f xml:space="preserve"> D8</f>
        <v>-4.2718240429999996</v>
      </c>
    </row>
    <row r="37" spans="3:4" x14ac:dyDescent="0.15">
      <c r="C37" s="9">
        <v>360</v>
      </c>
      <c r="D37" s="11">
        <f xml:space="preserve"> D9 * (-1)</f>
        <v>-39.87182404</v>
      </c>
    </row>
    <row r="38" spans="3:4" x14ac:dyDescent="0.15">
      <c r="C38" s="12">
        <f xml:space="preserve"> 540 - D55</f>
        <v>539.99999999958072</v>
      </c>
      <c r="D38" s="13">
        <f xml:space="preserve"> D8</f>
        <v>-4.2718240429999996</v>
      </c>
    </row>
    <row r="39" spans="3:4" x14ac:dyDescent="0.15">
      <c r="C39" s="9" t="s">
        <v>28</v>
      </c>
      <c r="D39" s="11"/>
    </row>
    <row r="40" spans="3:4" x14ac:dyDescent="0.15">
      <c r="C40" s="9">
        <v>0</v>
      </c>
      <c r="D40" s="11">
        <f xml:space="preserve"> D9 * (-1)</f>
        <v>-39.87182404</v>
      </c>
    </row>
    <row r="41" spans="3:4" x14ac:dyDescent="0.15">
      <c r="C41" s="9">
        <f xml:space="preserve"> 180 + D55</f>
        <v>180.00000000041931</v>
      </c>
      <c r="D41" s="11">
        <f xml:space="preserve"> D8</f>
        <v>-4.2718240429999996</v>
      </c>
    </row>
    <row r="42" spans="3:4" x14ac:dyDescent="0.15">
      <c r="C42" s="9">
        <v>360</v>
      </c>
      <c r="D42" s="11">
        <f xml:space="preserve"> D9 * (-1)</f>
        <v>-39.87182404</v>
      </c>
    </row>
    <row r="43" spans="3:4" x14ac:dyDescent="0.15">
      <c r="C43" s="12">
        <f xml:space="preserve"> 540 + D55</f>
        <v>540.00000000041928</v>
      </c>
      <c r="D43" s="15">
        <f xml:space="preserve"> D8</f>
        <v>-4.2718240429999996</v>
      </c>
    </row>
    <row r="44" spans="3:4" x14ac:dyDescent="0.15">
      <c r="C44" s="9" t="s">
        <v>29</v>
      </c>
      <c r="D44" s="11"/>
    </row>
    <row r="45" spans="3:4" x14ac:dyDescent="0.15">
      <c r="C45" s="9">
        <v>0</v>
      </c>
      <c r="D45" s="11">
        <f xml:space="preserve"> D9 * (-1)</f>
        <v>-39.87182404</v>
      </c>
    </row>
    <row r="46" spans="3:4" x14ac:dyDescent="0.15">
      <c r="C46" s="9">
        <v>180</v>
      </c>
      <c r="D46" s="11">
        <f xml:space="preserve"> D8</f>
        <v>-4.2718240429999996</v>
      </c>
    </row>
    <row r="47" spans="3:4" x14ac:dyDescent="0.15">
      <c r="C47" s="9">
        <v>360</v>
      </c>
      <c r="D47" s="11">
        <f xml:space="preserve"> D9 * (-1)</f>
        <v>-39.87182404</v>
      </c>
    </row>
    <row r="48" spans="3:4" x14ac:dyDescent="0.15">
      <c r="C48" s="14">
        <v>540</v>
      </c>
      <c r="D48" s="15">
        <f xml:space="preserve"> D8</f>
        <v>-4.2718240429999996</v>
      </c>
    </row>
    <row r="52" spans="1:9" x14ac:dyDescent="0.15">
      <c r="F52" t="s">
        <v>22</v>
      </c>
    </row>
    <row r="54" spans="1:9" x14ac:dyDescent="0.15">
      <c r="C54" s="2" t="s">
        <v>67</v>
      </c>
      <c r="E54" s="2"/>
    </row>
    <row r="55" spans="1:9" x14ac:dyDescent="0.15">
      <c r="C55" s="6" t="s">
        <v>95</v>
      </c>
      <c r="D55" s="2">
        <f xml:space="preserve"> D26 - D25</f>
        <v>4.1931258465410792E-10</v>
      </c>
      <c r="E55" s="2"/>
      <c r="F55" s="2" t="s">
        <v>27</v>
      </c>
    </row>
    <row r="56" spans="1:9" x14ac:dyDescent="0.15">
      <c r="C56" s="6" t="s">
        <v>64</v>
      </c>
      <c r="D56" s="2">
        <f xml:space="preserve"> D55/2</f>
        <v>2.0965629232705396E-10</v>
      </c>
      <c r="E56" s="2"/>
      <c r="F56" s="2" t="s">
        <v>96</v>
      </c>
    </row>
    <row r="57" spans="1:9" x14ac:dyDescent="0.15">
      <c r="A57" s="22"/>
      <c r="B57" s="22"/>
      <c r="C57" s="22"/>
      <c r="D57" s="22"/>
      <c r="E57" s="22"/>
      <c r="F57" s="22"/>
      <c r="G57" s="22"/>
      <c r="H57" s="22"/>
      <c r="I57" s="13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6"/>
  <sheetViews>
    <sheetView workbookViewId="0">
      <selection activeCell="Q1" sqref="Q1:Q65536"/>
    </sheetView>
  </sheetViews>
  <sheetFormatPr defaultRowHeight="12.75" x14ac:dyDescent="0.15"/>
  <cols>
    <col min="1" max="1" width="2.42578125" customWidth="1"/>
    <col min="2" max="2" width="12.5390625" customWidth="1"/>
    <col min="3" max="3" width="16.44921875" bestFit="1" customWidth="1"/>
    <col min="4" max="4" width="12.40625" customWidth="1"/>
    <col min="5" max="5" width="2.42578125" customWidth="1"/>
    <col min="6" max="6" width="30.609375" bestFit="1" customWidth="1"/>
    <col min="7" max="7" width="2.42578125" customWidth="1"/>
    <col min="8" max="8" width="9.16796875" style="9"/>
    <col min="17" max="17" width="9.16796875" style="9"/>
  </cols>
  <sheetData>
    <row r="2" spans="2:9" ht="22.5" customHeight="1" x14ac:dyDescent="0.15">
      <c r="B2" s="7" t="s">
        <v>19</v>
      </c>
      <c r="I2" s="1" t="s">
        <v>101</v>
      </c>
    </row>
    <row r="3" spans="2:9" x14ac:dyDescent="0.15">
      <c r="B3" t="s">
        <v>87</v>
      </c>
    </row>
    <row r="4" spans="2:9" x14ac:dyDescent="0.15">
      <c r="B4" t="s">
        <v>88</v>
      </c>
    </row>
    <row r="6" spans="2:9" x14ac:dyDescent="0.15">
      <c r="C6" s="1" t="s">
        <v>0</v>
      </c>
    </row>
    <row r="7" spans="2:9" x14ac:dyDescent="0.15">
      <c r="C7" s="6" t="s">
        <v>2</v>
      </c>
      <c r="D7" s="5">
        <v>2000</v>
      </c>
      <c r="E7" s="20"/>
    </row>
    <row r="8" spans="2:9" x14ac:dyDescent="0.15">
      <c r="C8" s="6" t="s">
        <v>3</v>
      </c>
      <c r="D8" s="5">
        <v>400</v>
      </c>
      <c r="E8" s="20"/>
    </row>
    <row r="9" spans="2:9" x14ac:dyDescent="0.15">
      <c r="C9" s="6" t="s">
        <v>91</v>
      </c>
      <c r="D9" s="5">
        <v>35.6</v>
      </c>
      <c r="E9" s="20"/>
      <c r="F9" t="s">
        <v>72</v>
      </c>
    </row>
    <row r="10" spans="2:9" x14ac:dyDescent="0.15">
      <c r="C10" s="16" t="s">
        <v>32</v>
      </c>
      <c r="D10" s="5">
        <v>400</v>
      </c>
      <c r="E10" s="20"/>
    </row>
    <row r="11" spans="2:9" x14ac:dyDescent="0.15">
      <c r="D11" s="2"/>
      <c r="E11" s="2"/>
    </row>
    <row r="12" spans="2:9" x14ac:dyDescent="0.15">
      <c r="C12" s="1" t="s">
        <v>1</v>
      </c>
      <c r="D12" s="2"/>
      <c r="E12" s="2"/>
      <c r="F12" t="s">
        <v>90</v>
      </c>
    </row>
    <row r="13" spans="2:9" x14ac:dyDescent="0.15">
      <c r="C13" s="23" t="s">
        <v>77</v>
      </c>
      <c r="D13" s="24">
        <f>(DEGREES(ATAN(D10/D7)))</f>
        <v>11.309932474020215</v>
      </c>
      <c r="E13" s="24"/>
      <c r="F13" s="26" t="s">
        <v>68</v>
      </c>
    </row>
    <row r="14" spans="2:9" x14ac:dyDescent="0.15">
      <c r="C14" s="27" t="s">
        <v>80</v>
      </c>
      <c r="D14" s="20">
        <f>SQRT((D10*D10)+(D7*D7))</f>
        <v>2039.6078054371139</v>
      </c>
      <c r="E14" s="20"/>
      <c r="F14" s="11" t="s">
        <v>69</v>
      </c>
    </row>
    <row r="15" spans="2:9" x14ac:dyDescent="0.15">
      <c r="C15" s="27" t="s">
        <v>78</v>
      </c>
      <c r="D15" s="20">
        <f xml:space="preserve"> D9/2</f>
        <v>17.8</v>
      </c>
      <c r="E15" s="20"/>
      <c r="F15" s="11" t="s">
        <v>70</v>
      </c>
    </row>
    <row r="16" spans="2:9" x14ac:dyDescent="0.15">
      <c r="C16" s="27" t="s">
        <v>79</v>
      </c>
      <c r="D16" s="20">
        <f xml:space="preserve"> (COS(RADIANS(D15)))*D8</f>
        <v>380.85175709685547</v>
      </c>
      <c r="E16" s="20"/>
      <c r="F16" s="11" t="s">
        <v>71</v>
      </c>
    </row>
    <row r="17" spans="1:7" x14ac:dyDescent="0.15">
      <c r="C17" s="27" t="s">
        <v>64</v>
      </c>
      <c r="D17" s="20">
        <f>(90-((DEGREES(ACOS(D16/D14)))))</f>
        <v>10.761891569099646</v>
      </c>
      <c r="E17" s="20"/>
      <c r="F17" s="11" t="s">
        <v>84</v>
      </c>
    </row>
    <row r="18" spans="1:7" x14ac:dyDescent="0.15">
      <c r="C18" s="28" t="s">
        <v>82</v>
      </c>
      <c r="D18" s="21">
        <f xml:space="preserve"> D17+D13</f>
        <v>22.071824043119861</v>
      </c>
      <c r="E18" s="21"/>
      <c r="F18" s="13" t="s">
        <v>81</v>
      </c>
    </row>
    <row r="19" spans="1:7" x14ac:dyDescent="0.15">
      <c r="D19" s="2"/>
      <c r="E19" s="2"/>
    </row>
    <row r="20" spans="1:7" x14ac:dyDescent="0.15">
      <c r="C20" s="18" t="s">
        <v>11</v>
      </c>
      <c r="D20" s="2"/>
      <c r="E20" s="2"/>
    </row>
    <row r="21" spans="1:7" x14ac:dyDescent="0.15">
      <c r="C21" s="6" t="s">
        <v>73</v>
      </c>
      <c r="D21" s="2">
        <f>(SIN(RADIANS(D15)))*D8</f>
        <v>122.27812198524227</v>
      </c>
      <c r="E21" s="2"/>
      <c r="F21" t="s">
        <v>83</v>
      </c>
    </row>
    <row r="22" spans="1:7" x14ac:dyDescent="0.15">
      <c r="C22" s="6" t="s">
        <v>75</v>
      </c>
      <c r="D22" s="2">
        <f xml:space="preserve"> D18*2</f>
        <v>44.143648086239722</v>
      </c>
      <c r="E22" s="2"/>
      <c r="F22" t="s">
        <v>76</v>
      </c>
    </row>
    <row r="23" spans="1:7" x14ac:dyDescent="0.15">
      <c r="C23" s="6" t="s">
        <v>74</v>
      </c>
      <c r="D23" s="2">
        <f xml:space="preserve"> SQRT((D14*D14)-(D16*D16)) -D21</f>
        <v>1881.4563761746906</v>
      </c>
      <c r="E23" s="2"/>
      <c r="F23" t="s">
        <v>85</v>
      </c>
    </row>
    <row r="24" spans="1:7" x14ac:dyDescent="0.15">
      <c r="C24" s="6" t="s">
        <v>55</v>
      </c>
      <c r="D24" s="2">
        <f>-1*(D18 - D15)</f>
        <v>-4.2718240431198602</v>
      </c>
      <c r="E24" s="2"/>
      <c r="F24" t="s">
        <v>86</v>
      </c>
    </row>
    <row r="25" spans="1:7" x14ac:dyDescent="0.15">
      <c r="C25" s="6" t="s">
        <v>56</v>
      </c>
      <c r="D25">
        <f xml:space="preserve"> (-1) * (D24-D9)</f>
        <v>39.871824043119858</v>
      </c>
      <c r="F25" t="s">
        <v>89</v>
      </c>
    </row>
    <row r="26" spans="1:7" x14ac:dyDescent="0.15">
      <c r="A26" s="22"/>
      <c r="B26" s="22"/>
      <c r="C26" s="22"/>
      <c r="D26" s="21"/>
      <c r="E26" s="21"/>
      <c r="F26" s="22"/>
      <c r="G26" s="13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30"/>
  <sheetViews>
    <sheetView workbookViewId="0">
      <selection activeCell="J7" sqref="J7"/>
    </sheetView>
  </sheetViews>
  <sheetFormatPr defaultRowHeight="12.75" x14ac:dyDescent="0.15"/>
  <cols>
    <col min="1" max="1" width="2.42578125" customWidth="1"/>
    <col min="2" max="2" width="14.29296875" customWidth="1"/>
    <col min="3" max="3" width="16.44921875" bestFit="1" customWidth="1"/>
    <col min="4" max="4" width="12.40625" style="2" customWidth="1"/>
    <col min="5" max="5" width="2.42578125" customWidth="1"/>
    <col min="6" max="6" width="23.734375" bestFit="1" customWidth="1"/>
    <col min="7" max="7" width="2.42578125" customWidth="1"/>
    <col min="8" max="8" width="15.1015625" bestFit="1" customWidth="1"/>
    <col min="9" max="9" width="2.42578125" customWidth="1"/>
    <col min="10" max="10" width="9.16796875" style="9"/>
    <col min="17" max="17" width="9.16796875" style="19"/>
    <col min="27" max="27" width="9.16796875" style="9"/>
  </cols>
  <sheetData>
    <row r="2" spans="2:18" ht="22.5" customHeight="1" x14ac:dyDescent="0.15">
      <c r="B2" s="7" t="s">
        <v>19</v>
      </c>
      <c r="K2" s="1" t="s">
        <v>101</v>
      </c>
    </row>
    <row r="3" spans="2:18" x14ac:dyDescent="0.15">
      <c r="B3" s="8" t="s">
        <v>94</v>
      </c>
    </row>
    <row r="4" spans="2:18" x14ac:dyDescent="0.15">
      <c r="R4" s="10"/>
    </row>
    <row r="5" spans="2:18" x14ac:dyDescent="0.15">
      <c r="C5" s="7" t="s">
        <v>0</v>
      </c>
      <c r="F5" t="s">
        <v>22</v>
      </c>
      <c r="H5" t="s">
        <v>23</v>
      </c>
    </row>
    <row r="6" spans="2:18" x14ac:dyDescent="0.15">
      <c r="C6" s="6" t="s">
        <v>2</v>
      </c>
      <c r="D6" s="5">
        <v>1000</v>
      </c>
      <c r="E6" s="19"/>
    </row>
    <row r="7" spans="2:18" x14ac:dyDescent="0.15">
      <c r="C7" s="6" t="s">
        <v>3</v>
      </c>
      <c r="D7" s="5">
        <v>200</v>
      </c>
      <c r="E7" s="19"/>
    </row>
    <row r="8" spans="2:18" x14ac:dyDescent="0.15">
      <c r="C8" s="6" t="s">
        <v>55</v>
      </c>
      <c r="D8" s="5">
        <v>30</v>
      </c>
      <c r="E8" s="19"/>
      <c r="F8" t="s">
        <v>39</v>
      </c>
    </row>
    <row r="9" spans="2:18" x14ac:dyDescent="0.15">
      <c r="C9" s="6" t="s">
        <v>56</v>
      </c>
      <c r="D9" s="5">
        <v>30</v>
      </c>
      <c r="E9" s="19"/>
      <c r="F9" t="s">
        <v>39</v>
      </c>
    </row>
    <row r="10" spans="2:18" x14ac:dyDescent="0.15">
      <c r="C10" s="6" t="s">
        <v>37</v>
      </c>
      <c r="D10" s="5">
        <v>200</v>
      </c>
      <c r="E10" s="19"/>
      <c r="F10" t="s">
        <v>51</v>
      </c>
    </row>
    <row r="11" spans="2:18" x14ac:dyDescent="0.15">
      <c r="C11" s="6" t="s">
        <v>38</v>
      </c>
      <c r="D11" s="5">
        <v>500</v>
      </c>
      <c r="E11" s="19"/>
      <c r="F11" t="s">
        <v>50</v>
      </c>
    </row>
    <row r="13" spans="2:18" x14ac:dyDescent="0.15">
      <c r="C13" s="18" t="s">
        <v>40</v>
      </c>
      <c r="F13" t="s">
        <v>90</v>
      </c>
    </row>
    <row r="14" spans="2:18" x14ac:dyDescent="0.15">
      <c r="C14" s="23" t="s">
        <v>42</v>
      </c>
      <c r="D14" s="24">
        <f xml:space="preserve"> (D16 + D10) - D11</f>
        <v>-126.79491924311225</v>
      </c>
      <c r="E14" s="25"/>
      <c r="F14" s="26" t="s">
        <v>43</v>
      </c>
    </row>
    <row r="15" spans="2:18" x14ac:dyDescent="0.15">
      <c r="C15" s="27" t="s">
        <v>41</v>
      </c>
      <c r="D15" s="20">
        <f xml:space="preserve"> (D17 + D10) - D11</f>
        <v>-126.79491924311225</v>
      </c>
      <c r="E15" s="19"/>
      <c r="F15" s="11" t="s">
        <v>44</v>
      </c>
    </row>
    <row r="16" spans="2:18" x14ac:dyDescent="0.15">
      <c r="C16" s="27" t="s">
        <v>5</v>
      </c>
      <c r="D16" s="20">
        <f>COS(RADIANS(D8)) * D7</f>
        <v>173.20508075688775</v>
      </c>
      <c r="E16" s="19"/>
      <c r="F16" s="11" t="s">
        <v>62</v>
      </c>
    </row>
    <row r="17" spans="2:8" x14ac:dyDescent="0.15">
      <c r="C17" s="27" t="s">
        <v>4</v>
      </c>
      <c r="D17" s="20">
        <f>COS(RADIANS(D9)) * D7</f>
        <v>173.20508075688775</v>
      </c>
      <c r="E17" s="19"/>
      <c r="F17" s="11" t="s">
        <v>59</v>
      </c>
    </row>
    <row r="18" spans="2:8" x14ac:dyDescent="0.15">
      <c r="C18" s="27" t="s">
        <v>6</v>
      </c>
      <c r="D18" s="20">
        <f>SQRT((D14*D14) + (D20*D20))</f>
        <v>1107.2835912926134</v>
      </c>
      <c r="E18" s="19"/>
      <c r="F18" s="11" t="s">
        <v>45</v>
      </c>
    </row>
    <row r="19" spans="2:8" x14ac:dyDescent="0.15">
      <c r="C19" s="27" t="s">
        <v>7</v>
      </c>
      <c r="D19" s="20">
        <f>SQRT((D15*D15) + (D21*D21))</f>
        <v>908.88775519635396</v>
      </c>
      <c r="E19" s="19"/>
      <c r="F19" s="11" t="s">
        <v>46</v>
      </c>
    </row>
    <row r="20" spans="2:8" x14ac:dyDescent="0.15">
      <c r="C20" s="27" t="s">
        <v>10</v>
      </c>
      <c r="D20" s="20">
        <f xml:space="preserve"> D6 + D22</f>
        <v>1100</v>
      </c>
      <c r="E20" s="19"/>
      <c r="F20" s="11" t="s">
        <v>49</v>
      </c>
    </row>
    <row r="21" spans="2:8" x14ac:dyDescent="0.15">
      <c r="C21" s="27" t="s">
        <v>16</v>
      </c>
      <c r="D21" s="20">
        <f xml:space="preserve"> D6 - D23</f>
        <v>900</v>
      </c>
      <c r="E21" s="19"/>
      <c r="F21" s="11" t="s">
        <v>52</v>
      </c>
    </row>
    <row r="22" spans="2:8" x14ac:dyDescent="0.15">
      <c r="C22" s="27" t="s">
        <v>8</v>
      </c>
      <c r="D22" s="20">
        <f>SIN(RADIANS(D8)) * D7</f>
        <v>99.999999999999986</v>
      </c>
      <c r="E22" s="19"/>
      <c r="F22" s="11" t="s">
        <v>63</v>
      </c>
    </row>
    <row r="23" spans="2:8" x14ac:dyDescent="0.15">
      <c r="C23" s="28" t="s">
        <v>9</v>
      </c>
      <c r="D23" s="21">
        <f>SIN(RADIANS(D9)) * D7</f>
        <v>99.999999999999986</v>
      </c>
      <c r="E23" s="22"/>
      <c r="F23" s="13" t="s">
        <v>61</v>
      </c>
    </row>
    <row r="25" spans="2:8" x14ac:dyDescent="0.15">
      <c r="C25" s="18" t="s">
        <v>11</v>
      </c>
    </row>
    <row r="26" spans="2:8" x14ac:dyDescent="0.15">
      <c r="C26" s="6" t="s">
        <v>74</v>
      </c>
      <c r="D26" s="2">
        <f xml:space="preserve"> D18 - D27</f>
        <v>1008.0856732444837</v>
      </c>
      <c r="F26" t="s">
        <v>47</v>
      </c>
    </row>
    <row r="27" spans="2:8" x14ac:dyDescent="0.15">
      <c r="C27" s="6" t="s">
        <v>73</v>
      </c>
      <c r="D27" s="2">
        <f xml:space="preserve"> (D18 - D19) /2</f>
        <v>99.197918048129736</v>
      </c>
      <c r="F27" t="s">
        <v>48</v>
      </c>
    </row>
    <row r="28" spans="2:8" x14ac:dyDescent="0.15">
      <c r="B28" t="s">
        <v>12</v>
      </c>
      <c r="C28" s="6" t="s">
        <v>25</v>
      </c>
      <c r="D28" s="2">
        <f>DEGREES(ATAN(D14/D20))</f>
        <v>-6.575356914908757</v>
      </c>
      <c r="F28" t="s">
        <v>53</v>
      </c>
      <c r="H28" t="s">
        <v>20</v>
      </c>
    </row>
    <row r="29" spans="2:8" x14ac:dyDescent="0.15">
      <c r="B29" t="s">
        <v>13</v>
      </c>
      <c r="C29" s="6" t="s">
        <v>26</v>
      </c>
      <c r="D29" s="2">
        <f>DEGREES(ATAN(D15/D21))</f>
        <v>-8.0192376809895922</v>
      </c>
      <c r="F29" t="s">
        <v>54</v>
      </c>
      <c r="H29" t="s">
        <v>20</v>
      </c>
    </row>
    <row r="30" spans="2:8" x14ac:dyDescent="0.15">
      <c r="C30" s="6" t="s">
        <v>64</v>
      </c>
      <c r="D30" s="2">
        <f xml:space="preserve"> (D28 + D29)/2</f>
        <v>-7.297297297949175</v>
      </c>
      <c r="F30" t="s">
        <v>93</v>
      </c>
      <c r="H30" t="s">
        <v>66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tabSelected="1" workbookViewId="0">
      <selection activeCell="B9" sqref="B9"/>
    </sheetView>
  </sheetViews>
  <sheetFormatPr defaultRowHeight="12.75" x14ac:dyDescent="0.15"/>
  <cols>
    <col min="1" max="1" width="2.42578125" customWidth="1"/>
    <col min="2" max="2" width="82.80078125" bestFit="1" customWidth="1"/>
    <col min="3" max="3" width="2.42578125" customWidth="1"/>
    <col min="4" max="4" width="9.16796875" style="9"/>
  </cols>
  <sheetData>
    <row r="2" spans="2:2" ht="22.5" customHeight="1" x14ac:dyDescent="0.15">
      <c r="B2" s="1" t="s">
        <v>99</v>
      </c>
    </row>
    <row r="4" spans="2:2" x14ac:dyDescent="0.15">
      <c r="B4" t="s">
        <v>100</v>
      </c>
    </row>
    <row r="6" spans="2:2" x14ac:dyDescent="0.15">
      <c r="B6" t="s">
        <v>102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Staggered Crank</vt:lpstr>
      <vt:lpstr>"Perfect" Staggered Crank</vt:lpstr>
      <vt:lpstr>Duel Crank</vt:lpstr>
      <vt:lpstr>Help and Information</vt:lpstr>
    </vt:vector>
  </TitlesOfParts>
  <Company>Sakal Glass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X</cp:lastModifiedBy>
  <dcterms:created xsi:type="dcterms:W3CDTF">2022-03-23T12:56:19Z</dcterms:created>
  <dcterms:modified xsi:type="dcterms:W3CDTF">2022-07-13T19:55:07Z</dcterms:modified>
</cp:coreProperties>
</file>