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0cc\AC\Temp\"/>
    </mc:Choice>
  </mc:AlternateContent>
  <xr:revisionPtr revIDLastSave="0" documentId="13_ncr:1000001_{144067C9-0D4C-0A4F-80D9-7FB6EC325198}" xr6:coauthVersionLast="47" xr6:coauthVersionMax="47" xr10:uidLastSave="{00000000-0000-0000-0000-000000000000}"/>
  <bookViews>
    <workbookView xWindow="-60" yWindow="-60" windowWidth="15480" windowHeight="11640" activeTab="4" xr2:uid="{00000000-000D-0000-FFFF-FFFF00000000}"/>
  </bookViews>
  <sheets>
    <sheet name="Staggered Crank" sheetId="1" r:id="rId1"/>
    <sheet name="&quot;Perfect&quot; Staggered Crank" sheetId="7" r:id="rId2"/>
    <sheet name="&quot;Inside-out&quot; Staggered Crank" sheetId="9" r:id="rId3"/>
    <sheet name="Duel Crank" sheetId="2" r:id="rId4"/>
    <sheet name="Help and Information" sheetId="8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7" l="1"/>
  <c r="D15" i="7"/>
  <c r="D16" i="7"/>
  <c r="D23" i="7"/>
  <c r="D15" i="9"/>
  <c r="D17" i="9"/>
  <c r="D19" i="9"/>
  <c r="D26" i="9"/>
  <c r="D16" i="9"/>
  <c r="D18" i="9"/>
  <c r="D20" i="9"/>
  <c r="D25" i="9"/>
  <c r="D14" i="9"/>
  <c r="D13" i="9"/>
  <c r="D27" i="9"/>
  <c r="D24" i="9"/>
  <c r="D23" i="9"/>
  <c r="D13" i="7"/>
  <c r="D17" i="7"/>
  <c r="D18" i="7"/>
  <c r="D21" i="7"/>
  <c r="D22" i="7"/>
  <c r="D24" i="7"/>
  <c r="D25" i="7"/>
  <c r="D16" i="2"/>
  <c r="D14" i="2"/>
  <c r="D17" i="2"/>
  <c r="D15" i="2"/>
  <c r="D22" i="2"/>
  <c r="D20" i="2"/>
  <c r="D18" i="2"/>
  <c r="D23" i="2"/>
  <c r="D21" i="2"/>
  <c r="D19" i="2"/>
  <c r="D27" i="2"/>
  <c r="D26" i="2"/>
  <c r="D28" i="2"/>
  <c r="D29" i="2"/>
  <c r="D30" i="2"/>
  <c r="D15" i="1"/>
  <c r="D17" i="1"/>
  <c r="D19" i="1"/>
  <c r="D13" i="1"/>
  <c r="D16" i="1"/>
  <c r="D18" i="1"/>
  <c r="D20" i="1"/>
  <c r="D14" i="1"/>
  <c r="D24" i="1"/>
  <c r="D23" i="1"/>
  <c r="D25" i="1"/>
  <c r="D26" i="1"/>
  <c r="D27" i="1"/>
  <c r="D35" i="1"/>
  <c r="D55" i="1"/>
  <c r="C36" i="1"/>
  <c r="D36" i="1"/>
  <c r="D37" i="1"/>
  <c r="C38" i="1"/>
  <c r="D38" i="1"/>
  <c r="D40" i="1"/>
  <c r="C41" i="1"/>
  <c r="D41" i="1"/>
  <c r="D42" i="1"/>
  <c r="C43" i="1"/>
  <c r="D43" i="1"/>
  <c r="D45" i="1"/>
  <c r="D46" i="1"/>
  <c r="D47" i="1"/>
  <c r="D48" i="1"/>
  <c r="D56" i="1"/>
</calcChain>
</file>

<file path=xl/sharedStrings.xml><?xml version="1.0" encoding="utf-8"?>
<sst xmlns="http://schemas.openxmlformats.org/spreadsheetml/2006/main" count="197" uniqueCount="107">
  <si>
    <t>Inputs</t>
  </si>
  <si>
    <t>Place holders</t>
  </si>
  <si>
    <t xml:space="preserve">H: </t>
  </si>
  <si>
    <t xml:space="preserve">W: </t>
  </si>
  <si>
    <t xml:space="preserve">Y2: </t>
  </si>
  <si>
    <t xml:space="preserve">Y1: </t>
  </si>
  <si>
    <t xml:space="preserve">Z1: </t>
  </si>
  <si>
    <t xml:space="preserve">Z2: </t>
  </si>
  <si>
    <t xml:space="preserve">H2: </t>
  </si>
  <si>
    <t xml:space="preserve">H3: </t>
  </si>
  <si>
    <t xml:space="preserve">Ha: </t>
  </si>
  <si>
    <t>Outputs</t>
  </si>
  <si>
    <t>For wings up</t>
  </si>
  <si>
    <t>For wings down</t>
  </si>
  <si>
    <t>(Z1 - Z2) /2</t>
  </si>
  <si>
    <t xml:space="preserve">Hb: </t>
  </si>
  <si>
    <t>H + H2</t>
  </si>
  <si>
    <t>H - H3</t>
  </si>
  <si>
    <t>Ornithopter Crank Calculator</t>
  </si>
  <si>
    <t>Crank angle</t>
  </si>
  <si>
    <t>in Degrees</t>
  </si>
  <si>
    <t>Notes</t>
  </si>
  <si>
    <t>Type</t>
  </si>
  <si>
    <t>Graphing</t>
  </si>
  <si>
    <t xml:space="preserve">AxU: </t>
  </si>
  <si>
    <t xml:space="preserve">AxD: </t>
  </si>
  <si>
    <t>X = AxD - AxU</t>
  </si>
  <si>
    <t>Right wing</t>
  </si>
  <si>
    <t>common</t>
  </si>
  <si>
    <t>angle y axis</t>
  </si>
  <si>
    <t>phase x axis</t>
  </si>
  <si>
    <t xml:space="preserve">D: </t>
  </si>
  <si>
    <t>SQRT{(Y1 + D)^2 + (Ha)^2}</t>
  </si>
  <si>
    <t>SQRT{(Y2 + D)^2 + (Hb)^2}</t>
  </si>
  <si>
    <t>2* (aTan((Y1+D) / Ha))</t>
  </si>
  <si>
    <t>2* (aTan((Y2+D) / Hb))</t>
  </si>
  <si>
    <t xml:space="preserve">D1: </t>
  </si>
  <si>
    <t xml:space="preserve">D2: </t>
  </si>
  <si>
    <t xml:space="preserve">in degrees </t>
  </si>
  <si>
    <t>Place Holders</t>
  </si>
  <si>
    <t xml:space="preserve">D4: </t>
  </si>
  <si>
    <t xml:space="preserve">D3: </t>
  </si>
  <si>
    <t>D3 = (Y1 + D1) - D2</t>
  </si>
  <si>
    <t>D4 = (Y2 + D1) - D2</t>
  </si>
  <si>
    <t>SQRT{(D3)^2 + (Ha)^2}</t>
  </si>
  <si>
    <t>SQRT{(D4)^2 + (Hb)^2}</t>
  </si>
  <si>
    <t>Ha = H + H2</t>
  </si>
  <si>
    <t>Hb = H - H3</t>
  </si>
  <si>
    <t xml:space="preserve">Dihedral: </t>
  </si>
  <si>
    <t xml:space="preserve">Anhedral: </t>
  </si>
  <si>
    <t>W(SIN(Dihedral))</t>
  </si>
  <si>
    <t>W(COS(Dihedral))</t>
  </si>
  <si>
    <t>W(COS(Anhedral))</t>
  </si>
  <si>
    <t>W(SIN(Anhedral))</t>
  </si>
  <si>
    <t>H3 = W(SIN(Anhedral))</t>
  </si>
  <si>
    <t>W(COS((Dihedral))</t>
  </si>
  <si>
    <t>H2 = W(SIN(Dihedral))</t>
  </si>
  <si>
    <t xml:space="preserve">Ax: </t>
  </si>
  <si>
    <t>(AxD + AxU)/2</t>
  </si>
  <si>
    <t>Avg. Crank angle</t>
  </si>
  <si>
    <t xml:space="preserve"> Maximum degree out of phase: </t>
  </si>
  <si>
    <t>ATAN(D/H)</t>
  </si>
  <si>
    <t>SQRT((D^2) + (H^2))</t>
  </si>
  <si>
    <t xml:space="preserve">Flap angle/2 </t>
  </si>
  <si>
    <t>COS(Aa)W</t>
  </si>
  <si>
    <t xml:space="preserve">Crank Radii: </t>
  </si>
  <si>
    <t xml:space="preserve">Linkage Length: </t>
  </si>
  <si>
    <t xml:space="preserve">Axp: </t>
  </si>
  <si>
    <t xml:space="preserve">Aa: </t>
  </si>
  <si>
    <t xml:space="preserve">Wr: </t>
  </si>
  <si>
    <t xml:space="preserve">Hs: </t>
  </si>
  <si>
    <t>Axp + Ax</t>
  </si>
  <si>
    <t xml:space="preserve">AxT: </t>
  </si>
  <si>
    <t>[SIN(Aa)]W</t>
  </si>
  <si>
    <t>(-1) * (Axt - Aa)</t>
  </si>
  <si>
    <t>For Staggered Crank</t>
  </si>
  <si>
    <t>Prioritizes Symmetrical Flapping</t>
  </si>
  <si>
    <t>(-1) * (Dihedral - Flap angle)</t>
  </si>
  <si>
    <t>Equations</t>
  </si>
  <si>
    <r>
      <t xml:space="preserve">Flap angle:  </t>
    </r>
    <r>
      <rPr>
        <sz val="10"/>
        <rFont val="Arial"/>
      </rPr>
      <t xml:space="preserve"> </t>
    </r>
  </si>
  <si>
    <t>for Staggered Cranks</t>
  </si>
  <si>
    <t>AxD + AxU/2</t>
  </si>
  <si>
    <t>for Duel Cranks</t>
  </si>
  <si>
    <t xml:space="preserve">AxD or AxU: </t>
  </si>
  <si>
    <t>AxD-AxU/2</t>
  </si>
  <si>
    <t>[Testing needed]</t>
  </si>
  <si>
    <t>For wings down or AxD</t>
  </si>
  <si>
    <t>Help and Information</t>
  </si>
  <si>
    <t>For the newest release, please go to: https://github.com/OrnithopterX/Ornithopter-Crank-Designer</t>
  </si>
  <si>
    <t>Designs</t>
  </si>
  <si>
    <t>From wing root to wing root</t>
  </si>
  <si>
    <t>SQRT[Y2^2 + Hb^2]</t>
  </si>
  <si>
    <t>SQRT[Y1^2 + Ha^2]</t>
  </si>
  <si>
    <t>(D/2) - W(COS(Anhedral))</t>
  </si>
  <si>
    <t>(D/2) - W(COS(Dihedral))</t>
  </si>
  <si>
    <t>Z1 - Crank Radii</t>
  </si>
  <si>
    <t>for "Inside-out" Staggered Cranks</t>
  </si>
  <si>
    <t>2* (aTan(Y2 / Hb))</t>
  </si>
  <si>
    <t>2* (aTan(Y1 / Ha))</t>
  </si>
  <si>
    <t>Version: 1.10</t>
  </si>
  <si>
    <t>Z1 - Crank radii</t>
  </si>
  <si>
    <t>(Z1 - Z2) / 2</t>
  </si>
  <si>
    <t>(ACOS(Wr/Hs)) -90</t>
  </si>
  <si>
    <t>(AxT)2</t>
  </si>
  <si>
    <t>SQRT[(Hs^2) - (Wr^2)]</t>
  </si>
  <si>
    <t>AxU = (aTan(D3/Ha))</t>
  </si>
  <si>
    <t>AxD = (aTan(D4/Hb))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</si>
</sst>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2" fillId="0" borderId="7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0" borderId="2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Wing Graph Output</a:t>
            </a:r>
          </a:p>
        </c:rich>
      </c:tx>
      <c:layout>
        <c:manualLayout>
          <c:xMode val="edge"/>
          <c:yMode val="edge"/>
          <c:x val="0.36873783576707692"/>
          <c:y val="6.20917014262325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262855068395"/>
          <c:y val="0.19281107284988017"/>
          <c:w val="0.63527116270740969"/>
          <c:h val="0.65686484140382906"/>
        </c:manualLayout>
      </c:layout>
      <c:scatterChart>
        <c:scatterStyle val="smoothMarker"/>
        <c:varyColors val="0"/>
        <c:ser>
          <c:idx val="0"/>
          <c:order val="0"/>
          <c:tx>
            <c:v>Optimum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'Staggered Crank'!$C$45:$C$48</c:f>
              <c:numCache>
                <c:formatCode>General</c:formatCode>
                <c:ptCount val="4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</c:numCache>
            </c:numRef>
          </c:xVal>
          <c:yVal>
            <c:numRef>
              <c:f>'Staggered Crank'!$D$45:$D$48</c:f>
              <c:numCache>
                <c:formatCode>General</c:formatCode>
                <c:ptCount val="4"/>
                <c:pt idx="0">
                  <c:v>-30</c:v>
                </c:pt>
                <c:pt idx="1">
                  <c:v>30</c:v>
                </c:pt>
                <c:pt idx="2">
                  <c:v>-30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5-4001-80F4-2DB13EE423EA}"/>
            </c:ext>
          </c:extLst>
        </c:ser>
        <c:ser>
          <c:idx val="1"/>
          <c:order val="1"/>
          <c:tx>
            <c:v>Left wing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'Staggered Crank'!$C$35:$C$38</c:f>
              <c:numCache>
                <c:formatCode>General</c:formatCode>
                <c:ptCount val="4"/>
                <c:pt idx="0">
                  <c:v>0</c:v>
                </c:pt>
                <c:pt idx="1">
                  <c:v>172.43695793619415</c:v>
                </c:pt>
                <c:pt idx="2">
                  <c:v>360</c:v>
                </c:pt>
                <c:pt idx="3">
                  <c:v>532.43695793619418</c:v>
                </c:pt>
              </c:numCache>
            </c:numRef>
          </c:xVal>
          <c:yVal>
            <c:numRef>
              <c:f>'Staggered Crank'!$D$35:$D$38</c:f>
              <c:numCache>
                <c:formatCode>General</c:formatCode>
                <c:ptCount val="4"/>
                <c:pt idx="0">
                  <c:v>-30</c:v>
                </c:pt>
                <c:pt idx="1">
                  <c:v>30</c:v>
                </c:pt>
                <c:pt idx="2">
                  <c:v>-30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5-4001-80F4-2DB13EE423EA}"/>
            </c:ext>
          </c:extLst>
        </c:ser>
        <c:ser>
          <c:idx val="2"/>
          <c:order val="2"/>
          <c:tx>
            <c:v>Right wing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'Staggered Crank'!$C$40:$C$43</c:f>
              <c:numCache>
                <c:formatCode>General</c:formatCode>
                <c:ptCount val="4"/>
                <c:pt idx="0">
                  <c:v>0</c:v>
                </c:pt>
                <c:pt idx="1">
                  <c:v>187.56304206380585</c:v>
                </c:pt>
                <c:pt idx="2">
                  <c:v>360</c:v>
                </c:pt>
                <c:pt idx="3">
                  <c:v>547.56304206380582</c:v>
                </c:pt>
              </c:numCache>
            </c:numRef>
          </c:xVal>
          <c:yVal>
            <c:numRef>
              <c:f>'Staggered Crank'!$D$40:$D$43</c:f>
              <c:numCache>
                <c:formatCode>General</c:formatCode>
                <c:ptCount val="4"/>
                <c:pt idx="0">
                  <c:v>-30</c:v>
                </c:pt>
                <c:pt idx="1">
                  <c:v>30</c:v>
                </c:pt>
                <c:pt idx="2">
                  <c:v>-30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5-4001-80F4-2DB13EE4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3135"/>
        <c:axId val="1"/>
      </c:scatterChart>
      <c:valAx>
        <c:axId val="111977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</a:t>
                </a:r>
              </a:p>
            </c:rich>
          </c:tx>
          <c:layout>
            <c:manualLayout>
              <c:xMode val="edge"/>
              <c:yMode val="edge"/>
              <c:x val="0.40481001535298661"/>
              <c:y val="0.88235575710962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3.2064159631919727E-2"/>
              <c:y val="0.4607857842683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7731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62805065996313"/>
          <c:y val="0.42810594141244579"/>
          <c:w val="0.1783568879525535"/>
          <c:h val="0.18954308856428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 /><Relationship Id="rId2" Type="http://schemas.openxmlformats.org/officeDocument/2006/relationships/image" Target="../media/image1.jpeg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 /><Relationship Id="rId1" Type="http://schemas.openxmlformats.org/officeDocument/2006/relationships/image" Target="../media/image5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0</xdr:rowOff>
    </xdr:from>
    <xdr:to>
      <xdr:col>7</xdr:col>
      <xdr:colOff>838200</xdr:colOff>
      <xdr:row>51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AD56986-BC9D-0CD3-AEAD-A0FD9716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9525</xdr:colOff>
      <xdr:row>2</xdr:row>
      <xdr:rowOff>9525</xdr:rowOff>
    </xdr:from>
    <xdr:to>
      <xdr:col>18</xdr:col>
      <xdr:colOff>285750</xdr:colOff>
      <xdr:row>40</xdr:row>
      <xdr:rowOff>152400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91DF8D24-8247-2B9C-9C4F-9D690BB0A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57200"/>
          <a:ext cx="4543425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2</xdr:row>
      <xdr:rowOff>9525</xdr:rowOff>
    </xdr:from>
    <xdr:to>
      <xdr:col>19</xdr:col>
      <xdr:colOff>4133850</xdr:colOff>
      <xdr:row>41</xdr:row>
      <xdr:rowOff>57150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98F3BF45-BF29-2F95-A53B-0E8DD88A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457200"/>
          <a:ext cx="4581525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9525</xdr:rowOff>
    </xdr:from>
    <xdr:to>
      <xdr:col>15</xdr:col>
      <xdr:colOff>314325</xdr:colOff>
      <xdr:row>42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E3A3B0D-0647-9EA9-57F1-2F7DA372C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457200"/>
          <a:ext cx="45720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</xdr:colOff>
      <xdr:row>2</xdr:row>
      <xdr:rowOff>28575</xdr:rowOff>
    </xdr:from>
    <xdr:to>
      <xdr:col>18</xdr:col>
      <xdr:colOff>269860</xdr:colOff>
      <xdr:row>40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26C5B3-6715-2C42-90FF-FC20BCB8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6" y="476250"/>
          <a:ext cx="4527534" cy="640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19050</xdr:rowOff>
    </xdr:from>
    <xdr:to>
      <xdr:col>17</xdr:col>
      <xdr:colOff>352425</xdr:colOff>
      <xdr:row>42</xdr:row>
      <xdr:rowOff>57150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A266293B-442E-62D4-E15C-F1778E84F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466725"/>
          <a:ext cx="4610100" cy="651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295275</xdr:colOff>
      <xdr:row>2</xdr:row>
      <xdr:rowOff>9525</xdr:rowOff>
    </xdr:from>
    <xdr:to>
      <xdr:col>24</xdr:col>
      <xdr:colOff>600075</xdr:colOff>
      <xdr:row>42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8CBD4FD9-F6F5-3354-FF3D-0A4620DC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457200"/>
          <a:ext cx="4572000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7"/>
  <sheetViews>
    <sheetView topLeftCell="H1" workbookViewId="0">
      <selection activeCell="H10" sqref="H10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3.75390625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2.42578125" style="9" customWidth="1"/>
    <col min="17" max="17" width="9.16796875" style="19"/>
    <col min="20" max="20" width="64.45703125" customWidth="1"/>
    <col min="21" max="21" width="2.42578125" customWidth="1"/>
    <col min="22" max="22" width="9.16796875" style="9"/>
  </cols>
  <sheetData>
    <row r="2" spans="2:18" ht="22.5" customHeight="1" x14ac:dyDescent="0.15">
      <c r="B2" s="7" t="s">
        <v>18</v>
      </c>
      <c r="L2" s="1" t="s">
        <v>89</v>
      </c>
    </row>
    <row r="3" spans="2:18" ht="12.75" customHeight="1" x14ac:dyDescent="0.15">
      <c r="B3" s="8" t="s">
        <v>80</v>
      </c>
    </row>
    <row r="4" spans="2:18" x14ac:dyDescent="0.15">
      <c r="B4" s="4"/>
      <c r="R4" s="10"/>
    </row>
    <row r="5" spans="2:18" x14ac:dyDescent="0.15">
      <c r="C5" s="1" t="s">
        <v>0</v>
      </c>
      <c r="F5" t="s">
        <v>21</v>
      </c>
      <c r="H5" t="s">
        <v>22</v>
      </c>
    </row>
    <row r="6" spans="2:18" x14ac:dyDescent="0.15">
      <c r="C6" s="6" t="s">
        <v>2</v>
      </c>
      <c r="D6" s="5">
        <v>1000</v>
      </c>
    </row>
    <row r="7" spans="2:18" x14ac:dyDescent="0.15">
      <c r="C7" s="6" t="s">
        <v>3</v>
      </c>
      <c r="D7" s="5">
        <v>200</v>
      </c>
    </row>
    <row r="8" spans="2:18" x14ac:dyDescent="0.15">
      <c r="C8" s="6" t="s">
        <v>48</v>
      </c>
      <c r="D8" s="5">
        <v>30</v>
      </c>
      <c r="F8" t="s">
        <v>20</v>
      </c>
    </row>
    <row r="9" spans="2:18" x14ac:dyDescent="0.15">
      <c r="C9" s="6" t="s">
        <v>49</v>
      </c>
      <c r="D9" s="5">
        <v>30</v>
      </c>
      <c r="F9" t="s">
        <v>20</v>
      </c>
    </row>
    <row r="10" spans="2:18" x14ac:dyDescent="0.15">
      <c r="C10" s="16" t="s">
        <v>31</v>
      </c>
      <c r="D10" s="17">
        <v>200</v>
      </c>
    </row>
    <row r="11" spans="2:18" x14ac:dyDescent="0.15">
      <c r="D11" s="3"/>
    </row>
    <row r="12" spans="2:18" x14ac:dyDescent="0.15">
      <c r="C12" s="1" t="s">
        <v>1</v>
      </c>
      <c r="D12" s="3"/>
      <c r="F12" t="s">
        <v>78</v>
      </c>
    </row>
    <row r="13" spans="2:18" x14ac:dyDescent="0.15">
      <c r="C13" s="29" t="s">
        <v>6</v>
      </c>
      <c r="D13" s="24">
        <f>SQRT(((D15+D10) * (D15+D10)) + (D19 * D19))</f>
        <v>1161.5859986685252</v>
      </c>
      <c r="E13" s="25"/>
      <c r="F13" s="26" t="s">
        <v>32</v>
      </c>
    </row>
    <row r="14" spans="2:18" x14ac:dyDescent="0.15">
      <c r="C14" s="30" t="s">
        <v>7</v>
      </c>
      <c r="D14" s="20">
        <f>SQRT(((D16+D10) * (D16+D10)) + (D20 * D20))</f>
        <v>974.31105520914377</v>
      </c>
      <c r="E14" s="19"/>
      <c r="F14" s="11" t="s">
        <v>33</v>
      </c>
    </row>
    <row r="15" spans="2:18" x14ac:dyDescent="0.15">
      <c r="C15" s="30" t="s">
        <v>5</v>
      </c>
      <c r="D15" s="20">
        <f>COS(RADIANS(D8)) * D7</f>
        <v>173.20508075688775</v>
      </c>
      <c r="E15" s="19"/>
      <c r="F15" s="11" t="s">
        <v>51</v>
      </c>
    </row>
    <row r="16" spans="2:18" x14ac:dyDescent="0.15">
      <c r="C16" s="30" t="s">
        <v>4</v>
      </c>
      <c r="D16" s="20">
        <f>COS(RADIANS(D9)) * D7</f>
        <v>173.20508075688775</v>
      </c>
      <c r="E16" s="19"/>
      <c r="F16" s="11" t="s">
        <v>52</v>
      </c>
    </row>
    <row r="17" spans="1:15" x14ac:dyDescent="0.15">
      <c r="C17" s="30" t="s">
        <v>8</v>
      </c>
      <c r="D17" s="20">
        <f>SIN(RADIANS(D8)) * D7</f>
        <v>99.999999999999986</v>
      </c>
      <c r="E17" s="19"/>
      <c r="F17" s="11" t="s">
        <v>50</v>
      </c>
    </row>
    <row r="18" spans="1:15" x14ac:dyDescent="0.15">
      <c r="C18" s="30" t="s">
        <v>9</v>
      </c>
      <c r="D18" s="20">
        <f>SIN(RADIANS(D9)) * D7</f>
        <v>99.999999999999986</v>
      </c>
      <c r="E18" s="19"/>
      <c r="F18" s="11" t="s">
        <v>53</v>
      </c>
    </row>
    <row r="19" spans="1:15" x14ac:dyDescent="0.15">
      <c r="C19" s="30" t="s">
        <v>10</v>
      </c>
      <c r="D19" s="20">
        <f xml:space="preserve"> D6 + D17</f>
        <v>1100</v>
      </c>
      <c r="E19" s="19"/>
      <c r="F19" s="11" t="s">
        <v>16</v>
      </c>
    </row>
    <row r="20" spans="1:15" x14ac:dyDescent="0.15">
      <c r="C20" s="31" t="s">
        <v>15</v>
      </c>
      <c r="D20" s="21">
        <f>D6 - D18</f>
        <v>900</v>
      </c>
      <c r="E20" s="22"/>
      <c r="F20" s="13" t="s">
        <v>17</v>
      </c>
    </row>
    <row r="21" spans="1:15" x14ac:dyDescent="0.15">
      <c r="D21" s="3"/>
    </row>
    <row r="22" spans="1:15" x14ac:dyDescent="0.15">
      <c r="C22" s="1" t="s">
        <v>11</v>
      </c>
      <c r="D22" s="3"/>
    </row>
    <row r="23" spans="1:15" x14ac:dyDescent="0.15">
      <c r="C23" s="6" t="s">
        <v>66</v>
      </c>
      <c r="D23" s="2">
        <f>D13 - D24</f>
        <v>1067.9485269388344</v>
      </c>
      <c r="F23" t="s">
        <v>100</v>
      </c>
    </row>
    <row r="24" spans="1:15" x14ac:dyDescent="0.15">
      <c r="C24" s="6" t="s">
        <v>65</v>
      </c>
      <c r="D24" s="2">
        <f>(D13 - D14) /2</f>
        <v>93.637471729690731</v>
      </c>
      <c r="F24" t="s">
        <v>14</v>
      </c>
    </row>
    <row r="25" spans="1:15" x14ac:dyDescent="0.15">
      <c r="B25" t="s">
        <v>12</v>
      </c>
      <c r="C25" s="6" t="s">
        <v>24</v>
      </c>
      <c r="D25" s="2">
        <f>2*(DEGREES(ATAN((D15+D10)/D19)))</f>
        <v>37.481820960082544</v>
      </c>
      <c r="F25" t="s">
        <v>34</v>
      </c>
      <c r="H25" t="s">
        <v>19</v>
      </c>
    </row>
    <row r="26" spans="1:15" x14ac:dyDescent="0.15">
      <c r="B26" t="s">
        <v>13</v>
      </c>
      <c r="C26" s="6" t="s">
        <v>25</v>
      </c>
      <c r="D26" s="2">
        <f>2*(DEGREES(ATAN((D16+D10)/D20)))</f>
        <v>45.044863023888404</v>
      </c>
      <c r="F26" t="s">
        <v>35</v>
      </c>
      <c r="H26" t="s">
        <v>19</v>
      </c>
      <c r="L26" s="2"/>
      <c r="M26" s="2"/>
      <c r="N26" s="2"/>
      <c r="O26" s="2"/>
    </row>
    <row r="27" spans="1:15" x14ac:dyDescent="0.15">
      <c r="C27" s="6" t="s">
        <v>57</v>
      </c>
      <c r="D27" s="2">
        <f xml:space="preserve"> (D25+D26)/2</f>
        <v>41.26334199198547</v>
      </c>
      <c r="F27" t="s">
        <v>58</v>
      </c>
      <c r="H27" t="s">
        <v>59</v>
      </c>
    </row>
    <row r="28" spans="1:15" x14ac:dyDescent="0.15">
      <c r="A28" s="22"/>
      <c r="B28" s="22"/>
      <c r="C28" s="22"/>
      <c r="D28" s="22"/>
      <c r="E28" s="22"/>
      <c r="F28" s="22"/>
      <c r="G28" s="22"/>
      <c r="H28" s="22"/>
      <c r="I28" s="13"/>
    </row>
    <row r="30" spans="1:15" ht="22.5" customHeight="1" x14ac:dyDescent="0.15">
      <c r="B30" s="1" t="s">
        <v>23</v>
      </c>
    </row>
    <row r="31" spans="1:15" x14ac:dyDescent="0.15">
      <c r="B31" t="s">
        <v>85</v>
      </c>
    </row>
    <row r="33" spans="3:4" x14ac:dyDescent="0.15">
      <c r="C33" t="s">
        <v>86</v>
      </c>
    </row>
    <row r="34" spans="3:4" x14ac:dyDescent="0.15">
      <c r="C34" t="s">
        <v>30</v>
      </c>
      <c r="D34" t="s">
        <v>29</v>
      </c>
    </row>
    <row r="35" spans="3:4" x14ac:dyDescent="0.15">
      <c r="C35" s="9">
        <v>0</v>
      </c>
      <c r="D35" s="11">
        <f xml:space="preserve"> D9 * (-1)</f>
        <v>-30</v>
      </c>
    </row>
    <row r="36" spans="3:4" x14ac:dyDescent="0.15">
      <c r="C36" s="9">
        <f xml:space="preserve"> 180 - D55</f>
        <v>172.43695793619415</v>
      </c>
      <c r="D36" s="11">
        <f xml:space="preserve"> D8</f>
        <v>30</v>
      </c>
    </row>
    <row r="37" spans="3:4" x14ac:dyDescent="0.15">
      <c r="C37" s="9">
        <v>360</v>
      </c>
      <c r="D37" s="11">
        <f xml:space="preserve"> D9 * (-1)</f>
        <v>-30</v>
      </c>
    </row>
    <row r="38" spans="3:4" x14ac:dyDescent="0.15">
      <c r="C38" s="12">
        <f xml:space="preserve"> 540 - D55</f>
        <v>532.43695793619418</v>
      </c>
      <c r="D38" s="13">
        <f xml:space="preserve"> D8</f>
        <v>30</v>
      </c>
    </row>
    <row r="39" spans="3:4" x14ac:dyDescent="0.15">
      <c r="C39" s="9" t="s">
        <v>27</v>
      </c>
      <c r="D39" s="11"/>
    </row>
    <row r="40" spans="3:4" x14ac:dyDescent="0.15">
      <c r="C40" s="9">
        <v>0</v>
      </c>
      <c r="D40" s="11">
        <f xml:space="preserve"> D9 * (-1)</f>
        <v>-30</v>
      </c>
    </row>
    <row r="41" spans="3:4" x14ac:dyDescent="0.15">
      <c r="C41" s="9">
        <f xml:space="preserve"> 180 + D55</f>
        <v>187.56304206380585</v>
      </c>
      <c r="D41" s="11">
        <f xml:space="preserve"> D8</f>
        <v>30</v>
      </c>
    </row>
    <row r="42" spans="3:4" x14ac:dyDescent="0.15">
      <c r="C42" s="9">
        <v>360</v>
      </c>
      <c r="D42" s="11">
        <f xml:space="preserve"> D9 * (-1)</f>
        <v>-30</v>
      </c>
    </row>
    <row r="43" spans="3:4" x14ac:dyDescent="0.15">
      <c r="C43" s="12">
        <f xml:space="preserve"> 540 + D55</f>
        <v>547.56304206380582</v>
      </c>
      <c r="D43" s="15">
        <f xml:space="preserve"> D8</f>
        <v>30</v>
      </c>
    </row>
    <row r="44" spans="3:4" x14ac:dyDescent="0.15">
      <c r="C44" s="9" t="s">
        <v>28</v>
      </c>
      <c r="D44" s="11"/>
    </row>
    <row r="45" spans="3:4" x14ac:dyDescent="0.15">
      <c r="C45" s="9">
        <v>0</v>
      </c>
      <c r="D45" s="11">
        <f xml:space="preserve"> D9 * (-1)</f>
        <v>-30</v>
      </c>
    </row>
    <row r="46" spans="3:4" x14ac:dyDescent="0.15">
      <c r="C46" s="9">
        <v>180</v>
      </c>
      <c r="D46" s="11">
        <f xml:space="preserve"> D8</f>
        <v>30</v>
      </c>
    </row>
    <row r="47" spans="3:4" x14ac:dyDescent="0.15">
      <c r="C47" s="9">
        <v>360</v>
      </c>
      <c r="D47" s="11">
        <f xml:space="preserve"> D9 * (-1)</f>
        <v>-30</v>
      </c>
    </row>
    <row r="48" spans="3:4" x14ac:dyDescent="0.15">
      <c r="C48" s="14">
        <v>540</v>
      </c>
      <c r="D48" s="15">
        <f xml:space="preserve"> D8</f>
        <v>30</v>
      </c>
    </row>
    <row r="52" spans="1:9" x14ac:dyDescent="0.15">
      <c r="F52" t="s">
        <v>21</v>
      </c>
    </row>
    <row r="54" spans="1:9" x14ac:dyDescent="0.15">
      <c r="C54" s="2" t="s">
        <v>60</v>
      </c>
      <c r="E54" s="2"/>
    </row>
    <row r="55" spans="1:9" x14ac:dyDescent="0.15">
      <c r="C55" s="6" t="s">
        <v>83</v>
      </c>
      <c r="D55" s="2">
        <f xml:space="preserve"> D26 - D25</f>
        <v>7.5630420638058595</v>
      </c>
      <c r="E55" s="2"/>
      <c r="F55" s="2" t="s">
        <v>26</v>
      </c>
    </row>
    <row r="56" spans="1:9" x14ac:dyDescent="0.15">
      <c r="C56" s="6" t="s">
        <v>57</v>
      </c>
      <c r="D56" s="2">
        <f xml:space="preserve"> D55/2</f>
        <v>3.7815210319029298</v>
      </c>
      <c r="E56" s="2"/>
      <c r="F56" s="2" t="s">
        <v>84</v>
      </c>
    </row>
    <row r="57" spans="1:9" x14ac:dyDescent="0.15">
      <c r="A57" s="22"/>
      <c r="B57" s="22"/>
      <c r="C57" s="22"/>
      <c r="D57" s="22"/>
      <c r="E57" s="22"/>
      <c r="F57" s="22"/>
      <c r="G57" s="22"/>
      <c r="H57" s="22"/>
      <c r="I57" s="13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6"/>
  <sheetViews>
    <sheetView workbookViewId="0">
      <selection activeCell="F25" sqref="F25"/>
    </sheetView>
  </sheetViews>
  <sheetFormatPr defaultRowHeight="12.75" x14ac:dyDescent="0.15"/>
  <cols>
    <col min="1" max="1" width="2.42578125" customWidth="1"/>
    <col min="2" max="2" width="12.5390625" customWidth="1"/>
    <col min="3" max="3" width="16.44921875" bestFit="1" customWidth="1"/>
    <col min="4" max="4" width="12.40625" customWidth="1"/>
    <col min="5" max="5" width="2.42578125" customWidth="1"/>
    <col min="6" max="6" width="30.609375" bestFit="1" customWidth="1"/>
    <col min="7" max="7" width="2.42578125" customWidth="1"/>
    <col min="8" max="8" width="9.16796875" style="9"/>
    <col min="17" max="17" width="9.16796875" style="9"/>
  </cols>
  <sheetData>
    <row r="2" spans="2:9" ht="22.5" customHeight="1" x14ac:dyDescent="0.15">
      <c r="B2" s="7" t="s">
        <v>18</v>
      </c>
      <c r="I2" s="1" t="s">
        <v>89</v>
      </c>
    </row>
    <row r="3" spans="2:9" x14ac:dyDescent="0.15">
      <c r="B3" t="s">
        <v>75</v>
      </c>
    </row>
    <row r="4" spans="2:9" x14ac:dyDescent="0.15">
      <c r="B4" t="s">
        <v>76</v>
      </c>
    </row>
    <row r="6" spans="2:9" x14ac:dyDescent="0.15">
      <c r="C6" s="1" t="s">
        <v>0</v>
      </c>
    </row>
    <row r="7" spans="2:9" x14ac:dyDescent="0.15">
      <c r="C7" s="6" t="s">
        <v>2</v>
      </c>
      <c r="D7" s="5">
        <v>600</v>
      </c>
      <c r="E7" s="20"/>
    </row>
    <row r="8" spans="2:9" x14ac:dyDescent="0.15">
      <c r="C8" s="6" t="s">
        <v>3</v>
      </c>
      <c r="D8" s="5">
        <v>200</v>
      </c>
      <c r="E8" s="20"/>
    </row>
    <row r="9" spans="2:9" x14ac:dyDescent="0.15">
      <c r="C9" s="6" t="s">
        <v>79</v>
      </c>
      <c r="D9" s="5">
        <v>60</v>
      </c>
      <c r="E9" s="20"/>
    </row>
    <row r="10" spans="2:9" x14ac:dyDescent="0.15">
      <c r="C10" s="16" t="s">
        <v>31</v>
      </c>
      <c r="D10" s="5">
        <v>15</v>
      </c>
      <c r="E10" s="20"/>
    </row>
    <row r="11" spans="2:9" x14ac:dyDescent="0.15">
      <c r="D11" s="2"/>
      <c r="E11" s="2"/>
    </row>
    <row r="12" spans="2:9" x14ac:dyDescent="0.15">
      <c r="C12" s="1" t="s">
        <v>1</v>
      </c>
      <c r="D12" s="2"/>
      <c r="E12" s="2"/>
      <c r="F12" t="s">
        <v>78</v>
      </c>
    </row>
    <row r="13" spans="2:9" x14ac:dyDescent="0.15">
      <c r="C13" s="23" t="s">
        <v>67</v>
      </c>
      <c r="D13" s="24">
        <f>(DEGREES(ATAN(D10/D7)))</f>
        <v>1.4320961841646465</v>
      </c>
      <c r="E13" s="24"/>
      <c r="F13" s="26" t="s">
        <v>61</v>
      </c>
    </row>
    <row r="14" spans="2:9" x14ac:dyDescent="0.15">
      <c r="C14" s="27" t="s">
        <v>70</v>
      </c>
      <c r="D14" s="20">
        <f>SQRT((D10*D10)+(D7*D7))</f>
        <v>600.18747071227665</v>
      </c>
      <c r="E14" s="20"/>
      <c r="F14" s="11" t="s">
        <v>62</v>
      </c>
    </row>
    <row r="15" spans="2:9" x14ac:dyDescent="0.15">
      <c r="C15" s="27" t="s">
        <v>68</v>
      </c>
      <c r="D15" s="20">
        <f xml:space="preserve"> D9/2</f>
        <v>30</v>
      </c>
      <c r="E15" s="20"/>
      <c r="F15" s="11" t="s">
        <v>63</v>
      </c>
    </row>
    <row r="16" spans="2:9" x14ac:dyDescent="0.15">
      <c r="C16" s="27" t="s">
        <v>69</v>
      </c>
      <c r="D16" s="20">
        <f xml:space="preserve"> (COS(RADIANS(D15)))*D8</f>
        <v>173.20508075688775</v>
      </c>
      <c r="E16" s="20"/>
      <c r="F16" s="11" t="s">
        <v>64</v>
      </c>
    </row>
    <row r="17" spans="1:7" x14ac:dyDescent="0.15">
      <c r="C17" s="27" t="s">
        <v>57</v>
      </c>
      <c r="D17" s="20">
        <f>(90-((DEGREES(ACOS(D16/D14)))))</f>
        <v>16.773258946960567</v>
      </c>
      <c r="E17" s="20"/>
      <c r="F17" s="11" t="s">
        <v>102</v>
      </c>
    </row>
    <row r="18" spans="1:7" x14ac:dyDescent="0.15">
      <c r="C18" s="28" t="s">
        <v>72</v>
      </c>
      <c r="D18" s="21">
        <f xml:space="preserve"> D17+D13</f>
        <v>18.205355131125213</v>
      </c>
      <c r="E18" s="21"/>
      <c r="F18" s="13" t="s">
        <v>71</v>
      </c>
    </row>
    <row r="19" spans="1:7" x14ac:dyDescent="0.15">
      <c r="D19" s="2"/>
      <c r="E19" s="2"/>
    </row>
    <row r="20" spans="1:7" x14ac:dyDescent="0.15">
      <c r="C20" s="18" t="s">
        <v>11</v>
      </c>
      <c r="D20" s="2"/>
      <c r="E20" s="2"/>
    </row>
    <row r="21" spans="1:7" x14ac:dyDescent="0.15">
      <c r="C21" s="6" t="s">
        <v>65</v>
      </c>
      <c r="D21" s="2">
        <f>(SIN(RADIANS(D15)))*D8</f>
        <v>99.999999999999986</v>
      </c>
      <c r="E21" s="2"/>
      <c r="F21" t="s">
        <v>73</v>
      </c>
    </row>
    <row r="22" spans="1:7" x14ac:dyDescent="0.15">
      <c r="C22" s="6" t="s">
        <v>57</v>
      </c>
      <c r="D22" s="2">
        <f xml:space="preserve"> D18*2</f>
        <v>36.410710262250426</v>
      </c>
      <c r="E22" s="2"/>
      <c r="F22" t="s">
        <v>103</v>
      </c>
    </row>
    <row r="23" spans="1:7" x14ac:dyDescent="0.15">
      <c r="C23" s="6" t="s">
        <v>66</v>
      </c>
      <c r="D23" s="2">
        <f xml:space="preserve"> SQRT((D14*D14)-(D16*D16))</f>
        <v>574.6520686467594</v>
      </c>
      <c r="E23" s="2"/>
      <c r="F23" t="s">
        <v>104</v>
      </c>
    </row>
    <row r="24" spans="1:7" x14ac:dyDescent="0.15">
      <c r="C24" s="6" t="s">
        <v>48</v>
      </c>
      <c r="D24" s="2">
        <f>-1*(D18 - D15)</f>
        <v>11.794644868874787</v>
      </c>
      <c r="E24" s="2"/>
      <c r="F24" t="s">
        <v>74</v>
      </c>
    </row>
    <row r="25" spans="1:7" x14ac:dyDescent="0.15">
      <c r="C25" s="6" t="s">
        <v>49</v>
      </c>
      <c r="D25">
        <f xml:space="preserve"> (-1) * (D24-D9)</f>
        <v>48.205355131125216</v>
      </c>
      <c r="F25" t="s">
        <v>77</v>
      </c>
    </row>
    <row r="26" spans="1:7" x14ac:dyDescent="0.15">
      <c r="A26" s="22"/>
      <c r="B26" s="22"/>
      <c r="C26" s="22"/>
      <c r="D26" s="21"/>
      <c r="E26" s="21"/>
      <c r="F26" s="22"/>
      <c r="G26" s="13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57A9-8FB4-F241-97B0-7EAAEF8D9A1E}">
  <dimension ref="A2:V57"/>
  <sheetViews>
    <sheetView topLeftCell="H1" workbookViewId="0">
      <selection activeCell="B34" sqref="B34:E50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3.75390625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2.42578125" style="9" customWidth="1"/>
    <col min="17" max="17" width="8.62890625" style="19"/>
    <col min="20" max="20" width="64.45703125" customWidth="1"/>
    <col min="21" max="21" width="2.42578125" customWidth="1"/>
    <col min="22" max="22" width="8.62890625" style="9"/>
  </cols>
  <sheetData>
    <row r="2" spans="2:18" ht="22.5" customHeight="1" x14ac:dyDescent="0.15">
      <c r="B2" s="7" t="s">
        <v>18</v>
      </c>
      <c r="L2" s="1" t="s">
        <v>89</v>
      </c>
    </row>
    <row r="3" spans="2:18" ht="12.75" customHeight="1" x14ac:dyDescent="0.15">
      <c r="B3" s="8" t="s">
        <v>96</v>
      </c>
    </row>
    <row r="4" spans="2:18" x14ac:dyDescent="0.15">
      <c r="B4" s="4"/>
      <c r="R4" s="10"/>
    </row>
    <row r="5" spans="2:18" x14ac:dyDescent="0.15">
      <c r="C5" s="1" t="s">
        <v>0</v>
      </c>
      <c r="F5" t="s">
        <v>21</v>
      </c>
      <c r="H5" t="s">
        <v>22</v>
      </c>
    </row>
    <row r="6" spans="2:18" x14ac:dyDescent="0.15">
      <c r="C6" s="6" t="s">
        <v>2</v>
      </c>
      <c r="D6" s="5">
        <v>3000</v>
      </c>
    </row>
    <row r="7" spans="2:18" x14ac:dyDescent="0.15">
      <c r="C7" s="6" t="s">
        <v>3</v>
      </c>
      <c r="D7" s="5">
        <v>700</v>
      </c>
    </row>
    <row r="8" spans="2:18" x14ac:dyDescent="0.15">
      <c r="C8" s="6" t="s">
        <v>48</v>
      </c>
      <c r="D8" s="5">
        <v>15</v>
      </c>
      <c r="F8" t="s">
        <v>20</v>
      </c>
    </row>
    <row r="9" spans="2:18" x14ac:dyDescent="0.15">
      <c r="C9" s="6" t="s">
        <v>49</v>
      </c>
      <c r="D9" s="5">
        <v>30</v>
      </c>
      <c r="F9" t="s">
        <v>20</v>
      </c>
    </row>
    <row r="10" spans="2:18" x14ac:dyDescent="0.15">
      <c r="C10" s="16" t="s">
        <v>31</v>
      </c>
      <c r="D10" s="5">
        <v>1000</v>
      </c>
      <c r="F10" t="s">
        <v>90</v>
      </c>
    </row>
    <row r="11" spans="2:18" x14ac:dyDescent="0.15">
      <c r="D11" s="3"/>
    </row>
    <row r="12" spans="2:18" x14ac:dyDescent="0.15">
      <c r="C12" s="1" t="s">
        <v>1</v>
      </c>
      <c r="D12" s="3"/>
      <c r="F12" t="s">
        <v>78</v>
      </c>
    </row>
    <row r="13" spans="2:18" x14ac:dyDescent="0.15">
      <c r="C13" s="29" t="s">
        <v>6</v>
      </c>
      <c r="D13" s="24">
        <f>SQRT(((D15) * (D15)) + (D19 * D19))</f>
        <v>3351.6834900316726</v>
      </c>
      <c r="E13" s="25"/>
      <c r="F13" s="26" t="s">
        <v>92</v>
      </c>
    </row>
    <row r="14" spans="2:18" x14ac:dyDescent="0.15">
      <c r="C14" s="30" t="s">
        <v>7</v>
      </c>
      <c r="D14" s="20">
        <f>SQRT(((D16) * (D16)) + (D20 * D20))</f>
        <v>2824.3250401055229</v>
      </c>
      <c r="E14" s="19"/>
      <c r="F14" s="11" t="s">
        <v>91</v>
      </c>
    </row>
    <row r="15" spans="2:18" x14ac:dyDescent="0.15">
      <c r="C15" s="30" t="s">
        <v>5</v>
      </c>
      <c r="D15" s="20">
        <f>(D10/2) - COS(RADIANS(D9)) * D7</f>
        <v>-106.21778264910711</v>
      </c>
      <c r="E15" s="19"/>
      <c r="F15" s="11" t="s">
        <v>93</v>
      </c>
    </row>
    <row r="16" spans="2:18" x14ac:dyDescent="0.15">
      <c r="C16" s="30" t="s">
        <v>4</v>
      </c>
      <c r="D16" s="20">
        <f>(D10/2) - COS(RADIANS(D8)) * D7</f>
        <v>-176.14807840234778</v>
      </c>
      <c r="E16" s="19"/>
      <c r="F16" s="11" t="s">
        <v>94</v>
      </c>
    </row>
    <row r="17" spans="1:15" x14ac:dyDescent="0.15">
      <c r="C17" s="30" t="s">
        <v>8</v>
      </c>
      <c r="D17" s="20">
        <f>SIN(RADIANS(D9)) * D7</f>
        <v>349.99999999999994</v>
      </c>
      <c r="E17" s="19"/>
      <c r="F17" s="11" t="s">
        <v>53</v>
      </c>
    </row>
    <row r="18" spans="1:15" x14ac:dyDescent="0.15">
      <c r="C18" s="30" t="s">
        <v>9</v>
      </c>
      <c r="D18" s="20">
        <f>SIN(RADIANS(D8)) * D7</f>
        <v>181.17333157176452</v>
      </c>
      <c r="E18" s="19"/>
      <c r="F18" s="11" t="s">
        <v>50</v>
      </c>
    </row>
    <row r="19" spans="1:15" x14ac:dyDescent="0.15">
      <c r="C19" s="30" t="s">
        <v>10</v>
      </c>
      <c r="D19" s="20">
        <f xml:space="preserve"> D6 + D17</f>
        <v>3350</v>
      </c>
      <c r="E19" s="19"/>
      <c r="F19" s="11" t="s">
        <v>16</v>
      </c>
    </row>
    <row r="20" spans="1:15" x14ac:dyDescent="0.15">
      <c r="C20" s="31" t="s">
        <v>15</v>
      </c>
      <c r="D20" s="21">
        <f>D6 - D18</f>
        <v>2818.8266684282353</v>
      </c>
      <c r="E20" s="22"/>
      <c r="F20" s="13" t="s">
        <v>17</v>
      </c>
    </row>
    <row r="21" spans="1:15" x14ac:dyDescent="0.15">
      <c r="D21" s="3"/>
    </row>
    <row r="22" spans="1:15" x14ac:dyDescent="0.15">
      <c r="C22" s="1" t="s">
        <v>11</v>
      </c>
      <c r="D22" s="3"/>
    </row>
    <row r="23" spans="1:15" x14ac:dyDescent="0.15">
      <c r="C23" s="6" t="s">
        <v>66</v>
      </c>
      <c r="D23" s="2">
        <f>D13 - D24</f>
        <v>3088.0042650685978</v>
      </c>
      <c r="F23" t="s">
        <v>95</v>
      </c>
    </row>
    <row r="24" spans="1:15" x14ac:dyDescent="0.15">
      <c r="C24" s="6" t="s">
        <v>65</v>
      </c>
      <c r="D24" s="2">
        <f>(D13 - D14) /2</f>
        <v>263.67922496307483</v>
      </c>
      <c r="F24" t="s">
        <v>14</v>
      </c>
    </row>
    <row r="25" spans="1:15" x14ac:dyDescent="0.15">
      <c r="B25" t="s">
        <v>12</v>
      </c>
      <c r="C25" s="6" t="s">
        <v>24</v>
      </c>
      <c r="D25" s="2">
        <f>2*(DEGREES(ATAN((D16)/D20)))</f>
        <v>-7.1515110905108639</v>
      </c>
      <c r="F25" t="s">
        <v>97</v>
      </c>
      <c r="H25" t="s">
        <v>19</v>
      </c>
    </row>
    <row r="26" spans="1:15" x14ac:dyDescent="0.15">
      <c r="B26" t="s">
        <v>13</v>
      </c>
      <c r="C26" s="6" t="s">
        <v>25</v>
      </c>
      <c r="D26" s="2">
        <f>2*(DEGREES(ATAN((D15)/D19)))</f>
        <v>-3.6321149130811943</v>
      </c>
      <c r="F26" t="s">
        <v>98</v>
      </c>
      <c r="H26" t="s">
        <v>19</v>
      </c>
      <c r="L26" s="2"/>
      <c r="M26" s="2"/>
      <c r="N26" s="2"/>
      <c r="O26" s="2"/>
    </row>
    <row r="27" spans="1:15" x14ac:dyDescent="0.15">
      <c r="C27" s="6" t="s">
        <v>57</v>
      </c>
      <c r="D27" s="2">
        <f xml:space="preserve"> (D25+D26)/2</f>
        <v>-5.3918130017960291</v>
      </c>
      <c r="F27" t="s">
        <v>58</v>
      </c>
      <c r="H27" t="s">
        <v>59</v>
      </c>
    </row>
    <row r="28" spans="1:15" x14ac:dyDescent="0.15">
      <c r="A28" s="22"/>
      <c r="B28" s="22"/>
      <c r="C28" s="22"/>
      <c r="D28" s="22"/>
      <c r="E28" s="22"/>
      <c r="F28" s="22"/>
      <c r="G28" s="22"/>
      <c r="H28" s="22"/>
      <c r="I28" s="13"/>
    </row>
    <row r="30" spans="1:15" ht="22.5" customHeight="1" x14ac:dyDescent="0.15">
      <c r="B30" s="1"/>
    </row>
    <row r="34" spans="2:5" x14ac:dyDescent="0.15">
      <c r="B34" s="19"/>
      <c r="C34" s="19"/>
      <c r="D34" s="19"/>
      <c r="E34" s="19"/>
    </row>
    <row r="35" spans="2:5" x14ac:dyDescent="0.15">
      <c r="B35" s="19"/>
      <c r="C35" s="19"/>
      <c r="D35" s="19"/>
      <c r="E35" s="19"/>
    </row>
    <row r="36" spans="2:5" x14ac:dyDescent="0.15">
      <c r="B36" s="19"/>
      <c r="C36" s="19"/>
      <c r="D36" s="19"/>
      <c r="E36" s="19"/>
    </row>
    <row r="37" spans="2:5" x14ac:dyDescent="0.15">
      <c r="B37" s="19"/>
      <c r="C37" s="19"/>
      <c r="D37" s="19"/>
      <c r="E37" s="19"/>
    </row>
    <row r="38" spans="2:5" x14ac:dyDescent="0.15">
      <c r="B38" s="19"/>
      <c r="C38" s="19"/>
      <c r="D38" s="19"/>
      <c r="E38" s="19"/>
    </row>
    <row r="39" spans="2:5" x14ac:dyDescent="0.15">
      <c r="B39" s="19"/>
      <c r="C39" s="19"/>
      <c r="D39" s="19"/>
      <c r="E39" s="19"/>
    </row>
    <row r="40" spans="2:5" x14ac:dyDescent="0.15">
      <c r="B40" s="19"/>
      <c r="C40" s="19"/>
      <c r="D40" s="19"/>
      <c r="E40" s="19"/>
    </row>
    <row r="41" spans="2:5" x14ac:dyDescent="0.15">
      <c r="B41" s="19"/>
      <c r="C41" s="19"/>
      <c r="D41" s="19"/>
      <c r="E41" s="19"/>
    </row>
    <row r="42" spans="2:5" x14ac:dyDescent="0.15">
      <c r="B42" s="19"/>
      <c r="C42" s="19"/>
      <c r="D42" s="19"/>
      <c r="E42" s="19"/>
    </row>
    <row r="43" spans="2:5" x14ac:dyDescent="0.15">
      <c r="B43" s="19"/>
      <c r="C43" s="19"/>
      <c r="D43" s="32"/>
      <c r="E43" s="19"/>
    </row>
    <row r="44" spans="2:5" x14ac:dyDescent="0.15">
      <c r="B44" s="19"/>
      <c r="C44" s="19"/>
      <c r="D44" s="19"/>
      <c r="E44" s="19"/>
    </row>
    <row r="45" spans="2:5" x14ac:dyDescent="0.15">
      <c r="B45" s="19"/>
      <c r="C45" s="19"/>
      <c r="D45" s="19"/>
      <c r="E45" s="19"/>
    </row>
    <row r="46" spans="2:5" x14ac:dyDescent="0.15">
      <c r="B46" s="19"/>
      <c r="C46" s="19"/>
      <c r="D46" s="19"/>
      <c r="E46" s="19"/>
    </row>
    <row r="47" spans="2:5" x14ac:dyDescent="0.15">
      <c r="B47" s="19"/>
      <c r="C47" s="19"/>
      <c r="D47" s="19"/>
      <c r="E47" s="19"/>
    </row>
    <row r="48" spans="2:5" x14ac:dyDescent="0.15">
      <c r="B48" s="19"/>
      <c r="C48" s="32"/>
      <c r="D48" s="32"/>
      <c r="E48" s="19"/>
    </row>
    <row r="49" spans="1:10" x14ac:dyDescent="0.15">
      <c r="B49" s="19"/>
      <c r="C49" s="19"/>
      <c r="D49" s="19"/>
      <c r="E49" s="19"/>
    </row>
    <row r="50" spans="1:10" x14ac:dyDescent="0.15">
      <c r="B50" s="19"/>
      <c r="C50" s="19"/>
      <c r="D50" s="19"/>
      <c r="E50" s="19"/>
    </row>
    <row r="54" spans="1:10" x14ac:dyDescent="0.15">
      <c r="C54" s="2"/>
      <c r="E54" s="2"/>
    </row>
    <row r="55" spans="1:10" x14ac:dyDescent="0.15">
      <c r="C55" s="6"/>
      <c r="D55" s="2"/>
      <c r="E55" s="2"/>
      <c r="F55" s="2"/>
    </row>
    <row r="56" spans="1:10" x14ac:dyDescent="0.15">
      <c r="C56" s="6"/>
      <c r="D56" s="2"/>
      <c r="E56" s="2"/>
      <c r="F56" s="2"/>
    </row>
    <row r="57" spans="1:10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30"/>
  <sheetViews>
    <sheetView workbookViewId="0">
      <selection activeCell="B13" sqref="B13"/>
    </sheetView>
  </sheetViews>
  <sheetFormatPr defaultRowHeight="12.75" x14ac:dyDescent="0.15"/>
  <cols>
    <col min="1" max="1" width="2.42578125" customWidth="1"/>
    <col min="2" max="2" width="14.29296875" customWidth="1"/>
    <col min="3" max="3" width="16.44921875" bestFit="1" customWidth="1"/>
    <col min="4" max="4" width="12.40625" style="2" customWidth="1"/>
    <col min="5" max="5" width="2.42578125" customWidth="1"/>
    <col min="6" max="6" width="23.734375" bestFit="1" customWidth="1"/>
    <col min="7" max="7" width="2.42578125" customWidth="1"/>
    <col min="8" max="8" width="15.1015625" bestFit="1" customWidth="1"/>
    <col min="9" max="9" width="2.42578125" customWidth="1"/>
    <col min="10" max="10" width="9.16796875" style="9"/>
    <col min="17" max="17" width="9.16796875" style="19"/>
    <col min="27" max="27" width="9.16796875" style="9"/>
  </cols>
  <sheetData>
    <row r="2" spans="2:18" ht="22.5" customHeight="1" x14ac:dyDescent="0.15">
      <c r="B2" s="7" t="s">
        <v>18</v>
      </c>
      <c r="K2" s="1" t="s">
        <v>89</v>
      </c>
    </row>
    <row r="3" spans="2:18" x14ac:dyDescent="0.15">
      <c r="B3" s="8" t="s">
        <v>82</v>
      </c>
    </row>
    <row r="4" spans="2:18" x14ac:dyDescent="0.15">
      <c r="R4" s="10"/>
    </row>
    <row r="5" spans="2:18" x14ac:dyDescent="0.15">
      <c r="C5" s="7" t="s">
        <v>0</v>
      </c>
      <c r="F5" t="s">
        <v>21</v>
      </c>
      <c r="H5" t="s">
        <v>22</v>
      </c>
    </row>
    <row r="6" spans="2:18" x14ac:dyDescent="0.15">
      <c r="C6" s="6" t="s">
        <v>2</v>
      </c>
      <c r="D6" s="5">
        <v>1500</v>
      </c>
      <c r="E6" s="19"/>
    </row>
    <row r="7" spans="2:18" x14ac:dyDescent="0.15">
      <c r="C7" s="6" t="s">
        <v>3</v>
      </c>
      <c r="D7" s="5">
        <v>210</v>
      </c>
      <c r="E7" s="19"/>
    </row>
    <row r="8" spans="2:18" x14ac:dyDescent="0.15">
      <c r="C8" s="6" t="s">
        <v>48</v>
      </c>
      <c r="D8" s="5">
        <v>45.7</v>
      </c>
      <c r="E8" s="19"/>
      <c r="F8" t="s">
        <v>38</v>
      </c>
    </row>
    <row r="9" spans="2:18" x14ac:dyDescent="0.15">
      <c r="C9" s="6" t="s">
        <v>49</v>
      </c>
      <c r="D9" s="5">
        <v>48.9</v>
      </c>
      <c r="E9" s="19"/>
      <c r="F9" t="s">
        <v>38</v>
      </c>
    </row>
    <row r="10" spans="2:18" x14ac:dyDescent="0.15">
      <c r="C10" s="6" t="s">
        <v>36</v>
      </c>
      <c r="D10" s="5">
        <v>109</v>
      </c>
      <c r="E10" s="19"/>
    </row>
    <row r="11" spans="2:18" x14ac:dyDescent="0.15">
      <c r="C11" s="6" t="s">
        <v>37</v>
      </c>
      <c r="D11" s="5">
        <v>500</v>
      </c>
      <c r="E11" s="19"/>
    </row>
    <row r="13" spans="2:18" x14ac:dyDescent="0.15">
      <c r="C13" s="18" t="s">
        <v>39</v>
      </c>
      <c r="F13" t="s">
        <v>78</v>
      </c>
    </row>
    <row r="14" spans="2:18" x14ac:dyDescent="0.15">
      <c r="C14" s="23" t="s">
        <v>41</v>
      </c>
      <c r="D14" s="24">
        <f xml:space="preserve"> (D16 + D10) - D11</f>
        <v>-244.33279005948879</v>
      </c>
      <c r="E14" s="25"/>
      <c r="F14" s="26" t="s">
        <v>42</v>
      </c>
    </row>
    <row r="15" spans="2:18" x14ac:dyDescent="0.15">
      <c r="C15" s="27" t="s">
        <v>40</v>
      </c>
      <c r="D15" s="20">
        <f xml:space="preserve"> (D17 + D10) - D11</f>
        <v>-252.9511983832399</v>
      </c>
      <c r="E15" s="19"/>
      <c r="F15" s="11" t="s">
        <v>43</v>
      </c>
    </row>
    <row r="16" spans="2:18" x14ac:dyDescent="0.15">
      <c r="C16" s="27" t="s">
        <v>5</v>
      </c>
      <c r="D16" s="20">
        <f>COS(RADIANS(D8)) * D7</f>
        <v>146.66720994051121</v>
      </c>
      <c r="E16" s="19"/>
      <c r="F16" s="11" t="s">
        <v>55</v>
      </c>
    </row>
    <row r="17" spans="2:8" x14ac:dyDescent="0.15">
      <c r="C17" s="27" t="s">
        <v>4</v>
      </c>
      <c r="D17" s="20">
        <f>COS(RADIANS(D9)) * D7</f>
        <v>138.0488016167601</v>
      </c>
      <c r="E17" s="19"/>
      <c r="F17" s="11" t="s">
        <v>52</v>
      </c>
    </row>
    <row r="18" spans="2:8" x14ac:dyDescent="0.15">
      <c r="C18" s="27" t="s">
        <v>6</v>
      </c>
      <c r="D18" s="20">
        <f>SQRT((D14*D14) + (D20*D20))</f>
        <v>1668.2846471930004</v>
      </c>
      <c r="E18" s="19"/>
      <c r="F18" s="11" t="s">
        <v>44</v>
      </c>
    </row>
    <row r="19" spans="2:8" x14ac:dyDescent="0.15">
      <c r="C19" s="27" t="s">
        <v>7</v>
      </c>
      <c r="D19" s="20">
        <f>SQRT((D15*D15) + (D21*D21))</f>
        <v>1365.3870879665085</v>
      </c>
      <c r="E19" s="19"/>
      <c r="F19" s="11" t="s">
        <v>45</v>
      </c>
    </row>
    <row r="20" spans="2:8" x14ac:dyDescent="0.15">
      <c r="C20" s="27" t="s">
        <v>10</v>
      </c>
      <c r="D20" s="20">
        <f xml:space="preserve"> D6 + D22</f>
        <v>1650.2954740777845</v>
      </c>
      <c r="E20" s="19"/>
      <c r="F20" s="11" t="s">
        <v>46</v>
      </c>
    </row>
    <row r="21" spans="2:8" x14ac:dyDescent="0.15">
      <c r="C21" s="27" t="s">
        <v>15</v>
      </c>
      <c r="D21" s="20">
        <f xml:space="preserve"> D6 - D23</f>
        <v>1341.751687616656</v>
      </c>
      <c r="E21" s="19"/>
      <c r="F21" s="11" t="s">
        <v>47</v>
      </c>
    </row>
    <row r="22" spans="2:8" x14ac:dyDescent="0.15">
      <c r="C22" s="27" t="s">
        <v>8</v>
      </c>
      <c r="D22" s="20">
        <f>SIN(RADIANS(D8)) * D7</f>
        <v>150.29547407778455</v>
      </c>
      <c r="E22" s="19"/>
      <c r="F22" s="11" t="s">
        <v>56</v>
      </c>
    </row>
    <row r="23" spans="2:8" x14ac:dyDescent="0.15">
      <c r="C23" s="28" t="s">
        <v>9</v>
      </c>
      <c r="D23" s="21">
        <f>SIN(RADIANS(D9)) * D7</f>
        <v>158.24831238334394</v>
      </c>
      <c r="E23" s="22"/>
      <c r="F23" s="13" t="s">
        <v>54</v>
      </c>
    </row>
    <row r="25" spans="2:8" x14ac:dyDescent="0.15">
      <c r="C25" s="18" t="s">
        <v>11</v>
      </c>
    </row>
    <row r="26" spans="2:8" x14ac:dyDescent="0.15">
      <c r="C26" s="6" t="s">
        <v>66</v>
      </c>
      <c r="D26" s="2">
        <f xml:space="preserve"> D18 - D27</f>
        <v>1516.8358675797544</v>
      </c>
      <c r="F26" t="s">
        <v>95</v>
      </c>
    </row>
    <row r="27" spans="2:8" x14ac:dyDescent="0.15">
      <c r="C27" s="6" t="s">
        <v>65</v>
      </c>
      <c r="D27" s="2">
        <f xml:space="preserve"> (D18 - D19) /2</f>
        <v>151.44877961324596</v>
      </c>
      <c r="F27" t="s">
        <v>101</v>
      </c>
    </row>
    <row r="28" spans="2:8" x14ac:dyDescent="0.15">
      <c r="B28" t="s">
        <v>12</v>
      </c>
      <c r="C28" s="6" t="s">
        <v>24</v>
      </c>
      <c r="D28" s="2">
        <f>DEGREES(ATAN(D14/D20))</f>
        <v>-8.4216886039133882</v>
      </c>
      <c r="F28" t="s">
        <v>105</v>
      </c>
      <c r="H28" t="s">
        <v>19</v>
      </c>
    </row>
    <row r="29" spans="2:8" x14ac:dyDescent="0.15">
      <c r="B29" t="s">
        <v>13</v>
      </c>
      <c r="C29" s="6" t="s">
        <v>25</v>
      </c>
      <c r="D29" s="2">
        <f>DEGREES(ATAN(D15/D21))</f>
        <v>-10.676273678458163</v>
      </c>
      <c r="F29" t="s">
        <v>106</v>
      </c>
      <c r="H29" t="s">
        <v>19</v>
      </c>
    </row>
    <row r="30" spans="2:8" x14ac:dyDescent="0.15">
      <c r="C30" s="6" t="s">
        <v>57</v>
      </c>
      <c r="D30" s="2">
        <f xml:space="preserve"> (D28 + D29)/2</f>
        <v>-9.5489811411857755</v>
      </c>
      <c r="F30" t="s">
        <v>81</v>
      </c>
      <c r="H30" t="s">
        <v>59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tabSelected="1" workbookViewId="0">
      <selection activeCell="B6" sqref="B6"/>
    </sheetView>
  </sheetViews>
  <sheetFormatPr defaultRowHeight="12.75" x14ac:dyDescent="0.15"/>
  <cols>
    <col min="1" max="1" width="2.42578125" customWidth="1"/>
    <col min="2" max="2" width="82.80078125" bestFit="1" customWidth="1"/>
    <col min="3" max="3" width="2.42578125" customWidth="1"/>
    <col min="4" max="4" width="9.16796875" style="9"/>
  </cols>
  <sheetData>
    <row r="2" spans="2:2" ht="22.5" customHeight="1" x14ac:dyDescent="0.15">
      <c r="B2" s="1" t="s">
        <v>87</v>
      </c>
    </row>
    <row r="4" spans="2:2" x14ac:dyDescent="0.15">
      <c r="B4" t="s">
        <v>88</v>
      </c>
    </row>
    <row r="6" spans="2:2" x14ac:dyDescent="0.15">
      <c r="B6" t="s">
        <v>99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Staggered Crank</vt:lpstr>
      <vt:lpstr>"Perfect" Staggered Crank</vt:lpstr>
      <vt:lpstr>"Inside-out" Staggered Crank</vt:lpstr>
      <vt:lpstr>Duel Crank</vt:lpstr>
      <vt:lpstr>Help and Information</vt:lpstr>
    </vt:vector>
  </TitlesOfParts>
  <Company>Sakal Glass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X</cp:lastModifiedBy>
  <dcterms:created xsi:type="dcterms:W3CDTF">2022-03-23T12:56:19Z</dcterms:created>
  <dcterms:modified xsi:type="dcterms:W3CDTF">2022-07-13T19:55:07Z</dcterms:modified>
</cp:coreProperties>
</file>