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emymeile/Documents/Berechnungshilfen/Excel/GS Gerüstung/"/>
    </mc:Choice>
  </mc:AlternateContent>
  <xr:revisionPtr revIDLastSave="0" documentId="8_{9A9AE1D9-E15A-7D4D-90BB-62EA162EDCAF}" xr6:coauthVersionLast="47" xr6:coauthVersionMax="47" xr10:uidLastSave="{00000000-0000-0000-0000-000000000000}"/>
  <bookViews>
    <workbookView xWindow="0" yWindow="780" windowWidth="32780" windowHeight="20140" xr2:uid="{00000000-000D-0000-FFFF-FFFF00000000}"/>
  </bookViews>
  <sheets>
    <sheet name="Auswahl" sheetId="2" r:id="rId1"/>
    <sheet name="Bindstab" sheetId="7" r:id="rId2"/>
    <sheet name="Formel" sheetId="6" r:id="rId3"/>
    <sheet name="Zeiten" sheetId="4" r:id="rId4"/>
    <sheet name="Konsistenzklasse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D47" i="2"/>
  <c r="D50" i="2"/>
  <c r="P53" i="2" s="1"/>
  <c r="M53" i="2" s="1"/>
  <c r="D49" i="2"/>
  <c r="L45" i="2" s="1"/>
  <c r="F41" i="2"/>
  <c r="D40" i="2"/>
  <c r="Q45" i="2" l="1"/>
  <c r="F6" i="2"/>
  <c r="F12" i="2"/>
  <c r="F33" i="2"/>
  <c r="D31" i="2"/>
  <c r="B28" i="2"/>
  <c r="D6" i="2"/>
  <c r="D16" i="2" l="1"/>
  <c r="D17" i="2" s="1"/>
  <c r="F34" i="2"/>
  <c r="D34" i="2"/>
  <c r="D12" i="2"/>
  <c r="D41" i="2" l="1"/>
  <c r="O50" i="2"/>
  <c r="D51" i="2"/>
  <c r="D52" i="2"/>
  <c r="Q64" i="2" s="1"/>
  <c r="F20" i="2"/>
  <c r="D20" i="2"/>
  <c r="F17" i="2"/>
  <c r="K64" i="2" l="1"/>
  <c r="D53" i="2"/>
  <c r="D54" i="2" s="1"/>
  <c r="D55" i="2" s="1"/>
  <c r="F32" i="2"/>
  <c r="D32" i="2" l="1"/>
  <c r="F37" i="2" l="1"/>
  <c r="D37" i="2"/>
  <c r="F42" i="2" l="1"/>
  <c r="D42" i="2"/>
  <c r="D44" i="2" s="1"/>
  <c r="D43" i="2" l="1"/>
  <c r="F44" i="2"/>
  <c r="F43" i="2"/>
</calcChain>
</file>

<file path=xl/sharedStrings.xml><?xml version="1.0" encoding="utf-8"?>
<sst xmlns="http://schemas.openxmlformats.org/spreadsheetml/2006/main" count="146" uniqueCount="89">
  <si>
    <t>Betonkonsistenz</t>
  </si>
  <si>
    <t>flüssiger Beton</t>
  </si>
  <si>
    <t>weichplast. Beton</t>
  </si>
  <si>
    <t>plastischer Beton</t>
  </si>
  <si>
    <t>steifplast. Beton</t>
  </si>
  <si>
    <t>Konsistenzklasse</t>
  </si>
  <si>
    <t>Formel</t>
  </si>
  <si>
    <t>5 * v + 21</t>
  </si>
  <si>
    <t>10 * v + 19</t>
  </si>
  <si>
    <t>14 * v + 18</t>
  </si>
  <si>
    <t>17 * v + 17</t>
  </si>
  <si>
    <t>F5</t>
  </si>
  <si>
    <t>44 * v * K1</t>
  </si>
  <si>
    <t>F6</t>
  </si>
  <si>
    <t>62,5 * v * K1</t>
  </si>
  <si>
    <t>52,5 * v * K1</t>
  </si>
  <si>
    <t>Lösungsweg</t>
  </si>
  <si>
    <t>Länge (m)</t>
  </si>
  <si>
    <t>Breite (m)</t>
  </si>
  <si>
    <t>Höhe (m)</t>
  </si>
  <si>
    <t>Kran benötigt für ein Betonierzyklus</t>
  </si>
  <si>
    <t xml:space="preserve">Eingesetzter Betonkübel </t>
  </si>
  <si>
    <t>Sekunden</t>
  </si>
  <si>
    <t>Minuten</t>
  </si>
  <si>
    <t>Stunden</t>
  </si>
  <si>
    <t>Tage</t>
  </si>
  <si>
    <t>Erstarrungsende</t>
  </si>
  <si>
    <t>K1-Faktor aus Tabelle</t>
  </si>
  <si>
    <t>Faktor Allgemeine Formel</t>
  </si>
  <si>
    <t>SVB (SSC)</t>
  </si>
  <si>
    <t>C1 / F1 (steif)</t>
  </si>
  <si>
    <t>C2 / F2 (plastisch)</t>
  </si>
  <si>
    <t>C4 / F4 (Fließbeton)</t>
  </si>
  <si>
    <t>C3 / F3 (Pumpbeton, Regelkonsistenz)</t>
  </si>
  <si>
    <t>Einheit</t>
  </si>
  <si>
    <t>Wert</t>
  </si>
  <si>
    <t>Frischbetondruck</t>
  </si>
  <si>
    <t>meile.jeremy@stud.bauschule.ch</t>
  </si>
  <si>
    <t>1. Bestimmen der Betonmenge</t>
  </si>
  <si>
    <t>2. Definieren der Betonierleistung</t>
  </si>
  <si>
    <t>m³</t>
  </si>
  <si>
    <t>m³/h</t>
  </si>
  <si>
    <t>Berechnete Betonierleistung</t>
  </si>
  <si>
    <t>Gewählte Betonierleistung</t>
  </si>
  <si>
    <t>m</t>
  </si>
  <si>
    <t>Berechnete Betonmenge</t>
  </si>
  <si>
    <t>3. Berechnung der Betonierdauer</t>
  </si>
  <si>
    <t>&lt;- Dieser Eintrag wird für weitere Schritte benutzt, setze den Wert oberhalb ein oder wähle selbst!</t>
  </si>
  <si>
    <t>Berechnete Betonmenge (Schritt 1)</t>
  </si>
  <si>
    <t>Zeit zum Betonieren</t>
  </si>
  <si>
    <t>h</t>
  </si>
  <si>
    <t>4. Berechnung der Steiggeschwindigkeit</t>
  </si>
  <si>
    <t>m/h</t>
  </si>
  <si>
    <t>Betonier - / Steiggeschwindigkeit</t>
  </si>
  <si>
    <t>5. Definieren der Betonkonsistenz</t>
  </si>
  <si>
    <t>6. Wahlt der Formel für die Berechnung des Frischbetondrucks</t>
  </si>
  <si>
    <t>Temperatur beim Einbringen</t>
  </si>
  <si>
    <t>°</t>
  </si>
  <si>
    <t>8. Definieren der Hydrostatischen Druckhöhe</t>
  </si>
  <si>
    <t>Hydrostatische Druckhöhe</t>
  </si>
  <si>
    <t>Maximal horizontaler Frischbetondruck (Pmax)</t>
  </si>
  <si>
    <t>kN/m²</t>
  </si>
  <si>
    <t>Grösstmöglicher Druck (Pbmax)</t>
  </si>
  <si>
    <t>Dividag 15</t>
  </si>
  <si>
    <t>Dividag 20</t>
  </si>
  <si>
    <t>Dividag 26</t>
  </si>
  <si>
    <t>9. Stützböcke berechnen</t>
  </si>
  <si>
    <t>G. Hydro Phsysikalischer Druck:</t>
  </si>
  <si>
    <t>kN</t>
  </si>
  <si>
    <t>Kraft F (Kathete):</t>
  </si>
  <si>
    <t>kN/m1</t>
  </si>
  <si>
    <t>Kraft Hypothenuse:</t>
  </si>
  <si>
    <t>Ankerabstand:</t>
  </si>
  <si>
    <t>Stützbockabstand:</t>
  </si>
  <si>
    <t>B=</t>
  </si>
  <si>
    <t>A=</t>
  </si>
  <si>
    <t xml:space="preserve">Auflager A </t>
  </si>
  <si>
    <t>Auflager B</t>
  </si>
  <si>
    <t>F=</t>
  </si>
  <si>
    <t>10. Bindstellen berechnen</t>
  </si>
  <si>
    <t>Kraft Abstand obere 2 Drittel</t>
  </si>
  <si>
    <t>Kraft Abstand unteres Drittel</t>
  </si>
  <si>
    <t>B</t>
  </si>
  <si>
    <t>A</t>
  </si>
  <si>
    <t>Bindstab Abstand berechnet</t>
  </si>
  <si>
    <t>MaxLagerKraft</t>
  </si>
  <si>
    <t>Bindstab Abstand Gewählt</t>
  </si>
  <si>
    <t>Darstellung für Bindstangenabstand</t>
  </si>
  <si>
    <t>Betonierhöhe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</si>
</sst>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theme="0"/>
      <name val="Aptos"/>
    </font>
    <font>
      <sz val="12"/>
      <color theme="1"/>
      <name val="Aptos"/>
    </font>
    <font>
      <sz val="11"/>
      <color theme="1"/>
      <name val="Aptos"/>
    </font>
    <font>
      <sz val="12"/>
      <color rgb="FF3F3F76"/>
      <name val="Aptos"/>
    </font>
    <font>
      <b/>
      <sz val="12"/>
      <color rgb="FF3F3F3F"/>
      <name val="Aptos"/>
    </font>
    <font>
      <b/>
      <sz val="11"/>
      <color theme="1"/>
      <name val="Aptos"/>
    </font>
    <font>
      <sz val="14"/>
      <color theme="0"/>
      <name val="Aptos"/>
    </font>
    <font>
      <sz val="10"/>
      <color theme="1"/>
      <name val="Aptos"/>
    </font>
    <font>
      <sz val="11"/>
      <color rgb="FF000000"/>
      <name val="Aptos"/>
    </font>
    <font>
      <b/>
      <sz val="12"/>
      <color theme="1"/>
      <name val="Aptos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0" xfId="0" applyFont="1"/>
    <xf numFmtId="0" fontId="6" fillId="5" borderId="6" xfId="0" applyFont="1" applyFill="1" applyBorder="1"/>
    <xf numFmtId="0" fontId="6" fillId="5" borderId="5" xfId="0" applyFont="1" applyFill="1" applyBorder="1"/>
    <xf numFmtId="0" fontId="9" fillId="5" borderId="4" xfId="0" applyFont="1" applyFill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2" fontId="7" fillId="2" borderId="7" xfId="1" applyNumberFormat="1" applyFont="1" applyBorder="1" applyAlignment="1">
      <alignment horizontal="right"/>
    </xf>
    <xf numFmtId="0" fontId="9" fillId="5" borderId="5" xfId="0" applyFont="1" applyFill="1" applyBorder="1"/>
    <xf numFmtId="2" fontId="7" fillId="2" borderId="16" xfId="1" applyNumberFormat="1" applyFont="1" applyBorder="1" applyAlignment="1">
      <alignment horizontal="right"/>
    </xf>
    <xf numFmtId="0" fontId="6" fillId="0" borderId="9" xfId="0" applyFont="1" applyBorder="1"/>
    <xf numFmtId="2" fontId="7" fillId="2" borderId="1" xfId="1" applyNumberFormat="1" applyFont="1" applyAlignment="1">
      <alignment horizontal="right"/>
    </xf>
    <xf numFmtId="0" fontId="6" fillId="0" borderId="17" xfId="0" applyFont="1" applyBorder="1"/>
    <xf numFmtId="0" fontId="6" fillId="0" borderId="10" xfId="0" applyFont="1" applyBorder="1"/>
    <xf numFmtId="4" fontId="8" fillId="3" borderId="8" xfId="2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4" borderId="18" xfId="3" applyFont="1" applyBorder="1"/>
    <xf numFmtId="0" fontId="11" fillId="0" borderId="12" xfId="0" applyFont="1" applyBorder="1"/>
    <xf numFmtId="0" fontId="6" fillId="0" borderId="11" xfId="0" applyFont="1" applyBorder="1"/>
    <xf numFmtId="4" fontId="8" fillId="3" borderId="20" xfId="2" applyNumberFormat="1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12" fillId="7" borderId="21" xfId="0" applyFont="1" applyFill="1" applyBorder="1"/>
    <xf numFmtId="0" fontId="6" fillId="5" borderId="5" xfId="0" applyFont="1" applyFill="1" applyBorder="1" applyAlignment="1">
      <alignment horizontal="center"/>
    </xf>
    <xf numFmtId="0" fontId="7" fillId="2" borderId="19" xfId="1" applyFont="1" applyBorder="1"/>
    <xf numFmtId="4" fontId="0" fillId="0" borderId="0" xfId="0" applyNumberFormat="1"/>
    <xf numFmtId="0" fontId="13" fillId="5" borderId="4" xfId="0" applyFont="1" applyFill="1" applyBorder="1"/>
    <xf numFmtId="0" fontId="13" fillId="5" borderId="10" xfId="0" applyFont="1" applyFill="1" applyBorder="1"/>
    <xf numFmtId="0" fontId="6" fillId="5" borderId="11" xfId="0" applyFont="1" applyFill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10" fillId="6" borderId="5" xfId="0" applyFont="1" applyFill="1" applyBorder="1" applyAlignment="1">
      <alignment horizontal="right"/>
    </xf>
    <xf numFmtId="0" fontId="4" fillId="6" borderId="6" xfId="0" applyFont="1" applyFill="1" applyBorder="1" applyAlignment="1">
      <alignment horizontal="right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6" fillId="4" borderId="22" xfId="3" applyFont="1" applyBorder="1"/>
    <xf numFmtId="0" fontId="0" fillId="0" borderId="23" xfId="0" applyBorder="1"/>
    <xf numFmtId="4" fontId="3" fillId="3" borderId="24" xfId="2" applyNumberFormat="1" applyBorder="1" applyAlignment="1">
      <alignment horizontal="right"/>
    </xf>
    <xf numFmtId="0" fontId="6" fillId="0" borderId="5" xfId="0" applyFont="1" applyBorder="1"/>
    <xf numFmtId="0" fontId="6" fillId="4" borderId="21" xfId="3" applyFont="1" applyBorder="1"/>
    <xf numFmtId="0" fontId="0" fillId="0" borderId="25" xfId="0" applyBorder="1"/>
    <xf numFmtId="0" fontId="7" fillId="2" borderId="16" xfId="1" applyFont="1" applyBorder="1" applyAlignment="1">
      <alignment horizontal="left"/>
    </xf>
    <xf numFmtId="0" fontId="6" fillId="0" borderId="0" xfId="0" applyFont="1" applyAlignment="1">
      <alignment horizontal="right"/>
    </xf>
    <xf numFmtId="4" fontId="8" fillId="3" borderId="2" xfId="2" applyNumberFormat="1" applyFont="1" applyAlignment="1">
      <alignment horizontal="right"/>
    </xf>
    <xf numFmtId="2" fontId="0" fillId="0" borderId="25" xfId="0" applyNumberFormat="1" applyBorder="1"/>
    <xf numFmtId="2" fontId="0" fillId="8" borderId="25" xfId="0" applyNumberFormat="1" applyFill="1" applyBorder="1"/>
    <xf numFmtId="2" fontId="0" fillId="8" borderId="28" xfId="0" applyNumberFormat="1" applyFill="1" applyBorder="1"/>
    <xf numFmtId="0" fontId="0" fillId="0" borderId="28" xfId="0" applyBorder="1"/>
    <xf numFmtId="0" fontId="0" fillId="0" borderId="27" xfId="0" applyBorder="1"/>
    <xf numFmtId="0" fontId="0" fillId="0" borderId="26" xfId="0" applyBorder="1"/>
    <xf numFmtId="4" fontId="8" fillId="3" borderId="29" xfId="2" applyNumberFormat="1" applyFont="1" applyBorder="1" applyAlignment="1">
      <alignment horizontal="right"/>
    </xf>
    <xf numFmtId="4" fontId="6" fillId="0" borderId="19" xfId="0" applyNumberFormat="1" applyFont="1" applyBorder="1" applyAlignment="1">
      <alignment horizontal="center"/>
    </xf>
    <xf numFmtId="0" fontId="2" fillId="2" borderId="19" xfId="1" applyBorder="1" applyAlignment="1">
      <alignment horizontal="center"/>
    </xf>
    <xf numFmtId="2" fontId="7" fillId="2" borderId="30" xfId="1" applyNumberFormat="1" applyFont="1" applyBorder="1" applyAlignment="1">
      <alignment horizontal="right"/>
    </xf>
    <xf numFmtId="4" fontId="8" fillId="3" borderId="31" xfId="2" applyNumberFormat="1" applyFont="1" applyBorder="1" applyAlignment="1">
      <alignment horizontal="right"/>
    </xf>
    <xf numFmtId="4" fontId="6" fillId="0" borderId="0" xfId="0" applyNumberFormat="1" applyFont="1"/>
    <xf numFmtId="4" fontId="6" fillId="0" borderId="11" xfId="0" applyNumberFormat="1" applyFont="1" applyBorder="1"/>
    <xf numFmtId="0" fontId="6" fillId="0" borderId="12" xfId="0" applyFont="1" applyBorder="1"/>
    <xf numFmtId="0" fontId="6" fillId="0" borderId="0" xfId="0" applyFont="1" applyAlignment="1">
      <alignment horizontal="center"/>
    </xf>
    <xf numFmtId="0" fontId="9" fillId="0" borderId="0" xfId="0" applyFont="1"/>
    <xf numFmtId="0" fontId="14" fillId="5" borderId="5" xfId="0" applyFont="1" applyFill="1" applyBorder="1"/>
    <xf numFmtId="0" fontId="9" fillId="5" borderId="6" xfId="0" applyFont="1" applyFill="1" applyBorder="1"/>
  </cellXfs>
  <cellStyles count="4">
    <cellStyle name="Ausgabe" xfId="2" builtinId="21"/>
    <cellStyle name="Eingabe" xfId="1" builtinId="20"/>
    <cellStyle name="Notiz" xfId="3" builtinId="10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182880</xdr:colOff>
      <xdr:row>1</xdr:row>
      <xdr:rowOff>30480</xdr:rowOff>
    </xdr:from>
    <xdr:to>
      <xdr:col>17</xdr:col>
      <xdr:colOff>144209</xdr:colOff>
      <xdr:row>31</xdr:row>
      <xdr:rowOff>11487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A2B9B75-0A5A-F1BA-0727-1F56BE776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68480" y="284480"/>
          <a:ext cx="7772400" cy="6209087"/>
        </a:xfrm>
        <a:prstGeom prst="rect">
          <a:avLst/>
        </a:prstGeom>
      </xdr:spPr>
    </xdr:pic>
    <xdr:clientData/>
  </xdr:twoCellAnchor>
  <xdr:twoCellAnchor>
    <xdr:from>
      <xdr:col>7</xdr:col>
      <xdr:colOff>447040</xdr:colOff>
      <xdr:row>45</xdr:row>
      <xdr:rowOff>44563</xdr:rowOff>
    </xdr:from>
    <xdr:to>
      <xdr:col>18</xdr:col>
      <xdr:colOff>429559</xdr:colOff>
      <xdr:row>61</xdr:row>
      <xdr:rowOff>183775</xdr:rowOff>
    </xdr:to>
    <xdr:grpSp>
      <xdr:nvGrpSpPr>
        <xdr:cNvPr id="95" name="Gruppieren 94">
          <a:extLst>
            <a:ext uri="{FF2B5EF4-FFF2-40B4-BE49-F238E27FC236}">
              <a16:creationId xmlns:a16="http://schemas.microsoft.com/office/drawing/2014/main" id="{554D2026-4664-AD18-D38F-79A562F2F84B}"/>
            </a:ext>
          </a:extLst>
        </xdr:cNvPr>
        <xdr:cNvGrpSpPr/>
      </xdr:nvGrpSpPr>
      <xdr:grpSpPr>
        <a:xfrm>
          <a:off x="13451840" y="9442563"/>
          <a:ext cx="7056419" cy="3314212"/>
          <a:chOff x="12682070" y="9381603"/>
          <a:chExt cx="6949889" cy="3329452"/>
        </a:xfrm>
      </xdr:grpSpPr>
      <xdr:grpSp>
        <xdr:nvGrpSpPr>
          <xdr:cNvPr id="75" name="Gruppieren 74">
            <a:extLst>
              <a:ext uri="{FF2B5EF4-FFF2-40B4-BE49-F238E27FC236}">
                <a16:creationId xmlns:a16="http://schemas.microsoft.com/office/drawing/2014/main" id="{F2C33976-349D-235B-4B29-BA9428A68929}"/>
              </a:ext>
            </a:extLst>
          </xdr:cNvPr>
          <xdr:cNvGrpSpPr/>
        </xdr:nvGrpSpPr>
        <xdr:grpSpPr>
          <a:xfrm>
            <a:off x="12691165" y="10198295"/>
            <a:ext cx="6908800" cy="2512760"/>
            <a:chOff x="5907611" y="9490025"/>
            <a:chExt cx="5704357" cy="2441249"/>
          </a:xfrm>
        </xdr:grpSpPr>
        <xdr:cxnSp macro="">
          <xdr:nvCxnSpPr>
            <xdr:cNvPr id="4" name="Gerade Verbindung 3">
              <a:extLst>
                <a:ext uri="{FF2B5EF4-FFF2-40B4-BE49-F238E27FC236}">
                  <a16:creationId xmlns:a16="http://schemas.microsoft.com/office/drawing/2014/main" id="{6DB4EA9B-5CBB-2843-2869-55BD284F9E67}"/>
                </a:ext>
              </a:extLst>
            </xdr:cNvPr>
            <xdr:cNvCxnSpPr/>
          </xdr:nvCxnSpPr>
          <xdr:spPr>
            <a:xfrm>
              <a:off x="7592581" y="10310381"/>
              <a:ext cx="3210560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Gerade Verbindung 5">
              <a:extLst>
                <a:ext uri="{FF2B5EF4-FFF2-40B4-BE49-F238E27FC236}">
                  <a16:creationId xmlns:a16="http://schemas.microsoft.com/office/drawing/2014/main" id="{7BCBD743-031A-E33C-135E-A91A06D5A3E5}"/>
                </a:ext>
              </a:extLst>
            </xdr:cNvPr>
            <xdr:cNvCxnSpPr/>
          </xdr:nvCxnSpPr>
          <xdr:spPr>
            <a:xfrm>
              <a:off x="6027941" y="10833556"/>
              <a:ext cx="5496560" cy="0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Gerade Verbindung 14">
              <a:extLst>
                <a:ext uri="{FF2B5EF4-FFF2-40B4-BE49-F238E27FC236}">
                  <a16:creationId xmlns:a16="http://schemas.microsoft.com/office/drawing/2014/main" id="{BFFFE506-7BB1-4DAA-0F48-D32C8C1C472B}"/>
                </a:ext>
              </a:extLst>
            </xdr:cNvPr>
            <xdr:cNvCxnSpPr/>
          </xdr:nvCxnSpPr>
          <xdr:spPr>
            <a:xfrm>
              <a:off x="10660901" y="10225220"/>
              <a:ext cx="0" cy="502372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Gerade Verbindung 20">
              <a:extLst>
                <a:ext uri="{FF2B5EF4-FFF2-40B4-BE49-F238E27FC236}">
                  <a16:creationId xmlns:a16="http://schemas.microsoft.com/office/drawing/2014/main" id="{5D4322DC-2F95-8043-9286-EA2D6B6E93E2}"/>
                </a:ext>
              </a:extLst>
            </xdr:cNvPr>
            <xdr:cNvCxnSpPr/>
          </xdr:nvCxnSpPr>
          <xdr:spPr>
            <a:xfrm>
              <a:off x="7709649" y="10192114"/>
              <a:ext cx="0" cy="502372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Gerade Verbindung mit Pfeil 23">
              <a:extLst>
                <a:ext uri="{FF2B5EF4-FFF2-40B4-BE49-F238E27FC236}">
                  <a16:creationId xmlns:a16="http://schemas.microsoft.com/office/drawing/2014/main" id="{B934C4DF-8947-EAC0-7CB9-A8032DE4CABB}"/>
                </a:ext>
              </a:extLst>
            </xdr:cNvPr>
            <xdr:cNvCxnSpPr/>
          </xdr:nvCxnSpPr>
          <xdr:spPr>
            <a:xfrm flipH="1">
              <a:off x="9711511" y="9879272"/>
              <a:ext cx="7135" cy="867156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6" name="Dreieck 25">
              <a:extLst>
                <a:ext uri="{FF2B5EF4-FFF2-40B4-BE49-F238E27FC236}">
                  <a16:creationId xmlns:a16="http://schemas.microsoft.com/office/drawing/2014/main" id="{6CFBF231-4BA1-F933-5B11-DEC1DC3C5B34}"/>
                </a:ext>
              </a:extLst>
            </xdr:cNvPr>
            <xdr:cNvSpPr/>
          </xdr:nvSpPr>
          <xdr:spPr>
            <a:xfrm>
              <a:off x="10532017" y="10848055"/>
              <a:ext cx="248292" cy="208647"/>
            </a:xfrm>
            <a:prstGeom prst="triangl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">
          <xdr:nvSpPr>
            <xdr:cNvPr id="27" name="Dreieck 26">
              <a:extLst>
                <a:ext uri="{FF2B5EF4-FFF2-40B4-BE49-F238E27FC236}">
                  <a16:creationId xmlns:a16="http://schemas.microsoft.com/office/drawing/2014/main" id="{745B769D-F769-1340-8CBD-6B89F1B85382}"/>
                </a:ext>
              </a:extLst>
            </xdr:cNvPr>
            <xdr:cNvSpPr/>
          </xdr:nvSpPr>
          <xdr:spPr>
            <a:xfrm>
              <a:off x="7595035" y="10850624"/>
              <a:ext cx="248292" cy="208647"/>
            </a:xfrm>
            <a:prstGeom prst="triangl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cxnSp macro="">
          <xdr:nvCxnSpPr>
            <xdr:cNvPr id="28" name="Gerade Verbindung 27">
              <a:extLst>
                <a:ext uri="{FF2B5EF4-FFF2-40B4-BE49-F238E27FC236}">
                  <a16:creationId xmlns:a16="http://schemas.microsoft.com/office/drawing/2014/main" id="{A45FD914-DDCC-AC4A-AD6B-79FA311D17DF}"/>
                </a:ext>
              </a:extLst>
            </xdr:cNvPr>
            <xdr:cNvCxnSpPr/>
          </xdr:nvCxnSpPr>
          <xdr:spPr>
            <a:xfrm>
              <a:off x="5907611" y="11644060"/>
              <a:ext cx="5704357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Gerade Verbindung mit Pfeil 29">
              <a:extLst>
                <a:ext uri="{FF2B5EF4-FFF2-40B4-BE49-F238E27FC236}">
                  <a16:creationId xmlns:a16="http://schemas.microsoft.com/office/drawing/2014/main" id="{BEF1EC77-1371-7641-8F07-895FE9DAE578}"/>
                </a:ext>
              </a:extLst>
            </xdr:cNvPr>
            <xdr:cNvCxnSpPr/>
          </xdr:nvCxnSpPr>
          <xdr:spPr>
            <a:xfrm flipV="1">
              <a:off x="10655878" y="11106645"/>
              <a:ext cx="0" cy="814926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Gerade Verbindung mit Pfeil 32">
              <a:extLst>
                <a:ext uri="{FF2B5EF4-FFF2-40B4-BE49-F238E27FC236}">
                  <a16:creationId xmlns:a16="http://schemas.microsoft.com/office/drawing/2014/main" id="{2DCD71D5-7803-7F4F-A4EC-105852F7E724}"/>
                </a:ext>
              </a:extLst>
            </xdr:cNvPr>
            <xdr:cNvCxnSpPr/>
          </xdr:nvCxnSpPr>
          <xdr:spPr>
            <a:xfrm flipV="1">
              <a:off x="7718896" y="11116348"/>
              <a:ext cx="0" cy="814926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Gerade Verbindung 35">
              <a:extLst>
                <a:ext uri="{FF2B5EF4-FFF2-40B4-BE49-F238E27FC236}">
                  <a16:creationId xmlns:a16="http://schemas.microsoft.com/office/drawing/2014/main" id="{73942CD5-AF6A-AA3E-8CCB-8C4A49474432}"/>
                </a:ext>
              </a:extLst>
            </xdr:cNvPr>
            <xdr:cNvCxnSpPr/>
          </xdr:nvCxnSpPr>
          <xdr:spPr>
            <a:xfrm flipH="1">
              <a:off x="10581961" y="10246624"/>
              <a:ext cx="142697" cy="15358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Gerade Verbindung 36">
              <a:extLst>
                <a:ext uri="{FF2B5EF4-FFF2-40B4-BE49-F238E27FC236}">
                  <a16:creationId xmlns:a16="http://schemas.microsoft.com/office/drawing/2014/main" id="{92EFE85E-4B28-1042-8DF4-6C4D16EC41D0}"/>
                </a:ext>
              </a:extLst>
            </xdr:cNvPr>
            <xdr:cNvCxnSpPr/>
          </xdr:nvCxnSpPr>
          <xdr:spPr>
            <a:xfrm flipH="1">
              <a:off x="7637844" y="10234923"/>
              <a:ext cx="142697" cy="15358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Gerade Verbindung 37">
              <a:extLst>
                <a:ext uri="{FF2B5EF4-FFF2-40B4-BE49-F238E27FC236}">
                  <a16:creationId xmlns:a16="http://schemas.microsoft.com/office/drawing/2014/main" id="{0DAED907-B027-C24E-8B5F-17E7A3DD39C7}"/>
                </a:ext>
              </a:extLst>
            </xdr:cNvPr>
            <xdr:cNvCxnSpPr/>
          </xdr:nvCxnSpPr>
          <xdr:spPr>
            <a:xfrm flipH="1">
              <a:off x="9638165" y="10244626"/>
              <a:ext cx="142697" cy="15358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Gerade Verbindung 39">
              <a:extLst>
                <a:ext uri="{FF2B5EF4-FFF2-40B4-BE49-F238E27FC236}">
                  <a16:creationId xmlns:a16="http://schemas.microsoft.com/office/drawing/2014/main" id="{889CD973-2400-1B2F-016A-7B333865E658}"/>
                </a:ext>
              </a:extLst>
            </xdr:cNvPr>
            <xdr:cNvCxnSpPr/>
          </xdr:nvCxnSpPr>
          <xdr:spPr>
            <a:xfrm flipV="1">
              <a:off x="11509489" y="9490025"/>
              <a:ext cx="0" cy="1350894"/>
            </a:xfrm>
            <a:prstGeom prst="line">
              <a:avLst/>
            </a:prstGeom>
            <a:ln w="28575">
              <a:solidFill>
                <a:schemeClr val="accent1">
                  <a:shade val="95000"/>
                  <a:satMod val="105000"/>
                  <a:alpha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Gerade Verbindung 41">
              <a:extLst>
                <a:ext uri="{FF2B5EF4-FFF2-40B4-BE49-F238E27FC236}">
                  <a16:creationId xmlns:a16="http://schemas.microsoft.com/office/drawing/2014/main" id="{0D2F22F9-BCB4-7E07-3361-19D491B489F5}"/>
                </a:ext>
              </a:extLst>
            </xdr:cNvPr>
            <xdr:cNvCxnSpPr/>
          </xdr:nvCxnSpPr>
          <xdr:spPr>
            <a:xfrm flipH="1">
              <a:off x="6051343" y="9490515"/>
              <a:ext cx="5465281" cy="1336135"/>
            </a:xfrm>
            <a:prstGeom prst="line">
              <a:avLst/>
            </a:prstGeom>
            <a:ln w="28575">
              <a:solidFill>
                <a:schemeClr val="accent1">
                  <a:shade val="95000"/>
                  <a:satMod val="105000"/>
                  <a:alpha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Gerade Verbindung 43">
              <a:extLst>
                <a:ext uri="{FF2B5EF4-FFF2-40B4-BE49-F238E27FC236}">
                  <a16:creationId xmlns:a16="http://schemas.microsoft.com/office/drawing/2014/main" id="{D2933631-5CBD-094E-8291-D0611A5CA767}"/>
                </a:ext>
              </a:extLst>
            </xdr:cNvPr>
            <xdr:cNvCxnSpPr/>
          </xdr:nvCxnSpPr>
          <xdr:spPr>
            <a:xfrm>
              <a:off x="11501736" y="10903977"/>
              <a:ext cx="0" cy="830152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Gerade Verbindung 45">
              <a:extLst>
                <a:ext uri="{FF2B5EF4-FFF2-40B4-BE49-F238E27FC236}">
                  <a16:creationId xmlns:a16="http://schemas.microsoft.com/office/drawing/2014/main" id="{A8F9A3EA-0A74-5149-812A-8A5559C67863}"/>
                </a:ext>
              </a:extLst>
            </xdr:cNvPr>
            <xdr:cNvCxnSpPr/>
          </xdr:nvCxnSpPr>
          <xdr:spPr>
            <a:xfrm>
              <a:off x="6034918" y="10935763"/>
              <a:ext cx="0" cy="830152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Gerade Verbindung 48">
              <a:extLst>
                <a:ext uri="{FF2B5EF4-FFF2-40B4-BE49-F238E27FC236}">
                  <a16:creationId xmlns:a16="http://schemas.microsoft.com/office/drawing/2014/main" id="{181F35B7-44E2-4B40-8883-9B3661406F3F}"/>
                </a:ext>
              </a:extLst>
            </xdr:cNvPr>
            <xdr:cNvCxnSpPr/>
          </xdr:nvCxnSpPr>
          <xdr:spPr>
            <a:xfrm flipH="1">
              <a:off x="5959963" y="11570419"/>
              <a:ext cx="142697" cy="13730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Gerade Verbindung 49">
              <a:extLst>
                <a:ext uri="{FF2B5EF4-FFF2-40B4-BE49-F238E27FC236}">
                  <a16:creationId xmlns:a16="http://schemas.microsoft.com/office/drawing/2014/main" id="{5E2B0437-F2F1-C144-8967-C6141E26402E}"/>
                </a:ext>
              </a:extLst>
            </xdr:cNvPr>
            <xdr:cNvCxnSpPr/>
          </xdr:nvCxnSpPr>
          <xdr:spPr>
            <a:xfrm flipH="1">
              <a:off x="11419402" y="11580919"/>
              <a:ext cx="142697" cy="13730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Gerade Verbindung 51">
              <a:extLst>
                <a:ext uri="{FF2B5EF4-FFF2-40B4-BE49-F238E27FC236}">
                  <a16:creationId xmlns:a16="http://schemas.microsoft.com/office/drawing/2014/main" id="{21CF3423-7B99-3145-BBC5-6B2088413E08}"/>
                </a:ext>
              </a:extLst>
            </xdr:cNvPr>
            <xdr:cNvCxnSpPr/>
          </xdr:nvCxnSpPr>
          <xdr:spPr>
            <a:xfrm flipH="1">
              <a:off x="10578506" y="11570134"/>
              <a:ext cx="142697" cy="13730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Gerade Verbindung 52">
              <a:extLst>
                <a:ext uri="{FF2B5EF4-FFF2-40B4-BE49-F238E27FC236}">
                  <a16:creationId xmlns:a16="http://schemas.microsoft.com/office/drawing/2014/main" id="{D3EFE087-1C82-E640-B95E-6C78503AFF8D}"/>
                </a:ext>
              </a:extLst>
            </xdr:cNvPr>
            <xdr:cNvCxnSpPr/>
          </xdr:nvCxnSpPr>
          <xdr:spPr>
            <a:xfrm flipH="1">
              <a:off x="7637499" y="11580634"/>
              <a:ext cx="142697" cy="13730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" name="Gruppieren 93">
            <a:extLst>
              <a:ext uri="{FF2B5EF4-FFF2-40B4-BE49-F238E27FC236}">
                <a16:creationId xmlns:a16="http://schemas.microsoft.com/office/drawing/2014/main" id="{91C17295-563A-32CF-741B-E3095B3E0F62}"/>
              </a:ext>
            </a:extLst>
          </xdr:cNvPr>
          <xdr:cNvGrpSpPr/>
        </xdr:nvGrpSpPr>
        <xdr:grpSpPr>
          <a:xfrm>
            <a:off x="12682070" y="9381603"/>
            <a:ext cx="6949889" cy="1951503"/>
            <a:chOff x="12682070" y="9381603"/>
            <a:chExt cx="6949889" cy="1951503"/>
          </a:xfrm>
        </xdr:grpSpPr>
        <xdr:cxnSp macro="">
          <xdr:nvCxnSpPr>
            <xdr:cNvPr id="77" name="Gerade Verbindung 76">
              <a:extLst>
                <a:ext uri="{FF2B5EF4-FFF2-40B4-BE49-F238E27FC236}">
                  <a16:creationId xmlns:a16="http://schemas.microsoft.com/office/drawing/2014/main" id="{2B665649-B1E2-4749-B8D3-6F03C6B1067A}"/>
                </a:ext>
              </a:extLst>
            </xdr:cNvPr>
            <xdr:cNvCxnSpPr/>
          </xdr:nvCxnSpPr>
          <xdr:spPr>
            <a:xfrm flipH="1">
              <a:off x="12682070" y="9523805"/>
              <a:ext cx="6949889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" name="Gerade Verbindung 78">
              <a:extLst>
                <a:ext uri="{FF2B5EF4-FFF2-40B4-BE49-F238E27FC236}">
                  <a16:creationId xmlns:a16="http://schemas.microsoft.com/office/drawing/2014/main" id="{682A41C6-E9C0-0DA6-4110-6AB7CF976880}"/>
                </a:ext>
              </a:extLst>
            </xdr:cNvPr>
            <xdr:cNvCxnSpPr/>
          </xdr:nvCxnSpPr>
          <xdr:spPr>
            <a:xfrm flipV="1">
              <a:off x="12850158" y="9383732"/>
              <a:ext cx="0" cy="1949374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2" name="Gerade Verbindung 81">
              <a:extLst>
                <a:ext uri="{FF2B5EF4-FFF2-40B4-BE49-F238E27FC236}">
                  <a16:creationId xmlns:a16="http://schemas.microsoft.com/office/drawing/2014/main" id="{97856B43-5CCC-DCD2-F733-1BA5BE409FA7}"/>
                </a:ext>
              </a:extLst>
            </xdr:cNvPr>
            <xdr:cNvCxnSpPr/>
          </xdr:nvCxnSpPr>
          <xdr:spPr>
            <a:xfrm>
              <a:off x="19482546" y="9393070"/>
              <a:ext cx="0" cy="75983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Gerade Verbindung 87">
              <a:extLst>
                <a:ext uri="{FF2B5EF4-FFF2-40B4-BE49-F238E27FC236}">
                  <a16:creationId xmlns:a16="http://schemas.microsoft.com/office/drawing/2014/main" id="{FA87E6BC-7C48-FE4E-9C49-CF13DB30E9F9}"/>
                </a:ext>
              </a:extLst>
            </xdr:cNvPr>
            <xdr:cNvCxnSpPr/>
          </xdr:nvCxnSpPr>
          <xdr:spPr>
            <a:xfrm>
              <a:off x="17292079" y="9381603"/>
              <a:ext cx="0" cy="75983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Gerade Verbindung 90">
              <a:extLst>
                <a:ext uri="{FF2B5EF4-FFF2-40B4-BE49-F238E27FC236}">
                  <a16:creationId xmlns:a16="http://schemas.microsoft.com/office/drawing/2014/main" id="{0A231463-4750-137F-96A7-CF2BB3EB87A6}"/>
                </a:ext>
              </a:extLst>
            </xdr:cNvPr>
            <xdr:cNvCxnSpPr/>
          </xdr:nvCxnSpPr>
          <xdr:spPr>
            <a:xfrm flipH="1">
              <a:off x="12730480" y="9408160"/>
              <a:ext cx="243840" cy="24384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2" name="Gerade Verbindung 91">
              <a:extLst>
                <a:ext uri="{FF2B5EF4-FFF2-40B4-BE49-F238E27FC236}">
                  <a16:creationId xmlns:a16="http://schemas.microsoft.com/office/drawing/2014/main" id="{FFAD8787-CE84-BC44-BBA0-32726EA2C972}"/>
                </a:ext>
              </a:extLst>
            </xdr:cNvPr>
            <xdr:cNvCxnSpPr/>
          </xdr:nvCxnSpPr>
          <xdr:spPr>
            <a:xfrm flipH="1">
              <a:off x="17160240" y="9418320"/>
              <a:ext cx="243840" cy="24384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Gerade Verbindung 92">
              <a:extLst>
                <a:ext uri="{FF2B5EF4-FFF2-40B4-BE49-F238E27FC236}">
                  <a16:creationId xmlns:a16="http://schemas.microsoft.com/office/drawing/2014/main" id="{9596F432-1786-664A-9F0C-D794FBB8AF0E}"/>
                </a:ext>
              </a:extLst>
            </xdr:cNvPr>
            <xdr:cNvCxnSpPr/>
          </xdr:nvCxnSpPr>
          <xdr:spPr>
            <a:xfrm flipH="1">
              <a:off x="19344640" y="9418320"/>
              <a:ext cx="243840" cy="24384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367208</xdr:colOff>
      <xdr:row>18</xdr:row>
      <xdr:rowOff>169334</xdr:rowOff>
    </xdr:from>
    <xdr:to>
      <xdr:col>8</xdr:col>
      <xdr:colOff>112039</xdr:colOff>
      <xdr:row>71</xdr:row>
      <xdr:rowOff>176919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6EBE0AD-C343-21A6-0D2F-41A231475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6275" y="3674534"/>
          <a:ext cx="7563798" cy="10328452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12</xdr:row>
      <xdr:rowOff>0</xdr:rowOff>
    </xdr:from>
    <xdr:to>
      <xdr:col>19</xdr:col>
      <xdr:colOff>254000</xdr:colOff>
      <xdr:row>64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2D21110-50DE-7048-B07A-85EE3BA21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0" y="228600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eile.jeremy@stud.bauschule.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"/>
  <sheetViews>
    <sheetView tabSelected="1" workbookViewId="0">
      <selection activeCell="D34" sqref="D34"/>
    </sheetView>
  </sheetViews>
  <sheetFormatPr baseColWidth="10" defaultColWidth="8.83203125" defaultRowHeight="15" x14ac:dyDescent="0.2"/>
  <cols>
    <col min="1" max="1" width="3.33203125" style="2" customWidth="1"/>
    <col min="2" max="2" width="4" style="2" customWidth="1"/>
    <col min="3" max="3" width="41" style="2" customWidth="1"/>
    <col min="4" max="4" width="15.83203125" style="2" customWidth="1"/>
    <col min="5" max="5" width="11" style="2" customWidth="1"/>
    <col min="6" max="6" width="79.33203125" style="2" customWidth="1"/>
    <col min="7" max="7" width="16.1640625" style="2" customWidth="1"/>
    <col min="8" max="8" width="11.83203125" style="2" customWidth="1"/>
    <col min="9" max="9" width="8.83203125" style="2"/>
    <col min="10" max="10" width="10.33203125" style="2" customWidth="1"/>
    <col min="11" max="11" width="8" style="2" customWidth="1"/>
    <col min="12" max="12" width="6.6640625" style="2" customWidth="1"/>
    <col min="13" max="13" width="8" style="2" customWidth="1"/>
    <col min="14" max="14" width="8.83203125" style="2" customWidth="1"/>
    <col min="15" max="15" width="9.83203125" style="2" customWidth="1"/>
    <col min="16" max="16" width="7.1640625" style="2" customWidth="1"/>
    <col min="17" max="17" width="7.6640625" style="2" customWidth="1"/>
    <col min="18" max="18" width="5.6640625" style="2" customWidth="1"/>
    <col min="19" max="19" width="6.33203125" style="2" customWidth="1"/>
    <col min="20" max="20" width="3.5" style="2" customWidth="1"/>
    <col min="21" max="16384" width="8.83203125" style="2"/>
  </cols>
  <sheetData>
    <row r="1" spans="1:6" s="1" customFormat="1" ht="20" thickBot="1" x14ac:dyDescent="0.3">
      <c r="A1" s="34" t="s">
        <v>36</v>
      </c>
      <c r="B1" s="35"/>
      <c r="C1" s="36"/>
      <c r="D1" s="36"/>
      <c r="E1" s="36"/>
      <c r="F1" s="37" t="s">
        <v>37</v>
      </c>
    </row>
    <row r="2" spans="1:6" ht="17" thickBot="1" x14ac:dyDescent="0.25">
      <c r="B2" s="30" t="s">
        <v>38</v>
      </c>
      <c r="C2" s="31"/>
      <c r="D2" s="32" t="s">
        <v>35</v>
      </c>
      <c r="E2" s="31" t="s">
        <v>34</v>
      </c>
      <c r="F2" s="33" t="s">
        <v>16</v>
      </c>
    </row>
    <row r="3" spans="1:6" ht="16" x14ac:dyDescent="0.2">
      <c r="C3" s="6" t="s">
        <v>17</v>
      </c>
      <c r="D3" s="11">
        <v>6.76</v>
      </c>
      <c r="E3" s="7" t="s">
        <v>44</v>
      </c>
      <c r="F3" s="8"/>
    </row>
    <row r="4" spans="1:6" ht="16" x14ac:dyDescent="0.2">
      <c r="C4" s="12" t="s">
        <v>18</v>
      </c>
      <c r="D4" s="13">
        <v>0.25</v>
      </c>
      <c r="E4" s="2" t="s">
        <v>44</v>
      </c>
      <c r="F4" s="14"/>
    </row>
    <row r="5" spans="1:6" ht="16" x14ac:dyDescent="0.2">
      <c r="C5" s="12" t="s">
        <v>19</v>
      </c>
      <c r="D5" s="13">
        <v>3.13</v>
      </c>
      <c r="E5" s="2" t="s">
        <v>44</v>
      </c>
      <c r="F5" s="14"/>
    </row>
    <row r="6" spans="1:6" ht="17" thickBot="1" x14ac:dyDescent="0.25">
      <c r="C6" s="15" t="s">
        <v>45</v>
      </c>
      <c r="D6" s="16">
        <f>D3*D4*D5</f>
        <v>5.2896999999999998</v>
      </c>
      <c r="E6" s="18" t="s">
        <v>40</v>
      </c>
      <c r="F6" s="19" t="str">
        <f>D3 &amp; " * " &amp; D4 &amp; " * " &amp; D5 &amp; " = " &amp; ROUND(D3 * D4 * D5, 2) &amp; " m³"</f>
        <v>6.76 * 0.25 * 3.13 = 5.29 m³</v>
      </c>
    </row>
    <row r="7" spans="1:6" ht="16" thickBot="1" x14ac:dyDescent="0.25"/>
    <row r="8" spans="1:6" ht="17" thickBot="1" x14ac:dyDescent="0.25">
      <c r="B8" s="29" t="s">
        <v>39</v>
      </c>
      <c r="C8" s="5"/>
      <c r="D8" s="26" t="s">
        <v>35</v>
      </c>
      <c r="E8" s="4" t="s">
        <v>34</v>
      </c>
      <c r="F8" s="3" t="s">
        <v>16</v>
      </c>
    </row>
    <row r="9" spans="1:6" ht="16" x14ac:dyDescent="0.2">
      <c r="C9" s="6" t="s">
        <v>20</v>
      </c>
      <c r="D9" s="11">
        <v>10</v>
      </c>
      <c r="E9" s="46" t="s">
        <v>23</v>
      </c>
      <c r="F9" s="8"/>
    </row>
    <row r="10" spans="1:6" ht="16" x14ac:dyDescent="0.2">
      <c r="C10" s="12" t="s">
        <v>21</v>
      </c>
      <c r="D10" s="13">
        <v>1</v>
      </c>
      <c r="E10" s="17" t="s">
        <v>40</v>
      </c>
      <c r="F10" s="14"/>
    </row>
    <row r="11" spans="1:6" x14ac:dyDescent="0.2">
      <c r="C11" s="12"/>
      <c r="D11" s="47"/>
      <c r="E11" s="17"/>
      <c r="F11" s="14"/>
    </row>
    <row r="12" spans="1:6" ht="17" thickBot="1" x14ac:dyDescent="0.25">
      <c r="C12" s="12" t="s">
        <v>42</v>
      </c>
      <c r="D12" s="48">
        <f>IF(E9="Sekunden", D10 / (D9 / 3600),
IF(E9="Minuten", D10 / (D9 / 60),
IF(E9="Stunden", D10 / D9,
IF(E9="Tage", D10 / (D9 * 24), ""))))</f>
        <v>6</v>
      </c>
      <c r="E12" s="17" t="s">
        <v>41</v>
      </c>
      <c r="F12" s="19" t="str">
        <f>IF(E9="Sekunden", D10 &amp; " m³ / (" &amp; D9 &amp; " s / 3600 s) = " &amp; ROUND(D10 / (D9 / 3600), 2) &amp; " m³/h",
IF(E9="Minuten", D10 &amp; " m³ / (" &amp; D9 &amp; " min / 60 min) = " &amp; ROUND(D10 / (D9 / 60), 2) &amp; " m³/h",
IF(E9="Stunden", D10 &amp; " m³ / " &amp; D9 &amp; " h = " &amp; ROUND(D10 / D9, 2) &amp; " m³/h",
IF(E9="Tage", D10 &amp; " m³ / (" &amp; D9 &amp; " d * 24 h) = " &amp; ROUND(D10 / (D9 * 24), 2) &amp; " m³/h", ""))))</f>
        <v>1 m³ / (10 min / 60 min) = 6 m³/h</v>
      </c>
    </row>
    <row r="13" spans="1:6" ht="17" thickBot="1" x14ac:dyDescent="0.25">
      <c r="C13" s="15" t="s">
        <v>43</v>
      </c>
      <c r="D13" s="9">
        <v>6</v>
      </c>
      <c r="E13" s="18" t="s">
        <v>41</v>
      </c>
      <c r="F13" s="20" t="s">
        <v>47</v>
      </c>
    </row>
    <row r="14" spans="1:6" ht="16" thickBot="1" x14ac:dyDescent="0.25"/>
    <row r="15" spans="1:6" ht="17" thickBot="1" x14ac:dyDescent="0.25">
      <c r="B15" s="29" t="s">
        <v>46</v>
      </c>
      <c r="C15" s="5"/>
      <c r="D15" s="26" t="s">
        <v>35</v>
      </c>
      <c r="E15" s="4" t="s">
        <v>34</v>
      </c>
      <c r="F15" s="3" t="s">
        <v>16</v>
      </c>
    </row>
    <row r="16" spans="1:6" ht="16" x14ac:dyDescent="0.2">
      <c r="C16" s="12" t="s">
        <v>48</v>
      </c>
      <c r="D16" s="22">
        <f>D6</f>
        <v>5.2896999999999998</v>
      </c>
      <c r="E16" s="17" t="s">
        <v>40</v>
      </c>
      <c r="F16" s="14"/>
    </row>
    <row r="17" spans="2:6" ht="17" thickBot="1" x14ac:dyDescent="0.25">
      <c r="C17" s="15" t="s">
        <v>49</v>
      </c>
      <c r="D17" s="16">
        <f>D16/D13</f>
        <v>0.8816166666666666</v>
      </c>
      <c r="E17" s="18" t="s">
        <v>50</v>
      </c>
      <c r="F17" s="19" t="str">
        <f>D16 &amp; " m³ / " &amp; D12 &amp; " h = " &amp; D16 / D12 &amp; " h"</f>
        <v>5.2897 m³ / 6 h = 0.881616666666667 h</v>
      </c>
    </row>
    <row r="18" spans="2:6" ht="16" thickBot="1" x14ac:dyDescent="0.25"/>
    <row r="19" spans="2:6" ht="17" thickBot="1" x14ac:dyDescent="0.25">
      <c r="B19" s="29" t="s">
        <v>51</v>
      </c>
      <c r="C19" s="10"/>
      <c r="D19" s="26" t="s">
        <v>35</v>
      </c>
      <c r="E19" s="4" t="s">
        <v>34</v>
      </c>
      <c r="F19" s="3" t="s">
        <v>16</v>
      </c>
    </row>
    <row r="20" spans="2:6" ht="17" thickBot="1" x14ac:dyDescent="0.25">
      <c r="C20" s="23" t="s">
        <v>53</v>
      </c>
      <c r="D20" s="16">
        <f>D5/D17</f>
        <v>3.5502958579881656</v>
      </c>
      <c r="E20" s="24" t="s">
        <v>52</v>
      </c>
      <c r="F20" s="25" t="str">
        <f>D5 &amp; " m / " &amp; D17 &amp; " h = " &amp; ROUND(D5 / D17, 2) &amp; " m/h"</f>
        <v>3.13 m / 0.881616666666667 h = 3.55 m/h</v>
      </c>
    </row>
    <row r="21" spans="2:6" ht="16" thickBot="1" x14ac:dyDescent="0.25"/>
    <row r="22" spans="2:6" ht="17" thickBot="1" x14ac:dyDescent="0.25">
      <c r="B22" s="29" t="s">
        <v>54</v>
      </c>
      <c r="C22" s="10"/>
      <c r="D22" s="26"/>
      <c r="E22" s="4"/>
      <c r="F22" s="3"/>
    </row>
    <row r="23" spans="2:6" ht="17" thickBot="1" x14ac:dyDescent="0.25">
      <c r="C23" s="27" t="s">
        <v>11</v>
      </c>
    </row>
    <row r="24" spans="2:6" ht="16" thickBot="1" x14ac:dyDescent="0.25"/>
    <row r="25" spans="2:6" ht="17" thickBot="1" x14ac:dyDescent="0.25">
      <c r="B25" s="29" t="s">
        <v>55</v>
      </c>
      <c r="C25" s="10"/>
      <c r="D25" s="26"/>
      <c r="E25" s="4"/>
      <c r="F25" s="3"/>
    </row>
    <row r="26" spans="2:6" ht="17" thickBot="1" x14ac:dyDescent="0.25">
      <c r="C26" s="27" t="s">
        <v>26</v>
      </c>
    </row>
    <row r="27" spans="2:6" ht="16" thickBot="1" x14ac:dyDescent="0.25"/>
    <row r="28" spans="2:6" ht="17" thickBot="1" x14ac:dyDescent="0.25">
      <c r="B28" s="29" t="str">
        <f>"7. Berechnung des Frischbetondrucks nach " &amp; C26</f>
        <v>7. Berechnung des Frischbetondrucks nach Erstarrungsende</v>
      </c>
      <c r="C28" s="5"/>
      <c r="D28" s="26"/>
      <c r="E28" s="4" t="s">
        <v>34</v>
      </c>
      <c r="F28" s="3" t="s">
        <v>16</v>
      </c>
    </row>
    <row r="29" spans="2:6" ht="16" x14ac:dyDescent="0.2">
      <c r="C29" s="6" t="s">
        <v>56</v>
      </c>
      <c r="D29" s="11">
        <v>20</v>
      </c>
      <c r="E29" s="7" t="s">
        <v>57</v>
      </c>
      <c r="F29" s="38"/>
    </row>
    <row r="30" spans="2:6" ht="16" x14ac:dyDescent="0.2">
      <c r="C30" s="12" t="s">
        <v>26</v>
      </c>
      <c r="D30" s="13">
        <v>5</v>
      </c>
      <c r="E30" s="2" t="s">
        <v>50</v>
      </c>
      <c r="F30" s="39"/>
    </row>
    <row r="31" spans="2:6" ht="16" x14ac:dyDescent="0.2">
      <c r="C31" s="12" t="s">
        <v>27</v>
      </c>
      <c r="D31" s="22">
        <f>IF(C26="Temperatur beim Einbringen",
VLOOKUP(C23,Konsistenzklassen!$A$2:$M$8,MATCH(D29,Konsistenzklassen!$H$1:$M$1,0)+7,FALSE),
IF(C26="Erstarrungsende",
VLOOKUP(C23,Konsistenzklassen!$A$2:$F$8,MATCH(D30,Konsistenzklassen!$C$1:$F$1,0)+2,FALSE)))</f>
        <v>1</v>
      </c>
      <c r="F31" s="14"/>
    </row>
    <row r="32" spans="2:6" ht="16" x14ac:dyDescent="0.2">
      <c r="C32" s="12" t="s">
        <v>60</v>
      </c>
      <c r="D32" s="22">
        <f>IF(C23="C1 / F1 (steif)",(5*D20+21)*D31,
IF(C23="C2 / F2 (plastisch)",(10*D20+19)*D31,
IF(C23="C3 / F3 (Pumpbeton, Regelkonsistenz)",(14*D20+18)*D31,
IF(C23="C4 / F4 (Fließbeton)",(17*D20+17)*D31,
IF(C23="F5",44*D31*D20,
IF(C23="F6",62.5*D31*D20,
52.5*D31*D20))))))</f>
        <v>156.2130177514793</v>
      </c>
      <c r="E32" s="2" t="s">
        <v>61</v>
      </c>
      <c r="F32" s="40" t="str">
        <f>IF(C23="C1 / F1 (steif)",
"(5 * " &amp; ROUND(D20, 2) &amp; " + 21) * " &amp; ROUND(D31, 2) &amp; " = " &amp; ROUND((5 * D20 + 21) * D31, 2) &amp; " kN/m²",
IF(C23="C2 / F2 (plastisch)",
"(10 * " &amp; ROUND(D20, 2) &amp; " + 19) * " &amp; ROUND(D31, 2) &amp; " = " &amp; ROUND((10 * D20 + 19) * D31, 2) &amp; " kN/m²",
IF(C23="C3 / F3 (Pumpbeton, Regelkonsistenz)",
"(14 * " &amp; ROUND(D20, 2) &amp; " + 18) * " &amp; ROUND(D31, 2) &amp; " = " &amp; ROUND((14 * D20 + 18) * D31, 2) &amp; " kN/m²",
IF(C23="C4 / F4 (Fließbeton)",
"(17 * " &amp; ROUND(D20, 2) &amp; " + 17) * " &amp; ROUND(D31, 2) &amp; " = " &amp; ROUND((17 * D20 + 17) * D31, 2) &amp; " kN/m²",
IF(C23="F5",
"44 * " &amp; ROUND(D31, 2) &amp; " * " &amp; ROUND(D20, 2) &amp; " = " &amp; ROUND(44 * D31 * D20, 2) &amp; " kN/m²",
IF(C23="F6",
"62.5 * " &amp; ROUND(D31, 2) &amp; " * " &amp; ROUND(D20, 2) &amp; " = " &amp; ROUND(62.5 * D31 * D20, 2) &amp; " kN/m²",
"52.5 * " &amp; ROUND(D31, 2) &amp; " * " &amp; ROUND(D20, 2) &amp; " = " &amp; ROUND(52.5 * D31 * D20, 2) &amp; " kN/m²"
))))))</f>
        <v>44 * 1 * 3.55 = 156.21 kN/m²</v>
      </c>
    </row>
    <row r="33" spans="2:20" ht="16" x14ac:dyDescent="0.2">
      <c r="C33" s="12" t="s">
        <v>62</v>
      </c>
      <c r="D33" s="22">
        <f>D48*25</f>
        <v>78.25</v>
      </c>
      <c r="E33" s="2" t="s">
        <v>61</v>
      </c>
      <c r="F33" s="40" t="str">
        <f>D5 &amp; " m * 25 kN/m³ = " &amp; D5 * 25 &amp; " kN/m²"</f>
        <v>3.13 m * 25 kN/m³ = 78.25 kN/m²</v>
      </c>
    </row>
    <row r="34" spans="2:20" ht="17" thickBot="1" x14ac:dyDescent="0.25">
      <c r="C34" s="15" t="s">
        <v>67</v>
      </c>
      <c r="D34" s="55">
        <f>D33*D5*0.5</f>
        <v>122.46124999999999</v>
      </c>
      <c r="E34" s="21" t="s">
        <v>61</v>
      </c>
      <c r="F34" s="19" t="str">
        <f>D33 &amp; " kN/m² * " &amp; D5 &amp; " m * 0.5 = " &amp; D33*D5*0.5 &amp; " kN/m²"</f>
        <v>78.25 kN/m² * 3.13 m * 0.5 = 122.46125 kN/m²</v>
      </c>
    </row>
    <row r="35" spans="2:20" ht="16" thickBot="1" x14ac:dyDescent="0.25"/>
    <row r="36" spans="2:20" ht="17" thickBot="1" x14ac:dyDescent="0.25">
      <c r="B36" s="29" t="s">
        <v>58</v>
      </c>
      <c r="C36" s="10"/>
      <c r="D36" s="26" t="s">
        <v>35</v>
      </c>
      <c r="E36" s="4" t="s">
        <v>34</v>
      </c>
      <c r="F36" s="3" t="s">
        <v>16</v>
      </c>
    </row>
    <row r="37" spans="2:20" ht="17" thickBot="1" x14ac:dyDescent="0.25">
      <c r="C37" s="41" t="s">
        <v>59</v>
      </c>
      <c r="D37" s="42">
        <f>D32/25</f>
        <v>6.2485207100591715</v>
      </c>
      <c r="E37" s="43" t="s">
        <v>44</v>
      </c>
      <c r="F37" s="44" t="str">
        <f>ROUND(D32, 2) &amp; " kN/m² / 25 kN/m³ = " &amp; ROUND(D32 / 25, 2) &amp; " m"</f>
        <v>156.21 kN/m² / 25 kN/m³ = 6.25 m</v>
      </c>
    </row>
    <row r="38" spans="2:20" ht="16" thickBot="1" x14ac:dyDescent="0.25"/>
    <row r="39" spans="2:20" ht="17" thickBot="1" x14ac:dyDescent="0.25">
      <c r="B39" s="29" t="s">
        <v>66</v>
      </c>
      <c r="C39" s="10"/>
      <c r="D39" s="26" t="s">
        <v>35</v>
      </c>
      <c r="E39" s="4" t="s">
        <v>34</v>
      </c>
      <c r="F39" s="3" t="s">
        <v>16</v>
      </c>
    </row>
    <row r="40" spans="2:20" ht="16" x14ac:dyDescent="0.2">
      <c r="C40" s="13" t="s">
        <v>64</v>
      </c>
      <c r="D40" s="22">
        <f>VLOOKUP(C40,Bindstab!A1:B3,2,FALSE)</f>
        <v>150</v>
      </c>
      <c r="E40" s="2" t="s">
        <v>68</v>
      </c>
    </row>
    <row r="41" spans="2:20" ht="16" thickBot="1" x14ac:dyDescent="0.25">
      <c r="C41" s="54" t="s">
        <v>69</v>
      </c>
      <c r="D41" s="49">
        <f>(D34*D5*0.5)+(D5*25)*D5</f>
        <v>436.57435624999994</v>
      </c>
      <c r="E41" s="45" t="s">
        <v>70</v>
      </c>
      <c r="F41" s="45" t="e">
        <f>"= (" &amp; ROUND(E35, 2) &amp; "*" &amp; ROUND(E32, 2) &amp; "*0.5)+(" &amp; ROUND(I18, 2) &amp; "-" &amp;ROUND(E35, 2) &amp; ")*" &amp; ROUND(E32, 2)</f>
        <v>#VALUE!</v>
      </c>
      <c r="I41"/>
      <c r="J41"/>
    </row>
    <row r="42" spans="2:20" ht="16" thickBot="1" x14ac:dyDescent="0.25">
      <c r="C42" s="54" t="s">
        <v>71</v>
      </c>
      <c r="D42" s="49">
        <f>D41*SQRT(2)</f>
        <v>617.40937559305314</v>
      </c>
      <c r="E42" s="45" t="s">
        <v>70</v>
      </c>
      <c r="F42" s="45" t="str">
        <f>"= " &amp; TEXT(ROUND(D41, 2), "0.00") &amp; " kN/m1 * WURZEL(2)"</f>
        <v>= 436.57 kN/m1 * WURZEL(2)</v>
      </c>
      <c r="H42" s="5" t="s">
        <v>87</v>
      </c>
      <c r="I42" s="65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66"/>
    </row>
    <row r="43" spans="2:20" x14ac:dyDescent="0.2">
      <c r="C43" s="54" t="s">
        <v>72</v>
      </c>
      <c r="D43" s="50">
        <f>(D37/D42)</f>
        <v>1.0120547171894093E-2</v>
      </c>
      <c r="E43" s="45" t="s">
        <v>44</v>
      </c>
      <c r="F43" s="45" t="e">
        <f>"= "&amp;TEXT(ROUND(E37,2),"0.00")&amp;" kN : "&amp;TEXT(ROUND(D42,2),"0.00")&amp;" kN/m1"</f>
        <v>#VALUE!</v>
      </c>
      <c r="H43" s="12"/>
      <c r="I43"/>
      <c r="J43"/>
      <c r="T43" s="14"/>
    </row>
    <row r="44" spans="2:20" ht="16" thickBot="1" x14ac:dyDescent="0.25">
      <c r="C44" s="53" t="s">
        <v>73</v>
      </c>
      <c r="D44" s="51">
        <f>(D37/D42)*2</f>
        <v>2.0241094343788187E-2</v>
      </c>
      <c r="E44" s="52" t="s">
        <v>44</v>
      </c>
      <c r="F44" s="52" t="e">
        <f>"= (" &amp; TEXT(ROUND(E37, 2), "0.00") &amp; " kN : " &amp; TEXT(ROUND(D42, 2), "0.00") &amp; " kN/m1) * 2"</f>
        <v>#VALUE!</v>
      </c>
      <c r="H44" s="12"/>
      <c r="I44"/>
      <c r="J44"/>
      <c r="L44" s="63"/>
      <c r="T44" s="14"/>
    </row>
    <row r="45" spans="2:20" ht="16" thickBot="1" x14ac:dyDescent="0.25">
      <c r="H45" s="12"/>
      <c r="L45" s="56">
        <f>D49</f>
        <v>2.0866666666666664</v>
      </c>
      <c r="M45" s="2" t="s">
        <v>44</v>
      </c>
      <c r="Q45" s="56">
        <f>D50</f>
        <v>1.0433333333333332</v>
      </c>
      <c r="R45" s="2" t="s">
        <v>44</v>
      </c>
      <c r="T45" s="14"/>
    </row>
    <row r="46" spans="2:20" ht="17" thickBot="1" x14ac:dyDescent="0.25">
      <c r="B46" s="29" t="s">
        <v>79</v>
      </c>
      <c r="C46" s="10"/>
      <c r="D46" s="26" t="s">
        <v>35</v>
      </c>
      <c r="E46" s="4" t="s">
        <v>34</v>
      </c>
      <c r="F46" s="3" t="s">
        <v>16</v>
      </c>
      <c r="H46" s="12"/>
      <c r="T46" s="14"/>
    </row>
    <row r="47" spans="2:20" ht="16" x14ac:dyDescent="0.2">
      <c r="C47" s="58" t="s">
        <v>64</v>
      </c>
      <c r="D47" s="59">
        <f>VLOOKUP(C47,Bindstab!A1:B3,2,FALSE)</f>
        <v>150</v>
      </c>
      <c r="E47" s="7" t="s">
        <v>68</v>
      </c>
      <c r="F47" s="8"/>
      <c r="H47" s="12"/>
      <c r="T47" s="14"/>
    </row>
    <row r="48" spans="2:20" ht="16" x14ac:dyDescent="0.2">
      <c r="C48" s="12" t="s">
        <v>88</v>
      </c>
      <c r="D48" s="13">
        <v>3.13</v>
      </c>
      <c r="E48" s="2" t="s">
        <v>44</v>
      </c>
      <c r="F48" s="14"/>
      <c r="H48" s="12"/>
      <c r="T48" s="14"/>
    </row>
    <row r="49" spans="3:20" ht="16" thickBot="1" x14ac:dyDescent="0.25">
      <c r="C49" s="12" t="s">
        <v>80</v>
      </c>
      <c r="D49" s="60">
        <f>D48/3*2</f>
        <v>2.0866666666666664</v>
      </c>
      <c r="E49" s="2" t="s">
        <v>44</v>
      </c>
      <c r="F49" s="14"/>
      <c r="H49" s="12"/>
      <c r="T49" s="14"/>
    </row>
    <row r="50" spans="3:20" ht="16" thickBot="1" x14ac:dyDescent="0.25">
      <c r="C50" s="12" t="s">
        <v>81</v>
      </c>
      <c r="D50" s="60">
        <f>D48/3*1</f>
        <v>1.0433333333333332</v>
      </c>
      <c r="E50" s="2" t="s">
        <v>44</v>
      </c>
      <c r="F50" s="14"/>
      <c r="H50" s="12"/>
      <c r="N50" s="47" t="s">
        <v>78</v>
      </c>
      <c r="O50" s="56">
        <f>D34</f>
        <v>122.46124999999999</v>
      </c>
      <c r="P50" s="2" t="s">
        <v>68</v>
      </c>
      <c r="T50" s="14"/>
    </row>
    <row r="51" spans="3:20" x14ac:dyDescent="0.2">
      <c r="C51" s="12" t="s">
        <v>76</v>
      </c>
      <c r="D51" s="60">
        <f>D34*M53/N62</f>
        <v>67.013517361111127</v>
      </c>
      <c r="E51" s="2" t="s">
        <v>68</v>
      </c>
      <c r="F51" s="14"/>
      <c r="H51" s="12"/>
      <c r="T51" s="14"/>
    </row>
    <row r="52" spans="3:20" ht="16" thickBot="1" x14ac:dyDescent="0.25">
      <c r="C52" s="12" t="s">
        <v>77</v>
      </c>
      <c r="D52" s="60">
        <f>D34-D51</f>
        <v>55.447732638888866</v>
      </c>
      <c r="E52" s="2" t="s">
        <v>68</v>
      </c>
      <c r="F52" s="14"/>
      <c r="H52" s="12"/>
      <c r="T52" s="14"/>
    </row>
    <row r="53" spans="3:20" ht="16" thickBot="1" x14ac:dyDescent="0.25">
      <c r="C53" s="12" t="s">
        <v>85</v>
      </c>
      <c r="D53" s="60">
        <f>MAX(D51:D52)</f>
        <v>67.013517361111127</v>
      </c>
      <c r="E53" s="2" t="s">
        <v>68</v>
      </c>
      <c r="F53" s="14"/>
      <c r="H53" s="12"/>
      <c r="M53" s="56">
        <f>N62-P53</f>
        <v>0.65666666666666673</v>
      </c>
      <c r="N53" s="2" t="s">
        <v>44</v>
      </c>
      <c r="P53" s="56">
        <f>D50-R62</f>
        <v>0.54333333333333322</v>
      </c>
      <c r="Q53" s="2" t="s">
        <v>44</v>
      </c>
      <c r="T53" s="14"/>
    </row>
    <row r="54" spans="3:20" x14ac:dyDescent="0.2">
      <c r="C54" s="12" t="s">
        <v>84</v>
      </c>
      <c r="D54" s="60">
        <f>D47/D53</f>
        <v>2.2383543784413722</v>
      </c>
      <c r="E54" s="2" t="s">
        <v>44</v>
      </c>
      <c r="F54" s="14"/>
      <c r="H54" s="12"/>
      <c r="T54" s="14"/>
    </row>
    <row r="55" spans="3:20" ht="16" thickBot="1" x14ac:dyDescent="0.25">
      <c r="C55" s="15" t="s">
        <v>86</v>
      </c>
      <c r="D55" s="61">
        <f>INT(D54*10)/10</f>
        <v>2.2000000000000002</v>
      </c>
      <c r="E55" s="21" t="s">
        <v>44</v>
      </c>
      <c r="F55" s="62"/>
      <c r="H55" s="12"/>
      <c r="T55" s="14"/>
    </row>
    <row r="56" spans="3:20" x14ac:dyDescent="0.2">
      <c r="H56" s="12"/>
      <c r="T56" s="14"/>
    </row>
    <row r="57" spans="3:20" x14ac:dyDescent="0.2">
      <c r="H57" s="12"/>
      <c r="T57" s="14"/>
    </row>
    <row r="58" spans="3:20" x14ac:dyDescent="0.2">
      <c r="H58" s="12"/>
      <c r="L58" s="64" t="s">
        <v>82</v>
      </c>
      <c r="R58" s="64" t="s">
        <v>83</v>
      </c>
      <c r="T58" s="14"/>
    </row>
    <row r="59" spans="3:20" x14ac:dyDescent="0.2">
      <c r="H59" s="12"/>
      <c r="T59" s="14"/>
    </row>
    <row r="60" spans="3:20" x14ac:dyDescent="0.2">
      <c r="H60" s="12"/>
      <c r="T60" s="14"/>
    </row>
    <row r="61" spans="3:20" ht="16" thickBot="1" x14ac:dyDescent="0.25">
      <c r="H61" s="12"/>
      <c r="T61" s="14"/>
    </row>
    <row r="62" spans="3:20" ht="17" thickBot="1" x14ac:dyDescent="0.25">
      <c r="H62" s="12"/>
      <c r="N62" s="57">
        <v>1.2</v>
      </c>
      <c r="O62" s="2" t="s">
        <v>44</v>
      </c>
      <c r="R62" s="57">
        <v>0.5</v>
      </c>
      <c r="S62" s="2" t="s">
        <v>44</v>
      </c>
      <c r="T62" s="14"/>
    </row>
    <row r="63" spans="3:20" ht="16" thickBot="1" x14ac:dyDescent="0.25">
      <c r="H63" s="12"/>
      <c r="T63" s="14"/>
    </row>
    <row r="64" spans="3:20" ht="16" thickBot="1" x14ac:dyDescent="0.25">
      <c r="H64" s="12"/>
      <c r="J64" s="47" t="s">
        <v>74</v>
      </c>
      <c r="K64" s="56">
        <f>D51</f>
        <v>67.013517361111127</v>
      </c>
      <c r="L64" s="2" t="s">
        <v>68</v>
      </c>
      <c r="P64" s="47" t="s">
        <v>75</v>
      </c>
      <c r="Q64" s="56">
        <f>D52</f>
        <v>55.447732638888866</v>
      </c>
      <c r="R64" s="2" t="s">
        <v>68</v>
      </c>
      <c r="T64" s="14"/>
    </row>
    <row r="65" spans="8:20" x14ac:dyDescent="0.2">
      <c r="H65" s="12"/>
      <c r="T65" s="14"/>
    </row>
    <row r="66" spans="8:20" ht="16" thickBot="1" x14ac:dyDescent="0.25">
      <c r="H66" s="15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62"/>
    </row>
  </sheetData>
  <hyperlinks>
    <hyperlink ref="F1" r:id="rId1" xr:uid="{CD559E7C-ADB6-8742-87EA-FA581BE36AA4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Wählen Sie die Zeit des Erstarrungsendes aus." xr:uid="{B6074389-35C2-A84A-8806-893DFF2D2EC1}">
          <x14:formula1>
            <xm:f>Konsistenzklassen!$C$1:$E$1</xm:f>
          </x14:formula1>
          <xm:sqref>D30</xm:sqref>
        </x14:dataValidation>
        <x14:dataValidation type="list" allowBlank="1" showInputMessage="1" showErrorMessage="1" xr:uid="{132D9DBF-3214-1940-88B4-C4197F95F45B}">
          <x14:formula1>
            <xm:f>Konsistenzklassen!$A$2:$A$8</xm:f>
          </x14:formula1>
          <xm:sqref>C23</xm:sqref>
        </x14:dataValidation>
        <x14:dataValidation type="list" allowBlank="1" showInputMessage="1" showErrorMessage="1" xr:uid="{82F2999D-2D09-4E48-832F-A124A218B5DE}">
          <x14:formula1>
            <xm:f>Zeiten!$A$1:$A$4</xm:f>
          </x14:formula1>
          <xm:sqref>E9</xm:sqref>
        </x14:dataValidation>
        <x14:dataValidation type="list" allowBlank="1" showInputMessage="1" showErrorMessage="1" xr:uid="{1F779120-BCDD-8444-B034-06C500F6F774}">
          <x14:formula1>
            <xm:f>Formel!$A$1:$A$2</xm:f>
          </x14:formula1>
          <xm:sqref>C26</xm:sqref>
        </x14:dataValidation>
        <x14:dataValidation type="list" allowBlank="1" showInputMessage="1" showErrorMessage="1" prompt="Wählen Sie die Konsistenzklasse aus." xr:uid="{7EFB9553-B83E-964D-956E-81B5C255D6A7}">
          <x14:formula1>
            <xm:f>Konsistenzklassen!$H$1:$M$1</xm:f>
          </x14:formula1>
          <xm:sqref>D29</xm:sqref>
        </x14:dataValidation>
        <x14:dataValidation type="list" allowBlank="1" showInputMessage="1" showErrorMessage="1" xr:uid="{1B993A3B-87E2-4946-8445-31BBB904DBFD}">
          <x14:formula1>
            <xm:f>Bindstab!$A$1:$A$3</xm:f>
          </x14:formula1>
          <xm:sqref>C40 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FFAB-CB72-334A-B6C4-00B790B783D7}">
  <dimension ref="A1:B3"/>
  <sheetViews>
    <sheetView workbookViewId="0">
      <selection activeCell="C12" sqref="C12"/>
    </sheetView>
  </sheetViews>
  <sheetFormatPr baseColWidth="10" defaultRowHeight="15" x14ac:dyDescent="0.2"/>
  <sheetData>
    <row r="1" spans="1:2" x14ac:dyDescent="0.2">
      <c r="A1" t="s">
        <v>63</v>
      </c>
      <c r="B1">
        <v>90</v>
      </c>
    </row>
    <row r="2" spans="1:2" x14ac:dyDescent="0.2">
      <c r="A2" t="s">
        <v>64</v>
      </c>
      <c r="B2">
        <v>150</v>
      </c>
    </row>
    <row r="3" spans="1:2" x14ac:dyDescent="0.2">
      <c r="A3" t="s">
        <v>65</v>
      </c>
      <c r="B3">
        <v>250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B62B-C4CA-7143-A83C-F54C6F036824}">
  <dimension ref="A1:A2"/>
  <sheetViews>
    <sheetView zoomScale="181" workbookViewId="0">
      <selection activeCell="A3" sqref="A3"/>
    </sheetView>
  </sheetViews>
  <sheetFormatPr baseColWidth="10" defaultRowHeight="15" x14ac:dyDescent="0.2"/>
  <cols>
    <col min="1" max="1" width="18.33203125" bestFit="1" customWidth="1"/>
  </cols>
  <sheetData>
    <row r="1" spans="1:1" x14ac:dyDescent="0.2">
      <c r="A1" t="s">
        <v>26</v>
      </c>
    </row>
    <row r="2" spans="1:1" x14ac:dyDescent="0.2">
      <c r="A2" t="s">
        <v>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978C-A226-3149-A560-9A6BB87DFD33}">
  <dimension ref="A1:A4"/>
  <sheetViews>
    <sheetView workbookViewId="0">
      <selection activeCell="D37" sqref="D37"/>
    </sheetView>
  </sheetViews>
  <sheetFormatPr baseColWidth="10" defaultRowHeight="15" x14ac:dyDescent="0.2"/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24</v>
      </c>
    </row>
    <row r="4" spans="1:1" x14ac:dyDescent="0.2">
      <c r="A4" t="s">
        <v>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531C-822C-9A49-937C-742CFF32B59B}">
  <dimension ref="A1:M8"/>
  <sheetViews>
    <sheetView zoomScale="132" workbookViewId="0">
      <selection activeCell="C1" sqref="C1"/>
    </sheetView>
  </sheetViews>
  <sheetFormatPr baseColWidth="10" defaultRowHeight="15" x14ac:dyDescent="0.2"/>
  <cols>
    <col min="1" max="1" width="30.83203125" bestFit="1" customWidth="1"/>
    <col min="2" max="2" width="11" bestFit="1" customWidth="1"/>
    <col min="3" max="3" width="16.6640625" bestFit="1" customWidth="1"/>
    <col min="4" max="5" width="17.6640625" bestFit="1" customWidth="1"/>
    <col min="6" max="6" width="21" bestFit="1" customWidth="1"/>
    <col min="7" max="7" width="18.6640625" customWidth="1"/>
  </cols>
  <sheetData>
    <row r="1" spans="1:13" x14ac:dyDescent="0.2">
      <c r="A1" t="s">
        <v>5</v>
      </c>
      <c r="B1" t="s">
        <v>6</v>
      </c>
      <c r="C1">
        <v>5</v>
      </c>
      <c r="D1">
        <v>10</v>
      </c>
      <c r="E1">
        <v>20</v>
      </c>
      <c r="F1" t="s">
        <v>28</v>
      </c>
      <c r="G1" t="s">
        <v>0</v>
      </c>
      <c r="H1">
        <v>5</v>
      </c>
      <c r="I1">
        <v>10</v>
      </c>
      <c r="J1">
        <v>15</v>
      </c>
      <c r="K1">
        <v>20</v>
      </c>
      <c r="L1">
        <v>25</v>
      </c>
      <c r="M1">
        <v>30</v>
      </c>
    </row>
    <row r="2" spans="1:13" x14ac:dyDescent="0.2">
      <c r="A2" t="s">
        <v>30</v>
      </c>
      <c r="B2" t="s">
        <v>7</v>
      </c>
      <c r="C2">
        <v>1</v>
      </c>
      <c r="D2">
        <v>1.1499999999999999</v>
      </c>
      <c r="E2">
        <v>1.45</v>
      </c>
      <c r="F2">
        <v>0.03</v>
      </c>
      <c r="G2" t="s">
        <v>4</v>
      </c>
      <c r="H2" s="28">
        <v>1.7</v>
      </c>
      <c r="I2" s="28">
        <v>1.3</v>
      </c>
      <c r="J2" s="28">
        <v>1</v>
      </c>
      <c r="K2" s="28">
        <v>0.7</v>
      </c>
      <c r="L2" s="28">
        <v>0.55000000000000004</v>
      </c>
      <c r="M2" s="28">
        <v>0.4</v>
      </c>
    </row>
    <row r="3" spans="1:13" x14ac:dyDescent="0.2">
      <c r="A3" t="s">
        <v>31</v>
      </c>
      <c r="B3" t="s">
        <v>8</v>
      </c>
      <c r="C3">
        <v>1</v>
      </c>
      <c r="D3">
        <v>1.25</v>
      </c>
      <c r="E3">
        <v>1.8</v>
      </c>
      <c r="F3">
        <v>5.2999999999999999E-2</v>
      </c>
      <c r="G3" t="s">
        <v>3</v>
      </c>
      <c r="H3" s="28">
        <v>1.9</v>
      </c>
      <c r="I3" s="28">
        <v>1.45</v>
      </c>
      <c r="J3" s="28">
        <v>1.1000000000000001</v>
      </c>
      <c r="K3" s="28">
        <v>0.8</v>
      </c>
      <c r="L3" s="28">
        <v>0.6</v>
      </c>
      <c r="M3" s="28">
        <v>0.45</v>
      </c>
    </row>
    <row r="4" spans="1:13" x14ac:dyDescent="0.2">
      <c r="A4" t="s">
        <v>33</v>
      </c>
      <c r="B4" t="s">
        <v>9</v>
      </c>
      <c r="C4">
        <v>1</v>
      </c>
      <c r="D4">
        <v>1.4</v>
      </c>
      <c r="E4">
        <v>2.15</v>
      </c>
      <c r="F4">
        <v>7.6999999999999999E-2</v>
      </c>
      <c r="G4" t="s">
        <v>2</v>
      </c>
      <c r="H4" s="28">
        <v>2.35</v>
      </c>
      <c r="I4" s="28">
        <v>1.8</v>
      </c>
      <c r="J4" s="28">
        <v>1.35</v>
      </c>
      <c r="K4" s="28">
        <v>1</v>
      </c>
      <c r="L4" s="28">
        <v>0.75</v>
      </c>
      <c r="M4" s="28">
        <v>0.55000000000000004</v>
      </c>
    </row>
    <row r="5" spans="1:13" x14ac:dyDescent="0.2">
      <c r="A5" t="s">
        <v>32</v>
      </c>
      <c r="B5" t="s">
        <v>10</v>
      </c>
      <c r="C5">
        <v>1</v>
      </c>
      <c r="D5">
        <v>1.7</v>
      </c>
      <c r="E5">
        <v>3.1</v>
      </c>
      <c r="F5">
        <v>0.14000000000000001</v>
      </c>
      <c r="G5" t="s">
        <v>1</v>
      </c>
      <c r="H5" s="28">
        <v>2.75</v>
      </c>
      <c r="I5" s="28">
        <v>2.1</v>
      </c>
      <c r="J5" s="28">
        <v>1.6</v>
      </c>
      <c r="K5" s="28">
        <v>1.1499999999999999</v>
      </c>
      <c r="L5" s="28">
        <v>0.9</v>
      </c>
      <c r="M5" s="28">
        <v>0.65</v>
      </c>
    </row>
    <row r="6" spans="1:13" x14ac:dyDescent="0.2">
      <c r="A6" t="s">
        <v>11</v>
      </c>
      <c r="B6" t="s">
        <v>12</v>
      </c>
      <c r="C6">
        <v>1</v>
      </c>
      <c r="D6">
        <v>2</v>
      </c>
      <c r="E6">
        <v>4</v>
      </c>
    </row>
    <row r="7" spans="1:13" x14ac:dyDescent="0.2">
      <c r="A7" t="s">
        <v>13</v>
      </c>
      <c r="B7" t="s">
        <v>14</v>
      </c>
      <c r="C7">
        <v>1</v>
      </c>
      <c r="D7">
        <v>2</v>
      </c>
      <c r="E7">
        <v>4</v>
      </c>
    </row>
    <row r="8" spans="1:13" x14ac:dyDescent="0.2">
      <c r="A8" t="s">
        <v>29</v>
      </c>
      <c r="B8" t="s">
        <v>15</v>
      </c>
      <c r="C8">
        <v>1</v>
      </c>
      <c r="D8">
        <v>2</v>
      </c>
      <c r="E8">
        <v>4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Auswahl</vt:lpstr>
      <vt:lpstr>Bindstab</vt:lpstr>
      <vt:lpstr>Formel</vt:lpstr>
      <vt:lpstr>Zeiten</vt:lpstr>
      <vt:lpstr>Konsistenzklassen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Meile Jeremy</cp:lastModifiedBy>
  <dcterms:created xsi:type="dcterms:W3CDTF">2024-09-13T07:30:32Z</dcterms:created>
  <dcterms:modified xsi:type="dcterms:W3CDTF">2025-08-28T12:08:31Z</dcterms:modified>
</cp:coreProperties>
</file>