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6" codeName="{F4499BBC-C50B-8ECA-441A-04C5B9BE7170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/Users/jeremymeile/Documents/Berechnungshilfen/Excel/Vermessung/"/>
    </mc:Choice>
  </mc:AlternateContent>
  <xr:revisionPtr revIDLastSave="0" documentId="13_ncr:1_{15642ECA-DB9F-D743-B70E-020E499EE25F}" xr6:coauthVersionLast="47" xr6:coauthVersionMax="47" xr10:uidLastSave="{00000000-0000-0000-0000-000000000000}"/>
  <bookViews>
    <workbookView xWindow="0" yWindow="780" windowWidth="31280" windowHeight="20140" activeTab="1" xr2:uid="{44AE559A-F458-9340-9511-77C3C2ABC50C}"/>
  </bookViews>
  <sheets>
    <sheet name="Home" sheetId="1" r:id="rId1"/>
    <sheet name="9.3 Absteckung mit Tachymeter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3" i="1" l="1"/>
  <c r="F23" i="1"/>
  <c r="H23" i="1"/>
  <c r="L23" i="1"/>
  <c r="J23" i="1" s="1"/>
  <c r="L19" i="1"/>
  <c r="J19" i="1" s="1"/>
  <c r="H19" i="1" s="1"/>
  <c r="F19" i="1" s="1"/>
  <c r="D19" i="1" s="1"/>
  <c r="L20" i="1"/>
  <c r="L38" i="1" l="1"/>
  <c r="J38" i="1"/>
  <c r="H38" i="1"/>
  <c r="F38" i="1"/>
  <c r="D38" i="1"/>
  <c r="F34" i="1"/>
  <c r="H34" i="1"/>
  <c r="L34" i="1"/>
  <c r="J34" i="1"/>
  <c r="L30" i="1"/>
  <c r="J30" i="1"/>
  <c r="L26" i="1"/>
  <c r="J26" i="1"/>
  <c r="L18" i="1"/>
  <c r="L22" i="1"/>
  <c r="J18" i="1"/>
  <c r="J22" i="1"/>
  <c r="H18" i="1"/>
  <c r="H22" i="1"/>
  <c r="H26" i="1"/>
  <c r="H30" i="1"/>
  <c r="D34" i="1"/>
  <c r="D30" i="1"/>
  <c r="F30" i="1"/>
  <c r="D26" i="1"/>
  <c r="F26" i="1"/>
  <c r="D18" i="1"/>
  <c r="F18" i="1"/>
  <c r="D22" i="1"/>
  <c r="F22" i="1"/>
  <c r="F21" i="1"/>
  <c r="F17" i="1"/>
  <c r="D17" i="1"/>
  <c r="D21" i="1"/>
  <c r="F25" i="1"/>
  <c r="C40" i="1"/>
  <c r="E40" i="1"/>
  <c r="G40" i="1"/>
  <c r="I40" i="1"/>
  <c r="K40" i="1"/>
  <c r="M16" i="1"/>
  <c r="M20" i="1"/>
  <c r="M24" i="1"/>
  <c r="M28" i="1"/>
  <c r="M32" i="1"/>
  <c r="M36" i="1"/>
  <c r="M12" i="1"/>
  <c r="G142" i="1"/>
  <c r="G141" i="1"/>
  <c r="F3" i="1"/>
  <c r="E159" i="1"/>
  <c r="F50" i="1"/>
  <c r="G247" i="1" l="1"/>
  <c r="H247" i="1" s="1"/>
  <c r="G248" i="1" s="1"/>
  <c r="H248" i="1" s="1"/>
  <c r="G249" i="1" s="1"/>
  <c r="H249" i="1" s="1"/>
  <c r="D252" i="1" s="1"/>
  <c r="F251" i="1"/>
  <c r="D251" i="1"/>
  <c r="I222" i="1"/>
  <c r="G222" i="1"/>
  <c r="E222" i="1"/>
  <c r="E221" i="1"/>
  <c r="F193" i="1"/>
  <c r="F192" i="1"/>
  <c r="D166" i="1"/>
  <c r="D165" i="1"/>
  <c r="E158" i="1"/>
  <c r="E160" i="1"/>
  <c r="E161" i="1"/>
  <c r="E162" i="1"/>
  <c r="E163" i="1"/>
  <c r="E164" i="1"/>
  <c r="E157" i="1"/>
  <c r="D146" i="1"/>
  <c r="G146" i="1" s="1"/>
  <c r="F142" i="1"/>
  <c r="E143" i="1"/>
  <c r="G143" i="1" s="1"/>
  <c r="F141" i="1"/>
  <c r="F113" i="1"/>
  <c r="G113" i="1" s="1"/>
  <c r="F112" i="1"/>
  <c r="G112" i="1" s="1"/>
  <c r="F111" i="1"/>
  <c r="G111" i="1" s="1"/>
  <c r="F110" i="1"/>
  <c r="G110" i="1" s="1"/>
  <c r="F109" i="1"/>
  <c r="G109" i="1" s="1"/>
  <c r="F102" i="1"/>
  <c r="G102" i="1" s="1"/>
  <c r="F103" i="1"/>
  <c r="G103" i="1" s="1"/>
  <c r="F104" i="1"/>
  <c r="G104" i="1" s="1"/>
  <c r="F105" i="1"/>
  <c r="G105" i="1" s="1"/>
  <c r="F101" i="1"/>
  <c r="G101" i="1" s="1"/>
  <c r="E95" i="1"/>
  <c r="E96" i="1" s="1"/>
  <c r="F51" i="1"/>
  <c r="F52" i="1"/>
  <c r="G64" i="1"/>
  <c r="G65" i="1"/>
  <c r="G66" i="1"/>
  <c r="G63" i="1"/>
  <c r="F66" i="1"/>
  <c r="F65" i="1"/>
  <c r="F64" i="1"/>
  <c r="F63" i="1"/>
  <c r="G192" i="1" l="1"/>
  <c r="G195" i="1" s="1"/>
  <c r="E223" i="1"/>
  <c r="F221" i="1"/>
  <c r="E166" i="1"/>
  <c r="E165" i="1"/>
  <c r="H66" i="1"/>
  <c r="H63" i="1"/>
  <c r="H65" i="1"/>
  <c r="H64" i="1"/>
  <c r="I29" i="1"/>
  <c r="G225" i="1" l="1"/>
  <c r="G221" i="1"/>
  <c r="G223" i="1" s="1"/>
  <c r="C33" i="1"/>
  <c r="C34" i="1" s="1"/>
  <c r="C35" i="1" s="1"/>
  <c r="D28" i="1" s="1"/>
  <c r="E33" i="1"/>
  <c r="E34" i="1" s="1"/>
  <c r="E35" i="1" s="1"/>
  <c r="F28" i="1" s="1"/>
  <c r="G33" i="1"/>
  <c r="G34" i="1" s="1"/>
  <c r="G35" i="1" s="1"/>
  <c r="H28" i="1" s="1"/>
  <c r="I33" i="1"/>
  <c r="I34" i="1" s="1"/>
  <c r="I35" i="1" s="1"/>
  <c r="J28" i="1" s="1"/>
  <c r="K33" i="1"/>
  <c r="K34" i="1" s="1"/>
  <c r="K35" i="1" s="1"/>
  <c r="I30" i="1"/>
  <c r="I31" i="1" s="1"/>
  <c r="J24" i="1" s="1"/>
  <c r="C37" i="1"/>
  <c r="C38" i="1" s="1"/>
  <c r="C39" i="1" s="1"/>
  <c r="D32" i="1" s="1"/>
  <c r="E37" i="1"/>
  <c r="E38" i="1" s="1"/>
  <c r="E39" i="1" s="1"/>
  <c r="F32" i="1" s="1"/>
  <c r="G37" i="1"/>
  <c r="G38" i="1" s="1"/>
  <c r="G39" i="1" s="1"/>
  <c r="H32" i="1" s="1"/>
  <c r="I37" i="1"/>
  <c r="I38" i="1" s="1"/>
  <c r="I39" i="1" s="1"/>
  <c r="J32" i="1" s="1"/>
  <c r="K37" i="1"/>
  <c r="K38" i="1" s="1"/>
  <c r="K39" i="1" s="1"/>
  <c r="L32" i="1" s="1"/>
  <c r="C25" i="1"/>
  <c r="C26" i="1" s="1"/>
  <c r="C27" i="1" s="1"/>
  <c r="D20" i="1" s="1"/>
  <c r="E25" i="1"/>
  <c r="E26" i="1" s="1"/>
  <c r="E27" i="1" s="1"/>
  <c r="F20" i="1" s="1"/>
  <c r="G25" i="1"/>
  <c r="G26" i="1" s="1"/>
  <c r="G27" i="1" s="1"/>
  <c r="H20" i="1" s="1"/>
  <c r="I25" i="1"/>
  <c r="I26" i="1" s="1"/>
  <c r="I27" i="1" s="1"/>
  <c r="J20" i="1" s="1"/>
  <c r="K25" i="1"/>
  <c r="K26" i="1" s="1"/>
  <c r="K27" i="1" s="1"/>
  <c r="C29" i="1"/>
  <c r="C30" i="1" s="1"/>
  <c r="C31" i="1" s="1"/>
  <c r="D24" i="1" s="1"/>
  <c r="E29" i="1"/>
  <c r="E30" i="1" s="1"/>
  <c r="E31" i="1" s="1"/>
  <c r="F24" i="1" s="1"/>
  <c r="G29" i="1"/>
  <c r="G30" i="1" s="1"/>
  <c r="G31" i="1" s="1"/>
  <c r="H24" i="1" s="1"/>
  <c r="K29" i="1"/>
  <c r="K30" i="1" s="1"/>
  <c r="K31" i="1" s="1"/>
  <c r="L24" i="1" s="1"/>
  <c r="C21" i="1"/>
  <c r="C22" i="1" s="1"/>
  <c r="C23" i="1" s="1"/>
  <c r="D16" i="1" s="1"/>
  <c r="E21" i="1"/>
  <c r="E22" i="1" s="1"/>
  <c r="E23" i="1" s="1"/>
  <c r="F16" i="1" s="1"/>
  <c r="G21" i="1"/>
  <c r="G22" i="1" s="1"/>
  <c r="G23" i="1" s="1"/>
  <c r="H16" i="1" s="1"/>
  <c r="I21" i="1"/>
  <c r="I22" i="1" s="1"/>
  <c r="I23" i="1" s="1"/>
  <c r="J16" i="1" s="1"/>
  <c r="K21" i="1"/>
  <c r="K22" i="1" s="1"/>
  <c r="K23" i="1" s="1"/>
  <c r="L16" i="1" s="1"/>
  <c r="C13" i="1"/>
  <c r="C14" i="1" s="1"/>
  <c r="C15" i="1" s="1"/>
  <c r="E13" i="1"/>
  <c r="E14" i="1" s="1"/>
  <c r="E15" i="1" s="1"/>
  <c r="G13" i="1"/>
  <c r="G14" i="1" s="1"/>
  <c r="G15" i="1" s="1"/>
  <c r="H17" i="1" s="1"/>
  <c r="K13" i="1"/>
  <c r="I13" i="1"/>
  <c r="I14" i="1" s="1"/>
  <c r="I15" i="1" s="1"/>
  <c r="J17" i="1" s="1"/>
  <c r="C17" i="1"/>
  <c r="C18" i="1" s="1"/>
  <c r="C19" i="1" s="1"/>
  <c r="E17" i="1"/>
  <c r="E18" i="1" s="1"/>
  <c r="E19" i="1" s="1"/>
  <c r="G17" i="1"/>
  <c r="G18" i="1" s="1"/>
  <c r="G19" i="1" s="1"/>
  <c r="H21" i="1" s="1"/>
  <c r="K17" i="1"/>
  <c r="K18" i="1" s="1"/>
  <c r="K19" i="1" s="1"/>
  <c r="L21" i="1" s="1"/>
  <c r="I17" i="1"/>
  <c r="I18" i="1" s="1"/>
  <c r="I19" i="1" s="1"/>
  <c r="J21" i="1" s="1"/>
  <c r="L37" i="1" l="1"/>
  <c r="L28" i="1"/>
  <c r="D33" i="1"/>
  <c r="F33" i="1"/>
  <c r="F37" i="1"/>
  <c r="H37" i="1"/>
  <c r="J37" i="1"/>
  <c r="L33" i="1"/>
  <c r="J33" i="1"/>
  <c r="H33" i="1"/>
  <c r="F29" i="1"/>
  <c r="D29" i="1"/>
  <c r="D25" i="1"/>
  <c r="H25" i="1"/>
  <c r="H29" i="1"/>
  <c r="J29" i="1"/>
  <c r="L29" i="1"/>
  <c r="J25" i="1"/>
  <c r="L25" i="1"/>
  <c r="H221" i="1"/>
  <c r="I221" i="1" s="1"/>
  <c r="I223" i="1" s="1"/>
  <c r="K14" i="1"/>
  <c r="K15" i="1" s="1"/>
  <c r="F145" i="1"/>
  <c r="D145" i="1"/>
  <c r="F144" i="1"/>
  <c r="E144" i="1"/>
  <c r="M15" i="1" l="1"/>
  <c r="Q40" i="1" s="1"/>
  <c r="P40" i="1" s="1"/>
  <c r="O40" i="1" s="1"/>
  <c r="N40" i="1" s="1"/>
  <c r="M40" i="1" s="1"/>
  <c r="L40" i="1" s="1"/>
  <c r="U41" i="1" s="1"/>
  <c r="T41" i="1" s="1"/>
  <c r="S41" i="1" s="1"/>
  <c r="R41" i="1" s="1"/>
  <c r="Q41" i="1" s="1"/>
  <c r="P41" i="1" s="1"/>
  <c r="O41" i="1" s="1"/>
  <c r="N41" i="1" s="1"/>
  <c r="M41" i="1" s="1"/>
  <c r="L17" i="1"/>
  <c r="D37" i="1"/>
</calcChain>
</file>

<file path=xl/sharedStrings.xml><?xml version="1.0" encoding="utf-8"?>
<sst xmlns="http://schemas.openxmlformats.org/spreadsheetml/2006/main" count="164" uniqueCount="115">
  <si>
    <t>Höhe</t>
  </si>
  <si>
    <t>D (m)</t>
  </si>
  <si>
    <t xml:space="preserve">D (m) </t>
  </si>
  <si>
    <t xml:space="preserve">rasterbreit </t>
  </si>
  <si>
    <t>m</t>
  </si>
  <si>
    <t>h1</t>
  </si>
  <si>
    <t>d1</t>
  </si>
  <si>
    <t>Gewählte H</t>
  </si>
  <si>
    <t>A</t>
  </si>
  <si>
    <t>B</t>
  </si>
  <si>
    <t>C</t>
  </si>
  <si>
    <t>D</t>
  </si>
  <si>
    <t>E</t>
  </si>
  <si>
    <t>F</t>
  </si>
  <si>
    <t>G</t>
  </si>
  <si>
    <t>H</t>
  </si>
  <si>
    <t>massatb</t>
  </si>
  <si>
    <t>x1</t>
  </si>
  <si>
    <t>x2</t>
  </si>
  <si>
    <t>x3</t>
  </si>
  <si>
    <t>x4</t>
  </si>
  <si>
    <t>diff</t>
  </si>
  <si>
    <t>x (m)</t>
  </si>
  <si>
    <t>y (m) Näherung</t>
  </si>
  <si>
    <t>y (m) Exakt</t>
  </si>
  <si>
    <t xml:space="preserve">Radius = </t>
  </si>
  <si>
    <t>8.4.3  Absteckung von der Tangente aus</t>
  </si>
  <si>
    <t>8.4.2 Absteckung von der Sehne aus</t>
  </si>
  <si>
    <t>h (m)</t>
  </si>
  <si>
    <t>b (m)</t>
  </si>
  <si>
    <t>a (m)</t>
  </si>
  <si>
    <t>Radius</t>
  </si>
  <si>
    <t>α [gon]</t>
  </si>
  <si>
    <t>t [m]</t>
  </si>
  <si>
    <t>s [m]</t>
  </si>
  <si>
    <t>x [m]</t>
  </si>
  <si>
    <t>p, y [m]</t>
  </si>
  <si>
    <t>a [m]</t>
  </si>
  <si>
    <t>b [m]</t>
  </si>
  <si>
    <t>R [m]</t>
  </si>
  <si>
    <t>β [gon]</t>
  </si>
  <si>
    <t>9.3 Absteckung mit Tachymeter</t>
  </si>
  <si>
    <t>9.4 Peripheriewinkelmethode</t>
  </si>
  <si>
    <t>b [m] </t>
  </si>
  <si>
    <t>s [m</t>
  </si>
  <si>
    <t>Punkt</t>
  </si>
  <si>
    <t xml:space="preserve">U = </t>
  </si>
  <si>
    <t>ViertelKreis U</t>
  </si>
  <si>
    <t>Roh =</t>
  </si>
  <si>
    <t>Von BA her gesehen!</t>
  </si>
  <si>
    <t>BE</t>
  </si>
  <si>
    <r>
      <t xml:space="preserve">Von </t>
    </r>
    <r>
      <rPr>
        <b/>
        <sz val="12"/>
        <color theme="9" tint="-0.249977111117893"/>
        <rFont val="Aptos Narrow (Textkörper)"/>
      </rPr>
      <t>BE</t>
    </r>
    <r>
      <rPr>
        <b/>
        <sz val="12"/>
        <color theme="1"/>
        <rFont val="Aptos Narrow"/>
        <scheme val="minor"/>
      </rPr>
      <t xml:space="preserve"> her gesehen!</t>
    </r>
  </si>
  <si>
    <t>9.5 Berechnung Kreissektor</t>
  </si>
  <si>
    <t>11 Berechnung Kreissektor</t>
  </si>
  <si>
    <t>Böschungshöhe [m]</t>
  </si>
  <si>
    <t>Böschungsausladung [m] </t>
  </si>
  <si>
    <t>Böschungsneigung [%] </t>
  </si>
  <si>
    <t>Verhältnis</t>
  </si>
  <si>
    <t>1:6</t>
  </si>
  <si>
    <t>1:4</t>
  </si>
  <si>
    <t>Z [m]</t>
  </si>
  <si>
    <t>Instrumentenhorizont</t>
  </si>
  <si>
    <t>Punkthöhe</t>
  </si>
  <si>
    <t>Bemerkung</t>
  </si>
  <si>
    <t>Profil 1</t>
  </si>
  <si>
    <t>Strassenachse</t>
  </si>
  <si>
    <t>Str.-Rand</t>
  </si>
  <si>
    <t>Bachsohle</t>
  </si>
  <si>
    <t>OK Böschung</t>
  </si>
  <si>
    <t>UK Böschung</t>
  </si>
  <si>
    <t>11.3 Querprofil</t>
  </si>
  <si>
    <t>Berechnete Höhen</t>
  </si>
  <si>
    <t xml:space="preserve">MüM = </t>
  </si>
  <si>
    <t>kapitel 8-11</t>
  </si>
  <si>
    <t>14.3 Kontrolle und Justierung</t>
  </si>
  <si>
    <t>Station </t>
  </si>
  <si>
    <t>a [m] </t>
  </si>
  <si>
    <t>∆h [m] </t>
  </si>
  <si>
    <t>Diff (2d) [mm]</t>
  </si>
  <si>
    <t>Genauigkeit mm</t>
  </si>
  <si>
    <t>masststab</t>
  </si>
  <si>
    <t>zu</t>
  </si>
  <si>
    <t>8.4.1 Viertelsmethode</t>
  </si>
  <si>
    <t>r [m]</t>
  </si>
  <si>
    <t>h [m]</t>
  </si>
  <si>
    <t>s' [m]</t>
  </si>
  <si>
    <t>h' [m]</t>
  </si>
  <si>
    <t>s" [m]</t>
  </si>
  <si>
    <t>h" [m]</t>
  </si>
  <si>
    <t>Berechnung</t>
  </si>
  <si>
    <t>exakt</t>
  </si>
  <si>
    <t>-</t>
  </si>
  <si>
    <t>Näherung</t>
  </si>
  <si>
    <t>Differenz</t>
  </si>
  <si>
    <t>Rückblick R [m]</t>
  </si>
  <si>
    <t>Zwischenblick Z [m]</t>
  </si>
  <si>
    <t>Vorblick V [m]</t>
  </si>
  <si>
    <t>Instrumentenhorizont [m]</t>
  </si>
  <si>
    <t>Punkthöhe [m]</t>
  </si>
  <si>
    <t>Fixpunkt</t>
  </si>
  <si>
    <t>ZP1</t>
  </si>
  <si>
    <t>ZP2</t>
  </si>
  <si>
    <t>Summe</t>
  </si>
  <si>
    <t>ΔH</t>
  </si>
  <si>
    <t>10.7.2 offenes Nivellement</t>
  </si>
  <si>
    <t>beta = 200 - alpha = 200 - 47.300 Gon = 152.700 Gon</t>
  </si>
  <si>
    <t>9.3 Absteckung mit Tachymeter'!A1</t>
  </si>
  <si>
    <t>Hier gab es keine Aufgabe dazu!</t>
  </si>
  <si>
    <t>im massstab 1:x =</t>
  </si>
  <si>
    <t>mm</t>
  </si>
  <si>
    <t>y</t>
  </si>
  <si>
    <t>x</t>
  </si>
  <si>
    <t>spaltencounter</t>
  </si>
  <si>
    <t>feldcounter</t>
  </si>
  <si>
    <t>t = R * Tan((alpha * pi) / 200 / 2) = 234.999 mm * Tan((47.300 Gon * 3.14159265358979) / 200 / 2) = 91.552 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</si>
</sst>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0"/>
    <numFmt numFmtId="165" formatCode="#,##0.0"/>
  </numFmts>
  <fonts count="23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rgb="FF3F3F76"/>
      <name val="Aptos Narrow"/>
      <family val="2"/>
      <scheme val="minor"/>
    </font>
    <font>
      <b/>
      <sz val="14"/>
      <color theme="1"/>
      <name val="Aptos Narrow"/>
      <scheme val="minor"/>
    </font>
    <font>
      <sz val="10"/>
      <color theme="1"/>
      <name val="Aptos Narrow"/>
      <scheme val="minor"/>
    </font>
    <font>
      <b/>
      <sz val="10"/>
      <color theme="1"/>
      <name val="Aptos Narrow"/>
      <scheme val="minor"/>
    </font>
    <font>
      <b/>
      <sz val="10"/>
      <color theme="0" tint="-0.499984740745262"/>
      <name val="Aptos Narrow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2"/>
      <color theme="9" tint="-0.249977111117893"/>
      <name val="Aptos Narrow (Textkörper)"/>
    </font>
    <font>
      <b/>
      <sz val="16"/>
      <color theme="9" tint="-0.249977111117893"/>
      <name val="Aptos Narrow"/>
      <scheme val="minor"/>
    </font>
    <font>
      <b/>
      <sz val="11"/>
      <color theme="1"/>
      <name val="Aptos Narrow"/>
      <family val="2"/>
      <scheme val="minor"/>
    </font>
    <font>
      <b/>
      <sz val="11"/>
      <name val="Calibri"/>
      <family val="2"/>
    </font>
    <font>
      <sz val="12"/>
      <color theme="1"/>
      <name val="Aptos Narrow"/>
      <family val="2"/>
      <scheme val="minor"/>
    </font>
    <font>
      <u/>
      <sz val="12"/>
      <color theme="10"/>
      <name val="Aptos Narrow"/>
      <family val="2"/>
      <scheme val="minor"/>
    </font>
    <font>
      <u/>
      <sz val="20"/>
      <color theme="10"/>
      <name val="Aptos Narrow"/>
      <family val="2"/>
      <scheme val="minor"/>
    </font>
    <font>
      <b/>
      <sz val="14"/>
      <color rgb="FF000000"/>
      <name val="Arial"/>
      <family val="2"/>
    </font>
    <font>
      <b/>
      <sz val="14"/>
      <color rgb="FF3F3F76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rgb="FF3F3F3F"/>
      <name val="Aptos Narrow"/>
      <family val="2"/>
      <scheme val="minor"/>
    </font>
    <font>
      <sz val="10"/>
      <color theme="1" tint="0.34998626667073579"/>
      <name val="Aptos Narrow"/>
      <family val="2"/>
      <scheme val="minor"/>
    </font>
    <font>
      <sz val="12"/>
      <color theme="1"/>
      <name val="Aptos Narrow"/>
      <scheme val="minor"/>
    </font>
    <font>
      <sz val="15.7"/>
      <color rgb="FF000000"/>
      <name val="Aptos Narrow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</patternFill>
    </fill>
    <fill>
      <patternFill patternType="solid">
        <fgColor rgb="FFE5B78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5E5B7"/>
        <bgColor indexed="64"/>
      </patternFill>
    </fill>
  </fills>
  <borders count="52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</borders>
  <cellStyleXfs count="4">
    <xf numFmtId="0" fontId="0" fillId="0" borderId="0"/>
    <xf numFmtId="0" fontId="2" fillId="2" borderId="9" applyNumberFormat="0" applyAlignment="0" applyProtection="0"/>
    <xf numFmtId="0" fontId="13" fillId="5" borderId="36" applyNumberFormat="0" applyFont="0" applyAlignment="0" applyProtection="0"/>
    <xf numFmtId="0" fontId="14" fillId="0" borderId="0" applyNumberFormat="0" applyFill="0" applyBorder="0" applyAlignment="0" applyProtection="0"/>
  </cellStyleXfs>
  <cellXfs count="127">
    <xf numFmtId="0" fontId="0" fillId="0" borderId="0" xfId="0"/>
    <xf numFmtId="164" fontId="0" fillId="0" borderId="0" xfId="0" applyNumberFormat="1"/>
    <xf numFmtId="4" fontId="0" fillId="0" borderId="0" xfId="0" applyNumberFormat="1"/>
    <xf numFmtId="4" fontId="0" fillId="0" borderId="1" xfId="0" applyNumberFormat="1" applyBorder="1"/>
    <xf numFmtId="0" fontId="0" fillId="0" borderId="3" xfId="0" applyBorder="1"/>
    <xf numFmtId="4" fontId="0" fillId="0" borderId="4" xfId="0" applyNumberFormat="1" applyBorder="1"/>
    <xf numFmtId="0" fontId="0" fillId="0" borderId="5" xfId="0" applyBorder="1"/>
    <xf numFmtId="0" fontId="1" fillId="0" borderId="1" xfId="0" applyFont="1" applyBorder="1"/>
    <xf numFmtId="4" fontId="1" fillId="0" borderId="2" xfId="0" applyNumberFormat="1" applyFont="1" applyBorder="1"/>
    <xf numFmtId="4" fontId="0" fillId="0" borderId="7" xfId="0" applyNumberFormat="1" applyBorder="1"/>
    <xf numFmtId="0" fontId="0" fillId="0" borderId="12" xfId="0" applyBorder="1"/>
    <xf numFmtId="4" fontId="0" fillId="0" borderId="12" xfId="0" applyNumberFormat="1" applyBorder="1"/>
    <xf numFmtId="4" fontId="0" fillId="0" borderId="14" xfId="0" applyNumberFormat="1" applyBorder="1"/>
    <xf numFmtId="164" fontId="0" fillId="0" borderId="15" xfId="0" applyNumberFormat="1" applyBorder="1"/>
    <xf numFmtId="4" fontId="0" fillId="0" borderId="16" xfId="0" applyNumberFormat="1" applyBorder="1"/>
    <xf numFmtId="0" fontId="0" fillId="0" borderId="17" xfId="0" applyBorder="1"/>
    <xf numFmtId="164" fontId="0" fillId="0" borderId="17" xfId="0" applyNumberFormat="1" applyBorder="1"/>
    <xf numFmtId="164" fontId="0" fillId="0" borderId="18" xfId="0" applyNumberFormat="1" applyBorder="1"/>
    <xf numFmtId="0" fontId="2" fillId="2" borderId="9" xfId="1"/>
    <xf numFmtId="0" fontId="3" fillId="0" borderId="0" xfId="0" applyFont="1"/>
    <xf numFmtId="0" fontId="4" fillId="0" borderId="0" xfId="0" applyFont="1"/>
    <xf numFmtId="4" fontId="1" fillId="0" borderId="11" xfId="0" applyNumberFormat="1" applyFont="1" applyBorder="1"/>
    <xf numFmtId="0" fontId="1" fillId="0" borderId="12" xfId="0" applyFont="1" applyBorder="1"/>
    <xf numFmtId="4" fontId="1" fillId="0" borderId="12" xfId="0" applyNumberFormat="1" applyFont="1" applyBorder="1"/>
    <xf numFmtId="4" fontId="1" fillId="0" borderId="13" xfId="0" applyNumberFormat="1" applyFont="1" applyBorder="1"/>
    <xf numFmtId="4" fontId="1" fillId="0" borderId="19" xfId="0" applyNumberFormat="1" applyFont="1" applyBorder="1"/>
    <xf numFmtId="0" fontId="7" fillId="3" borderId="19" xfId="0" applyFont="1" applyFill="1" applyBorder="1"/>
    <xf numFmtId="0" fontId="7" fillId="3" borderId="1" xfId="0" applyFont="1" applyFill="1" applyBorder="1"/>
    <xf numFmtId="0" fontId="7" fillId="3" borderId="2" xfId="0" applyFont="1" applyFill="1" applyBorder="1"/>
    <xf numFmtId="0" fontId="0" fillId="0" borderId="13" xfId="0" applyBorder="1"/>
    <xf numFmtId="0" fontId="0" fillId="0" borderId="15" xfId="0" applyBorder="1"/>
    <xf numFmtId="0" fontId="0" fillId="0" borderId="18" xfId="0" applyBorder="1"/>
    <xf numFmtId="4" fontId="0" fillId="0" borderId="10" xfId="0" applyNumberFormat="1" applyBorder="1"/>
    <xf numFmtId="164" fontId="0" fillId="0" borderId="10" xfId="0" applyNumberFormat="1" applyBorder="1"/>
    <xf numFmtId="4" fontId="2" fillId="2" borderId="9" xfId="1" applyNumberFormat="1"/>
    <xf numFmtId="4" fontId="1" fillId="0" borderId="0" xfId="0" applyNumberFormat="1" applyFont="1"/>
    <xf numFmtId="0" fontId="10" fillId="0" borderId="0" xfId="0" applyFont="1" applyAlignment="1">
      <alignment horizontal="center" vertical="center"/>
    </xf>
    <xf numFmtId="0" fontId="3" fillId="4" borderId="22" xfId="0" applyFont="1" applyFill="1" applyBorder="1"/>
    <xf numFmtId="4" fontId="0" fillId="4" borderId="5" xfId="0" applyNumberFormat="1" applyFill="1" applyBorder="1"/>
    <xf numFmtId="0" fontId="0" fillId="4" borderId="5" xfId="0" applyFill="1" applyBorder="1"/>
    <xf numFmtId="0" fontId="0" fillId="4" borderId="6" xfId="0" applyFill="1" applyBorder="1"/>
    <xf numFmtId="0" fontId="2" fillId="2" borderId="23" xfId="1" applyBorder="1"/>
    <xf numFmtId="4" fontId="2" fillId="2" borderId="24" xfId="1" applyNumberFormat="1" applyBorder="1"/>
    <xf numFmtId="0" fontId="0" fillId="0" borderId="7" xfId="0" applyBorder="1"/>
    <xf numFmtId="49" fontId="2" fillId="2" borderId="25" xfId="1" applyNumberFormat="1" applyBorder="1"/>
    <xf numFmtId="4" fontId="0" fillId="0" borderId="20" xfId="0" applyNumberFormat="1" applyBorder="1"/>
    <xf numFmtId="4" fontId="0" fillId="0" borderId="21" xfId="0" applyNumberFormat="1" applyBorder="1"/>
    <xf numFmtId="0" fontId="2" fillId="2" borderId="26" xfId="1" applyBorder="1"/>
    <xf numFmtId="4" fontId="2" fillId="2" borderId="26" xfId="1" applyNumberFormat="1" applyBorder="1"/>
    <xf numFmtId="0" fontId="0" fillId="0" borderId="4" xfId="0" applyBorder="1"/>
    <xf numFmtId="0" fontId="7" fillId="0" borderId="22" xfId="0" applyFont="1" applyBorder="1"/>
    <xf numFmtId="0" fontId="7" fillId="0" borderId="5" xfId="0" applyFont="1" applyBorder="1"/>
    <xf numFmtId="0" fontId="7" fillId="0" borderId="6" xfId="0" applyFont="1" applyBorder="1"/>
    <xf numFmtId="0" fontId="0" fillId="0" borderId="20" xfId="0" applyBorder="1"/>
    <xf numFmtId="0" fontId="2" fillId="2" borderId="24" xfId="1" applyNumberFormat="1" applyBorder="1"/>
    <xf numFmtId="2" fontId="0" fillId="0" borderId="0" xfId="0" applyNumberFormat="1"/>
    <xf numFmtId="0" fontId="2" fillId="2" borderId="9" xfId="1" applyNumberFormat="1"/>
    <xf numFmtId="0" fontId="2" fillId="2" borderId="28" xfId="1" applyNumberFormat="1" applyBorder="1"/>
    <xf numFmtId="2" fontId="0" fillId="0" borderId="3" xfId="0" applyNumberFormat="1" applyBorder="1"/>
    <xf numFmtId="0" fontId="2" fillId="2" borderId="26" xfId="1" applyNumberFormat="1" applyBorder="1"/>
    <xf numFmtId="0" fontId="11" fillId="0" borderId="29" xfId="0" applyFont="1" applyBorder="1" applyAlignment="1">
      <alignment horizontal="center" vertical="top"/>
    </xf>
    <xf numFmtId="0" fontId="11" fillId="0" borderId="30" xfId="0" applyFont="1" applyBorder="1" applyAlignment="1">
      <alignment horizontal="center" vertical="top"/>
    </xf>
    <xf numFmtId="0" fontId="11" fillId="0" borderId="31" xfId="0" applyFont="1" applyBorder="1" applyAlignment="1">
      <alignment horizontal="center" vertical="top"/>
    </xf>
    <xf numFmtId="2" fontId="2" fillId="2" borderId="9" xfId="1" applyNumberFormat="1"/>
    <xf numFmtId="4" fontId="0" fillId="0" borderId="0" xfId="0" applyNumberFormat="1" applyAlignment="1">
      <alignment horizontal="right"/>
    </xf>
    <xf numFmtId="0" fontId="0" fillId="4" borderId="0" xfId="0" applyFill="1"/>
    <xf numFmtId="165" fontId="0" fillId="0" borderId="7" xfId="0" applyNumberFormat="1" applyBorder="1"/>
    <xf numFmtId="0" fontId="2" fillId="2" borderId="28" xfId="1" applyBorder="1"/>
    <xf numFmtId="164" fontId="0" fillId="0" borderId="3" xfId="0" applyNumberFormat="1" applyBorder="1"/>
    <xf numFmtId="0" fontId="2" fillId="2" borderId="27" xfId="1" applyBorder="1"/>
    <xf numFmtId="4" fontId="2" fillId="2" borderId="23" xfId="1" applyNumberFormat="1" applyBorder="1"/>
    <xf numFmtId="0" fontId="11" fillId="0" borderId="10" xfId="0" applyFont="1" applyBorder="1" applyAlignment="1">
      <alignment horizontal="center" vertical="top"/>
    </xf>
    <xf numFmtId="0" fontId="2" fillId="2" borderId="35" xfId="1" applyBorder="1"/>
    <xf numFmtId="0" fontId="0" fillId="0" borderId="32" xfId="0" applyBorder="1"/>
    <xf numFmtId="0" fontId="0" fillId="0" borderId="33" xfId="0" applyBorder="1"/>
    <xf numFmtId="164" fontId="0" fillId="0" borderId="33" xfId="0" applyNumberFormat="1" applyBorder="1"/>
    <xf numFmtId="164" fontId="0" fillId="0" borderId="34" xfId="0" applyNumberFormat="1" applyBorder="1"/>
    <xf numFmtId="164" fontId="0" fillId="0" borderId="12" xfId="0" applyNumberFormat="1" applyBorder="1" applyAlignment="1">
      <alignment horizontal="right"/>
    </xf>
    <xf numFmtId="164" fontId="0" fillId="0" borderId="0" xfId="0" applyNumberFormat="1" applyAlignment="1">
      <alignment horizontal="right"/>
    </xf>
    <xf numFmtId="164" fontId="0" fillId="0" borderId="0" xfId="0" quotePrefix="1" applyNumberFormat="1" applyAlignment="1">
      <alignment horizontal="right"/>
    </xf>
    <xf numFmtId="0" fontId="0" fillId="0" borderId="14" xfId="0" applyBorder="1"/>
    <xf numFmtId="0" fontId="0" fillId="0" borderId="16" xfId="0" applyBorder="1"/>
    <xf numFmtId="0" fontId="12" fillId="0" borderId="32" xfId="0" applyFont="1" applyBorder="1"/>
    <xf numFmtId="0" fontId="12" fillId="0" borderId="33" xfId="0" applyFont="1" applyBorder="1"/>
    <xf numFmtId="0" fontId="12" fillId="0" borderId="34" xfId="0" applyFont="1" applyBorder="1"/>
    <xf numFmtId="0" fontId="1" fillId="0" borderId="20" xfId="0" applyFont="1" applyBorder="1" applyAlignment="1">
      <alignment horizontal="right"/>
    </xf>
    <xf numFmtId="0" fontId="5" fillId="0" borderId="20" xfId="0" applyFont="1" applyBorder="1" applyAlignment="1">
      <alignment horizontal="right"/>
    </xf>
    <xf numFmtId="0" fontId="6" fillId="0" borderId="20" xfId="0" applyFont="1" applyBorder="1" applyAlignment="1">
      <alignment horizontal="right"/>
    </xf>
    <xf numFmtId="0" fontId="2" fillId="2" borderId="38" xfId="1" applyBorder="1"/>
    <xf numFmtId="0" fontId="2" fillId="2" borderId="37" xfId="1" applyBorder="1"/>
    <xf numFmtId="0" fontId="8" fillId="0" borderId="0" xfId="0" applyFont="1"/>
    <xf numFmtId="0" fontId="15" fillId="0" borderId="0" xfId="3" quotePrefix="1" applyFont="1"/>
    <xf numFmtId="0" fontId="16" fillId="0" borderId="39" xfId="0" applyFont="1" applyBorder="1" applyAlignment="1">
      <alignment horizontal="right"/>
    </xf>
    <xf numFmtId="0" fontId="17" fillId="6" borderId="40" xfId="1" applyNumberFormat="1" applyFont="1" applyFill="1" applyBorder="1" applyProtection="1">
      <protection locked="0"/>
    </xf>
    <xf numFmtId="164" fontId="18" fillId="7" borderId="41" xfId="0" applyNumberFormat="1" applyFont="1" applyFill="1" applyBorder="1"/>
    <xf numFmtId="0" fontId="19" fillId="8" borderId="42" xfId="2" applyFont="1" applyFill="1" applyBorder="1" applyAlignment="1" applyProtection="1">
      <alignment horizontal="left" vertical="center"/>
    </xf>
    <xf numFmtId="0" fontId="18" fillId="0" borderId="0" xfId="0" applyFont="1"/>
    <xf numFmtId="0" fontId="16" fillId="0" borderId="43" xfId="0" applyFont="1" applyBorder="1" applyAlignment="1">
      <alignment horizontal="right"/>
    </xf>
    <xf numFmtId="0" fontId="17" fillId="2" borderId="44" xfId="1" applyNumberFormat="1" applyFont="1" applyBorder="1" applyProtection="1">
      <protection locked="0"/>
    </xf>
    <xf numFmtId="164" fontId="18" fillId="0" borderId="15" xfId="0" applyNumberFormat="1" applyFont="1" applyBorder="1"/>
    <xf numFmtId="0" fontId="19" fillId="5" borderId="45" xfId="2" applyFont="1" applyBorder="1" applyAlignment="1" applyProtection="1">
      <alignment horizontal="left" vertical="center"/>
    </xf>
    <xf numFmtId="0" fontId="17" fillId="6" borderId="44" xfId="1" applyNumberFormat="1" applyFont="1" applyFill="1" applyBorder="1" applyProtection="1">
      <protection locked="0"/>
    </xf>
    <xf numFmtId="164" fontId="18" fillId="7" borderId="15" xfId="0" applyNumberFormat="1" applyFont="1" applyFill="1" applyBorder="1"/>
    <xf numFmtId="0" fontId="19" fillId="8" borderId="45" xfId="2" applyFont="1" applyFill="1" applyBorder="1" applyAlignment="1" applyProtection="1">
      <alignment horizontal="left" vertical="center"/>
    </xf>
    <xf numFmtId="0" fontId="16" fillId="0" borderId="46" xfId="0" applyFont="1" applyBorder="1" applyAlignment="1">
      <alignment horizontal="right"/>
    </xf>
    <xf numFmtId="0" fontId="17" fillId="6" borderId="47" xfId="1" applyNumberFormat="1" applyFont="1" applyFill="1" applyBorder="1" applyProtection="1">
      <protection locked="0"/>
    </xf>
    <xf numFmtId="164" fontId="18" fillId="7" borderId="48" xfId="0" applyNumberFormat="1" applyFont="1" applyFill="1" applyBorder="1"/>
    <xf numFmtId="0" fontId="19" fillId="8" borderId="49" xfId="2" applyFont="1" applyFill="1" applyBorder="1" applyAlignment="1" applyProtection="1">
      <alignment horizontal="left" vertical="center"/>
    </xf>
    <xf numFmtId="0" fontId="1" fillId="0" borderId="0" xfId="0" applyFont="1"/>
    <xf numFmtId="4" fontId="2" fillId="2" borderId="50" xfId="1" applyNumberFormat="1" applyBorder="1"/>
    <xf numFmtId="0" fontId="2" fillId="2" borderId="51" xfId="1" applyBorder="1"/>
    <xf numFmtId="0" fontId="0" fillId="0" borderId="2" xfId="0" applyBorder="1"/>
    <xf numFmtId="0" fontId="20" fillId="0" borderId="0" xfId="0" applyFont="1"/>
    <xf numFmtId="164" fontId="20" fillId="0" borderId="0" xfId="0" applyNumberFormat="1" applyFont="1"/>
    <xf numFmtId="0" fontId="5" fillId="0" borderId="21" xfId="0" applyFont="1" applyBorder="1" applyAlignment="1">
      <alignment horizontal="right"/>
    </xf>
    <xf numFmtId="164" fontId="20" fillId="0" borderId="3" xfId="0" applyNumberFormat="1" applyFont="1" applyBorder="1"/>
    <xf numFmtId="4" fontId="21" fillId="0" borderId="0" xfId="0" applyNumberFormat="1" applyFont="1" applyAlignment="1">
      <alignment horizontal="right"/>
    </xf>
    <xf numFmtId="4" fontId="21" fillId="0" borderId="3" xfId="0" applyNumberFormat="1" applyFont="1" applyBorder="1" applyAlignment="1">
      <alignment horizontal="right"/>
    </xf>
    <xf numFmtId="4" fontId="21" fillId="0" borderId="7" xfId="0" applyNumberFormat="1" applyFont="1" applyBorder="1" applyAlignment="1">
      <alignment horizontal="right"/>
    </xf>
    <xf numFmtId="4" fontId="21" fillId="0" borderId="4" xfId="0" applyNumberFormat="1" applyFont="1" applyBorder="1" applyAlignment="1">
      <alignment horizontal="right"/>
    </xf>
    <xf numFmtId="0" fontId="2" fillId="2" borderId="8" xfId="1" applyBorder="1"/>
    <xf numFmtId="0" fontId="0" fillId="0" borderId="37" xfId="0" applyBorder="1" applyAlignment="1">
      <alignment horizontal="right"/>
    </xf>
    <xf numFmtId="0" fontId="1" fillId="0" borderId="5" xfId="0" applyFont="1" applyBorder="1"/>
    <xf numFmtId="4" fontId="1" fillId="0" borderId="5" xfId="0" applyNumberFormat="1" applyFont="1" applyBorder="1"/>
    <xf numFmtId="4" fontId="1" fillId="0" borderId="6" xfId="0" applyNumberFormat="1" applyFont="1" applyBorder="1"/>
    <xf numFmtId="0" fontId="1" fillId="0" borderId="0" xfId="0" applyFont="1" applyFill="1" applyBorder="1"/>
    <xf numFmtId="4" fontId="1" fillId="0" borderId="0" xfId="0" applyNumberFormat="1" applyFont="1" applyFill="1" applyBorder="1"/>
  </cellXfs>
  <cellStyles count="4">
    <cellStyle name="Eingabe" xfId="1" builtinId="20"/>
    <cellStyle name="Link" xfId="3" builtinId="8"/>
    <cellStyle name="Notiz" xfId="2" builtinId="10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9289099443032119E-2"/>
          <c:y val="5.0317432597955181E-2"/>
          <c:w val="0.93783719858646841"/>
          <c:h val="0.86794279721647982"/>
        </c:manualLayout>
      </c:layout>
      <c:lineChart>
        <c:grouping val="standard"/>
        <c:varyColors val="1"/>
        <c:ser>
          <c:idx val="0"/>
          <c:order val="0"/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2225" cap="rnd">
                <a:solidFill>
                  <a:schemeClr val="accent1"/>
                </a:solidFill>
              </a:ln>
              <a:effectLst>
                <a:glow rad="139700">
                  <a:schemeClr val="accent1">
                    <a:satMod val="175000"/>
                    <a:alpha val="14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11-7811-4E40-8C7B-B1AE03B13C78}"/>
              </c:ext>
            </c:extLst>
          </c:dPt>
          <c:dPt>
            <c:idx val="1"/>
            <c:marker>
              <c:symbol val="none"/>
            </c:marker>
            <c:bubble3D val="0"/>
            <c:spPr>
              <a:ln w="22225" cap="rnd">
                <a:solidFill>
                  <a:schemeClr val="accent2"/>
                </a:solidFill>
              </a:ln>
              <a:effectLst>
                <a:glow rad="139700">
                  <a:schemeClr val="accent2">
                    <a:satMod val="175000"/>
                    <a:alpha val="14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12-7811-4E40-8C7B-B1AE03B13C78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22225" cap="rnd">
                <a:solidFill>
                  <a:schemeClr val="accent3"/>
                </a:solidFill>
              </a:ln>
              <a:effectLst>
                <a:glow rad="139700">
                  <a:schemeClr val="accent3">
                    <a:satMod val="175000"/>
                    <a:alpha val="14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13-7811-4E40-8C7B-B1AE03B13C78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22225" cap="rnd">
                <a:solidFill>
                  <a:schemeClr val="accent4"/>
                </a:solidFill>
              </a:ln>
              <a:effectLst>
                <a:glow rad="139700">
                  <a:schemeClr val="accent4">
                    <a:satMod val="175000"/>
                    <a:alpha val="14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14-7811-4E40-8C7B-B1AE03B13C78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22225" cap="rnd">
                <a:solidFill>
                  <a:schemeClr val="accent5"/>
                </a:solidFill>
              </a:ln>
              <a:effectLst>
                <a:glow rad="139700">
                  <a:schemeClr val="accent5">
                    <a:satMod val="175000"/>
                    <a:alpha val="14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15-7811-4E40-8C7B-B1AE03B13C78}"/>
              </c:ext>
            </c:extLst>
          </c:dPt>
          <c:dPt>
            <c:idx val="5"/>
            <c:marker>
              <c:symbol val="none"/>
            </c:marker>
            <c:bubble3D val="0"/>
            <c:spPr>
              <a:ln w="22225" cap="rnd">
                <a:solidFill>
                  <a:schemeClr val="accent6"/>
                </a:solidFill>
              </a:ln>
              <a:effectLst>
                <a:glow rad="139700">
                  <a:schemeClr val="accent6">
                    <a:satMod val="175000"/>
                    <a:alpha val="14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16-7811-4E40-8C7B-B1AE03B13C78}"/>
              </c:ext>
            </c:extLst>
          </c:dPt>
          <c:dPt>
            <c:idx val="6"/>
            <c:marker>
              <c:symbol val="none"/>
            </c:marker>
            <c:bubble3D val="0"/>
            <c:spPr>
              <a:ln w="22225" cap="rnd">
                <a:solidFill>
                  <a:schemeClr val="accent1">
                    <a:lumMod val="60000"/>
                  </a:schemeClr>
                </a:solidFill>
              </a:ln>
              <a:effectLst>
                <a:glow rad="139700">
                  <a:schemeClr val="accent1">
                    <a:lumMod val="60000"/>
                    <a:satMod val="175000"/>
                    <a:alpha val="14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2-7811-4E40-8C7B-B1AE03B13C78}"/>
              </c:ext>
            </c:extLst>
          </c:dPt>
          <c:dPt>
            <c:idx val="7"/>
            <c:marker>
              <c:symbol val="none"/>
            </c:marker>
            <c:bubble3D val="0"/>
            <c:spPr>
              <a:ln w="22225" cap="rnd">
                <a:solidFill>
                  <a:schemeClr val="accent2">
                    <a:lumMod val="60000"/>
                  </a:schemeClr>
                </a:solidFill>
              </a:ln>
              <a:effectLst>
                <a:glow rad="139700">
                  <a:schemeClr val="accent2">
                    <a:lumMod val="60000"/>
                    <a:satMod val="175000"/>
                    <a:alpha val="14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17-7811-4E40-8C7B-B1AE03B13C7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Home!$D$157:$D$164</c:f>
              <c:numCache>
                <c:formatCode>General</c:formatCode>
                <c:ptCount val="8"/>
                <c:pt idx="0">
                  <c:v>0</c:v>
                </c:pt>
                <c:pt idx="1">
                  <c:v>-2.1</c:v>
                </c:pt>
                <c:pt idx="2">
                  <c:v>-2.7</c:v>
                </c:pt>
                <c:pt idx="3">
                  <c:v>-3.7</c:v>
                </c:pt>
                <c:pt idx="4">
                  <c:v>-4.4000000000000004</c:v>
                </c:pt>
                <c:pt idx="5">
                  <c:v>2.35</c:v>
                </c:pt>
                <c:pt idx="6">
                  <c:v>3.45</c:v>
                </c:pt>
                <c:pt idx="7">
                  <c:v>5.7</c:v>
                </c:pt>
              </c:numCache>
            </c:numRef>
          </c:cat>
          <c:val>
            <c:numRef>
              <c:f>Home!$E$157:$E$164</c:f>
              <c:numCache>
                <c:formatCode>0.00</c:formatCode>
                <c:ptCount val="8"/>
                <c:pt idx="0">
                  <c:v>1.8899999999999864</c:v>
                </c:pt>
                <c:pt idx="1">
                  <c:v>1.6999999999999886</c:v>
                </c:pt>
                <c:pt idx="2">
                  <c:v>1.3600000000000136</c:v>
                </c:pt>
                <c:pt idx="3">
                  <c:v>1.339999999999975</c:v>
                </c:pt>
                <c:pt idx="4">
                  <c:v>1.8899999999999864</c:v>
                </c:pt>
                <c:pt idx="5">
                  <c:v>1.839999999999975</c:v>
                </c:pt>
                <c:pt idx="6">
                  <c:v>1.9399999999999977</c:v>
                </c:pt>
                <c:pt idx="7">
                  <c:v>2.2799999999999727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11-4E40-8C7B-B1AE03B13C7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074770960"/>
        <c:axId val="1074400832"/>
      </c:lineChart>
      <c:catAx>
        <c:axId val="10747709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74400832"/>
        <c:crosses val="autoZero"/>
        <c:auto val="1"/>
        <c:lblAlgn val="ctr"/>
        <c:lblOffset val="100"/>
        <c:noMultiLvlLbl val="0"/>
      </c:catAx>
      <c:valAx>
        <c:axId val="107440083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74770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0129636783934192E-3"/>
          <c:y val="5.0317465091057417E-2"/>
          <c:w val="0.98492809060661257"/>
          <c:h val="0.94968239809361732"/>
        </c:manualLayout>
      </c:layout>
      <c:lineChart>
        <c:grouping val="standard"/>
        <c:varyColors val="1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Home!$L$40:$Q$40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Home!$N$41:$U$41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D50E-BE4E-8CB0-B05B15F90F02}"/>
            </c:ext>
          </c:extLst>
        </c:ser>
        <c:ser>
          <c:idx val="1"/>
          <c:order val="1"/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(Home!$L$19,Home!$J$19,Home!$H$19,Home!$F$19,Home!$D$19)</c:f>
              <c:numCache>
                <c:formatCode>#,##0.00</c:formatCode>
                <c:ptCount val="5"/>
                <c:pt idx="0">
                  <c:v>1.470588235293921</c:v>
                </c:pt>
                <c:pt idx="1">
                  <c:v>1.3999999999998636</c:v>
                </c:pt>
                <c:pt idx="2">
                  <c:v>1.6393442622949521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9DF-524A-8088-50FBA093F3E4}"/>
            </c:ext>
          </c:extLst>
        </c:ser>
        <c:ser>
          <c:idx val="2"/>
          <c:order val="2"/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(Home!$L$23,Home!$J$23,Home!$H$23,Home!$F$23,Home!$D$23)</c:f>
              <c:numCache>
                <c:formatCode>#,##0.00</c:formatCode>
                <c:ptCount val="5"/>
                <c:pt idx="0">
                  <c:v>3.5955056179775067</c:v>
                </c:pt>
                <c:pt idx="1">
                  <c:v>3.1999999999999318</c:v>
                </c:pt>
                <c:pt idx="2">
                  <c:v>2.7570093457942932</c:v>
                </c:pt>
                <c:pt idx="3">
                  <c:v>5.1898734177213548</c:v>
                </c:pt>
                <c:pt idx="4">
                  <c:v>3.0434782608697799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9DF-524A-8088-50FBA093F3E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074770960"/>
        <c:axId val="1074400832"/>
      </c:lineChart>
      <c:catAx>
        <c:axId val="1074770960"/>
        <c:scaling>
          <c:orientation val="maxMin"/>
        </c:scaling>
        <c:delete val="0"/>
        <c:axPos val="t"/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74400832"/>
        <c:crosses val="autoZero"/>
        <c:auto val="1"/>
        <c:lblAlgn val="ctr"/>
        <c:lblOffset val="100"/>
        <c:noMultiLvlLbl val="0"/>
      </c:catAx>
      <c:valAx>
        <c:axId val="1074400832"/>
        <c:scaling>
          <c:orientation val="maxMin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74770960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13" Type="http://schemas.openxmlformats.org/officeDocument/2006/relationships/chart" Target="../charts/chart2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1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0.png"/><Relationship Id="rId5" Type="http://schemas.openxmlformats.org/officeDocument/2006/relationships/image" Target="../media/image5.png"/><Relationship Id="rId10" Type="http://schemas.openxmlformats.org/officeDocument/2006/relationships/image" Target="../media/image9.png"/><Relationship Id="rId4" Type="http://schemas.openxmlformats.org/officeDocument/2006/relationships/image" Target="../media/image4.png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393672</xdr:colOff>
      <xdr:row>7</xdr:row>
      <xdr:rowOff>201435</xdr:rowOff>
    </xdr:from>
    <xdr:to>
      <xdr:col>36</xdr:col>
      <xdr:colOff>257169</xdr:colOff>
      <xdr:row>30</xdr:row>
      <xdr:rowOff>116770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B72BF557-8EB2-6DB2-4BE5-FCABD6131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6285" y="1643057"/>
          <a:ext cx="9748902" cy="4732181"/>
        </a:xfrm>
        <a:prstGeom prst="rect">
          <a:avLst/>
        </a:prstGeom>
      </xdr:spPr>
    </xdr:pic>
    <xdr:clientData/>
  </xdr:twoCellAnchor>
  <xdr:twoCellAnchor editAs="oneCell">
    <xdr:from>
      <xdr:col>7</xdr:col>
      <xdr:colOff>475107</xdr:colOff>
      <xdr:row>93</xdr:row>
      <xdr:rowOff>79985</xdr:rowOff>
    </xdr:from>
    <xdr:to>
      <xdr:col>13</xdr:col>
      <xdr:colOff>322286</xdr:colOff>
      <xdr:row>114</xdr:row>
      <xdr:rowOff>264964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913FF6DC-171A-DB9D-EBEE-724D0E790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00790" y="19340129"/>
          <a:ext cx="5116251" cy="4552318"/>
        </a:xfrm>
        <a:prstGeom prst="rect">
          <a:avLst/>
        </a:prstGeom>
      </xdr:spPr>
    </xdr:pic>
    <xdr:clientData/>
  </xdr:twoCellAnchor>
  <xdr:twoCellAnchor editAs="oneCell">
    <xdr:from>
      <xdr:col>8</xdr:col>
      <xdr:colOff>152359</xdr:colOff>
      <xdr:row>45</xdr:row>
      <xdr:rowOff>87057</xdr:rowOff>
    </xdr:from>
    <xdr:to>
      <xdr:col>12</xdr:col>
      <xdr:colOff>125313</xdr:colOff>
      <xdr:row>55</xdr:row>
      <xdr:rowOff>15886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1859CBC1-20AA-1EC6-CCCA-B65FFD9A3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65692" y="9514805"/>
          <a:ext cx="3416828" cy="2011171"/>
        </a:xfrm>
        <a:prstGeom prst="rect">
          <a:avLst/>
        </a:prstGeom>
      </xdr:spPr>
    </xdr:pic>
    <xdr:clientData/>
  </xdr:twoCellAnchor>
  <xdr:twoCellAnchor editAs="oneCell">
    <xdr:from>
      <xdr:col>8</xdr:col>
      <xdr:colOff>270235</xdr:colOff>
      <xdr:row>59</xdr:row>
      <xdr:rowOff>27410</xdr:rowOff>
    </xdr:from>
    <xdr:to>
      <xdr:col>13</xdr:col>
      <xdr:colOff>47328</xdr:colOff>
      <xdr:row>71</xdr:row>
      <xdr:rowOff>96083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3F0648E5-F139-1D5C-B25F-17DBF826BE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218221" y="12234029"/>
          <a:ext cx="4042282" cy="2480759"/>
        </a:xfrm>
        <a:prstGeom prst="rect">
          <a:avLst/>
        </a:prstGeom>
      </xdr:spPr>
    </xdr:pic>
    <xdr:clientData/>
  </xdr:twoCellAnchor>
  <xdr:twoCellAnchor editAs="oneCell">
    <xdr:from>
      <xdr:col>22</xdr:col>
      <xdr:colOff>800901</xdr:colOff>
      <xdr:row>74</xdr:row>
      <xdr:rowOff>9664</xdr:rowOff>
    </xdr:from>
    <xdr:to>
      <xdr:col>30</xdr:col>
      <xdr:colOff>668418</xdr:colOff>
      <xdr:row>90</xdr:row>
      <xdr:rowOff>197048</xdr:rowOff>
    </xdr:to>
    <xdr:pic>
      <xdr:nvPicPr>
        <xdr:cNvPr id="7" name="Grafik 6">
          <a:extLst>
            <a:ext uri="{FF2B5EF4-FFF2-40B4-BE49-F238E27FC236}">
              <a16:creationId xmlns:a16="http://schemas.microsoft.com/office/drawing/2014/main" id="{F4D6DEC4-2E77-9DCD-D9D5-AEB3DC6BF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41261" y="15501376"/>
          <a:ext cx="6457787" cy="3734231"/>
        </a:xfrm>
        <a:prstGeom prst="rect">
          <a:avLst/>
        </a:prstGeom>
      </xdr:spPr>
    </xdr:pic>
    <xdr:clientData/>
  </xdr:twoCellAnchor>
  <xdr:twoCellAnchor editAs="oneCell">
    <xdr:from>
      <xdr:col>9</xdr:col>
      <xdr:colOff>196626</xdr:colOff>
      <xdr:row>118</xdr:row>
      <xdr:rowOff>36546</xdr:rowOff>
    </xdr:from>
    <xdr:to>
      <xdr:col>15</xdr:col>
      <xdr:colOff>632371</xdr:colOff>
      <xdr:row>134</xdr:row>
      <xdr:rowOff>201007</xdr:rowOff>
    </xdr:to>
    <xdr:pic>
      <xdr:nvPicPr>
        <xdr:cNvPr id="8" name="Grafik 7">
          <a:extLst>
            <a:ext uri="{FF2B5EF4-FFF2-40B4-BE49-F238E27FC236}">
              <a16:creationId xmlns:a16="http://schemas.microsoft.com/office/drawing/2014/main" id="{B81CD68F-9F13-E2E9-6644-E77059C648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692813" y="24659927"/>
          <a:ext cx="5339020" cy="3380576"/>
        </a:xfrm>
        <a:prstGeom prst="rect">
          <a:avLst/>
        </a:prstGeom>
      </xdr:spPr>
    </xdr:pic>
    <xdr:clientData/>
  </xdr:twoCellAnchor>
  <xdr:twoCellAnchor editAs="oneCell">
    <xdr:from>
      <xdr:col>8</xdr:col>
      <xdr:colOff>484243</xdr:colOff>
      <xdr:row>138</xdr:row>
      <xdr:rowOff>109403</xdr:rowOff>
    </xdr:from>
    <xdr:to>
      <xdr:col>14</xdr:col>
      <xdr:colOff>434541</xdr:colOff>
      <xdr:row>148</xdr:row>
      <xdr:rowOff>163729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E218FAD-28E0-810D-15AC-6886A5398D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987337" y="28826022"/>
          <a:ext cx="5037789" cy="2119218"/>
        </a:xfrm>
        <a:prstGeom prst="rect">
          <a:avLst/>
        </a:prstGeom>
      </xdr:spPr>
    </xdr:pic>
    <xdr:clientData/>
  </xdr:twoCellAnchor>
  <xdr:twoCellAnchor>
    <xdr:from>
      <xdr:col>3</xdr:col>
      <xdr:colOff>57562</xdr:colOff>
      <xdr:row>167</xdr:row>
      <xdr:rowOff>17175</xdr:rowOff>
    </xdr:from>
    <xdr:to>
      <xdr:col>6</xdr:col>
      <xdr:colOff>1343094</xdr:colOff>
      <xdr:row>183</xdr:row>
      <xdr:rowOff>82229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89E59F33-43D0-5D86-B585-3D0181EE0D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6</xdr:col>
      <xdr:colOff>1699424</xdr:colOff>
      <xdr:row>167</xdr:row>
      <xdr:rowOff>164461</xdr:rowOff>
    </xdr:from>
    <xdr:to>
      <xdr:col>15</xdr:col>
      <xdr:colOff>511529</xdr:colOff>
      <xdr:row>181</xdr:row>
      <xdr:rowOff>52833</xdr:rowOff>
    </xdr:to>
    <xdr:pic>
      <xdr:nvPicPr>
        <xdr:cNvPr id="10" name="Grafik 9">
          <a:extLst>
            <a:ext uri="{FF2B5EF4-FFF2-40B4-BE49-F238E27FC236}">
              <a16:creationId xmlns:a16="http://schemas.microsoft.com/office/drawing/2014/main" id="{2C8404FF-DC56-A719-3551-BFC5C6BCB0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958057" y="34893022"/>
          <a:ext cx="7772400" cy="2702472"/>
        </a:xfrm>
        <a:prstGeom prst="rect">
          <a:avLst/>
        </a:prstGeom>
      </xdr:spPr>
    </xdr:pic>
    <xdr:clientData/>
  </xdr:twoCellAnchor>
  <xdr:twoCellAnchor editAs="oneCell">
    <xdr:from>
      <xdr:col>7</xdr:col>
      <xdr:colOff>567462</xdr:colOff>
      <xdr:row>190</xdr:row>
      <xdr:rowOff>201005</xdr:rowOff>
    </xdr:from>
    <xdr:to>
      <xdr:col>13</xdr:col>
      <xdr:colOff>758220</xdr:colOff>
      <xdr:row>211</xdr:row>
      <xdr:rowOff>106538</xdr:rowOff>
    </xdr:to>
    <xdr:pic>
      <xdr:nvPicPr>
        <xdr:cNvPr id="11" name="Grafik 10">
          <a:extLst>
            <a:ext uri="{FF2B5EF4-FFF2-40B4-BE49-F238E27FC236}">
              <a16:creationId xmlns:a16="http://schemas.microsoft.com/office/drawing/2014/main" id="{AD2267D3-2523-4DB3-20D3-08D730576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872714" y="39424818"/>
          <a:ext cx="5459830" cy="4163230"/>
        </a:xfrm>
        <a:prstGeom prst="rect">
          <a:avLst/>
        </a:prstGeom>
      </xdr:spPr>
    </xdr:pic>
    <xdr:clientData/>
  </xdr:twoCellAnchor>
  <xdr:twoCellAnchor editAs="oneCell">
    <xdr:from>
      <xdr:col>10</xdr:col>
      <xdr:colOff>350733</xdr:colOff>
      <xdr:row>213</xdr:row>
      <xdr:rowOff>183063</xdr:rowOff>
    </xdr:from>
    <xdr:to>
      <xdr:col>17</xdr:col>
      <xdr:colOff>632940</xdr:colOff>
      <xdr:row>237</xdr:row>
      <xdr:rowOff>47342</xdr:rowOff>
    </xdr:to>
    <xdr:pic>
      <xdr:nvPicPr>
        <xdr:cNvPr id="12" name="Grafik 11">
          <a:extLst>
            <a:ext uri="{FF2B5EF4-FFF2-40B4-BE49-F238E27FC236}">
              <a16:creationId xmlns:a16="http://schemas.microsoft.com/office/drawing/2014/main" id="{00C7F255-BA99-12EC-1106-877CA16712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540463" y="45033513"/>
          <a:ext cx="5785540" cy="4864189"/>
        </a:xfrm>
        <a:prstGeom prst="rect">
          <a:avLst/>
        </a:prstGeom>
      </xdr:spPr>
    </xdr:pic>
    <xdr:clientData/>
  </xdr:twoCellAnchor>
  <xdr:twoCellAnchor editAs="oneCell">
    <xdr:from>
      <xdr:col>1</xdr:col>
      <xdr:colOff>137297</xdr:colOff>
      <xdr:row>255</xdr:row>
      <xdr:rowOff>34324</xdr:rowOff>
    </xdr:from>
    <xdr:to>
      <xdr:col>6</xdr:col>
      <xdr:colOff>1624113</xdr:colOff>
      <xdr:row>270</xdr:row>
      <xdr:rowOff>56635</xdr:rowOff>
    </xdr:to>
    <xdr:pic>
      <xdr:nvPicPr>
        <xdr:cNvPr id="13" name="Grafik 12">
          <a:extLst>
            <a:ext uri="{FF2B5EF4-FFF2-40B4-BE49-F238E27FC236}">
              <a16:creationId xmlns:a16="http://schemas.microsoft.com/office/drawing/2014/main" id="{815EE81E-CF54-480D-F60A-6BEAB28626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61081" y="53648919"/>
          <a:ext cx="6921500" cy="3111500"/>
        </a:xfrm>
        <a:prstGeom prst="rect">
          <a:avLst/>
        </a:prstGeom>
      </xdr:spPr>
    </xdr:pic>
    <xdr:clientData/>
  </xdr:twoCellAnchor>
  <xdr:twoCellAnchor editAs="absolute">
    <xdr:from>
      <xdr:col>14</xdr:col>
      <xdr:colOff>320357</xdr:colOff>
      <xdr:row>10</xdr:row>
      <xdr:rowOff>102973</xdr:rowOff>
    </xdr:from>
    <xdr:to>
      <xdr:col>21</xdr:col>
      <xdr:colOff>320361</xdr:colOff>
      <xdr:row>36</xdr:row>
      <xdr:rowOff>194505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EF6BC79E-6EA2-704B-938E-9E0414AAC7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11</xdr:row>
          <xdr:rowOff>12700</xdr:rowOff>
        </xdr:from>
        <xdr:to>
          <xdr:col>2</xdr:col>
          <xdr:colOff>723900</xdr:colOff>
          <xdr:row>12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de-DE" sz="1570" b="0" i="0" u="none" strike="noStrike" baseline="0">
                  <a:solidFill>
                    <a:srgbClr val="000000"/>
                  </a:solidFill>
                  <a:latin typeface="Aptos Narrow" charset="0"/>
                </a:rPr>
                <a:t>Alles leeren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279400</xdr:colOff>
          <xdr:row>11</xdr:row>
          <xdr:rowOff>0</xdr:rowOff>
        </xdr:from>
        <xdr:to>
          <xdr:col>3</xdr:col>
          <xdr:colOff>4203700</xdr:colOff>
          <xdr:row>12</xdr:row>
          <xdr:rowOff>177800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de-DE" sz="1570" b="0" i="0" u="none" strike="noStrike" baseline="0">
                  <a:solidFill>
                    <a:srgbClr val="000000"/>
                  </a:solidFill>
                  <a:latin typeface="Aptos Narrow" charset="0"/>
                </a:rPr>
                <a:t>Fehlende Werte finden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8022F-1099-A647-AF35-F3EB28F6ECEE}">
  <sheetPr codeName="Tabelle1"/>
  <dimension ref="A2:V253"/>
  <sheetViews>
    <sheetView topLeftCell="A6" zoomScale="111" zoomScaleNormal="111" workbookViewId="0">
      <selection activeCell="X17" sqref="X17"/>
    </sheetView>
  </sheetViews>
  <sheetFormatPr baseColWidth="10" defaultRowHeight="16" x14ac:dyDescent="0.2"/>
  <cols>
    <col min="2" max="2" width="2.5" bestFit="1" customWidth="1"/>
    <col min="3" max="3" width="10.83203125" customWidth="1"/>
    <col min="4" max="4" width="18.6640625" style="2" bestFit="1" customWidth="1"/>
    <col min="5" max="5" width="20.5" bestFit="1" customWidth="1"/>
    <col min="6" max="6" width="18.83203125" style="2" bestFit="1" customWidth="1"/>
    <col min="7" max="7" width="26.83203125" customWidth="1"/>
    <col min="8" max="8" width="13.1640625" style="2" customWidth="1"/>
    <col min="9" max="9" width="13.1640625" bestFit="1" customWidth="1"/>
    <col min="10" max="10" width="13.83203125" style="2" customWidth="1"/>
    <col min="11" max="11" width="7.1640625" bestFit="1" customWidth="1"/>
    <col min="12" max="12" width="11" style="2" customWidth="1"/>
  </cols>
  <sheetData>
    <row r="2" spans="1:14" x14ac:dyDescent="0.2">
      <c r="F2" s="2" t="s">
        <v>108</v>
      </c>
    </row>
    <row r="3" spans="1:14" x14ac:dyDescent="0.2">
      <c r="C3" t="s">
        <v>3</v>
      </c>
      <c r="D3" s="34">
        <v>5</v>
      </c>
      <c r="E3" t="s">
        <v>4</v>
      </c>
      <c r="F3" s="2">
        <f>D3*1000/D5</f>
        <v>20</v>
      </c>
      <c r="G3" t="s">
        <v>109</v>
      </c>
    </row>
    <row r="4" spans="1:14" x14ac:dyDescent="0.2">
      <c r="C4" t="s">
        <v>5</v>
      </c>
    </row>
    <row r="5" spans="1:14" x14ac:dyDescent="0.2">
      <c r="C5" t="s">
        <v>16</v>
      </c>
      <c r="D5" s="34">
        <v>250</v>
      </c>
    </row>
    <row r="8" spans="1:14" x14ac:dyDescent="0.2">
      <c r="D8" s="2" t="s">
        <v>80</v>
      </c>
      <c r="E8">
        <v>1</v>
      </c>
      <c r="F8" s="2" t="s">
        <v>81</v>
      </c>
      <c r="G8">
        <v>125</v>
      </c>
    </row>
    <row r="9" spans="1:14" ht="17" thickBot="1" x14ac:dyDescent="0.25"/>
    <row r="10" spans="1:14" ht="17" thickBot="1" x14ac:dyDescent="0.25">
      <c r="B10" s="121"/>
      <c r="C10" s="122" t="s">
        <v>0</v>
      </c>
      <c r="D10" s="123" t="s">
        <v>1</v>
      </c>
      <c r="E10" s="122" t="s">
        <v>0</v>
      </c>
      <c r="F10" s="123" t="s">
        <v>2</v>
      </c>
      <c r="G10" s="122" t="s">
        <v>0</v>
      </c>
      <c r="H10" s="123" t="s">
        <v>2</v>
      </c>
      <c r="I10" s="122" t="s">
        <v>0</v>
      </c>
      <c r="J10" s="123" t="s">
        <v>2</v>
      </c>
      <c r="K10" s="122" t="s">
        <v>0</v>
      </c>
      <c r="L10" s="124" t="s">
        <v>2</v>
      </c>
      <c r="M10" s="125" t="s">
        <v>112</v>
      </c>
      <c r="N10" s="126" t="s">
        <v>113</v>
      </c>
    </row>
    <row r="11" spans="1:14" x14ac:dyDescent="0.2">
      <c r="B11" s="85" t="s">
        <v>8</v>
      </c>
      <c r="D11" s="116"/>
      <c r="F11" s="116"/>
      <c r="H11" s="116"/>
      <c r="I11" s="120">
        <v>422.68</v>
      </c>
      <c r="J11" s="116"/>
      <c r="K11" s="120">
        <v>422.59</v>
      </c>
      <c r="L11" s="118"/>
      <c r="N11">
        <v>0</v>
      </c>
    </row>
    <row r="12" spans="1:14" ht="17" thickBot="1" x14ac:dyDescent="0.25">
      <c r="B12" s="85" t="s">
        <v>9</v>
      </c>
      <c r="D12" s="116"/>
      <c r="F12" s="116"/>
      <c r="H12" s="116"/>
      <c r="I12" s="88">
        <v>423.35</v>
      </c>
      <c r="J12" s="116"/>
      <c r="K12" s="88">
        <v>423.2</v>
      </c>
      <c r="L12" s="118"/>
      <c r="M12">
        <f>COUNT(K12,I12,G12,E12,C12)</f>
        <v>2</v>
      </c>
      <c r="N12">
        <v>1</v>
      </c>
    </row>
    <row r="13" spans="1:14" s="20" customFormat="1" ht="16" customHeight="1" x14ac:dyDescent="0.2">
      <c r="A13" s="20" t="s">
        <v>7</v>
      </c>
      <c r="B13" s="86"/>
      <c r="C13" s="112" t="str">
        <f>IF(AND(ISNUMBER(C11), ISNUMBER(C12), ROUND((C11+C12)/2, 0)&gt;=MIN(C11,C12), ROUND((C11+C12)/2, 0)&lt;=MAX(C11,C12)), ROUND((C11+C12)/2, 0), "")</f>
        <v/>
      </c>
      <c r="D13" s="116"/>
      <c r="E13" s="112" t="str">
        <f>IF(AND(ISNUMBER(E11), ISNUMBER(E12), ROUND((E11+E12)/2, 0)&gt;=MIN(E11,E12), ROUND((E11+E12)/2, 0)&lt;=MAX(E11,E12)), ROUND((E11+E12)/2, 0), "")</f>
        <v/>
      </c>
      <c r="F13" s="116"/>
      <c r="G13" s="112" t="str">
        <f>IF(AND(ISNUMBER(G11), ISNUMBER(G12), ROUND((G11+G12)/2, 0)&gt;=MIN(G11,G12), ROUND((G11+G12)/2, 0)&lt;=MAX(G11,G12)), ROUND((G11+G12)/2, 0), "")</f>
        <v/>
      </c>
      <c r="H13" s="116"/>
      <c r="I13" s="112">
        <f>IF(AND(ISNUMBER(I11), ISNUMBER(I12), ROUND((I11+I12)/2, 0)&gt;=MIN(I11,I12), ROUND((I11+I12)/2, 0)&lt;=MAX(I11,I12)), ROUND((I11+I12)/2, 0), "")</f>
        <v>423</v>
      </c>
      <c r="J13" s="116"/>
      <c r="K13" s="112">
        <f>IF(AND(ISNUMBER(K11), ISNUMBER(K12), ROUND((K11+K12)/2, 0)&gt;=MIN(K11,K12), ROUND((K11+K12)/2, 0)&lt;=MAX(K11,K12)), ROUND((K11+K12)/2, 0), "")</f>
        <v>423</v>
      </c>
      <c r="L13" s="118"/>
      <c r="M13"/>
    </row>
    <row r="14" spans="1:14" s="20" customFormat="1" ht="16" customHeight="1" x14ac:dyDescent="0.2">
      <c r="A14" s="20" t="s">
        <v>5</v>
      </c>
      <c r="B14" s="86"/>
      <c r="C14" s="112" t="str">
        <f>IF(AND(ISNUMBER(C13), ISNUMBER(C11)), C13-C11, "")</f>
        <v/>
      </c>
      <c r="D14" s="116"/>
      <c r="E14" s="112" t="str">
        <f>IF(AND(ISNUMBER(E13), ISNUMBER(E11)), E13-E11, "")</f>
        <v/>
      </c>
      <c r="F14" s="116"/>
      <c r="G14" s="112" t="str">
        <f>IF(AND(ISNUMBER(G13), ISNUMBER(G11)), G13-G11, "")</f>
        <v/>
      </c>
      <c r="H14" s="116"/>
      <c r="I14" s="112">
        <f>IF(AND(ISNUMBER(I13), ISNUMBER(I11)), I13-I11, "")</f>
        <v>0.31999999999999318</v>
      </c>
      <c r="J14" s="116"/>
      <c r="K14" s="112">
        <f>IF(AND(ISNUMBER(K13), ISNUMBER(K11)), K13-K11, "")</f>
        <v>0.41000000000002501</v>
      </c>
      <c r="L14" s="118"/>
      <c r="M14"/>
    </row>
    <row r="15" spans="1:14" s="20" customFormat="1" ht="16" customHeight="1" thickBot="1" x14ac:dyDescent="0.25">
      <c r="A15" s="20" t="s">
        <v>6</v>
      </c>
      <c r="B15" s="86"/>
      <c r="C15" s="112" t="str">
        <f>IF(AND(ISNUMBER($D$3), ISNUMBER(C14), ISNUMBER(C12), ISNUMBER(C11), C12&lt;&gt;C11), ($D$3*C14)/(C12-C11), "")</f>
        <v/>
      </c>
      <c r="D15" s="116"/>
      <c r="E15" s="112" t="str">
        <f>IF(AND(ISNUMBER($D$3), ISNUMBER(E14), ISNUMBER(E12), ISNUMBER(E11), E12&lt;&gt;E11), ($D$3*E14)/(E12-E11), "")</f>
        <v/>
      </c>
      <c r="F15" s="116"/>
      <c r="G15" s="112" t="str">
        <f>IF(AND(ISNUMBER($D$3), ISNUMBER(G14), ISNUMBER(G12), ISNUMBER(G11), G12&lt;&gt;G11), ($D$3*G14)/(G12-G11), "")</f>
        <v/>
      </c>
      <c r="H15" s="116"/>
      <c r="I15" s="112">
        <f>IF(AND(ISNUMBER($D$3), ISNUMBER(I14), ISNUMBER(I12), ISNUMBER(I11), I12&lt;&gt;I11), ($D$3*I14)/(I12-I11), "")</f>
        <v>2.3880597014924296</v>
      </c>
      <c r="J15" s="116"/>
      <c r="K15" s="112">
        <f>IF(AND(ISNUMBER($D$3), ISNUMBER(K14), ISNUMBER(K12), ISNUMBER(K11), K12&lt;&gt;K11), ($D$3*K14)/(K12-K11), "")</f>
        <v>3.3606557377050477</v>
      </c>
      <c r="L15" s="118"/>
      <c r="M15">
        <f>COUNT(K15,I15,G15,E15,C15)</f>
        <v>2</v>
      </c>
    </row>
    <row r="16" spans="1:14" ht="17" thickBot="1" x14ac:dyDescent="0.25">
      <c r="B16" s="85" t="s">
        <v>10</v>
      </c>
      <c r="D16" s="116" t="e">
        <f>IF(ISNUMBER(C23), C23, NA())</f>
        <v>#N/A</v>
      </c>
      <c r="F16" s="116" t="e">
        <f>IF(ISNUMBER(E23), E23, NA())</f>
        <v>#N/A</v>
      </c>
      <c r="G16" s="89">
        <v>423.8</v>
      </c>
      <c r="H16" s="116">
        <f>IF(ISNUMBER(G23), G23, NA())</f>
        <v>1.6393442622949521</v>
      </c>
      <c r="I16" s="89">
        <v>423.86</v>
      </c>
      <c r="J16" s="116">
        <f>IF(ISNUMBER(I23), I23, NA())</f>
        <v>1.3999999999998636</v>
      </c>
      <c r="K16" s="89">
        <v>423.85</v>
      </c>
      <c r="L16" s="118">
        <f>IF(ISNUMBER(K23), K23, NA())</f>
        <v>1.470588235293921</v>
      </c>
      <c r="M16">
        <f>COUNT(K16,I16,G16,E16,C16)</f>
        <v>3</v>
      </c>
      <c r="N16">
        <v>2</v>
      </c>
    </row>
    <row r="17" spans="1:14" s="20" customFormat="1" ht="16" customHeight="1" x14ac:dyDescent="0.2">
      <c r="A17" s="20" t="s">
        <v>7</v>
      </c>
      <c r="B17" s="86"/>
      <c r="C17" s="113" t="str">
        <f>IF(AND(ISNUMBER(C12), ISNUMBER(C16), ROUND((C12+C16)/2, 0)&gt;=MIN(C12,C16), ROUND((C12+C16)/2, 0)&lt;=MAX(C12,C16)), ROUND((C12+C16)/2, 0), "")</f>
        <v/>
      </c>
      <c r="D17" s="116" t="str">
        <f>IF(AND(ISNUMBER(C15), ISNUMBER(D5)), C15*1000/D5, "")</f>
        <v/>
      </c>
      <c r="E17" s="113" t="str">
        <f>IF(AND(ISNUMBER(E12), ISNUMBER(E16), ROUND((E12+E16)/2, 0)&gt;=MIN(E12,E16), ROUND((E12+E16)/2, 0)&lt;=MAX(E12,E16)), ROUND((E12+E16)/2, 0), "")</f>
        <v/>
      </c>
      <c r="F17" s="116" t="str">
        <f>IF(AND(ISNUMBER(E15), ISNUMBER(D5)), E15*1000/D5, "")</f>
        <v/>
      </c>
      <c r="G17" s="113" t="str">
        <f>IF(AND(ISNUMBER(G12), ISNUMBER(G16), ROUND((G12+G16)/2, 0)&gt;=MIN(G12,G16), ROUND((G12+G16)/2, 0)&lt;=MAX(G12,G16)), ROUND((G12+G16)/2, 0), "")</f>
        <v/>
      </c>
      <c r="H17" s="116" t="str">
        <f>IF(AND(ISNUMBER(G15), ISNUMBER(D5)), G15*1000/D5, "")</f>
        <v/>
      </c>
      <c r="I17" s="112" t="str">
        <f>IF(AND(ISNUMBER(I12), ISNUMBER(I16), ROUND((I12+I16)/2, 0)&gt;=MIN(I12,I16), ROUND((I12+I16)/2, 0)&lt;=MAX(I12,I16)), ROUND((I12+I16)/2, 0), "")</f>
        <v/>
      </c>
      <c r="J17" s="116">
        <f>IF(AND(ISNUMBER(I15), ISNUMBER(D5)), I15*1000/D5, "")</f>
        <v>9.5522388059697185</v>
      </c>
      <c r="K17" s="112" t="str">
        <f>IF(AND(ISNUMBER(K12), ISNUMBER(K16), ROUND((K12+K16)/2, 0)&gt;=MIN(K12,K16), ROUND((K12+K16)/2, 0)&lt;=MAX(K12,K16)), ROUND((K12+K16)/2, 0), "")</f>
        <v/>
      </c>
      <c r="L17" s="118">
        <f>IF(AND(ISNUMBER(K15), ISNUMBER(D5)), K15*1000/D5, "")</f>
        <v>13.442622950820191</v>
      </c>
      <c r="M17"/>
    </row>
    <row r="18" spans="1:14" s="20" customFormat="1" ht="16" customHeight="1" x14ac:dyDescent="0.2">
      <c r="A18" s="20" t="s">
        <v>5</v>
      </c>
      <c r="B18" s="86"/>
      <c r="C18" s="113" t="str">
        <f>IF(AND(ISNUMBER(C17), ISNUMBER(C12)), C17-C12, "")</f>
        <v/>
      </c>
      <c r="D18" s="116">
        <f>$D$3+D20</f>
        <v>8.0434782608697795</v>
      </c>
      <c r="E18" s="113" t="str">
        <f>IF(AND(ISNUMBER(E17), ISNUMBER(E12)), E17-E12, "")</f>
        <v/>
      </c>
      <c r="F18" s="116" t="e">
        <f>$D$3+F20</f>
        <v>#N/A</v>
      </c>
      <c r="G18" s="113" t="str">
        <f>IF(AND(ISNUMBER(G17), ISNUMBER(G12)), G17-G12, "")</f>
        <v/>
      </c>
      <c r="H18" s="116">
        <f>$D$3+H20</f>
        <v>7.7570093457942928</v>
      </c>
      <c r="I18" s="112" t="str">
        <f>IF(AND(ISNUMBER(I17), ISNUMBER(I12)), I17-I12, "")</f>
        <v/>
      </c>
      <c r="J18" s="116">
        <f>$D$3+J20</f>
        <v>8.1999999999999318</v>
      </c>
      <c r="K18" s="112" t="str">
        <f>IF(AND(ISNUMBER(K17), ISNUMBER(K12)), K17-K12, "")</f>
        <v/>
      </c>
      <c r="L18" s="116">
        <f>$D$3+L20</f>
        <v>8.5955056179775067</v>
      </c>
      <c r="M18"/>
    </row>
    <row r="19" spans="1:14" s="20" customFormat="1" ht="16" customHeight="1" thickBot="1" x14ac:dyDescent="0.25">
      <c r="A19" s="20" t="s">
        <v>6</v>
      </c>
      <c r="B19" s="86"/>
      <c r="C19" s="113" t="str">
        <f>IF(AND(ISNUMBER($D$3), ISNUMBER(C18), ISNUMBER(C16), ISNUMBER(C12), C16&lt;&gt;C12), ($D$3*C18)/(C16-C12), "")</f>
        <v/>
      </c>
      <c r="D19" s="116" t="e">
        <f>IF(AND(ISNUMBER(F19), ISNUMBER(D16)), D16, IF(AND(ISNUMBER(F19), ISNUMBER(D18)), D18, NA()))</f>
        <v>#N/A</v>
      </c>
      <c r="E19" s="113" t="str">
        <f>IF(AND(ISNUMBER($D$3), ISNUMBER(E18), ISNUMBER(E16), ISNUMBER(E12), E16&lt;&gt;E12), ($D$3*E18)/(E16-E12), "")</f>
        <v/>
      </c>
      <c r="F19" s="116" t="e">
        <f>IF(AND(ISNUMBER(H19), ISNUMBER(F16)), F16, IF(AND(ISNUMBER(H19), ISNUMBER(F18)), F18, NA()))</f>
        <v>#N/A</v>
      </c>
      <c r="G19" s="113" t="str">
        <f>IF(AND(ISNUMBER($D$3), ISNUMBER(G18), ISNUMBER(G16), ISNUMBER(G12), G16&lt;&gt;G12), ($D$3*G18)/(G16-G12), "")</f>
        <v/>
      </c>
      <c r="H19" s="116">
        <f>IF(AND(ISNUMBER(J19), ISNUMBER(H16)), H16, IF(AND(ISNUMBER(J19), ISNUMBER(H18)), H18, NA()))</f>
        <v>1.6393442622949521</v>
      </c>
      <c r="I19" s="112" t="str">
        <f>IF(AND(ISNUMBER($D$3), ISNUMBER(I18), ISNUMBER(I16), ISNUMBER(I12), I16&lt;&gt;I12), ($D$3*I18)/(I16-I12), "")</f>
        <v/>
      </c>
      <c r="J19" s="116">
        <f>IF(AND(ISNUMBER(L19), ISNUMBER(J16)), J16, IF(AND(ISNUMBER(L19), ISNUMBER(J18)), J18, NA()))</f>
        <v>1.3999999999998636</v>
      </c>
      <c r="K19" s="112" t="str">
        <f>IF(AND(ISNUMBER($D$3), ISNUMBER(K18), ISNUMBER(K16), ISNUMBER(K12), K16&lt;&gt;K12), ($D$3*K18)/(K16-K12), "")</f>
        <v/>
      </c>
      <c r="L19" s="118">
        <f>IF(ISNUMBER(L16), L16, IF(ISNUMBER(L18), L18, NA()))</f>
        <v>1.470588235293921</v>
      </c>
      <c r="M19"/>
    </row>
    <row r="20" spans="1:14" ht="17" thickBot="1" x14ac:dyDescent="0.25">
      <c r="B20" s="85" t="s">
        <v>11</v>
      </c>
      <c r="C20" s="89">
        <v>424.86</v>
      </c>
      <c r="D20" s="116">
        <f>IF(ISNUMBER(C27), C27, NA())</f>
        <v>3.0434782608697799</v>
      </c>
      <c r="E20" s="89">
        <v>424.5</v>
      </c>
      <c r="F20" s="116" t="e">
        <f>IF(ISNUMBER(E27), E27, NA())</f>
        <v>#N/A</v>
      </c>
      <c r="G20" s="89">
        <v>424.41</v>
      </c>
      <c r="H20" s="116">
        <f>IF(ISNUMBER(G27), G27, NA())</f>
        <v>2.7570093457942932</v>
      </c>
      <c r="I20" s="89">
        <v>424.36</v>
      </c>
      <c r="J20" s="116">
        <f>IF(ISNUMBER(I27), I27, NA())</f>
        <v>3.1999999999999318</v>
      </c>
      <c r="K20" s="89">
        <v>424.36</v>
      </c>
      <c r="L20" s="118">
        <f>IF(ISNUMBER(K27), K27, NA())</f>
        <v>3.5955056179775067</v>
      </c>
      <c r="M20">
        <f>COUNT(K20,I20,G20,E20,C20)</f>
        <v>5</v>
      </c>
      <c r="N20">
        <v>3</v>
      </c>
    </row>
    <row r="21" spans="1:14" s="20" customFormat="1" ht="16" customHeight="1" x14ac:dyDescent="0.2">
      <c r="A21" s="20" t="s">
        <v>7</v>
      </c>
      <c r="B21" s="87"/>
      <c r="C21" s="113" t="str">
        <f t="shared" ref="C21:I21" si="0">IF(AND(ISNUMBER(C16), ISNUMBER(C20), ROUND((C16+C20)/2, 0)&gt;=MIN(C16,C20), ROUND((C16+C20)/2, 0)&lt;=MAX(C16,C20)), ROUND((C16+C20)/2, 0), "")</f>
        <v/>
      </c>
      <c r="D21" s="116" t="str">
        <f>IF(AND(ISNUMBER(C19), ISNUMBER(D5)), TEXT(C19*1000/D5,"0.000") &amp; " mm", "")</f>
        <v/>
      </c>
      <c r="E21" s="113" t="str">
        <f t="shared" si="0"/>
        <v/>
      </c>
      <c r="F21" s="116" t="str">
        <f>IF(AND(ISNUMBER(E19), ISNUMBER(D5)), TEXT(E19*1000/D5,"0.000") &amp; " mm", "")</f>
        <v/>
      </c>
      <c r="G21" s="113">
        <f t="shared" si="0"/>
        <v>424</v>
      </c>
      <c r="H21" s="116" t="str">
        <f>IF(AND(ISNUMBER(G19), ISNUMBER(D5)), TEXT(G19*1000/D5,"0.000") &amp; " mm", "")</f>
        <v/>
      </c>
      <c r="I21" s="113">
        <f t="shared" si="0"/>
        <v>424</v>
      </c>
      <c r="J21" s="116" t="str">
        <f>IF(AND(ISNUMBER(I19), ISNUMBER(D5)), TEXT(I19*1000/D5,"0.000") &amp; " mm", "")</f>
        <v/>
      </c>
      <c r="K21" s="113">
        <f>IF(AND(ISNUMBER(K16), ISNUMBER(K20), ROUND((K16+K20)/2, 0)&gt;=MIN(K16,K20), ROUND((K16+K20)/2, 0)&lt;=MAX(K16,K20)), ROUND((K16+K20)/2, 0), "")</f>
        <v>424</v>
      </c>
      <c r="L21" s="118" t="str">
        <f>IF(AND(ISNUMBER(K19), ISNUMBER(D5)), TEXT(K19*1000/D5,"0.000") &amp; " mm", "")</f>
        <v/>
      </c>
      <c r="M21"/>
    </row>
    <row r="22" spans="1:14" s="20" customFormat="1" ht="16" customHeight="1" x14ac:dyDescent="0.2">
      <c r="A22" s="20" t="s">
        <v>5</v>
      </c>
      <c r="B22" s="87"/>
      <c r="C22" s="113" t="str">
        <f>IF(AND(ISNUMBER(C21), ISNUMBER(C16)), C21-C16, "")</f>
        <v/>
      </c>
      <c r="D22" s="116" t="e">
        <f>$D$3+D24</f>
        <v>#N/A</v>
      </c>
      <c r="E22" s="113" t="str">
        <f>IF(AND(ISNUMBER(E21), ISNUMBER(E16)), E21-E16, "")</f>
        <v/>
      </c>
      <c r="F22" s="116">
        <f>$D$3+F24</f>
        <v>5.1898734177213548</v>
      </c>
      <c r="G22" s="113">
        <f>IF(AND(ISNUMBER(G21), ISNUMBER(G16)), G21-G16, "")</f>
        <v>0.19999999999998863</v>
      </c>
      <c r="H22" s="116" t="e">
        <f>$D$3+H24</f>
        <v>#N/A</v>
      </c>
      <c r="I22" s="113">
        <f>IF(AND(ISNUMBER(I21), ISNUMBER(I16)), I21-I16, "")</f>
        <v>0.13999999999998636</v>
      </c>
      <c r="J22" s="116">
        <f>$D$3+J24</f>
        <v>9.4444444444445317</v>
      </c>
      <c r="K22" s="113">
        <f>IF(AND(ISNUMBER(K21), ISNUMBER(K16)), K21-K16, "")</f>
        <v>0.14999999999997726</v>
      </c>
      <c r="L22" s="116">
        <f>$D$3+L24</f>
        <v>9.7468354430378525</v>
      </c>
      <c r="M22"/>
    </row>
    <row r="23" spans="1:14" s="20" customFormat="1" ht="16" customHeight="1" thickBot="1" x14ac:dyDescent="0.25">
      <c r="A23" s="20" t="s">
        <v>6</v>
      </c>
      <c r="B23" s="87"/>
      <c r="C23" s="113" t="str">
        <f>IF(AND(ISNUMBER($D$3), ISNUMBER(C22), ISNUMBER(C20), ISNUMBER(C16), C20&lt;&gt;C16), ($D$3*C22)/(C20-C16), "")</f>
        <v/>
      </c>
      <c r="D23" s="116">
        <f>IF(AND(ISNUMBER(F23), ISNUMBER(D20)), D20, IF(AND(ISNUMBER(F23), ISNUMBER(D22)), D22, NA()))</f>
        <v>3.0434782608697799</v>
      </c>
      <c r="E23" s="113" t="str">
        <f>IF(AND(ISNUMBER($D$3), ISNUMBER(E22), ISNUMBER(E20), ISNUMBER(E16), E20&lt;&gt;E16), ($D$3*E22)/(E20-E16), "")</f>
        <v/>
      </c>
      <c r="F23" s="116">
        <f>IF(AND(ISNUMBER(H23), ISNUMBER(F20)), F20, IF(AND(ISNUMBER(H23), ISNUMBER(F22)), F22, NA()))</f>
        <v>5.1898734177213548</v>
      </c>
      <c r="G23" s="113">
        <f>IF(AND(ISNUMBER($D$3), ISNUMBER(G22), ISNUMBER(G20), ISNUMBER(G16), G20&lt;&gt;G16), ($D$3*G22)/(G20-G16), "")</f>
        <v>1.6393442622949521</v>
      </c>
      <c r="H23" s="116">
        <f>IF(AND(ISNUMBER(J23), ISNUMBER(H20)), H20, IF(AND(ISNUMBER(J23), ISNUMBER(H22)), H22, NA()))</f>
        <v>2.7570093457942932</v>
      </c>
      <c r="I23" s="113">
        <f>IF(AND(ISNUMBER($D$3), ISNUMBER(I22), ISNUMBER(I20), ISNUMBER(I16), I20&lt;&gt;I16), ($D$3*I22)/(I20-I16), "")</f>
        <v>1.3999999999998636</v>
      </c>
      <c r="J23" s="116">
        <f>IF(AND(ISNUMBER(L23), ISNUMBER(J20)), J20, IF(AND(ISNUMBER(L23), ISNUMBER(J22)), J22, NA()))</f>
        <v>3.1999999999999318</v>
      </c>
      <c r="K23" s="113">
        <f>IF(AND(ISNUMBER($D$3), ISNUMBER(K22), ISNUMBER(K20), ISNUMBER(K16), K20&lt;&gt;K16), ($D$3*K22)/(K20-K16), "")</f>
        <v>1.470588235293921</v>
      </c>
      <c r="L23" s="118">
        <f>IF(ISNUMBER(L20), L20, IF(ISNUMBER(L22), L22, NA()))</f>
        <v>3.5955056179775067</v>
      </c>
      <c r="M23"/>
    </row>
    <row r="24" spans="1:14" ht="17" thickBot="1" x14ac:dyDescent="0.25">
      <c r="B24" s="85" t="s">
        <v>12</v>
      </c>
      <c r="C24" s="89">
        <v>425.09</v>
      </c>
      <c r="D24" s="116" t="e">
        <f>IF(ISNUMBER(C31), C31, NA())</f>
        <v>#N/A</v>
      </c>
      <c r="E24" s="89">
        <v>424.97</v>
      </c>
      <c r="F24" s="116">
        <f>IF(ISNUMBER(E31), E31, NA())</f>
        <v>0.18987341772135505</v>
      </c>
      <c r="G24" s="89">
        <v>425.48</v>
      </c>
      <c r="H24" s="116" t="e">
        <f>IF(ISNUMBER(G31), G31, NA())</f>
        <v>#N/A</v>
      </c>
      <c r="I24" s="89">
        <v>425.36</v>
      </c>
      <c r="J24" s="116">
        <f>IF(ISNUMBER(I31), I31, NA())</f>
        <v>4.4444444444445326</v>
      </c>
      <c r="K24" s="89">
        <v>425.25</v>
      </c>
      <c r="L24" s="118">
        <f>IF(ISNUMBER(K31), K31, NA())</f>
        <v>4.7468354430378517</v>
      </c>
      <c r="M24">
        <f>COUNT(K24,I24,G24,E24,C24)</f>
        <v>5</v>
      </c>
      <c r="N24">
        <v>4</v>
      </c>
    </row>
    <row r="25" spans="1:14" s="20" customFormat="1" ht="16" customHeight="1" x14ac:dyDescent="0.2">
      <c r="A25" s="20" t="s">
        <v>7</v>
      </c>
      <c r="B25" s="86"/>
      <c r="C25" s="113">
        <f t="shared" ref="C25:I25" si="1">IF(AND(ISNUMBER(C20), ISNUMBER(C24), ROUND((C20+C24)/2, 0)&gt;=MIN(C20,C24), ROUND((C20+C24)/2, 0)&lt;=MAX(C20,C24)), ROUND((C20+C24)/2, 0), "")</f>
        <v>425</v>
      </c>
      <c r="D25" s="116" t="str">
        <f>IF(AND(ISNUMBER(C23), ISNUMBER(D5)), TEXT(C23*1000/D5,"0.000") &amp; " mm", "")</f>
        <v/>
      </c>
      <c r="E25" s="113" t="str">
        <f t="shared" si="1"/>
        <v/>
      </c>
      <c r="F25" s="116" t="str">
        <f>IF(AND(ISNUMBER(E23), ISNUMBER(D5)), TEXT(E23*1000/D5,"0.000") &amp; " mm", "")</f>
        <v/>
      </c>
      <c r="G25" s="113">
        <f t="shared" si="1"/>
        <v>425</v>
      </c>
      <c r="H25" s="116" t="str">
        <f>IF(AND(ISNUMBER(G23), ISNUMBER(D5)), TEXT(G23*1000/D5,"0.000") &amp; " mm", "")</f>
        <v>6.557 mm</v>
      </c>
      <c r="I25" s="113">
        <f t="shared" si="1"/>
        <v>425</v>
      </c>
      <c r="J25" s="116" t="str">
        <f>IF(AND(ISNUMBER(I23), ISNUMBER(D5)), TEXT(I23*1000/D5,"0.000") &amp; " mm", "")</f>
        <v>5.600 mm</v>
      </c>
      <c r="K25" s="113">
        <f>IF(AND(ISNUMBER(K20), ISNUMBER(K24), ROUND((K20+K24)/2, 0)&gt;=MIN(K20,K24), ROUND((K20+K24)/2, 0)&lt;=MAX(K20,K24)), ROUND((K20+K24)/2, 0), "")</f>
        <v>425</v>
      </c>
      <c r="L25" s="118" t="str">
        <f>IF(AND(ISNUMBER(K23), ISNUMBER(D5)), TEXT(K23*1000/D5,"0.000") &amp; " mm", "")</f>
        <v>5.882 mm</v>
      </c>
      <c r="M25"/>
    </row>
    <row r="26" spans="1:14" s="20" customFormat="1" ht="16" customHeight="1" x14ac:dyDescent="0.2">
      <c r="A26" s="20" t="s">
        <v>5</v>
      </c>
      <c r="B26" s="86"/>
      <c r="C26" s="113">
        <f t="shared" ref="C26:I26" si="2">IF(AND(ISNUMBER(C25), ISNUMBER(C20)), C25-C20, "")</f>
        <v>0.13999999999998636</v>
      </c>
      <c r="D26" s="116">
        <f>$D$3+D28</f>
        <v>5.5319148936171114</v>
      </c>
      <c r="E26" s="113" t="str">
        <f t="shared" si="2"/>
        <v/>
      </c>
      <c r="F26" s="116">
        <f>$D$3+F28</f>
        <v>7.4489795918367818</v>
      </c>
      <c r="G26" s="113">
        <f t="shared" si="2"/>
        <v>0.58999999999997499</v>
      </c>
      <c r="H26" s="116">
        <f>$D$3+H28</f>
        <v>9.0517241379309841</v>
      </c>
      <c r="I26" s="113">
        <f t="shared" si="2"/>
        <v>0.63999999999998636</v>
      </c>
      <c r="J26" s="116" t="e">
        <f>$D$3+J28</f>
        <v>#N/A</v>
      </c>
      <c r="K26" s="113">
        <f>IF(AND(ISNUMBER(K25), ISNUMBER(K20)), K25-K20, "")</f>
        <v>0.63999999999998636</v>
      </c>
      <c r="L26" s="116" t="e">
        <f>$D$3+L28</f>
        <v>#N/A</v>
      </c>
      <c r="M26"/>
    </row>
    <row r="27" spans="1:14" s="20" customFormat="1" ht="16" customHeight="1" thickBot="1" x14ac:dyDescent="0.25">
      <c r="A27" s="20" t="s">
        <v>6</v>
      </c>
      <c r="B27" s="86"/>
      <c r="C27" s="113">
        <f t="shared" ref="C27:I27" si="3">IF(AND(ISNUMBER($D$3), ISNUMBER(C26), ISNUMBER(C24), ISNUMBER(C20), C24&lt;&gt;C20), ($D$3*C26)/(C24-C20), "")</f>
        <v>3.0434782608697799</v>
      </c>
      <c r="D27" s="116"/>
      <c r="E27" s="113" t="str">
        <f t="shared" si="3"/>
        <v/>
      </c>
      <c r="F27" s="116"/>
      <c r="G27" s="113">
        <f t="shared" si="3"/>
        <v>2.7570093457942932</v>
      </c>
      <c r="H27" s="116"/>
      <c r="I27" s="113">
        <f t="shared" si="3"/>
        <v>3.1999999999999318</v>
      </c>
      <c r="J27" s="116"/>
      <c r="K27" s="113">
        <f>IF(AND(ISNUMBER($D$3), ISNUMBER(K26), ISNUMBER(K24), ISNUMBER(K20), K24&lt;&gt;K20), ($D$3*K26)/(K24-K20), "")</f>
        <v>3.5955056179775067</v>
      </c>
      <c r="L27" s="118"/>
      <c r="M27"/>
    </row>
    <row r="28" spans="1:14" ht="17" thickBot="1" x14ac:dyDescent="0.25">
      <c r="B28" s="85" t="s">
        <v>13</v>
      </c>
      <c r="C28" s="89">
        <v>425.95</v>
      </c>
      <c r="D28" s="116">
        <f>IF(ISNUMBER(C35), C35, NA())</f>
        <v>0.53191489361711131</v>
      </c>
      <c r="E28" s="89">
        <v>425.76</v>
      </c>
      <c r="F28" s="116">
        <f>IF(ISNUMBER(E35), E35, NA())</f>
        <v>2.4489795918367818</v>
      </c>
      <c r="G28" s="89">
        <v>425.53</v>
      </c>
      <c r="H28" s="116">
        <f>IF(ISNUMBER(G35), G35, NA())</f>
        <v>4.0517241379309841</v>
      </c>
      <c r="I28" s="89">
        <v>426.08</v>
      </c>
      <c r="J28" s="116" t="e">
        <f>IF(ISNUMBER(I35), I35, NA())</f>
        <v>#N/A</v>
      </c>
      <c r="K28" s="89">
        <v>426.04</v>
      </c>
      <c r="L28" s="118" t="e">
        <f>IF(ISNUMBER(K35), K35, NA())</f>
        <v>#N/A</v>
      </c>
      <c r="M28">
        <f>COUNT(K28,I28,G28,E28,C28)</f>
        <v>5</v>
      </c>
      <c r="N28">
        <v>5</v>
      </c>
    </row>
    <row r="29" spans="1:14" s="20" customFormat="1" ht="16" customHeight="1" x14ac:dyDescent="0.2">
      <c r="A29" s="20" t="s">
        <v>7</v>
      </c>
      <c r="B29" s="86"/>
      <c r="C29" s="113" t="str">
        <f>IF(AND(ISNUMBER(C24), ISNUMBER(C28), ROUND((C24+C28)/2, 0)&gt;=MIN(C24,C28), ROUND((C24+C28)/2, 0)&lt;=MAX(C24,C28)), ROUND((C24+C28)/2, 0), "")</f>
        <v/>
      </c>
      <c r="D29" s="116" t="str">
        <f>IF(AND(ISNUMBER(C27), ISNUMBER(D5)), TEXT(C27*1000/D5,"0.000") &amp; " mm", "")</f>
        <v>12.174 mm</v>
      </c>
      <c r="E29" s="113">
        <f>IF(AND(ISNUMBER(E24), ISNUMBER(E28), ROUND((E24+E28)/2, 0)&gt;=MIN(E24,E28), ROUND((E24+E28)/2, 0)&lt;=MAX(E24,E28)), ROUND((E24+E28)/2, 0), "")</f>
        <v>425</v>
      </c>
      <c r="F29" s="116" t="str">
        <f>IF(AND(ISNUMBER(E27), ISNUMBER(D5)), TEXT(E27*1000/D5,"0.000") &amp; " mm", "")</f>
        <v/>
      </c>
      <c r="G29" s="113" t="str">
        <f>IF(AND(ISNUMBER(G24), ISNUMBER(G28), ROUND((G24+G28)/2, 0)&gt;=MIN(G24,G28), ROUND((G24+G28)/2, 0)&lt;=MAX(G24,G28)), ROUND((G24+G28)/2, 0), "")</f>
        <v/>
      </c>
      <c r="H29" s="116" t="str">
        <f>IF(AND(ISNUMBER(G27), ISNUMBER(D5)), TEXT(G27*1000/D5,"0.000") &amp; " mm", "")</f>
        <v>11.028 mm</v>
      </c>
      <c r="I29" s="113">
        <f>IF(AND(ISNUMBER(I24), ISNUMBER(I28), ROUND((I24+I28)/2, 0)&gt;=MIN(I24,I28), ROUND((I24+I28)/2, 0)&lt;=MAX(I24,I28)), ROUND((I24+I28)/2, 0), "")</f>
        <v>426</v>
      </c>
      <c r="J29" s="116" t="str">
        <f>IF(AND(ISNUMBER(I27), ISNUMBER(D5)), TEXT(I27*1000/D5,"0.000") &amp; " mm", "")</f>
        <v>12.800 mm</v>
      </c>
      <c r="K29" s="113">
        <f>IF(AND(ISNUMBER(K24), ISNUMBER(K28), ROUND((K24+K28)/2, 0)&gt;=MIN(K24,K28), ROUND((K24+K28)/2, 0)&lt;=MAX(K24,K28)), ROUND((K24+K28)/2, 0), "")</f>
        <v>426</v>
      </c>
      <c r="L29" s="118" t="str">
        <f>IF(AND(ISNUMBER(K27), ISNUMBER(D5)), TEXT(K27*1000/D5,"0.000") &amp; " mm", "")</f>
        <v>14.382 mm</v>
      </c>
      <c r="M29"/>
    </row>
    <row r="30" spans="1:14" s="20" customFormat="1" ht="16" customHeight="1" x14ac:dyDescent="0.2">
      <c r="A30" s="20" t="s">
        <v>5</v>
      </c>
      <c r="B30" s="86"/>
      <c r="C30" s="113" t="str">
        <f t="shared" ref="C30:I30" si="4">IF(AND(ISNUMBER(C29), ISNUMBER(C24)), C29-C24, "")</f>
        <v/>
      </c>
      <c r="D30" s="116">
        <f>$D$3+D32</f>
        <v>7.8431372549019329</v>
      </c>
      <c r="E30" s="113">
        <f t="shared" si="4"/>
        <v>2.9999999999972715E-2</v>
      </c>
      <c r="F30" s="116">
        <f>$D$3+F32</f>
        <v>8.5377358490565953</v>
      </c>
      <c r="G30" s="113" t="str">
        <f t="shared" si="4"/>
        <v/>
      </c>
      <c r="H30" s="116">
        <f>$D$3+H32</f>
        <v>8.9380530973450885</v>
      </c>
      <c r="I30" s="113">
        <f t="shared" si="4"/>
        <v>0.63999999999998636</v>
      </c>
      <c r="J30" s="116">
        <f>$D$3+J32</f>
        <v>8.3333333333333339</v>
      </c>
      <c r="K30" s="113">
        <f>IF(AND(ISNUMBER(K29), ISNUMBER(K24)), K29-K24, "")</f>
        <v>0.75</v>
      </c>
      <c r="L30" s="116">
        <f>$D$3+L32</f>
        <v>9.8780487804879051</v>
      </c>
      <c r="M30"/>
    </row>
    <row r="31" spans="1:14" s="20" customFormat="1" ht="16" customHeight="1" thickBot="1" x14ac:dyDescent="0.25">
      <c r="A31" s="20" t="s">
        <v>6</v>
      </c>
      <c r="B31" s="86"/>
      <c r="C31" s="113" t="str">
        <f t="shared" ref="C31:I31" si="5">IF(AND(ISNUMBER($D$3), ISNUMBER(C30), ISNUMBER(C28), ISNUMBER(C24), C28&lt;&gt;C24), ($D$3*C30)/(C28-C24), "")</f>
        <v/>
      </c>
      <c r="D31" s="116"/>
      <c r="E31" s="113">
        <f t="shared" si="5"/>
        <v>0.18987341772135505</v>
      </c>
      <c r="F31" s="116"/>
      <c r="G31" s="113" t="str">
        <f t="shared" si="5"/>
        <v/>
      </c>
      <c r="H31" s="116"/>
      <c r="I31" s="113">
        <f t="shared" si="5"/>
        <v>4.4444444444445326</v>
      </c>
      <c r="J31" s="116"/>
      <c r="K31" s="113">
        <f>IF(AND(ISNUMBER($D$3), ISNUMBER(K30), ISNUMBER(K28), ISNUMBER(K24), K28&lt;&gt;K24), ($D$3*K30)/(K28-K24), "")</f>
        <v>4.7468354430378517</v>
      </c>
      <c r="L31" s="118"/>
      <c r="M31"/>
    </row>
    <row r="32" spans="1:14" ht="17" thickBot="1" x14ac:dyDescent="0.25">
      <c r="B32" s="85" t="s">
        <v>14</v>
      </c>
      <c r="C32" s="89">
        <v>426.42</v>
      </c>
      <c r="D32" s="116">
        <f>IF(ISNUMBER(C39), C39, NA())</f>
        <v>2.8431372549019334</v>
      </c>
      <c r="E32" s="89">
        <v>426.25</v>
      </c>
      <c r="F32" s="116">
        <f>IF(ISNUMBER(E39), E39, NA())</f>
        <v>3.5377358490565962</v>
      </c>
      <c r="G32" s="89">
        <v>426.11</v>
      </c>
      <c r="H32" s="116">
        <f>IF(ISNUMBER(G39), G39, NA())</f>
        <v>3.938053097345088</v>
      </c>
      <c r="I32" s="89">
        <v>426.64</v>
      </c>
      <c r="J32" s="116">
        <f>IF(ISNUMBER(I39), I39, NA())</f>
        <v>3.3333333333333335</v>
      </c>
      <c r="K32" s="89">
        <v>426.6</v>
      </c>
      <c r="L32" s="118">
        <f>IF(ISNUMBER(K39), K39, NA())</f>
        <v>4.878048780487906</v>
      </c>
      <c r="M32">
        <f>COUNT(K32,I32,G32,E32,C32)</f>
        <v>5</v>
      </c>
      <c r="N32">
        <v>6</v>
      </c>
    </row>
    <row r="33" spans="1:22" s="20" customFormat="1" ht="16" customHeight="1" x14ac:dyDescent="0.2">
      <c r="A33" s="20" t="s">
        <v>7</v>
      </c>
      <c r="B33" s="86"/>
      <c r="C33" s="113">
        <f t="shared" ref="C33:I33" si="6">IF(AND(ISNUMBER(C28), ISNUMBER(C32), ROUND((C28+C32)/2, 0)&gt;=MIN(C28,C32), ROUND((C28+C32)/2, 0)&lt;=MAX(C28,C32)), ROUND((C28+C32)/2, 0), "")</f>
        <v>426</v>
      </c>
      <c r="D33" s="116" t="str">
        <f>IF(AND(ISNUMBER(C31), ISNUMBER(D5)), TEXT(C31*1000/D5,"0.000") &amp; " mm", "")</f>
        <v/>
      </c>
      <c r="E33" s="113">
        <f t="shared" si="6"/>
        <v>426</v>
      </c>
      <c r="F33" s="116" t="str">
        <f>IF(AND(ISNUMBER(E31), ISNUMBER(D5)), TEXT(E31*1000/D5,"0.000") &amp; " mm", "")</f>
        <v>0.759 mm</v>
      </c>
      <c r="G33" s="113">
        <f t="shared" si="6"/>
        <v>426</v>
      </c>
      <c r="H33" s="116" t="str">
        <f>IF(AND(ISNUMBER(G31), ISNUMBER(D5)), TEXT(G31*1000/D5,"0.000") &amp; " mm", "")</f>
        <v/>
      </c>
      <c r="I33" s="113" t="str">
        <f t="shared" si="6"/>
        <v/>
      </c>
      <c r="J33" s="116" t="str">
        <f>IF(AND(ISNUMBER(I31), ISNUMBER(D5)), TEXT(I31*1000/D5,"0.000") &amp; " mm", "")</f>
        <v>17.778 mm</v>
      </c>
      <c r="K33" s="113" t="str">
        <f>IF(AND(ISNUMBER(K28), ISNUMBER(K32), ROUND((K28+K32)/2, 0)&gt;=MIN(K28,K32), ROUND((K28+K32)/2, 0)&lt;=MAX(K28,K32)), ROUND((K28+K32)/2, 0), "")</f>
        <v/>
      </c>
      <c r="L33" s="118" t="str">
        <f>IF(AND(ISNUMBER(K31), ISNUMBER(D5)), TEXT(K31*1000/D5,"0.000") &amp; " mm", "")</f>
        <v>18.987 mm</v>
      </c>
      <c r="M33"/>
    </row>
    <row r="34" spans="1:22" s="20" customFormat="1" ht="16" customHeight="1" x14ac:dyDescent="0.2">
      <c r="A34" s="20" t="s">
        <v>5</v>
      </c>
      <c r="B34" s="86"/>
      <c r="C34" s="113">
        <f t="shared" ref="C34:I34" si="7">IF(AND(ISNUMBER(C33), ISNUMBER(C28)), C33-C28, "")</f>
        <v>5.0000000000011369E-2</v>
      </c>
      <c r="D34" s="116">
        <f>$D$3+D36</f>
        <v>5</v>
      </c>
      <c r="E34" s="113">
        <f t="shared" si="7"/>
        <v>0.24000000000000909</v>
      </c>
      <c r="F34" s="116">
        <f>$D$3+F36</f>
        <v>5</v>
      </c>
      <c r="G34" s="113">
        <f t="shared" si="7"/>
        <v>0.47000000000002728</v>
      </c>
      <c r="H34" s="116">
        <f>$D$3+H36</f>
        <v>5</v>
      </c>
      <c r="I34" s="113" t="str">
        <f t="shared" si="7"/>
        <v/>
      </c>
      <c r="J34" s="116">
        <f>$D$3+J36</f>
        <v>5</v>
      </c>
      <c r="K34" s="113" t="str">
        <f>IF(AND(ISNUMBER(K33), ISNUMBER(K28)), K33-K28, "")</f>
        <v/>
      </c>
      <c r="L34" s="116">
        <f>$D$3+L36</f>
        <v>5</v>
      </c>
      <c r="M34"/>
    </row>
    <row r="35" spans="1:22" s="20" customFormat="1" ht="16" customHeight="1" thickBot="1" x14ac:dyDescent="0.25">
      <c r="A35" s="20" t="s">
        <v>6</v>
      </c>
      <c r="B35" s="86"/>
      <c r="C35" s="113">
        <f t="shared" ref="C35:I35" si="8">IF(AND(ISNUMBER($D$3), ISNUMBER(C34), ISNUMBER(C32), ISNUMBER(C28), C32&lt;&gt;C28), ($D$3*C34)/(C32-C28), "")</f>
        <v>0.53191489361711131</v>
      </c>
      <c r="D35" s="116"/>
      <c r="E35" s="113">
        <f t="shared" si="8"/>
        <v>2.4489795918367818</v>
      </c>
      <c r="F35" s="116"/>
      <c r="G35" s="113">
        <f t="shared" si="8"/>
        <v>4.0517241379309841</v>
      </c>
      <c r="H35" s="116"/>
      <c r="I35" s="113" t="str">
        <f t="shared" si="8"/>
        <v/>
      </c>
      <c r="J35" s="116"/>
      <c r="K35" s="113" t="str">
        <f>IF(AND(ISNUMBER($D$3), ISNUMBER(K34), ISNUMBER(K32), ISNUMBER(K28), K32&lt;&gt;K28), ($D$3*K34)/(K32-K28), "")</f>
        <v/>
      </c>
      <c r="L35" s="118"/>
      <c r="M35"/>
    </row>
    <row r="36" spans="1:22" ht="17" thickBot="1" x14ac:dyDescent="0.25">
      <c r="B36" s="85" t="s">
        <v>15</v>
      </c>
      <c r="C36" s="89">
        <v>427.44</v>
      </c>
      <c r="D36" s="116"/>
      <c r="E36" s="89">
        <v>427.31</v>
      </c>
      <c r="F36" s="116"/>
      <c r="G36" s="89">
        <v>427.24</v>
      </c>
      <c r="H36" s="116"/>
      <c r="I36" s="89">
        <v>427.18</v>
      </c>
      <c r="J36" s="116"/>
      <c r="K36" s="89">
        <v>427.01</v>
      </c>
      <c r="L36" s="118"/>
      <c r="M36">
        <f>COUNT(K36,I36,G36,E36,C36)</f>
        <v>5</v>
      </c>
      <c r="N36">
        <v>7</v>
      </c>
    </row>
    <row r="37" spans="1:22" s="20" customFormat="1" ht="16" customHeight="1" x14ac:dyDescent="0.2">
      <c r="A37" s="20" t="s">
        <v>7</v>
      </c>
      <c r="B37" s="86"/>
      <c r="C37" s="113">
        <f t="shared" ref="C37:I37" si="9">IF(AND(ISNUMBER(C32), ISNUMBER(C36), ROUND((C32+C36)/2, 0)&gt;=MIN(C32,C36), ROUND((C32+C36)/2, 0)&lt;=MAX(C32,C36)), ROUND((C32+C36)/2, 0), "")</f>
        <v>427</v>
      </c>
      <c r="D37" s="116" t="str">
        <f>IF(AND(ISNUMBER(C35), ISNUMBER(D5)), TEXT(K15*1000/D5,"0.000") &amp; " mm", "")</f>
        <v>13.443 mm</v>
      </c>
      <c r="E37" s="113">
        <f t="shared" si="9"/>
        <v>427</v>
      </c>
      <c r="F37" s="116" t="str">
        <f>IF(AND(ISNUMBER(E35), ISNUMBER(D5)), TEXT(E35*1000/D5,"0.000") &amp; " mm", "")</f>
        <v>9.796 mm</v>
      </c>
      <c r="G37" s="113">
        <f t="shared" si="9"/>
        <v>427</v>
      </c>
      <c r="H37" s="116" t="str">
        <f>IF(AND(ISNUMBER(G35), ISNUMBER(D5)), TEXT(G35*1000/D5,"0.000") &amp; " mm", "")</f>
        <v>16.207 mm</v>
      </c>
      <c r="I37" s="113">
        <f t="shared" si="9"/>
        <v>427</v>
      </c>
      <c r="J37" s="116" t="str">
        <f>IF(AND(ISNUMBER(I35), ISNUMBER(D5)), TEXT(I35*1000/D5,"0.000") &amp; " mm", "")</f>
        <v/>
      </c>
      <c r="K37" s="113">
        <f>IF(AND(ISNUMBER(K32), ISNUMBER(K36), ROUND((K32+K36)/2, 0)&gt;=MIN(K32,K36), ROUND((K32+K36)/2, 0)&lt;=MAX(K32,K36)), ROUND((K32+K36)/2, 0), "")</f>
        <v>427</v>
      </c>
      <c r="L37" s="118" t="str">
        <f>IF(AND(ISNUMBER(K35), ISNUMBER(D5)), TEXT(K35*1000/D5,"0.000") &amp; " mm", "")</f>
        <v/>
      </c>
      <c r="M37"/>
    </row>
    <row r="38" spans="1:22" s="20" customFormat="1" ht="16" customHeight="1" x14ac:dyDescent="0.2">
      <c r="A38" s="20" t="s">
        <v>5</v>
      </c>
      <c r="B38" s="86"/>
      <c r="C38" s="113">
        <f t="shared" ref="C38:I38" si="10">IF(AND(ISNUMBER(C37), ISNUMBER(C32)), C37-C32, "")</f>
        <v>0.57999999999998408</v>
      </c>
      <c r="D38" s="116">
        <f>$D$3+D40</f>
        <v>5</v>
      </c>
      <c r="E38" s="113">
        <f t="shared" si="10"/>
        <v>0.75</v>
      </c>
      <c r="F38" s="116">
        <f>$D$3+F40</f>
        <v>5</v>
      </c>
      <c r="G38" s="113">
        <f t="shared" si="10"/>
        <v>0.88999999999998636</v>
      </c>
      <c r="H38" s="116">
        <f>$D$3+H40</f>
        <v>5</v>
      </c>
      <c r="I38" s="113">
        <f t="shared" si="10"/>
        <v>0.36000000000001364</v>
      </c>
      <c r="J38" s="116">
        <f>$D$3+J40</f>
        <v>5</v>
      </c>
      <c r="K38" s="113">
        <f>IF(AND(ISNUMBER(K37), ISNUMBER(K32)), K37-K32, "")</f>
        <v>0.39999999999997726</v>
      </c>
      <c r="L38" s="116">
        <f>$D$3+L40</f>
        <v>5</v>
      </c>
    </row>
    <row r="39" spans="1:22" s="20" customFormat="1" ht="16" customHeight="1" thickBot="1" x14ac:dyDescent="0.25">
      <c r="A39" s="20" t="s">
        <v>6</v>
      </c>
      <c r="B39" s="114"/>
      <c r="C39" s="115">
        <f t="shared" ref="C39:I39" si="11">IF(AND(ISNUMBER($D$3), ISNUMBER(C38), ISNUMBER(C36), ISNUMBER(C32), C36&lt;&gt;C32), ($D$3*C38)/(C36-C32), "")</f>
        <v>2.8431372549019334</v>
      </c>
      <c r="D39" s="117"/>
      <c r="E39" s="115">
        <f t="shared" si="11"/>
        <v>3.5377358490565962</v>
      </c>
      <c r="F39" s="117"/>
      <c r="G39" s="115">
        <f t="shared" si="11"/>
        <v>3.938053097345088</v>
      </c>
      <c r="H39" s="117"/>
      <c r="I39" s="115">
        <f t="shared" si="11"/>
        <v>3.3333333333333335</v>
      </c>
      <c r="J39" s="117"/>
      <c r="K39" s="115">
        <f>IF(AND(ISNUMBER($D$3), ISNUMBER(K38), ISNUMBER(K36), ISNUMBER(K32), K36&lt;&gt;K32), ($D$3*K38)/(K36-K32), "")</f>
        <v>4.878048780487906</v>
      </c>
      <c r="L39" s="119"/>
    </row>
    <row r="40" spans="1:22" x14ac:dyDescent="0.2">
      <c r="C40">
        <f t="shared" ref="C40:I40" si="12">COUNT(C11,C12,C16,C20,C24,C28,C32,C36)</f>
        <v>5</v>
      </c>
      <c r="D40"/>
      <c r="E40">
        <f t="shared" si="12"/>
        <v>5</v>
      </c>
      <c r="F40"/>
      <c r="G40">
        <f t="shared" si="12"/>
        <v>6</v>
      </c>
      <c r="H40"/>
      <c r="I40">
        <f t="shared" si="12"/>
        <v>8</v>
      </c>
      <c r="J40"/>
      <c r="K40">
        <f>COUNT(K11,K12,K16,K20,K24,K28,K32,K36)</f>
        <v>8</v>
      </c>
      <c r="L40" s="20">
        <f>M40-1</f>
        <v>0</v>
      </c>
      <c r="M40" s="20">
        <f>N40-1</f>
        <v>1</v>
      </c>
      <c r="N40" s="20">
        <f>O40-1</f>
        <v>2</v>
      </c>
      <c r="O40" s="20">
        <f>P40-1</f>
        <v>3</v>
      </c>
      <c r="P40" s="20">
        <f>Q40-1</f>
        <v>4</v>
      </c>
      <c r="Q40">
        <f>MAX(M11:M39)</f>
        <v>5</v>
      </c>
      <c r="R40" t="s">
        <v>111</v>
      </c>
    </row>
    <row r="41" spans="1:22" x14ac:dyDescent="0.2">
      <c r="L41" s="2">
        <v>0</v>
      </c>
      <c r="M41" s="20">
        <f>N41-1</f>
        <v>0</v>
      </c>
      <c r="N41" s="20">
        <f>O41-1</f>
        <v>1</v>
      </c>
      <c r="O41" s="20">
        <f>P41-1</f>
        <v>2</v>
      </c>
      <c r="P41" s="20">
        <f>Q41-1</f>
        <v>3</v>
      </c>
      <c r="Q41" s="20">
        <f>R41-1</f>
        <v>4</v>
      </c>
      <c r="R41" s="20">
        <f>S41-1</f>
        <v>5</v>
      </c>
      <c r="S41" s="20">
        <f>T41-1</f>
        <v>6</v>
      </c>
      <c r="T41" s="20">
        <f>U41-1</f>
        <v>7</v>
      </c>
      <c r="U41">
        <f>(MAX(C40:L40))</f>
        <v>8</v>
      </c>
      <c r="V41" t="s">
        <v>110</v>
      </c>
    </row>
    <row r="43" spans="1:22" ht="17" thickBot="1" x14ac:dyDescent="0.25"/>
    <row r="44" spans="1:22" ht="20" thickBot="1" x14ac:dyDescent="0.3">
      <c r="A44" s="10"/>
      <c r="B44" s="10"/>
      <c r="C44" s="37" t="s">
        <v>27</v>
      </c>
      <c r="D44" s="38"/>
      <c r="E44" s="39"/>
      <c r="F44" s="38"/>
      <c r="G44" s="39"/>
      <c r="H44" s="38"/>
      <c r="I44" s="39"/>
      <c r="J44" s="38"/>
      <c r="K44" s="39"/>
      <c r="L44" s="38"/>
      <c r="M44" s="39"/>
      <c r="N44" s="39"/>
      <c r="O44" s="39"/>
      <c r="P44" s="40"/>
      <c r="Q44" s="10"/>
      <c r="R44" s="10"/>
    </row>
    <row r="47" spans="1:22" x14ac:dyDescent="0.2">
      <c r="C47" t="s">
        <v>31</v>
      </c>
      <c r="D47" s="34">
        <v>75</v>
      </c>
      <c r="E47" t="s">
        <v>4</v>
      </c>
    </row>
    <row r="48" spans="1:22" ht="17" thickBot="1" x14ac:dyDescent="0.25"/>
    <row r="49" spans="1:18" x14ac:dyDescent="0.2">
      <c r="D49" s="25" t="s">
        <v>30</v>
      </c>
      <c r="E49" s="7" t="s">
        <v>29</v>
      </c>
      <c r="F49" s="8" t="s">
        <v>28</v>
      </c>
    </row>
    <row r="50" spans="1:18" x14ac:dyDescent="0.2">
      <c r="D50" s="34">
        <v>5</v>
      </c>
      <c r="E50" s="18">
        <v>10</v>
      </c>
      <c r="F50" s="9">
        <f>(D50*E50)/(2*$D$47)</f>
        <v>0.33333333333333331</v>
      </c>
    </row>
    <row r="51" spans="1:18" x14ac:dyDescent="0.2">
      <c r="D51" s="34">
        <v>8</v>
      </c>
      <c r="E51" s="18">
        <v>7</v>
      </c>
      <c r="F51" s="9">
        <f>(D51*E51)/(2*$D$47)</f>
        <v>0.37333333333333335</v>
      </c>
    </row>
    <row r="52" spans="1:18" ht="17" thickBot="1" x14ac:dyDescent="0.25">
      <c r="D52" s="34">
        <v>12.75</v>
      </c>
      <c r="E52" s="18">
        <v>2.25</v>
      </c>
      <c r="F52" s="5">
        <f>(D52*E52)/(2*$D$47)</f>
        <v>0.19125</v>
      </c>
    </row>
    <row r="57" spans="1:18" ht="17" thickBot="1" x14ac:dyDescent="0.25">
      <c r="A57" s="15"/>
      <c r="B57" s="15"/>
      <c r="Q57" s="15"/>
      <c r="R57" s="15"/>
    </row>
    <row r="58" spans="1:18" ht="20" thickBot="1" x14ac:dyDescent="0.3">
      <c r="C58" s="37" t="s">
        <v>26</v>
      </c>
      <c r="D58" s="38"/>
      <c r="E58" s="39"/>
      <c r="F58" s="38"/>
      <c r="G58" s="39"/>
      <c r="H58" s="38"/>
      <c r="I58" s="39"/>
      <c r="J58" s="38"/>
      <c r="K58" s="39"/>
      <c r="L58" s="38"/>
      <c r="M58" s="39"/>
      <c r="N58" s="39"/>
      <c r="O58" s="39"/>
      <c r="P58" s="40"/>
    </row>
    <row r="59" spans="1:18" x14ac:dyDescent="0.2">
      <c r="D59"/>
      <c r="F59"/>
      <c r="H59"/>
      <c r="J59"/>
      <c r="L59"/>
    </row>
    <row r="60" spans="1:18" x14ac:dyDescent="0.2">
      <c r="D60"/>
      <c r="F60"/>
      <c r="H60"/>
      <c r="J60"/>
      <c r="L60"/>
    </row>
    <row r="61" spans="1:18" x14ac:dyDescent="0.2">
      <c r="C61" t="s">
        <v>25</v>
      </c>
      <c r="D61" s="41">
        <v>12</v>
      </c>
      <c r="E61" s="2" t="s">
        <v>4</v>
      </c>
    </row>
    <row r="62" spans="1:18" x14ac:dyDescent="0.2">
      <c r="D62" s="21"/>
      <c r="E62" s="22" t="s">
        <v>22</v>
      </c>
      <c r="F62" s="23" t="s">
        <v>23</v>
      </c>
      <c r="G62" s="22" t="s">
        <v>24</v>
      </c>
      <c r="H62" s="24" t="s">
        <v>21</v>
      </c>
    </row>
    <row r="63" spans="1:18" x14ac:dyDescent="0.2">
      <c r="D63" s="12" t="s">
        <v>17</v>
      </c>
      <c r="E63" s="18">
        <v>2</v>
      </c>
      <c r="F63" s="1">
        <f>(E63^2)/(2*D61)</f>
        <v>0.16666666666666666</v>
      </c>
      <c r="G63" s="1">
        <f>$D$61-SQRT($D$61^2-E63^2)</f>
        <v>0.16784043380076774</v>
      </c>
      <c r="H63" s="13">
        <f>G63-F63</f>
        <v>1.1737671341010836E-3</v>
      </c>
    </row>
    <row r="64" spans="1:18" x14ac:dyDescent="0.2">
      <c r="D64" s="12" t="s">
        <v>18</v>
      </c>
      <c r="E64" s="18">
        <v>4</v>
      </c>
      <c r="F64" s="1">
        <f>(E64^2)/(2*D61)</f>
        <v>0.66666666666666663</v>
      </c>
      <c r="G64" s="1">
        <f>$D$61-SQRT($D$61^2-E64^2)</f>
        <v>0.68629150101523884</v>
      </c>
      <c r="H64" s="13">
        <f>G64-F64</f>
        <v>1.9624834348572207E-2</v>
      </c>
    </row>
    <row r="65" spans="1:19" x14ac:dyDescent="0.2">
      <c r="D65" s="12" t="s">
        <v>19</v>
      </c>
      <c r="E65" s="18">
        <v>6</v>
      </c>
      <c r="F65" s="1">
        <f>(E65^2)/(2*D61)</f>
        <v>1.5</v>
      </c>
      <c r="G65" s="1">
        <f>$D$61-SQRT($D$61^2-E65^2)</f>
        <v>1.607695154586736</v>
      </c>
      <c r="H65" s="13">
        <f>G65-F65</f>
        <v>0.10769515458673595</v>
      </c>
    </row>
    <row r="66" spans="1:19" x14ac:dyDescent="0.2">
      <c r="D66" s="14" t="s">
        <v>20</v>
      </c>
      <c r="E66" s="18">
        <v>8</v>
      </c>
      <c r="F66" s="16">
        <f>(E66^2)/(2*D61)</f>
        <v>2.6666666666666665</v>
      </c>
      <c r="G66" s="16">
        <f>$D$61-SQRT($D$61^2-E66^2)</f>
        <v>3.0557280900008408</v>
      </c>
      <c r="H66" s="17">
        <f>G66-F66</f>
        <v>0.38906142333417426</v>
      </c>
    </row>
    <row r="74" spans="1:19" ht="17" thickBot="1" x14ac:dyDescent="0.25">
      <c r="A74" s="10"/>
      <c r="B74" s="10"/>
      <c r="C74" s="10"/>
      <c r="D74" s="11"/>
      <c r="E74" s="10"/>
      <c r="F74" s="11"/>
      <c r="G74" s="10"/>
      <c r="H74" s="11"/>
      <c r="I74" s="10"/>
      <c r="J74" s="11"/>
      <c r="K74" s="10"/>
      <c r="L74" s="11"/>
      <c r="M74" s="10"/>
      <c r="N74" s="10"/>
      <c r="O74" s="10"/>
      <c r="P74" s="10"/>
      <c r="Q74" s="10"/>
      <c r="R74" s="10"/>
      <c r="S74" s="10"/>
    </row>
    <row r="75" spans="1:19" ht="20" thickBot="1" x14ac:dyDescent="0.3">
      <c r="C75" s="37" t="s">
        <v>41</v>
      </c>
      <c r="D75" s="38"/>
      <c r="E75" s="39"/>
      <c r="F75" s="38"/>
      <c r="G75" s="39"/>
      <c r="H75" s="38"/>
      <c r="I75" s="39"/>
      <c r="J75" s="38"/>
      <c r="K75" s="39"/>
      <c r="L75" s="38"/>
      <c r="M75" s="39"/>
      <c r="N75" s="39"/>
      <c r="O75" s="39"/>
      <c r="P75" s="39"/>
      <c r="Q75" s="40"/>
    </row>
    <row r="76" spans="1:19" ht="19" x14ac:dyDescent="0.25">
      <c r="C76" s="19"/>
    </row>
    <row r="77" spans="1:19" ht="19" x14ac:dyDescent="0.25">
      <c r="C77" s="19"/>
    </row>
    <row r="78" spans="1:19" x14ac:dyDescent="0.2">
      <c r="D78"/>
      <c r="F78"/>
    </row>
    <row r="79" spans="1:19" x14ac:dyDescent="0.2">
      <c r="D79"/>
      <c r="F79"/>
    </row>
    <row r="80" spans="1:19" ht="27" x14ac:dyDescent="0.35">
      <c r="D80" s="91" t="s">
        <v>106</v>
      </c>
      <c r="F80"/>
    </row>
    <row r="81" spans="1:19" x14ac:dyDescent="0.2">
      <c r="D81"/>
      <c r="F81"/>
    </row>
    <row r="82" spans="1:19" x14ac:dyDescent="0.2">
      <c r="D82"/>
      <c r="F82"/>
    </row>
    <row r="83" spans="1:19" x14ac:dyDescent="0.2">
      <c r="D83"/>
      <c r="F83"/>
    </row>
    <row r="84" spans="1:19" x14ac:dyDescent="0.2">
      <c r="D84"/>
      <c r="F84"/>
    </row>
    <row r="85" spans="1:19" x14ac:dyDescent="0.2">
      <c r="D85" s="90"/>
      <c r="F85" s="1"/>
    </row>
    <row r="86" spans="1:19" x14ac:dyDescent="0.2">
      <c r="D86" s="90"/>
      <c r="F86" s="1"/>
    </row>
    <row r="87" spans="1:19" x14ac:dyDescent="0.2">
      <c r="D87" s="90"/>
      <c r="F87" s="1"/>
    </row>
    <row r="88" spans="1:19" x14ac:dyDescent="0.2">
      <c r="D88" s="90"/>
      <c r="F88" s="1"/>
    </row>
    <row r="91" spans="1:19" ht="17" thickBot="1" x14ac:dyDescent="0.25">
      <c r="A91" s="15"/>
      <c r="B91" s="15"/>
      <c r="Q91" s="15"/>
      <c r="R91" s="15"/>
      <c r="S91" s="15"/>
    </row>
    <row r="92" spans="1:19" ht="20" thickBot="1" x14ac:dyDescent="0.3">
      <c r="C92" s="37" t="s">
        <v>42</v>
      </c>
      <c r="D92" s="38"/>
      <c r="E92" s="39"/>
      <c r="F92" s="38"/>
      <c r="G92" s="39"/>
      <c r="H92" s="38"/>
      <c r="I92" s="39"/>
      <c r="J92" s="38"/>
      <c r="K92" s="39"/>
      <c r="L92" s="38"/>
      <c r="M92" s="39"/>
      <c r="N92" s="39"/>
      <c r="O92" s="39"/>
      <c r="P92" s="40"/>
    </row>
    <row r="93" spans="1:19" ht="19" x14ac:dyDescent="0.25">
      <c r="C93" s="19"/>
    </row>
    <row r="94" spans="1:19" ht="19" x14ac:dyDescent="0.25">
      <c r="C94" s="19"/>
      <c r="D94" s="2" t="s">
        <v>31</v>
      </c>
      <c r="E94" s="18">
        <v>12.7324</v>
      </c>
      <c r="F94" s="2" t="s">
        <v>4</v>
      </c>
    </row>
    <row r="95" spans="1:19" ht="19" x14ac:dyDescent="0.25">
      <c r="C95" s="19"/>
      <c r="D95" t="s">
        <v>46</v>
      </c>
      <c r="E95" s="2">
        <f>E94*PI()*2</f>
        <v>80.000028605133366</v>
      </c>
      <c r="F95" t="s">
        <v>4</v>
      </c>
    </row>
    <row r="96" spans="1:19" ht="19" x14ac:dyDescent="0.25">
      <c r="C96" s="19"/>
      <c r="D96" t="s">
        <v>47</v>
      </c>
      <c r="E96" s="2">
        <f>E95/4</f>
        <v>20.000007151283341</v>
      </c>
      <c r="F96" t="s">
        <v>4</v>
      </c>
    </row>
    <row r="97" spans="4:7" x14ac:dyDescent="0.2">
      <c r="D97" s="2" t="s">
        <v>48</v>
      </c>
      <c r="E97">
        <v>63.661999999999999</v>
      </c>
    </row>
    <row r="99" spans="4:7" ht="17" thickBot="1" x14ac:dyDescent="0.25">
      <c r="D99" s="35" t="s">
        <v>49</v>
      </c>
    </row>
    <row r="100" spans="4:7" x14ac:dyDescent="0.2">
      <c r="D100" s="26" t="s">
        <v>45</v>
      </c>
      <c r="E100" s="27" t="s">
        <v>43</v>
      </c>
      <c r="F100" s="27" t="s">
        <v>32</v>
      </c>
      <c r="G100" s="28" t="s">
        <v>44</v>
      </c>
    </row>
    <row r="101" spans="4:7" x14ac:dyDescent="0.2">
      <c r="D101" s="32"/>
      <c r="E101" s="18">
        <v>0</v>
      </c>
      <c r="F101" s="33">
        <f>(E101*$E$97)/$E$94</f>
        <v>0</v>
      </c>
      <c r="G101" s="33">
        <f>2*$E$94*SIN((F101*PI()/200)/2)</f>
        <v>0</v>
      </c>
    </row>
    <row r="102" spans="4:7" x14ac:dyDescent="0.2">
      <c r="D102" s="32"/>
      <c r="E102" s="18">
        <v>5</v>
      </c>
      <c r="F102" s="33">
        <f>(E102*$E$97)/$E$94</f>
        <v>25</v>
      </c>
      <c r="G102" s="33">
        <f>2*$E$94*SIN((F102*PI()/200)/2)</f>
        <v>4.9679360320763024</v>
      </c>
    </row>
    <row r="103" spans="4:7" x14ac:dyDescent="0.2">
      <c r="D103" s="32"/>
      <c r="E103" s="18">
        <v>10</v>
      </c>
      <c r="F103" s="33">
        <f>(E103*$E$97)/$E$94</f>
        <v>50</v>
      </c>
      <c r="G103" s="33">
        <f>2*$E$94*SIN((F103*PI()/200)/2)</f>
        <v>9.7449570684905389</v>
      </c>
    </row>
    <row r="104" spans="4:7" x14ac:dyDescent="0.2">
      <c r="D104" s="32"/>
      <c r="E104" s="18">
        <v>15</v>
      </c>
      <c r="F104" s="33">
        <f>(E104*$E$97)/$E$94</f>
        <v>75</v>
      </c>
      <c r="G104" s="33">
        <f>2*$E$94*SIN((F104*PI()/200)/2)</f>
        <v>14.147484869797566</v>
      </c>
    </row>
    <row r="105" spans="4:7" x14ac:dyDescent="0.2">
      <c r="D105" s="32"/>
      <c r="E105" s="18">
        <v>20</v>
      </c>
      <c r="F105" s="33">
        <f>(E105*$E$97)/$E$94</f>
        <v>100</v>
      </c>
      <c r="G105" s="33">
        <f>2*$E$94*SIN((F105*PI()/200)/2)</f>
        <v>18.006332761559193</v>
      </c>
    </row>
    <row r="107" spans="4:7" ht="17" thickBot="1" x14ac:dyDescent="0.25">
      <c r="D107" s="35" t="s">
        <v>51</v>
      </c>
    </row>
    <row r="108" spans="4:7" x14ac:dyDescent="0.2">
      <c r="D108" s="26" t="s">
        <v>45</v>
      </c>
      <c r="E108" s="27" t="s">
        <v>43</v>
      </c>
      <c r="F108" s="27" t="s">
        <v>32</v>
      </c>
      <c r="G108" s="28" t="s">
        <v>44</v>
      </c>
    </row>
    <row r="109" spans="4:7" x14ac:dyDescent="0.2">
      <c r="D109" s="32"/>
      <c r="E109" s="18">
        <v>20</v>
      </c>
      <c r="F109" s="33">
        <f>(E109*$E$97)/$E$94</f>
        <v>100</v>
      </c>
      <c r="G109" s="33">
        <f>2*$E$94*SIN((F109*PI()/200)/2)</f>
        <v>18.006332761559193</v>
      </c>
    </row>
    <row r="110" spans="4:7" x14ac:dyDescent="0.2">
      <c r="D110" s="32"/>
      <c r="E110" s="18">
        <v>15</v>
      </c>
      <c r="F110" s="33">
        <f>(E110*$E$97)/$E$94</f>
        <v>75</v>
      </c>
      <c r="G110" s="33">
        <f>2*$E$94*SIN((F110*PI()/200)/2)</f>
        <v>14.147484869797566</v>
      </c>
    </row>
    <row r="111" spans="4:7" x14ac:dyDescent="0.2">
      <c r="D111" s="32"/>
      <c r="E111" s="18">
        <v>10</v>
      </c>
      <c r="F111" s="33">
        <f>(E111*$E$97)/$E$94</f>
        <v>50</v>
      </c>
      <c r="G111" s="33">
        <f>2*$E$94*SIN((F111*PI()/200)/2)</f>
        <v>9.7449570684905389</v>
      </c>
    </row>
    <row r="112" spans="4:7" x14ac:dyDescent="0.2">
      <c r="D112" s="32"/>
      <c r="E112" s="18">
        <v>5</v>
      </c>
      <c r="F112" s="33">
        <f>(E112*$E$97)/$E$94</f>
        <v>25</v>
      </c>
      <c r="G112" s="33">
        <f>2*$E$94*SIN((F112*PI()/200)/2)</f>
        <v>4.9679360320763024</v>
      </c>
    </row>
    <row r="113" spans="1:20" x14ac:dyDescent="0.2">
      <c r="D113" s="32"/>
      <c r="E113" s="18">
        <v>0</v>
      </c>
      <c r="F113" s="33">
        <f>(E113*$E$97)/$E$94</f>
        <v>0</v>
      </c>
      <c r="G113" s="33">
        <f>2*$E$94*SIN((F113*PI()/200)/2)</f>
        <v>0</v>
      </c>
    </row>
    <row r="115" spans="1:20" ht="22" x14ac:dyDescent="0.2">
      <c r="O115" s="36" t="s">
        <v>50</v>
      </c>
    </row>
    <row r="116" spans="1:20" ht="17" thickBot="1" x14ac:dyDescent="0.25">
      <c r="A116" s="15"/>
      <c r="B116" s="15"/>
      <c r="Q116" s="15"/>
      <c r="R116" s="15"/>
      <c r="S116" s="15"/>
      <c r="T116" s="15"/>
    </row>
    <row r="117" spans="1:20" ht="20" thickBot="1" x14ac:dyDescent="0.3">
      <c r="C117" s="37" t="s">
        <v>52</v>
      </c>
      <c r="D117" s="38"/>
      <c r="E117" s="39"/>
      <c r="F117" s="38"/>
      <c r="G117" s="39"/>
      <c r="H117" s="38"/>
      <c r="I117" s="39"/>
      <c r="J117" s="38"/>
      <c r="K117" s="39"/>
      <c r="L117" s="38"/>
      <c r="M117" s="39"/>
      <c r="N117" s="39"/>
      <c r="O117" s="39"/>
      <c r="P117" s="40"/>
    </row>
    <row r="123" spans="1:20" x14ac:dyDescent="0.2">
      <c r="E123" s="108" t="s">
        <v>107</v>
      </c>
    </row>
    <row r="136" spans="3:16" ht="17" thickBot="1" x14ac:dyDescent="0.25"/>
    <row r="137" spans="3:16" ht="20" thickBot="1" x14ac:dyDescent="0.3">
      <c r="C137" s="37" t="s">
        <v>53</v>
      </c>
      <c r="D137" s="38"/>
      <c r="E137" s="39"/>
      <c r="F137" s="38"/>
      <c r="G137" s="39"/>
      <c r="H137" s="38"/>
      <c r="I137" s="39"/>
      <c r="J137" s="38"/>
      <c r="K137" s="39"/>
      <c r="L137" s="38"/>
      <c r="M137" s="39"/>
      <c r="N137" s="39"/>
      <c r="O137" s="39"/>
      <c r="P137" s="40"/>
    </row>
    <row r="139" spans="3:16" ht="17" thickBot="1" x14ac:dyDescent="0.25"/>
    <row r="140" spans="3:16" ht="17" thickBot="1" x14ac:dyDescent="0.25">
      <c r="D140" s="50" t="s">
        <v>54</v>
      </c>
      <c r="E140" s="51" t="s">
        <v>55</v>
      </c>
      <c r="F140" s="51" t="s">
        <v>56</v>
      </c>
      <c r="G140" s="52" t="s">
        <v>57</v>
      </c>
    </row>
    <row r="141" spans="3:16" x14ac:dyDescent="0.2">
      <c r="D141" s="109">
        <v>20</v>
      </c>
      <c r="E141" s="110">
        <v>55</v>
      </c>
      <c r="F141" s="3">
        <f>D141/E141*100</f>
        <v>36.363636363636367</v>
      </c>
      <c r="G141" s="111" t="str">
        <f>IF(AND(ISNUMBER(D141), ISNUMBER(E141), D141&lt;&gt;0), "1:" &amp; ROUND(E141/D141,0), "")</f>
        <v>1:3</v>
      </c>
    </row>
    <row r="142" spans="3:16" x14ac:dyDescent="0.2">
      <c r="D142" s="42">
        <v>5.8</v>
      </c>
      <c r="E142" s="18">
        <v>12.6</v>
      </c>
      <c r="F142" s="2">
        <f>D142/E142*100</f>
        <v>46.031746031746032</v>
      </c>
      <c r="G142" s="43" t="str">
        <f>IF(AND(ISNUMBER(D142), ISNUMBER(E142), D142&lt;&gt;0), "1:" &amp; ROUND(E142/D142,0), "")</f>
        <v>1:2</v>
      </c>
    </row>
    <row r="143" spans="3:16" x14ac:dyDescent="0.2">
      <c r="D143" s="42">
        <v>5</v>
      </c>
      <c r="E143">
        <f>D143/F143*100</f>
        <v>15.151515151515152</v>
      </c>
      <c r="F143" s="34">
        <v>33</v>
      </c>
      <c r="G143" s="43" t="str">
        <f>IF(AND(ISNUMBER(D143), ISNUMBER(E143), D143&lt;&gt;0), "1:" &amp; ROUND(E143/D143,0), "")</f>
        <v>1:3</v>
      </c>
    </row>
    <row r="144" spans="3:16" x14ac:dyDescent="0.2">
      <c r="D144" s="42">
        <v>2.35</v>
      </c>
      <c r="E144">
        <f>IF(AND(ISNUMBER(D144),ISNUMBER(MID(G144,FIND(":",G144)+1,99)*1)),D144*MID(G144,FIND(":",G144)+1,99), "")</f>
        <v>9.4</v>
      </c>
      <c r="F144" s="2">
        <f>IF(AND(ISNUMBER(D144),ISNUMBER(MID(G144,FIND(":",G144)+1,99)*1)),(D144*100)/(D144*MID(G144,FIND(":",G144)+1,99)), "")</f>
        <v>25</v>
      </c>
      <c r="G144" s="44" t="s">
        <v>59</v>
      </c>
    </row>
    <row r="145" spans="3:16" x14ac:dyDescent="0.2">
      <c r="D145" s="45">
        <f>IFERROR(MID(G145,1,FIND(":",G145)-1)/MID(G145,FIND(":",G145)+1,99)*E145, "")</f>
        <v>2.2749999999999999</v>
      </c>
      <c r="E145" s="18">
        <v>13.65</v>
      </c>
      <c r="F145" s="2">
        <f>IFERROR(MID(G145,1,FIND(":",G145)-1)/MID(G145,FIND(":",G145)+1,99)*100, "")</f>
        <v>16.666666666666664</v>
      </c>
      <c r="G145" s="44" t="s">
        <v>58</v>
      </c>
    </row>
    <row r="146" spans="3:16" ht="17" thickBot="1" x14ac:dyDescent="0.25">
      <c r="D146" s="46">
        <f>IF(AND(ISNUMBER(E146),ISNUMBER(F146)),E146*F146/100,"")</f>
        <v>3.738</v>
      </c>
      <c r="E146" s="47">
        <v>6.23</v>
      </c>
      <c r="F146" s="48">
        <v>60</v>
      </c>
      <c r="G146" s="49" t="str">
        <f>IF(AND(ISNUMBER(D146), ISNUMBER(E146), D146&lt;&gt;0), "1:" &amp; ROUND(E146/D146,0), "")</f>
        <v>1:2</v>
      </c>
    </row>
    <row r="150" spans="3:16" ht="17" thickBot="1" x14ac:dyDescent="0.25"/>
    <row r="151" spans="3:16" ht="20" thickBot="1" x14ac:dyDescent="0.3">
      <c r="C151" s="37" t="s">
        <v>70</v>
      </c>
      <c r="D151" s="38"/>
      <c r="E151" s="39"/>
      <c r="F151" s="38"/>
      <c r="G151" s="39"/>
      <c r="H151" s="38"/>
      <c r="I151" s="39"/>
      <c r="J151" s="38"/>
      <c r="K151" s="39"/>
      <c r="L151" s="38"/>
      <c r="M151" s="39"/>
      <c r="N151" s="39"/>
      <c r="O151" s="39"/>
      <c r="P151" s="40"/>
    </row>
    <row r="153" spans="3:16" x14ac:dyDescent="0.2">
      <c r="D153" s="64" t="s">
        <v>72</v>
      </c>
      <c r="E153" s="63">
        <v>434</v>
      </c>
    </row>
    <row r="154" spans="3:16" ht="17" thickBot="1" x14ac:dyDescent="0.25"/>
    <row r="155" spans="3:16" ht="17" thickBot="1" x14ac:dyDescent="0.25">
      <c r="D155" s="60" t="s">
        <v>45</v>
      </c>
      <c r="E155" s="6" t="s">
        <v>71</v>
      </c>
      <c r="F155" s="61" t="s">
        <v>39</v>
      </c>
      <c r="G155" s="61" t="s">
        <v>60</v>
      </c>
      <c r="H155" s="61" t="s">
        <v>61</v>
      </c>
      <c r="I155" s="61" t="s">
        <v>62</v>
      </c>
      <c r="J155" s="62" t="s">
        <v>63</v>
      </c>
    </row>
    <row r="156" spans="3:16" x14ac:dyDescent="0.2">
      <c r="D156" s="53" t="s">
        <v>64</v>
      </c>
      <c r="F156"/>
      <c r="H156"/>
      <c r="J156" s="43"/>
    </row>
    <row r="157" spans="3:16" x14ac:dyDescent="0.2">
      <c r="D157" s="54">
        <v>0</v>
      </c>
      <c r="E157" s="55">
        <f>I157-$E$153</f>
        <v>1.8899999999999864</v>
      </c>
      <c r="F157">
        <v>1.72</v>
      </c>
      <c r="H157">
        <v>437.61</v>
      </c>
      <c r="I157" s="56">
        <v>435.89</v>
      </c>
      <c r="J157" s="43" t="s">
        <v>65</v>
      </c>
    </row>
    <row r="158" spans="3:16" x14ac:dyDescent="0.2">
      <c r="D158" s="54">
        <v>-2.1</v>
      </c>
      <c r="E158" s="55">
        <f t="shared" ref="E158:E164" si="13">I158-$E$153</f>
        <v>1.6999999999999886</v>
      </c>
      <c r="F158"/>
      <c r="G158">
        <v>1.91</v>
      </c>
      <c r="H158"/>
      <c r="I158" s="56">
        <v>435.7</v>
      </c>
      <c r="J158" s="43" t="s">
        <v>66</v>
      </c>
    </row>
    <row r="159" spans="3:16" x14ac:dyDescent="0.2">
      <c r="D159" s="54">
        <v>-2.7</v>
      </c>
      <c r="E159" s="55">
        <f>I159-$E$153</f>
        <v>1.3600000000000136</v>
      </c>
      <c r="F159"/>
      <c r="G159">
        <v>2.25</v>
      </c>
      <c r="H159"/>
      <c r="I159" s="56">
        <v>435.36</v>
      </c>
      <c r="J159" s="43" t="s">
        <v>67</v>
      </c>
    </row>
    <row r="160" spans="3:16" x14ac:dyDescent="0.2">
      <c r="D160" s="54">
        <v>-3.7</v>
      </c>
      <c r="E160" s="55">
        <f t="shared" si="13"/>
        <v>1.339999999999975</v>
      </c>
      <c r="F160"/>
      <c r="G160">
        <v>2.27</v>
      </c>
      <c r="H160"/>
      <c r="I160" s="56">
        <v>435.34</v>
      </c>
      <c r="J160" s="43" t="s">
        <v>67</v>
      </c>
    </row>
    <row r="161" spans="3:10" x14ac:dyDescent="0.2">
      <c r="D161" s="54">
        <v>-4.4000000000000004</v>
      </c>
      <c r="E161" s="55">
        <f t="shared" si="13"/>
        <v>1.8899999999999864</v>
      </c>
      <c r="F161"/>
      <c r="G161">
        <v>1.72</v>
      </c>
      <c r="H161"/>
      <c r="I161" s="56">
        <v>435.89</v>
      </c>
      <c r="J161" s="43" t="s">
        <v>68</v>
      </c>
    </row>
    <row r="162" spans="3:10" x14ac:dyDescent="0.2">
      <c r="D162" s="54">
        <v>2.35</v>
      </c>
      <c r="E162" s="55">
        <f t="shared" si="13"/>
        <v>1.839999999999975</v>
      </c>
      <c r="F162"/>
      <c r="G162">
        <v>1.77</v>
      </c>
      <c r="H162"/>
      <c r="I162" s="56">
        <v>435.84</v>
      </c>
      <c r="J162" s="43" t="s">
        <v>66</v>
      </c>
    </row>
    <row r="163" spans="3:10" x14ac:dyDescent="0.2">
      <c r="D163" s="54">
        <v>3.45</v>
      </c>
      <c r="E163" s="55">
        <f t="shared" si="13"/>
        <v>1.9399999999999977</v>
      </c>
      <c r="F163"/>
      <c r="G163">
        <v>1.67</v>
      </c>
      <c r="H163"/>
      <c r="I163" s="56">
        <v>435.94</v>
      </c>
      <c r="J163" s="43" t="s">
        <v>69</v>
      </c>
    </row>
    <row r="164" spans="3:10" ht="17" thickBot="1" x14ac:dyDescent="0.25">
      <c r="D164" s="57">
        <v>5.7</v>
      </c>
      <c r="E164" s="58">
        <f t="shared" si="13"/>
        <v>2.2799999999999727</v>
      </c>
      <c r="F164" s="4"/>
      <c r="G164" s="4">
        <v>1.33</v>
      </c>
      <c r="H164" s="4"/>
      <c r="I164" s="59">
        <v>436.28</v>
      </c>
      <c r="J164" s="49" t="s">
        <v>68</v>
      </c>
    </row>
    <row r="165" spans="3:10" x14ac:dyDescent="0.2">
      <c r="C165">
        <v>0</v>
      </c>
      <c r="D165" s="2">
        <f>MIN(D157:D164)</f>
        <v>-4.4000000000000004</v>
      </c>
      <c r="E165" s="2">
        <f>MIN(E157:E164)</f>
        <v>1.339999999999975</v>
      </c>
      <c r="F165" s="2">
        <v>0</v>
      </c>
    </row>
    <row r="166" spans="3:10" x14ac:dyDescent="0.2">
      <c r="C166">
        <v>0</v>
      </c>
      <c r="D166" s="2">
        <f>MAX(D157:D164)</f>
        <v>5.7</v>
      </c>
      <c r="E166" s="2">
        <f>MAX(E157:E164)</f>
        <v>2.2799999999999727</v>
      </c>
    </row>
    <row r="187" spans="3:16" ht="17" thickBot="1" x14ac:dyDescent="0.25"/>
    <row r="188" spans="3:16" ht="20" thickBot="1" x14ac:dyDescent="0.3">
      <c r="C188" s="37" t="s">
        <v>74</v>
      </c>
      <c r="D188" s="38"/>
      <c r="E188" s="39"/>
      <c r="F188" s="38"/>
      <c r="G188" s="39"/>
      <c r="H188" s="38"/>
      <c r="I188" s="39"/>
      <c r="J188" s="38"/>
      <c r="K188" s="39"/>
      <c r="L188" s="38"/>
      <c r="M188" s="39"/>
      <c r="N188" s="39"/>
      <c r="O188" s="39"/>
      <c r="P188" s="40"/>
    </row>
    <row r="189" spans="3:16" x14ac:dyDescent="0.2">
      <c r="D189" t="s">
        <v>79</v>
      </c>
      <c r="E189" s="18">
        <v>2.2000000000000002</v>
      </c>
      <c r="F189"/>
      <c r="H189"/>
      <c r="J189"/>
      <c r="L189"/>
      <c r="M189" s="65"/>
      <c r="N189" s="65"/>
      <c r="O189" s="65"/>
      <c r="P189" s="65"/>
    </row>
    <row r="190" spans="3:16" ht="17" thickBot="1" x14ac:dyDescent="0.25"/>
    <row r="191" spans="3:16" ht="17" thickBot="1" x14ac:dyDescent="0.25">
      <c r="C191" s="50" t="s">
        <v>75</v>
      </c>
      <c r="D191" s="51" t="s">
        <v>76</v>
      </c>
      <c r="E191" s="51" t="s">
        <v>43</v>
      </c>
      <c r="F191" s="51" t="s">
        <v>77</v>
      </c>
      <c r="G191" s="52" t="s">
        <v>78</v>
      </c>
    </row>
    <row r="192" spans="3:16" x14ac:dyDescent="0.2">
      <c r="C192" s="69">
        <v>1</v>
      </c>
      <c r="D192" s="70">
        <v>0.78200000000000003</v>
      </c>
      <c r="E192" s="41">
        <v>0.98799999999999999</v>
      </c>
      <c r="F192" s="1">
        <f>D192-E192</f>
        <v>-0.20599999999999996</v>
      </c>
      <c r="G192" s="66">
        <f>(F192-F193)*1000</f>
        <v>4.0000000000000036</v>
      </c>
    </row>
    <row r="193" spans="3:7" ht="17" thickBot="1" x14ac:dyDescent="0.25">
      <c r="C193" s="67">
        <v>2</v>
      </c>
      <c r="D193" s="48">
        <v>1.417</v>
      </c>
      <c r="E193" s="47">
        <v>1.627</v>
      </c>
      <c r="F193" s="68">
        <f>D193-E193</f>
        <v>-0.20999999999999996</v>
      </c>
      <c r="G193" s="49"/>
    </row>
    <row r="195" spans="3:7" x14ac:dyDescent="0.2">
      <c r="G195" t="str">
        <f>IF((G192/2)&lt;E189,"Genauigkeit OK","Genauigkeit Nicht OK")</f>
        <v>Genauigkeit OK</v>
      </c>
    </row>
    <row r="197" spans="3:7" x14ac:dyDescent="0.2">
      <c r="C197" t="s">
        <v>73</v>
      </c>
    </row>
    <row r="215" spans="3:10" ht="17" thickBot="1" x14ac:dyDescent="0.25"/>
    <row r="216" spans="3:10" ht="20" thickBot="1" x14ac:dyDescent="0.3">
      <c r="C216" s="37" t="s">
        <v>82</v>
      </c>
      <c r="D216" s="38"/>
      <c r="E216" s="38"/>
      <c r="F216" s="38"/>
      <c r="G216" s="38"/>
      <c r="H216" s="38"/>
    </row>
    <row r="220" spans="3:10" x14ac:dyDescent="0.2">
      <c r="C220" s="71" t="s">
        <v>83</v>
      </c>
      <c r="D220" s="71" t="s">
        <v>34</v>
      </c>
      <c r="E220" s="71" t="s">
        <v>84</v>
      </c>
      <c r="F220" s="71" t="s">
        <v>85</v>
      </c>
      <c r="G220" s="71" t="s">
        <v>86</v>
      </c>
      <c r="H220" s="71" t="s">
        <v>87</v>
      </c>
      <c r="I220" s="71" t="s">
        <v>88</v>
      </c>
      <c r="J220" s="71" t="s">
        <v>89</v>
      </c>
    </row>
    <row r="221" spans="3:10" x14ac:dyDescent="0.2">
      <c r="C221" s="18">
        <v>60</v>
      </c>
      <c r="D221" s="18">
        <v>80</v>
      </c>
      <c r="E221" s="77">
        <f>C221 - SQRT(C221^2 - (D221/2)^2)</f>
        <v>15.278640450004204</v>
      </c>
      <c r="F221" s="77">
        <f>SQRT((D221/2)^2 + E221^2)</f>
        <v>42.818650772770788</v>
      </c>
      <c r="G221" s="77">
        <f>C221 - SQRT(C221^2 - (F221/2)^2)</f>
        <v>3.9496584622370605</v>
      </c>
      <c r="H221" s="77">
        <f>SQRT((F221/2)^2 + G221^2)</f>
        <v>21.770599795789892</v>
      </c>
      <c r="I221" s="77">
        <f>C221 - SQRT(C221^2 - (H221/2)^2)</f>
        <v>0.99567603867587451</v>
      </c>
      <c r="J221" s="29" t="s">
        <v>90</v>
      </c>
    </row>
    <row r="222" spans="3:10" x14ac:dyDescent="0.2">
      <c r="C222" s="72">
        <v>60</v>
      </c>
      <c r="D222" s="72">
        <v>80</v>
      </c>
      <c r="E222" s="78">
        <f>C222 - SQRT(C222^2 - (D222/2)^2)</f>
        <v>15.278640450004204</v>
      </c>
      <c r="F222" s="79" t="s">
        <v>91</v>
      </c>
      <c r="G222" s="78">
        <f>(C222 - SQRT(C222^2 - (D222/2)^2))/4</f>
        <v>3.819660112501051</v>
      </c>
      <c r="H222" s="79" t="s">
        <v>91</v>
      </c>
      <c r="I222" s="78">
        <f>((C222 - SQRT(C222^2 - (D222/2)^2))/4)/4</f>
        <v>0.95491502812526274</v>
      </c>
      <c r="J222" s="31" t="s">
        <v>92</v>
      </c>
    </row>
    <row r="223" spans="3:10" x14ac:dyDescent="0.2">
      <c r="C223" s="73" t="s">
        <v>93</v>
      </c>
      <c r="D223" s="74"/>
      <c r="E223" s="75">
        <f>(E221 - E222)</f>
        <v>0</v>
      </c>
      <c r="F223" s="75"/>
      <c r="G223" s="75">
        <f>(G221 - G222)</f>
        <v>0.12999834973600954</v>
      </c>
      <c r="H223" s="75"/>
      <c r="I223" s="76">
        <f>(I221 - I222)</f>
        <v>4.0761010550611765E-2</v>
      </c>
      <c r="J223"/>
    </row>
    <row r="225" spans="3:9" x14ac:dyDescent="0.2">
      <c r="G225" t="str">
        <f>IF(F221&lt;=C221/3,"Näherung zulässig","Zu groß für Näherung")</f>
        <v>Zu groß für Näherung</v>
      </c>
    </row>
    <row r="239" spans="3:9" ht="17" thickBot="1" x14ac:dyDescent="0.25"/>
    <row r="240" spans="3:9" ht="20" thickBot="1" x14ac:dyDescent="0.3">
      <c r="C240" s="37" t="s">
        <v>104</v>
      </c>
      <c r="D240" s="37"/>
      <c r="E240" s="37"/>
      <c r="F240" s="37"/>
      <c r="G240" s="37"/>
      <c r="H240" s="37"/>
      <c r="I240" s="37"/>
    </row>
    <row r="245" spans="3:9" x14ac:dyDescent="0.2">
      <c r="C245" s="82" t="s">
        <v>45</v>
      </c>
      <c r="D245" s="83" t="s">
        <v>94</v>
      </c>
      <c r="E245" s="83" t="s">
        <v>95</v>
      </c>
      <c r="F245" s="83" t="s">
        <v>96</v>
      </c>
      <c r="G245" s="83" t="s">
        <v>97</v>
      </c>
      <c r="H245" s="83" t="s">
        <v>98</v>
      </c>
      <c r="I245" s="84" t="s">
        <v>63</v>
      </c>
    </row>
    <row r="246" spans="3:9" x14ac:dyDescent="0.2">
      <c r="C246" s="80" t="s">
        <v>8</v>
      </c>
      <c r="D246"/>
      <c r="F246"/>
      <c r="H246" s="18">
        <v>411.08</v>
      </c>
      <c r="I246" s="30" t="s">
        <v>99</v>
      </c>
    </row>
    <row r="247" spans="3:9" x14ac:dyDescent="0.2">
      <c r="C247" s="80" t="s">
        <v>100</v>
      </c>
      <c r="D247" s="18">
        <v>2.3849999999999998</v>
      </c>
      <c r="F247" s="18">
        <v>1.0229999999999999</v>
      </c>
      <c r="G247" s="1">
        <f>H246+D247</f>
        <v>413.46499999999997</v>
      </c>
      <c r="H247" s="1">
        <f>G247-F247</f>
        <v>412.44199999999995</v>
      </c>
      <c r="I247" s="30"/>
    </row>
    <row r="248" spans="3:9" x14ac:dyDescent="0.2">
      <c r="C248" s="80" t="s">
        <v>101</v>
      </c>
      <c r="D248" s="18">
        <v>1.472</v>
      </c>
      <c r="F248" s="18">
        <v>3.5150000000000001</v>
      </c>
      <c r="G248" s="1">
        <f>H247+D248</f>
        <v>413.91399999999993</v>
      </c>
      <c r="H248" s="1">
        <f>G248-F248</f>
        <v>410.39899999999994</v>
      </c>
      <c r="I248" s="30"/>
    </row>
    <row r="249" spans="3:9" x14ac:dyDescent="0.2">
      <c r="C249" s="80" t="s">
        <v>9</v>
      </c>
      <c r="D249" s="18">
        <v>0.74199999999999999</v>
      </c>
      <c r="F249" s="18">
        <v>2.7610000000000001</v>
      </c>
      <c r="G249" s="1">
        <f>H248+D249</f>
        <v>411.14099999999996</v>
      </c>
      <c r="H249" s="1">
        <f>G249-F249</f>
        <v>408.37999999999994</v>
      </c>
      <c r="I249" s="30"/>
    </row>
    <row r="250" spans="3:9" x14ac:dyDescent="0.2">
      <c r="C250" s="80"/>
      <c r="D250"/>
      <c r="F250"/>
      <c r="H250"/>
      <c r="I250" s="30"/>
    </row>
    <row r="251" spans="3:9" x14ac:dyDescent="0.2">
      <c r="C251" s="80" t="s">
        <v>102</v>
      </c>
      <c r="D251">
        <f>SUM(D246:D250)</f>
        <v>4.5990000000000002</v>
      </c>
      <c r="F251">
        <f>SUM(F246:F250)</f>
        <v>7.2990000000000004</v>
      </c>
      <c r="H251"/>
      <c r="I251" s="30"/>
    </row>
    <row r="252" spans="3:9" x14ac:dyDescent="0.2">
      <c r="C252" s="81" t="s">
        <v>103</v>
      </c>
      <c r="D252" s="16">
        <f>H246-H249</f>
        <v>2.7000000000000455</v>
      </c>
      <c r="E252" s="15"/>
      <c r="F252" s="15"/>
      <c r="G252" s="15"/>
      <c r="H252" s="15"/>
      <c r="I252" s="31"/>
    </row>
    <row r="253" spans="3:9" x14ac:dyDescent="0.2">
      <c r="D253"/>
      <c r="F253"/>
      <c r="H253"/>
    </row>
  </sheetData>
  <hyperlinks>
    <hyperlink ref="D80" location="'9.3 Absteckung mit Tachymeter'!A1" display="'9.3 Absteckung mit Tachymeter'!A1" xr:uid="{A9A6D393-1B74-4C42-A971-365B18203EB3}"/>
  </hyperlinks>
  <pageMargins left="0.7" right="0.7" top="0.78740157499999996" bottom="0.78740157499999996" header="0.3" footer="0.3"/>
  <pageSetup paperSize="9" orientation="portrait" horizontalDpi="0" verticalDpi="0"/>
  <ignoredErrors>
    <ignoredError sqref="G221" formula="1"/>
  </ignoredError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1D240-DEEC-D548-8F66-8E3A5C0770DE}">
  <sheetPr codeName="Tabelle2"/>
  <dimension ref="A1:D22"/>
  <sheetViews>
    <sheetView tabSelected="1" workbookViewId="0">
      <selection activeCell="B4" sqref="B4"/>
    </sheetView>
  </sheetViews>
  <sheetFormatPr baseColWidth="10" defaultRowHeight="16" x14ac:dyDescent="0.2"/>
  <cols>
    <col min="1" max="1" width="12.6640625" customWidth="1"/>
    <col min="2" max="2" width="17" customWidth="1"/>
    <col min="3" max="3" width="16.33203125" customWidth="1"/>
    <col min="4" max="4" width="184.33203125" customWidth="1"/>
  </cols>
  <sheetData>
    <row r="1" spans="1:4" s="96" customFormat="1" ht="24" customHeight="1" x14ac:dyDescent="0.25">
      <c r="A1" s="92" t="s">
        <v>39</v>
      </c>
      <c r="B1" s="93">
        <v>234.99940516053243</v>
      </c>
      <c r="C1" s="94">
        <v>234.99940516053243</v>
      </c>
      <c r="D1" s="95"/>
    </row>
    <row r="2" spans="1:4" s="96" customFormat="1" ht="24" customHeight="1" x14ac:dyDescent="0.25">
      <c r="A2" s="97" t="s">
        <v>40</v>
      </c>
      <c r="B2" s="98">
        <v>152.69999999999999</v>
      </c>
      <c r="C2" s="99">
        <v>152.69999999999999</v>
      </c>
      <c r="D2" s="100" t="s">
        <v>105</v>
      </c>
    </row>
    <row r="3" spans="1:4" s="96" customFormat="1" ht="24" customHeight="1" x14ac:dyDescent="0.25">
      <c r="A3" s="97" t="s">
        <v>32</v>
      </c>
      <c r="B3" s="101">
        <v>47.3</v>
      </c>
      <c r="C3" s="102"/>
      <c r="D3" s="103"/>
    </row>
    <row r="4" spans="1:4" s="96" customFormat="1" ht="24" customHeight="1" x14ac:dyDescent="0.25">
      <c r="A4" s="97" t="s">
        <v>33</v>
      </c>
      <c r="B4" s="98">
        <v>91.551571957926456</v>
      </c>
      <c r="C4" s="99">
        <v>91.551571957926456</v>
      </c>
      <c r="D4" s="100" t="s">
        <v>114</v>
      </c>
    </row>
    <row r="5" spans="1:4" s="96" customFormat="1" ht="24" customHeight="1" x14ac:dyDescent="0.25">
      <c r="A5" s="97" t="s">
        <v>34</v>
      </c>
      <c r="B5" s="101">
        <v>170.61300000000006</v>
      </c>
      <c r="C5" s="102"/>
      <c r="D5" s="103"/>
    </row>
    <row r="6" spans="1:4" s="96" customFormat="1" ht="24" customHeight="1" x14ac:dyDescent="0.25">
      <c r="A6" s="97" t="s">
        <v>35</v>
      </c>
      <c r="B6" s="98">
        <v>85.306500000000028</v>
      </c>
      <c r="C6" s="99"/>
      <c r="D6" s="100"/>
    </row>
    <row r="7" spans="1:4" s="96" customFormat="1" ht="24" customHeight="1" x14ac:dyDescent="0.25">
      <c r="A7" s="97" t="s">
        <v>36</v>
      </c>
      <c r="B7" s="101">
        <v>16.030180191465</v>
      </c>
      <c r="C7" s="102"/>
      <c r="D7" s="103"/>
    </row>
    <row r="8" spans="1:4" s="96" customFormat="1" ht="24" customHeight="1" x14ac:dyDescent="0.25">
      <c r="A8" s="97" t="s">
        <v>37</v>
      </c>
      <c r="B8" s="98">
        <v>17.203708923674441</v>
      </c>
      <c r="C8" s="99"/>
      <c r="D8" s="100"/>
    </row>
    <row r="9" spans="1:4" s="96" customFormat="1" ht="24" customHeight="1" thickBot="1" x14ac:dyDescent="0.3">
      <c r="A9" s="104" t="s">
        <v>38</v>
      </c>
      <c r="B9" s="105">
        <v>174.60142374709579</v>
      </c>
      <c r="C9" s="106"/>
      <c r="D9" s="107"/>
    </row>
    <row r="10" spans="1:4" s="96" customFormat="1" ht="19" x14ac:dyDescent="0.25"/>
    <row r="11" spans="1:4" s="96" customFormat="1" ht="19" x14ac:dyDescent="0.25"/>
    <row r="12" spans="1:4" s="96" customFormat="1" ht="19" x14ac:dyDescent="0.25"/>
    <row r="13" spans="1:4" s="96" customFormat="1" ht="19" x14ac:dyDescent="0.25"/>
    <row r="14" spans="1:4" s="96" customFormat="1" ht="19" x14ac:dyDescent="0.25"/>
    <row r="15" spans="1:4" s="96" customFormat="1" ht="19" x14ac:dyDescent="0.25"/>
    <row r="16" spans="1:4" s="96" customFormat="1" ht="19" x14ac:dyDescent="0.25"/>
    <row r="17" s="96" customFormat="1" ht="19" x14ac:dyDescent="0.25"/>
    <row r="18" s="96" customFormat="1" ht="19" x14ac:dyDescent="0.25"/>
    <row r="19" s="96" customFormat="1" ht="19" x14ac:dyDescent="0.25"/>
    <row r="20" s="96" customFormat="1" ht="19" x14ac:dyDescent="0.25"/>
    <row r="21" s="96" customFormat="1" ht="19" x14ac:dyDescent="0.25"/>
    <row r="22" s="96" customFormat="1" ht="19" x14ac:dyDescent="0.25"/>
  </sheetData>
  <sheetProtection algorithmName="SHA-512" hashValue="9v1NhFVH6N6DeQyi8yr4InU56eB2GjORY+XDCa79u6DYIw/NASWbAA0ib9xRVB/h+ThRgpYS/D8EAdNuPciU2w==" saltValue="+qjHYks/6MY9aaIfjQywDA==" spinCount="100000" sheet="1" objects="1" scenarios="1" selectLockedCells="1"/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abelle2.ResetAusgabe">
                <anchor moveWithCells="1" sizeWithCells="1">
                  <from>
                    <xdr:col>1</xdr:col>
                    <xdr:colOff>25400</xdr:colOff>
                    <xdr:row>11</xdr:row>
                    <xdr:rowOff>12700</xdr:rowOff>
                  </from>
                  <to>
                    <xdr:col>2</xdr:col>
                    <xdr:colOff>723900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Tabelle2.BerechneAlleVarianten">
                <anchor moveWithCells="1" sizeWithCells="1">
                  <from>
                    <xdr:col>3</xdr:col>
                    <xdr:colOff>279400</xdr:colOff>
                    <xdr:row>11</xdr:row>
                    <xdr:rowOff>0</xdr:rowOff>
                  </from>
                  <to>
                    <xdr:col>3</xdr:col>
                    <xdr:colOff>4203700</xdr:colOff>
                    <xdr:row>12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Home</vt:lpstr>
      <vt:lpstr>9.3 Absteckung mit Tachymeter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Meile Jeremy</dc:creator>
  <cp:lastModifiedBy>Meile Jeremy</cp:lastModifiedBy>
  <dcterms:created xsi:type="dcterms:W3CDTF">2025-05-12T05:31:39Z</dcterms:created>
  <dcterms:modified xsi:type="dcterms:W3CDTF">2025-06-01T13:12:08Z</dcterms:modified>
</cp:coreProperties>
</file>