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schweizerischebau.sharepoint.com/sites/HTy-25/Shared Documents/General/Berechnungshilfen/GS Gerüstung/"/>
    </mc:Choice>
  </mc:AlternateContent>
  <xr:revisionPtr revIDLastSave="12" documentId="8_{92429F14-D6E1-4EF2-B836-209C98B55C51}" xr6:coauthVersionLast="47" xr6:coauthVersionMax="47" xr10:uidLastSave="{98E92D98-B860-4E6A-BA05-84A88A09458F}"/>
  <workbookProtection workbookAlgorithmName="SHA-512" workbookHashValue="ssEdqG0pXdnm6UwUiQoDo/+GRJOLeAevGXav9Qv1zPK0gzBqW20FFeqfkkbQgRn6rUv45kvfSYrvjeAqr0a1xg==" workbookSaltValue="x+KmbaRwElIcI/77Pid51Q==" workbookSpinCount="100000" lockStructure="1"/>
  <bookViews>
    <workbookView xWindow="12500" yWindow="1160" windowWidth="20000" windowHeight="20180" xr2:uid="{00000000-000D-0000-FFFF-FFFF00000000}"/>
  </bookViews>
  <sheets>
    <sheet name="Berechnungen" sheetId="1" r:id="rId1"/>
    <sheet name="Rundungen" sheetId="4" r:id="rId2"/>
    <sheet name="Doka20" sheetId="3" r:id="rId3"/>
    <sheet name="Durchlaufende Träger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D13" i="1" s="1"/>
  <c r="B13" i="1" l="1"/>
  <c r="D14" i="1" s="1"/>
  <c r="B79" i="1" l="1"/>
  <c r="D79" i="1" s="1"/>
  <c r="B68" i="1"/>
  <c r="D68" i="1" s="1"/>
  <c r="B78" i="1"/>
  <c r="D78" i="1" s="1"/>
  <c r="B71" i="1"/>
  <c r="D71" i="1" s="1"/>
  <c r="B64" i="1"/>
  <c r="D64" i="1" s="1"/>
  <c r="B77" i="1"/>
  <c r="D77" i="1" s="1"/>
  <c r="B69" i="1"/>
  <c r="D69" i="1" s="1"/>
  <c r="B65" i="1"/>
  <c r="D65" i="1" s="1"/>
  <c r="B80" i="1"/>
  <c r="D80" i="1" s="1"/>
  <c r="B73" i="1"/>
  <c r="D73" i="1" s="1"/>
  <c r="B72" i="1"/>
  <c r="D72" i="1" s="1"/>
  <c r="B70" i="1"/>
  <c r="D70" i="1" s="1"/>
  <c r="B67" i="1"/>
  <c r="D67" i="1" s="1"/>
  <c r="B66" i="1"/>
  <c r="D66" i="1" s="1"/>
  <c r="B14" i="1"/>
  <c r="B74" i="1" l="1" a="1"/>
  <c r="B74" i="1" s="1"/>
  <c r="B81" i="1" a="1"/>
  <c r="B81" i="1" s="1"/>
  <c r="B23" i="1"/>
  <c r="D23" i="1" s="1"/>
  <c r="B18" i="1"/>
  <c r="D18" i="1" s="1"/>
  <c r="B24" i="1"/>
  <c r="D24" i="1" s="1"/>
  <c r="B22" i="1"/>
  <c r="D22" i="1" s="1"/>
  <c r="B21" i="1"/>
  <c r="D21" i="1" s="1"/>
  <c r="B20" i="1"/>
  <c r="D20" i="1" s="1"/>
  <c r="B19" i="1"/>
  <c r="D19" i="1" s="1"/>
  <c r="B17" i="1"/>
  <c r="D17" i="1" s="1"/>
  <c r="B28" i="1" l="1"/>
  <c r="B2" i="4" l="1"/>
  <c r="A2" i="4" s="1"/>
  <c r="B29" i="1"/>
  <c r="D29" i="1" s="1"/>
  <c r="B3" i="4" l="1"/>
  <c r="A3" i="4" s="1"/>
  <c r="B30" i="1"/>
  <c r="D30" i="1" s="1"/>
  <c r="B4" i="4" l="1"/>
  <c r="A4" i="4" s="1"/>
  <c r="B31" i="1"/>
  <c r="D31" i="1" s="1"/>
  <c r="B5" i="4" l="1"/>
  <c r="A5" i="4" s="1"/>
  <c r="B32" i="1"/>
  <c r="D32" i="1" s="1"/>
  <c r="B33" i="1" l="1"/>
  <c r="B6" i="4"/>
  <c r="A6" i="4" s="1"/>
  <c r="D33" i="1" l="1"/>
  <c r="B7" i="4"/>
  <c r="A7" i="4" s="1"/>
  <c r="B34" i="1"/>
  <c r="D34" i="1" s="1"/>
  <c r="B35" i="1" l="1"/>
  <c r="D35" i="1" s="1"/>
  <c r="B8" i="4"/>
  <c r="A8" i="4" s="1"/>
  <c r="B9" i="4" l="1"/>
  <c r="A9" i="4" s="1"/>
  <c r="B36" i="1"/>
  <c r="D36" i="1" s="1"/>
  <c r="B37" i="1" l="1"/>
  <c r="B10" i="4"/>
  <c r="A10" i="4" s="1"/>
  <c r="B38" i="1" l="1"/>
  <c r="D38" i="1" s="1"/>
  <c r="D37" i="1"/>
  <c r="B12" i="4"/>
  <c r="A12" i="4" s="1"/>
  <c r="B39" i="1"/>
  <c r="D39" i="1" s="1"/>
  <c r="B11" i="4"/>
  <c r="A11" i="4" s="1"/>
  <c r="B13" i="4" l="1"/>
  <c r="A13" i="4" s="1"/>
  <c r="B40" i="1"/>
  <c r="D40" i="1" s="1"/>
  <c r="B41" i="1" l="1"/>
  <c r="D42" i="1" s="1"/>
  <c r="B14" i="4"/>
  <c r="A14" i="4" s="1"/>
  <c r="D41" i="1" l="1"/>
  <c r="B43" i="1" a="1"/>
  <c r="B43" i="1" s="1"/>
  <c r="B15" i="4"/>
  <c r="A15" i="4" s="1"/>
  <c r="B42" i="1"/>
  <c r="B16" i="4" s="1"/>
  <c r="A16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<sst xmlns="http://schemas.openxmlformats.org/spreadsheetml/2006/main" count="161" uniqueCount="98">
  <si>
    <t>Durchlaufträgerberechnung</t>
  </si>
  <si>
    <t>meile.jeremy@stud.bauschule.ch</t>
  </si>
  <si>
    <t>Parameter</t>
  </si>
  <si>
    <t>Wert</t>
  </si>
  <si>
    <t>Einheit</t>
  </si>
  <si>
    <t>System</t>
  </si>
  <si>
    <t>7 Felder</t>
  </si>
  <si>
    <t>&lt;-- Auswählen</t>
  </si>
  <si>
    <t>Stützenabstand (B)</t>
  </si>
  <si>
    <t>m</t>
  </si>
  <si>
    <t>&lt;-- Eingabe</t>
  </si>
  <si>
    <t>Deckenstärke (DOKA20 Tabelle)</t>
  </si>
  <si>
    <t>cm</t>
  </si>
  <si>
    <t>Querträgerabstand (c)</t>
  </si>
  <si>
    <t>Verteilte Last (q)</t>
  </si>
  <si>
    <t>kN/m²</t>
  </si>
  <si>
    <t>Biegesteifigkeit (EI)</t>
  </si>
  <si>
    <t>kNm²</t>
  </si>
  <si>
    <t>Dezimalstellen</t>
  </si>
  <si>
    <t>Lasten</t>
  </si>
  <si>
    <t>Resultat</t>
  </si>
  <si>
    <t>Lösungsweg</t>
  </si>
  <si>
    <t>Linienlast (q')</t>
  </si>
  <si>
    <t>kN/m</t>
  </si>
  <si>
    <t>Gesamtlast pro Feld</t>
  </si>
  <si>
    <t>kN</t>
  </si>
  <si>
    <t>Auflagerkräfte</t>
  </si>
  <si>
    <t>Auflagerkraft Lager (A):</t>
  </si>
  <si>
    <t>Auflagerkraft Lager (B):</t>
  </si>
  <si>
    <t>Auflagerkraft Lager (C):</t>
  </si>
  <si>
    <t>Auflagerkraft Lager (D):</t>
  </si>
  <si>
    <t>Auflagerkraft Lager (E):</t>
  </si>
  <si>
    <t>Auflagerkraft Lager (F):</t>
  </si>
  <si>
    <t>Auflagerkraft Lager (G):</t>
  </si>
  <si>
    <t>Auflagerkraft Lager (H):</t>
  </si>
  <si>
    <t>Querkräfte (Auflager, Position)</t>
  </si>
  <si>
    <t>Start bei 0</t>
  </si>
  <si>
    <t>Querkraft (A, oben)</t>
  </si>
  <si>
    <t>Querkraft (B, unten)</t>
  </si>
  <si>
    <t>Querkraft (B, oben)</t>
  </si>
  <si>
    <t>Querkraft (C, unten)</t>
  </si>
  <si>
    <t>Querkraft (C, oben)</t>
  </si>
  <si>
    <t>Querkraft (D, unten)</t>
  </si>
  <si>
    <t>Querkraft (D, oben)</t>
  </si>
  <si>
    <t>Querkraft  (E, unten)</t>
  </si>
  <si>
    <t>Querkraft (E, oben)</t>
  </si>
  <si>
    <t>Querkraft (F, unten)</t>
  </si>
  <si>
    <t>Querkraft (F, oben)</t>
  </si>
  <si>
    <t>Querkraft (G, unten)</t>
  </si>
  <si>
    <t>Querkraft (G, oben)</t>
  </si>
  <si>
    <t>Querkraft (H, unten)</t>
  </si>
  <si>
    <t>Maximale Querkraft (Vmax)</t>
  </si>
  <si>
    <t>Biegemoment M</t>
  </si>
  <si>
    <t>M1</t>
  </si>
  <si>
    <t>kNm</t>
  </si>
  <si>
    <t>M2​</t>
  </si>
  <si>
    <t>M3</t>
  </si>
  <si>
    <t>M4</t>
  </si>
  <si>
    <r>
      <t>Biegemoment an der Stütze </t>
    </r>
    <r>
      <rPr>
        <sz val="11"/>
        <color rgb="FF000000"/>
        <rFont val="Calibri"/>
        <family val="2"/>
        <scheme val="minor"/>
      </rPr>
      <t>MB</t>
    </r>
  </si>
  <si>
    <r>
      <t>Biegemoment an der Stütze </t>
    </r>
    <r>
      <rPr>
        <sz val="11"/>
        <color rgb="FF000000"/>
        <rFont val="Calibri"/>
        <family val="2"/>
        <scheme val="minor"/>
      </rPr>
      <t>MC</t>
    </r>
  </si>
  <si>
    <r>
      <t>Biegemoment an der Stütze </t>
    </r>
    <r>
      <rPr>
        <sz val="11"/>
        <color rgb="FF000000"/>
        <rFont val="Calibri"/>
        <family val="2"/>
        <scheme val="minor"/>
      </rPr>
      <t>MD</t>
    </r>
  </si>
  <si>
    <r>
      <t>Biegemoment an der Stütze </t>
    </r>
    <r>
      <rPr>
        <sz val="11"/>
        <color rgb="FF000000"/>
        <rFont val="Calibri"/>
        <family val="2"/>
        <scheme val="minor"/>
      </rPr>
      <t>ME</t>
    </r>
  </si>
  <si>
    <r>
      <t>Biegemoment an der Stütze </t>
    </r>
    <r>
      <rPr>
        <sz val="11"/>
        <color rgb="FF000000"/>
        <rFont val="Calibri"/>
        <family val="2"/>
        <scheme val="minor"/>
      </rPr>
      <t>MF</t>
    </r>
  </si>
  <si>
    <r>
      <t>Biegemoment an der Stütze </t>
    </r>
    <r>
      <rPr>
        <sz val="11"/>
        <color rgb="FF000000"/>
        <rFont val="Calibri"/>
        <family val="2"/>
        <scheme val="minor"/>
      </rPr>
      <t>MG</t>
    </r>
  </si>
  <si>
    <t>Maximales Biegemoment (Mmax)</t>
  </si>
  <si>
    <t>Durchbiegung W</t>
  </si>
  <si>
    <r>
      <t>Durchbiegung </t>
    </r>
    <r>
      <rPr>
        <sz val="11"/>
        <color rgb="FF000000"/>
        <rFont val="Calibri"/>
        <family val="2"/>
        <scheme val="minor"/>
      </rPr>
      <t>W1</t>
    </r>
  </si>
  <si>
    <t>mm</t>
  </si>
  <si>
    <r>
      <t>Durchbiegung </t>
    </r>
    <r>
      <rPr>
        <sz val="11"/>
        <color rgb="FF000000"/>
        <rFont val="Calibri"/>
        <family val="2"/>
        <scheme val="minor"/>
      </rPr>
      <t>W2</t>
    </r>
  </si>
  <si>
    <r>
      <t>Durchbiegung </t>
    </r>
    <r>
      <rPr>
        <sz val="11"/>
        <color rgb="FF000000"/>
        <rFont val="Calibri"/>
        <family val="2"/>
        <scheme val="minor"/>
      </rPr>
      <t>W3</t>
    </r>
  </si>
  <si>
    <r>
      <t>Durchbiegung </t>
    </r>
    <r>
      <rPr>
        <sz val="11"/>
        <color rgb="FF000000"/>
        <rFont val="Calibri"/>
        <family val="2"/>
        <scheme val="minor"/>
      </rPr>
      <t>W4</t>
    </r>
  </si>
  <si>
    <t>Maximale Durchbiegung</t>
  </si>
  <si>
    <t>Deckenstärke [cm]</t>
  </si>
  <si>
    <t>Deckenlast [kN/m²]</t>
  </si>
  <si>
    <t>A</t>
  </si>
  <si>
    <t>B</t>
  </si>
  <si>
    <t>C</t>
  </si>
  <si>
    <t>D</t>
  </si>
  <si>
    <t>E</t>
  </si>
  <si>
    <t>F</t>
  </si>
  <si>
    <t>G</t>
  </si>
  <si>
    <t>H</t>
  </si>
  <si>
    <t>M2</t>
  </si>
  <si>
    <t>MB</t>
  </si>
  <si>
    <t>MC</t>
  </si>
  <si>
    <t>MD</t>
  </si>
  <si>
    <t>ME</t>
  </si>
  <si>
    <t>MF</t>
  </si>
  <si>
    <t>MG</t>
  </si>
  <si>
    <t>w1</t>
  </si>
  <si>
    <t>w2</t>
  </si>
  <si>
    <t>w3</t>
  </si>
  <si>
    <t>w4</t>
  </si>
  <si>
    <t>2 Felder</t>
  </si>
  <si>
    <t>3 Felder</t>
  </si>
  <si>
    <t>4 Felder</t>
  </si>
  <si>
    <t>5 Felder</t>
  </si>
  <si>
    <t>6 Felder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</si>
</sst>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00"/>
    <numFmt numFmtId="165" formatCode="#,##0.000"/>
    <numFmt numFmtId="166" formatCode="#,##0.0000"/>
  </numFmts>
  <fonts count="1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/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B2B2B2"/>
      </right>
      <top style="medium">
        <color indexed="64"/>
      </top>
      <bottom/>
      <diagonal/>
    </border>
    <border>
      <left style="thin">
        <color indexed="64"/>
      </left>
      <right style="thin">
        <color rgb="FFB2B2B2"/>
      </right>
      <top/>
      <bottom/>
      <diagonal/>
    </border>
    <border>
      <left style="thin">
        <color indexed="64"/>
      </left>
      <right style="thin">
        <color rgb="FFB2B2B2"/>
      </right>
      <top/>
      <bottom style="medium">
        <color indexed="64"/>
      </bottom>
      <diagonal/>
    </border>
  </borders>
  <cellStyleXfs count="5">
    <xf numFmtId="0" fontId="0" fillId="0" borderId="0"/>
    <xf numFmtId="0" fontId="4" fillId="2" borderId="3" applyNumberFormat="0" applyAlignment="0" applyProtection="0"/>
    <xf numFmtId="0" fontId="5" fillId="3" borderId="4" applyNumberFormat="0" applyAlignment="0" applyProtection="0"/>
    <xf numFmtId="0" fontId="3" fillId="4" borderId="5" applyNumberFormat="0" applyFont="0" applyAlignment="0" applyProtection="0"/>
    <xf numFmtId="0" fontId="11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7" fillId="0" borderId="6" xfId="0" applyFont="1" applyBorder="1" applyAlignment="1">
      <alignment horizontal="center" vertical="top"/>
    </xf>
    <xf numFmtId="164" fontId="0" fillId="0" borderId="0" xfId="0" applyNumberFormat="1"/>
    <xf numFmtId="2" fontId="0" fillId="0" borderId="9" xfId="0" applyNumberFormat="1" applyBorder="1"/>
    <xf numFmtId="2" fontId="0" fillId="0" borderId="21" xfId="0" applyNumberFormat="1" applyBorder="1"/>
    <xf numFmtId="2" fontId="0" fillId="0" borderId="13" xfId="0" applyNumberFormat="1" applyBorder="1"/>
    <xf numFmtId="1" fontId="0" fillId="0" borderId="7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65" fontId="0" fillId="0" borderId="0" xfId="0" applyNumberFormat="1"/>
    <xf numFmtId="165" fontId="0" fillId="0" borderId="12" xfId="0" applyNumberFormat="1" applyBorder="1"/>
    <xf numFmtId="165" fontId="0" fillId="0" borderId="8" xfId="0" applyNumberFormat="1" applyBorder="1"/>
    <xf numFmtId="0" fontId="7" fillId="5" borderId="18" xfId="0" applyFont="1" applyFill="1" applyBorder="1"/>
    <xf numFmtId="0" fontId="9" fillId="5" borderId="19" xfId="0" applyFont="1" applyFill="1" applyBorder="1"/>
    <xf numFmtId="0" fontId="9" fillId="5" borderId="20" xfId="0" applyFont="1" applyFill="1" applyBorder="1"/>
    <xf numFmtId="0" fontId="0" fillId="0" borderId="7" xfId="0" applyBorder="1"/>
    <xf numFmtId="166" fontId="0" fillId="0" borderId="8" xfId="0" applyNumberFormat="1" applyBorder="1"/>
    <xf numFmtId="0" fontId="0" fillId="0" borderId="25" xfId="0" applyBorder="1"/>
    <xf numFmtId="0" fontId="0" fillId="4" borderId="14" xfId="3" applyFont="1" applyBorder="1" applyProtection="1"/>
    <xf numFmtId="0" fontId="0" fillId="0" borderId="11" xfId="0" applyBorder="1"/>
    <xf numFmtId="166" fontId="0" fillId="0" borderId="12" xfId="0" applyNumberFormat="1" applyBorder="1"/>
    <xf numFmtId="0" fontId="0" fillId="0" borderId="27" xfId="0" applyBorder="1"/>
    <xf numFmtId="0" fontId="0" fillId="4" borderId="16" xfId="3" applyFont="1" applyBorder="1" applyProtection="1"/>
    <xf numFmtId="0" fontId="0" fillId="6" borderId="10" xfId="0" applyFill="1" applyBorder="1"/>
    <xf numFmtId="0" fontId="0" fillId="4" borderId="17" xfId="3" applyFont="1" applyBorder="1" applyProtection="1"/>
    <xf numFmtId="0" fontId="0" fillId="7" borderId="10" xfId="0" applyFill="1" applyBorder="1"/>
    <xf numFmtId="0" fontId="0" fillId="0" borderId="26" xfId="0" applyBorder="1"/>
    <xf numFmtId="0" fontId="0" fillId="8" borderId="10" xfId="0" applyFill="1" applyBorder="1"/>
    <xf numFmtId="0" fontId="0" fillId="9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applyFill="1" applyBorder="1"/>
    <xf numFmtId="0" fontId="0" fillId="13" borderId="11" xfId="0" applyFill="1" applyBorder="1"/>
    <xf numFmtId="0" fontId="0" fillId="0" borderId="1" xfId="0" applyBorder="1"/>
    <xf numFmtId="0" fontId="0" fillId="0" borderId="23" xfId="0" applyBorder="1"/>
    <xf numFmtId="0" fontId="0" fillId="0" borderId="21" xfId="0" applyBorder="1"/>
    <xf numFmtId="0" fontId="0" fillId="13" borderId="10" xfId="0" applyFill="1" applyBorder="1"/>
    <xf numFmtId="0" fontId="0" fillId="0" borderId="24" xfId="0" applyBorder="1"/>
    <xf numFmtId="0" fontId="7" fillId="0" borderId="18" xfId="0" applyFont="1" applyBorder="1"/>
    <xf numFmtId="0" fontId="0" fillId="0" borderId="19" xfId="0" applyBorder="1"/>
    <xf numFmtId="0" fontId="0" fillId="0" borderId="20" xfId="0" applyBorder="1"/>
    <xf numFmtId="0" fontId="7" fillId="0" borderId="7" xfId="0" applyFont="1" applyBorder="1"/>
    <xf numFmtId="0" fontId="7" fillId="0" borderId="8" xfId="0" applyFont="1" applyBorder="1"/>
    <xf numFmtId="0" fontId="0" fillId="0" borderId="8" xfId="0" applyBorder="1"/>
    <xf numFmtId="0" fontId="0" fillId="0" borderId="9" xfId="0" applyBorder="1"/>
    <xf numFmtId="0" fontId="7" fillId="0" borderId="10" xfId="0" applyFont="1" applyBorder="1"/>
    <xf numFmtId="0" fontId="7" fillId="0" borderId="0" xfId="0" applyFont="1"/>
    <xf numFmtId="0" fontId="7" fillId="0" borderId="11" xfId="0" applyFont="1" applyBorder="1"/>
    <xf numFmtId="0" fontId="7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0" xfId="0" applyBorder="1"/>
    <xf numFmtId="165" fontId="0" fillId="0" borderId="2" xfId="0" applyNumberFormat="1" applyBorder="1"/>
    <xf numFmtId="0" fontId="2" fillId="0" borderId="10" xfId="0" applyFont="1" applyBorder="1"/>
    <xf numFmtId="165" fontId="0" fillId="0" borderId="15" xfId="0" applyNumberFormat="1" applyBorder="1"/>
    <xf numFmtId="0" fontId="0" fillId="0" borderId="13" xfId="0" quotePrefix="1" applyBorder="1"/>
    <xf numFmtId="0" fontId="0" fillId="0" borderId="21" xfId="0" quotePrefix="1" applyBorder="1"/>
    <xf numFmtId="0" fontId="5" fillId="3" borderId="4" xfId="2" applyProtection="1"/>
    <xf numFmtId="0" fontId="1" fillId="0" borderId="8" xfId="0" applyFont="1" applyBorder="1"/>
    <xf numFmtId="0" fontId="1" fillId="5" borderId="18" xfId="0" applyFont="1" applyFill="1" applyBorder="1"/>
    <xf numFmtId="0" fontId="1" fillId="5" borderId="19" xfId="0" applyFont="1" applyFill="1" applyBorder="1"/>
    <xf numFmtId="0" fontId="0" fillId="5" borderId="20" xfId="0" applyFill="1" applyBorder="1"/>
    <xf numFmtId="0" fontId="6" fillId="2" borderId="3" xfId="1" applyFont="1" applyAlignment="1" applyProtection="1">
      <alignment horizontal="right"/>
      <protection locked="0"/>
    </xf>
    <xf numFmtId="0" fontId="6" fillId="2" borderId="3" xfId="1" applyFont="1" applyProtection="1">
      <protection locked="0"/>
    </xf>
    <xf numFmtId="0" fontId="6" fillId="2" borderId="22" xfId="1" applyFont="1" applyBorder="1" applyProtection="1">
      <protection locked="0"/>
    </xf>
    <xf numFmtId="0" fontId="10" fillId="14" borderId="18" xfId="0" applyFont="1" applyFill="1" applyBorder="1"/>
    <xf numFmtId="0" fontId="10" fillId="14" borderId="19" xfId="0" applyFont="1" applyFill="1" applyBorder="1"/>
    <xf numFmtId="0" fontId="12" fillId="14" borderId="20" xfId="4" applyFont="1" applyFill="1" applyBorder="1" applyAlignment="1" applyProtection="1">
      <alignment horizontal="right"/>
    </xf>
    <xf numFmtId="166" fontId="7" fillId="0" borderId="19" xfId="0" applyNumberFormat="1" applyFont="1" applyBorder="1"/>
    <xf numFmtId="166" fontId="8" fillId="0" borderId="19" xfId="0" applyNumberFormat="1" applyFont="1" applyBorder="1"/>
  </cellXfs>
  <cellStyles count="5">
    <cellStyle name="Ausgabe" xfId="2" builtinId="21"/>
    <cellStyle name="Eingabe" xfId="1" builtinId="20"/>
    <cellStyle name="Link" xfId="4" builtinId="8"/>
    <cellStyle name="Notiz" xfId="3" builtinId="10"/>
    <cellStyle name="Standard" xfId="0" builtinId="0"/>
  </cellStyles>
  <dxfs count="28"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numFmt numFmtId="164" formatCode="0.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Light16">
    <tableStyle name="Invisible" pivot="0" table="0" count="0" xr9:uid="{D322935D-6EBA-414F-998E-9264875414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7986742585195888E-3"/>
          <c:y val="1.8871485185884128E-2"/>
          <c:w val="0.9898019886122208"/>
          <c:h val="0.97357992073976218"/>
        </c:manualLayout>
      </c:layout>
      <c:scatterChart>
        <c:scatterStyle val="lineMarker"/>
        <c:varyColors val="0"/>
        <c:ser>
          <c:idx val="0"/>
          <c:order val="0"/>
          <c:tx>
            <c:strRef>
              <c:f>Berechnungen!$A$26</c:f>
              <c:strCache>
                <c:ptCount val="1"/>
                <c:pt idx="0">
                  <c:v>Querkräfte (Auflager, Position)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Rundungen!$C$1:$C$16</c:f>
              <c:numCache>
                <c:formatCode>0.00</c:formatCode>
                <c:ptCount val="1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</c:numCache>
            </c:numRef>
          </c:xVal>
          <c:yVal>
            <c:numRef>
              <c:f>Rundungen!$B$1:$B$16</c:f>
              <c:numCache>
                <c:formatCode>#,##0.000</c:formatCode>
                <c:ptCount val="16"/>
                <c:pt idx="0">
                  <c:v>0</c:v>
                </c:pt>
                <c:pt idx="1">
                  <c:v>1.6532240000000002</c:v>
                </c:pt>
                <c:pt idx="2">
                  <c:v>-2.5427760000000004</c:v>
                </c:pt>
                <c:pt idx="3">
                  <c:v>2.2154880000000001</c:v>
                </c:pt>
                <c:pt idx="4">
                  <c:v>-1.9805120000000005</c:v>
                </c:pt>
                <c:pt idx="5">
                  <c:v>2.0686279999999999</c:v>
                </c:pt>
                <c:pt idx="6">
                  <c:v>-2.1273720000000007</c:v>
                </c:pt>
                <c:pt idx="7">
                  <c:v>2.0979999999999994</c:v>
                </c:pt>
                <c:pt idx="8">
                  <c:v>-2.0980000000000012</c:v>
                </c:pt>
                <c:pt idx="9">
                  <c:v>2.1273719999999989</c:v>
                </c:pt>
                <c:pt idx="10">
                  <c:v>-2.0686280000000017</c:v>
                </c:pt>
                <c:pt idx="11">
                  <c:v>1.9805119999999987</c:v>
                </c:pt>
                <c:pt idx="12">
                  <c:v>-2.2154880000000019</c:v>
                </c:pt>
                <c:pt idx="13">
                  <c:v>2.5427759999999986</c:v>
                </c:pt>
                <c:pt idx="14">
                  <c:v>-1.653224000000002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3C-4D46-A500-FF25F400A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810479"/>
        <c:axId val="726260223"/>
      </c:scatterChart>
      <c:valAx>
        <c:axId val="172810479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high"/>
        <c:crossAx val="726260223"/>
        <c:crosses val="autoZero"/>
        <c:crossBetween val="midCat"/>
        <c:majorUnit val="1"/>
        <c:minorUnit val="1"/>
      </c:valAx>
      <c:valAx>
        <c:axId val="726260223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crossAx val="172810479"/>
        <c:crosses val="autoZero"/>
        <c:crossBetween val="midCat"/>
      </c:valAx>
      <c:spPr>
        <a:noFill/>
        <a:ln cap="sq">
          <a:noFill/>
          <a:miter lim="800000"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>
      <a:outerShdw blurRad="88375" dist="50800" sx="1000" sy="1000" algn="ctr" rotWithShape="0">
        <a:srgbClr val="000000"/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43</xdr:row>
      <xdr:rowOff>22860</xdr:rowOff>
    </xdr:from>
    <xdr:to>
      <xdr:col>3</xdr:col>
      <xdr:colOff>3641090</xdr:colOff>
      <xdr:row>60</xdr:row>
      <xdr:rowOff>149225</xdr:rowOff>
    </xdr:to>
    <xdr:graphicFrame macro="">
      <xdr:nvGraphicFramePr>
        <xdr:cNvPr id="15" name="Diagramm 14" descr="A">
          <a:extLst>
            <a:ext uri="{FF2B5EF4-FFF2-40B4-BE49-F238E27FC236}">
              <a16:creationId xmlns:a16="http://schemas.microsoft.com/office/drawing/2014/main" id="{C39E4A30-65AF-22E3-B362-1486F0A07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DE5634-0A75-8A4A-A586-11828C3F09D7}" name="Tabelle2" displayName="Tabelle2" ref="A1:B16" totalsRowShown="0" headerRowDxfId="27" headerRowBorderDxfId="25" tableBorderDxfId="26">
  <autoFilter ref="A1:B16" xr:uid="{3ADE5634-0A75-8A4A-A586-11828C3F09D7}"/>
  <tableColumns count="2">
    <tableColumn id="1" xr3:uid="{B885EC0A-CABF-854B-A10E-18B75A743E01}" name="Deckenstärke [cm]"/>
    <tableColumn id="2" xr3:uid="{EA8B5267-7AD5-BF48-9407-42D7413A8975}" name="Deckenlast [kN/m²]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1CA714-B8D0-EA45-A423-D9922DDCA3DF}" name="Tabelle1" displayName="Tabelle1" ref="A1:W7" totalsRowShown="0" headerRowDxfId="24" dataDxfId="23">
  <autoFilter ref="A1:W7" xr:uid="{021CA714-B8D0-EA45-A423-D9922DDCA3DF}"/>
  <tableColumns count="23">
    <tableColumn id="1" xr3:uid="{C19BC19A-5AE1-E442-AB8C-B3B3A7EAF611}" name="System" dataDxfId="22"/>
    <tableColumn id="2" xr3:uid="{F706DE96-09EA-8B47-916B-1254191BE4AB}" name="A" dataDxfId="21"/>
    <tableColumn id="3" xr3:uid="{AC3772F5-55AB-9B42-A6B6-C2086BA657AF}" name="B" dataDxfId="20"/>
    <tableColumn id="4" xr3:uid="{3EDD443C-EF78-4049-9D47-FE0C5F97557F}" name="C" dataDxfId="19"/>
    <tableColumn id="5" xr3:uid="{84FD1C9C-45B5-7B4E-9212-69C94892B8B3}" name="D" dataDxfId="18"/>
    <tableColumn id="6" xr3:uid="{C38C9F31-A2F0-FD44-AED6-56B84D6EBA61}" name="E" dataDxfId="17"/>
    <tableColumn id="7" xr3:uid="{BB80A034-F1B1-CB4A-971D-AD1DBC655039}" name="F" dataDxfId="16"/>
    <tableColumn id="8" xr3:uid="{015EC131-7201-1C48-8F1D-3CD268C519C9}" name="G" dataDxfId="15"/>
    <tableColumn id="9" xr3:uid="{4A0D1138-08D7-8543-80D8-ED48EFD308BA}" name="H" dataDxfId="14"/>
    <tableColumn id="10" xr3:uid="{0092A306-11BA-7540-B2A5-B313B080FC77}" name="M1" dataDxfId="13"/>
    <tableColumn id="11" xr3:uid="{BC22AEB5-4A76-DA4C-B6CB-667D5488C178}" name="M2" dataDxfId="12"/>
    <tableColumn id="12" xr3:uid="{AAF46659-F52F-D64E-ADE2-D62E4A8152D4}" name="M3" dataDxfId="11"/>
    <tableColumn id="13" xr3:uid="{499C1FAC-0C1F-3645-8D60-D9ABFC4AF05F}" name="M4" dataDxfId="10"/>
    <tableColumn id="14" xr3:uid="{1786224D-7FFD-674C-81B3-EEF4FA51583A}" name="MB" dataDxfId="9"/>
    <tableColumn id="15" xr3:uid="{AEAB42C2-B9D8-AC47-B004-414FD8397592}" name="MC" dataDxfId="8"/>
    <tableColumn id="23" xr3:uid="{BA8675D0-6AA9-1C43-9448-6403C0D0FD73}" name="MD" dataDxfId="7"/>
    <tableColumn id="22" xr3:uid="{3046771B-E3D9-304A-B096-41C9FA19132D}" name="ME" dataDxfId="6"/>
    <tableColumn id="21" xr3:uid="{5D184513-45A3-514E-9D9A-68A0E2360EAB}" name="MF" dataDxfId="5"/>
    <tableColumn id="24" xr3:uid="{A345ECFF-AE76-E749-80A6-0BA44537826D}" name="MG" dataDxfId="4"/>
    <tableColumn id="16" xr3:uid="{250904E4-4E8A-6045-A1A1-00FB579B522D}" name="w1" dataDxfId="3"/>
    <tableColumn id="17" xr3:uid="{8617DBC7-3D33-3B49-B8B2-0490332461FD}" name="w2" dataDxfId="2"/>
    <tableColumn id="18" xr3:uid="{5EB45E04-B2F5-5A44-9E5F-D2DEAF4D8E21}" name="w3" dataDxfId="1"/>
    <tableColumn id="19" xr3:uid="{5B996D3F-BBA9-B843-A3D6-9AF2E422E607}" name="w4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ile.jeremy@stud.bauschule.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showGridLines="0" tabSelected="1" topLeftCell="A4" zoomScale="115" zoomScaleNormal="115" workbookViewId="0">
      <selection activeCell="B6" sqref="B6"/>
    </sheetView>
  </sheetViews>
  <sheetFormatPr defaultColWidth="8.85546875" defaultRowHeight="15"/>
  <cols>
    <col min="1" max="1" width="37" bestFit="1" customWidth="1"/>
    <col min="2" max="2" width="13.7109375" customWidth="1"/>
    <col min="3" max="3" width="6.85546875" customWidth="1"/>
    <col min="4" max="4" width="55" customWidth="1"/>
  </cols>
  <sheetData>
    <row r="1" spans="1:4" ht="20.100000000000001" thickBot="1">
      <c r="A1" s="66" t="s">
        <v>0</v>
      </c>
      <c r="B1" s="67"/>
      <c r="C1" s="67"/>
      <c r="D1" s="68" t="s">
        <v>1</v>
      </c>
    </row>
    <row r="2" spans="1:4" ht="15.95" thickBot="1"/>
    <row r="3" spans="1:4" ht="15.95" thickBot="1">
      <c r="A3" s="60" t="s">
        <v>2</v>
      </c>
      <c r="B3" s="61" t="s">
        <v>3</v>
      </c>
      <c r="C3" s="61" t="s">
        <v>4</v>
      </c>
      <c r="D3" s="62"/>
    </row>
    <row r="4" spans="1:4" ht="15.95">
      <c r="A4" s="16" t="s">
        <v>5</v>
      </c>
      <c r="B4" s="63" t="s">
        <v>6</v>
      </c>
      <c r="C4" s="59"/>
      <c r="D4" s="57" t="s">
        <v>7</v>
      </c>
    </row>
    <row r="5" spans="1:4" ht="15.95">
      <c r="A5" s="52" t="s">
        <v>8</v>
      </c>
      <c r="B5" s="64">
        <v>0.8</v>
      </c>
      <c r="C5" t="s">
        <v>9</v>
      </c>
      <c r="D5" s="57" t="s">
        <v>10</v>
      </c>
    </row>
    <row r="6" spans="1:4" ht="15.95">
      <c r="A6" s="52" t="s">
        <v>11</v>
      </c>
      <c r="B6" s="64">
        <v>35</v>
      </c>
      <c r="C6" t="s">
        <v>12</v>
      </c>
      <c r="D6" s="57" t="s">
        <v>7</v>
      </c>
    </row>
    <row r="7" spans="1:4" ht="15.95">
      <c r="A7" s="52" t="s">
        <v>13</v>
      </c>
      <c r="B7" s="64">
        <v>0.5</v>
      </c>
      <c r="C7" t="s">
        <v>9</v>
      </c>
      <c r="D7" s="57" t="s">
        <v>10</v>
      </c>
    </row>
    <row r="8" spans="1:4" ht="15.95">
      <c r="A8" s="52" t="s">
        <v>14</v>
      </c>
      <c r="B8" s="58">
        <f>VLOOKUP(Berechnungen!B6,Tabelle2[],2,FALSE)</f>
        <v>10.49</v>
      </c>
      <c r="C8" t="s">
        <v>15</v>
      </c>
      <c r="D8" s="57"/>
    </row>
    <row r="9" spans="1:4" ht="15.95">
      <c r="A9" s="52" t="s">
        <v>16</v>
      </c>
      <c r="B9" s="64">
        <v>450</v>
      </c>
      <c r="C9" t="s">
        <v>17</v>
      </c>
      <c r="D9" s="57" t="s">
        <v>10</v>
      </c>
    </row>
    <row r="10" spans="1:4" ht="17.100000000000001" thickBot="1">
      <c r="A10" s="20" t="s">
        <v>18</v>
      </c>
      <c r="B10" s="65">
        <v>3</v>
      </c>
      <c r="C10" s="50"/>
      <c r="D10" s="56" t="s">
        <v>10</v>
      </c>
    </row>
    <row r="11" spans="1:4" ht="15.95" thickBot="1"/>
    <row r="12" spans="1:4" ht="15.95" thickBot="1">
      <c r="A12" s="13" t="s">
        <v>19</v>
      </c>
      <c r="B12" s="14" t="s">
        <v>20</v>
      </c>
      <c r="C12" s="14" t="s">
        <v>4</v>
      </c>
      <c r="D12" s="15" t="s">
        <v>21</v>
      </c>
    </row>
    <row r="13" spans="1:4">
      <c r="A13" s="16" t="s">
        <v>22</v>
      </c>
      <c r="B13" s="17">
        <f>(B8*B7)</f>
        <v>5.2450000000000001</v>
      </c>
      <c r="C13" s="18" t="s">
        <v>23</v>
      </c>
      <c r="D13" s="19" t="str">
        <f>B8 &amp; " kN/m * " &amp; ROUND(B7, B10) &amp; " m = " &amp; ROUND(B8 * ROUND(B7, B10), B10) &amp; " kN"</f>
        <v>10.49 kN/m * 0.5 m = 5.245 kN</v>
      </c>
    </row>
    <row r="14" spans="1:4" ht="15.95" thickBot="1">
      <c r="A14" s="20" t="s">
        <v>24</v>
      </c>
      <c r="B14" s="21">
        <f>(B13*B5)</f>
        <v>4.1960000000000006</v>
      </c>
      <c r="C14" s="22" t="s">
        <v>25</v>
      </c>
      <c r="D14" s="23" t="str">
        <f>B13 &amp; " kN * " &amp; ROUND(B5, B10) &amp; " = " &amp; ROUND(B13 * ROUND(B5, B10), B10) &amp; " kN"</f>
        <v>5.245 kN * 0.8 = 4.196 kN</v>
      </c>
    </row>
    <row r="15" spans="1:4" ht="15.95" thickBot="1"/>
    <row r="16" spans="1:4" ht="15.95" thickBot="1">
      <c r="A16" s="13" t="s">
        <v>26</v>
      </c>
      <c r="B16" s="14" t="s">
        <v>20</v>
      </c>
      <c r="C16" s="14" t="s">
        <v>4</v>
      </c>
      <c r="D16" s="15" t="s">
        <v>21</v>
      </c>
    </row>
    <row r="17" spans="1:4">
      <c r="A17" s="24" t="s">
        <v>27</v>
      </c>
      <c r="B17" s="10">
        <f>VLOOKUP(B4,'Durchlaufende Träger'!$A$2:$B$7,2,FALSE)*B14</f>
        <v>1.6532240000000002</v>
      </c>
      <c r="C17" s="18" t="s">
        <v>25</v>
      </c>
      <c r="D17" s="25" t="str">
        <f>IF(B17=0, "", VLOOKUP(B4, 'Durchlaufende Träger'!$A$2:$B$7, 2, FALSE) &amp; " * " &amp; ROUND(B14, B10) &amp; " kN = " &amp; ROUND(VLOOKUP(B4, 'Durchlaufende Träger'!$A$2:$B$7, 2, FALSE) * ROUND(B14, B10), B10) &amp; " kN")</f>
        <v>0.394 * 4.196 kN = 1.653 kN</v>
      </c>
    </row>
    <row r="18" spans="1:4">
      <c r="A18" s="26" t="s">
        <v>28</v>
      </c>
      <c r="B18" s="10">
        <f>VLOOKUP(B4,'Durchlaufende Träger'!$A$2:$C$7,3,FALSE)*B14</f>
        <v>4.7582640000000005</v>
      </c>
      <c r="C18" s="27" t="s">
        <v>25</v>
      </c>
      <c r="D18" s="19" t="str">
        <f>IF(B18=0, "", VLOOKUP(B4, 'Durchlaufende Träger'!$A$2:$C$7, 3, FALSE) &amp; " * " &amp; ROUND(B14, B10) &amp; " kN = " &amp; ROUND(VLOOKUP(B4, 'Durchlaufende Träger'!$A$2:$C$7, 3, FALSE) * ROUND(B14, B10), B10) &amp; " kN")</f>
        <v>1.134 * 4.196 kN = 4.758 kN</v>
      </c>
    </row>
    <row r="19" spans="1:4">
      <c r="A19" s="28" t="s">
        <v>29</v>
      </c>
      <c r="B19" s="10">
        <f>VLOOKUP(B4,'Durchlaufende Träger'!$A$2:$D$7,4,FALSE)*B14</f>
        <v>4.0491400000000004</v>
      </c>
      <c r="C19" s="27" t="s">
        <v>25</v>
      </c>
      <c r="D19" s="19" t="str">
        <f>IF(B19=0, "", VLOOKUP(B4, 'Durchlaufende Träger'!$A$2:$D$7, 4, FALSE) &amp; " * " &amp; ROUND(B14, B10) &amp; " kN = " &amp; ROUND(VLOOKUP(B4, 'Durchlaufende Träger'!$A$2:$D$7, 4, FALSE) * ROUND(B14, B10), B10) &amp; " kN")</f>
        <v>0.965 * 4.196 kN = 4.049 kN</v>
      </c>
    </row>
    <row r="20" spans="1:4">
      <c r="A20" s="29" t="s">
        <v>30</v>
      </c>
      <c r="B20" s="10">
        <f>VLOOKUP(B4,'Durchlaufende Träger'!$A$2:$E$7,5,FALSE)*B14</f>
        <v>4.2253720000000001</v>
      </c>
      <c r="C20" s="27" t="s">
        <v>25</v>
      </c>
      <c r="D20" s="19" t="str">
        <f>IF(B20=0, "", VLOOKUP(B4, 'Durchlaufende Träger'!$A$2:$E$7, 5, FALSE) &amp; " * " &amp; ROUND(B14, B10) &amp; " kN = " &amp; ROUND(VLOOKUP(B4, 'Durchlaufende Träger'!$A$2:$E$7, 5, FALSE) * ROUND(B14, B10), B10) &amp; " kN")</f>
        <v>1.007 * 4.196 kN = 4.225 kN</v>
      </c>
    </row>
    <row r="21" spans="1:4">
      <c r="A21" s="30" t="s">
        <v>31</v>
      </c>
      <c r="B21" s="10">
        <f>VLOOKUP(B4,'Durchlaufende Träger'!$A$2:$F$7,6,FALSE)*B14</f>
        <v>4.2253720000000001</v>
      </c>
      <c r="C21" s="27" t="s">
        <v>25</v>
      </c>
      <c r="D21" s="19" t="str">
        <f>IF(B21=0, "", VLOOKUP(B4, 'Durchlaufende Träger'!$A$2:$F$7, 6, FALSE) &amp; " * " &amp; ROUND(B14, B10) &amp; " kN = " &amp; ROUND(VLOOKUP(B4, 'Durchlaufende Träger'!$A$2:$F$7, 6, FALSE) * ROUND(B14, B10), B10) &amp; " kN")</f>
        <v>1.007 * 4.196 kN = 4.225 kN</v>
      </c>
    </row>
    <row r="22" spans="1:4">
      <c r="A22" s="31" t="s">
        <v>32</v>
      </c>
      <c r="B22" s="10">
        <f>VLOOKUP(B4,'Durchlaufende Träger'!$A$2:$G$7,7,FALSE)*B14</f>
        <v>4.0491400000000004</v>
      </c>
      <c r="C22" s="27" t="s">
        <v>25</v>
      </c>
      <c r="D22" s="19" t="str">
        <f>IF(B22=0, "", VLOOKUP(B4, 'Durchlaufende Träger'!$A$2:$G$7, 7, FALSE) &amp; " * " &amp; ROUND(B14, B10) &amp; " kN = " &amp; ROUND(VLOOKUP(B4, 'Durchlaufende Träger'!$A$2:$G$7, 7, FALSE) * ROUND(B14, B10), B10) &amp; " kN")</f>
        <v>0.965 * 4.196 kN = 4.049 kN</v>
      </c>
    </row>
    <row r="23" spans="1:4">
      <c r="A23" s="32" t="s">
        <v>33</v>
      </c>
      <c r="B23" s="10">
        <f>VLOOKUP(B4,'Durchlaufende Träger'!$A$2:$H$7,8,FALSE)*B14</f>
        <v>4.7582640000000005</v>
      </c>
      <c r="C23" s="27" t="s">
        <v>25</v>
      </c>
      <c r="D23" s="19" t="str">
        <f>IF(B23=0, "", VLOOKUP(B4, 'Durchlaufende Träger'!$A$2:$H$7, 8, FALSE) &amp; " * " &amp; ROUND(B14, B10) &amp; " kN = " &amp; ROUND(VLOOKUP(B4, 'Durchlaufende Träger'!$A$2:$H$7, 8, FALSE) * ROUND(B14, B10), B10) &amp; " kN")</f>
        <v>1.134 * 4.196 kN = 4.758 kN</v>
      </c>
    </row>
    <row r="24" spans="1:4" ht="15.95" thickBot="1">
      <c r="A24" s="33" t="s">
        <v>34</v>
      </c>
      <c r="B24" s="11">
        <f>VLOOKUP(B4, 'Durchlaufende Träger'!$A$2:$I$7, 9, FALSE) * B14</f>
        <v>1.6532240000000002</v>
      </c>
      <c r="C24" s="22" t="s">
        <v>25</v>
      </c>
      <c r="D24" s="23" t="str">
        <f>IF(B24=0, "", VLOOKUP(B4, 'Durchlaufende Träger'!$A$2:$I$7, 9, FALSE) &amp; " * " &amp; ROUND(B14, B10) &amp; " kN = " &amp; ROUND(VLOOKUP(B4, 'Durchlaufende Träger'!$A$2:$I$7, 9, FALSE) * ROUND(B14, B10), B10) &amp; " kN")</f>
        <v>0.394 * 4.196 kN = 1.653 kN</v>
      </c>
    </row>
    <row r="25" spans="1:4" ht="15.95" thickBot="1">
      <c r="A25" s="34"/>
    </row>
    <row r="26" spans="1:4" ht="15.95" thickBot="1">
      <c r="A26" s="13" t="s">
        <v>35</v>
      </c>
      <c r="B26" s="14" t="s">
        <v>20</v>
      </c>
      <c r="C26" s="14" t="s">
        <v>4</v>
      </c>
      <c r="D26" s="15" t="s">
        <v>21</v>
      </c>
    </row>
    <row r="27" spans="1:4">
      <c r="A27" s="24" t="s">
        <v>36</v>
      </c>
      <c r="B27" s="10">
        <v>0</v>
      </c>
      <c r="C27" s="35" t="s">
        <v>25</v>
      </c>
      <c r="D27" s="36"/>
    </row>
    <row r="28" spans="1:4">
      <c r="A28" s="24" t="s">
        <v>37</v>
      </c>
      <c r="B28" s="10">
        <f>IF(B17=0,"",IF(ABS(B17) &lt; 0.01, 0, B17))</f>
        <v>1.6532240000000002</v>
      </c>
      <c r="C28" s="34" t="s">
        <v>25</v>
      </c>
      <c r="D28" s="36"/>
    </row>
    <row r="29" spans="1:4">
      <c r="A29" s="26" t="s">
        <v>38</v>
      </c>
      <c r="B29" s="10">
        <f>IF(OR(B17=0, B17=""), "", IF(ABS(B28 - $B$13 * $B$5) &lt; 0.01, 0, B28 - $B$13 * $B$5))</f>
        <v>-2.5427760000000004</v>
      </c>
      <c r="C29" s="34" t="s">
        <v>25</v>
      </c>
      <c r="D29" s="19" t="str">
        <f>IF(OR(B29=0, B17=""), "", ROUND(B28, B10) &amp; " kN - " &amp; ROUND($B$13, B10) &amp; " kN * " &amp; ROUND($B$5, B10) &amp; " = " &amp; ROUND(ROUND(B28, B10) - ROUND($B$13 * ROUND($B$5, B10), B10), B10) &amp; " kN")</f>
        <v>1.653 kN - 5.245 kN * 0.8 = -2.543 kN</v>
      </c>
    </row>
    <row r="30" spans="1:4">
      <c r="A30" s="26" t="s">
        <v>39</v>
      </c>
      <c r="B30" s="10">
        <f>IF(OR(B18=0, B18=""), "", IF(ABS(B18 + B29) &lt; 0.01, 0, B18 + B29))</f>
        <v>2.2154880000000001</v>
      </c>
      <c r="C30" s="34" t="s">
        <v>25</v>
      </c>
      <c r="D30" s="19" t="str">
        <f>IF(OR(B30=0, B30=""), "", ROUND(B18, B10) &amp; " kN + " &amp; ROUND(B29, B10) &amp; " kN = " &amp; ROUND(ROUND(B18, B10) + ROUND(B29, B10), B10) &amp; " kN")</f>
        <v>4.758 kN + -2.543 kN = 2.215 kN</v>
      </c>
    </row>
    <row r="31" spans="1:4">
      <c r="A31" s="28" t="s">
        <v>40</v>
      </c>
      <c r="B31" s="10">
        <f>IF(OR(B30=0, B30=""), "", IF(ABS(B30 - $B$13 * $B$5) &lt; 0.01, 0, B30 - $B$13 * $B$5))</f>
        <v>-1.9805120000000005</v>
      </c>
      <c r="C31" s="34" t="s">
        <v>25</v>
      </c>
      <c r="D31" s="19" t="str">
        <f>IF(OR(B31=0, B31=""), "", ROUND(B30, B10) &amp; " kN - " &amp; ROUND($B$13, B10) &amp; " kN * " &amp; ROUND($B$5, B10) &amp; " = " &amp; ROUND(ROUND(B30, B10) - ROUND($B$13 * ROUND($B$5, B10), B10), B10) &amp; " kN")</f>
        <v>2.215 kN - 5.245 kN * 0.8 = -1.981 kN</v>
      </c>
    </row>
    <row r="32" spans="1:4">
      <c r="A32" s="28" t="s">
        <v>41</v>
      </c>
      <c r="B32" s="10">
        <f>IF(OR(B19=0, B19=""), "", IF(ABS(B31 + B19) &lt; 0.01, 0, B31 + B19))</f>
        <v>2.0686279999999999</v>
      </c>
      <c r="C32" s="34" t="s">
        <v>25</v>
      </c>
      <c r="D32" s="19" t="str">
        <f>IF(OR(B32=0, B32=""), "", ROUND(B31, B10) &amp; " kN + " &amp; ROUND(B19, B10) &amp; " kN = " &amp; ROUND(ROUND(B31, B10) + ROUND(B19, B10), B10) &amp; " kN")</f>
        <v>-1.981 kN + 4.049 kN = 2.068 kN</v>
      </c>
    </row>
    <row r="33" spans="1:4">
      <c r="A33" s="29" t="s">
        <v>42</v>
      </c>
      <c r="B33" s="10">
        <f>IF(OR(B32=0, B32=""), "", IF(ABS(B32 - $B$13 * $B$5) &lt; 0.01, 0, B32 - $B$13 * $B$5))</f>
        <v>-2.1273720000000007</v>
      </c>
      <c r="C33" s="34" t="s">
        <v>25</v>
      </c>
      <c r="D33" s="19" t="str">
        <f>IF(OR(B33=0, B33=""), "", ROUND(B32, B10) &amp; " kN - " &amp; ROUND($B$13, B10) &amp; " kN * " &amp; ROUND($B$5, B10) &amp; " = " &amp; ROUND(ROUND(B32, B10) - ROUND($B$13 * ROUND($B$5, B10), B10), B10) &amp; " kN")</f>
        <v>2.069 kN - 5.245 kN * 0.8 = -2.127 kN</v>
      </c>
    </row>
    <row r="34" spans="1:4">
      <c r="A34" s="29" t="s">
        <v>43</v>
      </c>
      <c r="B34" s="10">
        <f>IF(OR(B20=0, B20=""), "", IF(ABS(B33 + B20) &lt; 0.01, 0, B33 + B20))</f>
        <v>2.0979999999999994</v>
      </c>
      <c r="C34" s="34" t="s">
        <v>25</v>
      </c>
      <c r="D34" s="19" t="str">
        <f>IF(OR(B34=0, B34=""), "", ROUND(B33, B10) &amp; " kN + " &amp; ROUND(B20, B10) &amp; " kN = " &amp; ROUND(ROUND(B33, B10) + ROUND(B20, B10), B10) &amp; " kN")</f>
        <v>-2.127 kN + 4.225 kN = 2.098 kN</v>
      </c>
    </row>
    <row r="35" spans="1:4">
      <c r="A35" s="30" t="s">
        <v>44</v>
      </c>
      <c r="B35" s="10">
        <f>IF(OR(B34=0, B34=""), "", IF(ABS(B34 - B13 * B5) &lt; 0.01, 0, B34 - B13 * B5))</f>
        <v>-2.0980000000000012</v>
      </c>
      <c r="C35" s="34" t="s">
        <v>25</v>
      </c>
      <c r="D35" s="19" t="str">
        <f>IF(OR(B35=0, B35=""), "", ROUND(B34, B10) &amp; " kN - " &amp; ROUND(B13, B10) &amp; " kN * " &amp; ROUND(B5, B10) &amp; " = " &amp; ROUND(ROUND(B34, B10) - ROUND(B13 * ROUND(B5, B10), B10), B10) &amp; " kN")</f>
        <v>2.098 kN - 5.245 kN * 0.8 = -2.098 kN</v>
      </c>
    </row>
    <row r="36" spans="1:4">
      <c r="A36" s="30" t="s">
        <v>45</v>
      </c>
      <c r="B36" s="10">
        <f>IF(OR(B21=0, B21=""), "", IF(ABS(B35 + B21) &lt; 0.01, 0, B35 + B21))</f>
        <v>2.1273719999999989</v>
      </c>
      <c r="C36" s="34" t="s">
        <v>25</v>
      </c>
      <c r="D36" s="19" t="str">
        <f>IF(OR(B36=0, B36=""), "", ROUND(B35, B10) &amp; " kN + " &amp; ROUND(B21, B10) &amp; " kN = " &amp; ROUND(ROUND(B35, B10) + ROUND(B21, B10), B10) &amp; " kN")</f>
        <v>-2.098 kN + 4.225 kN = 2.127 kN</v>
      </c>
    </row>
    <row r="37" spans="1:4">
      <c r="A37" s="31" t="s">
        <v>46</v>
      </c>
      <c r="B37" s="10">
        <f>IF(OR(B36=0,B36=""),"",IF(ABS(B36-$B$13*$B$5)&lt;0.01,0,B36-$B$13*$B$5))</f>
        <v>-2.0686280000000017</v>
      </c>
      <c r="C37" s="34" t="s">
        <v>25</v>
      </c>
      <c r="D37" s="19" t="str">
        <f>IF(OR(B37=0, B37=""), "", ROUND(B36, B10) &amp; " kN - " &amp; ROUND($B$13, B10) &amp; " kN * " &amp; ROUND($B$5, B10) &amp; " = " &amp; ROUND(ROUND(B36, B10) - ROUND($B$13 * ROUND($B$5, B10), B10), B10) &amp; " kN")</f>
        <v>2.127 kN - 5.245 kN * 0.8 = -2.069 kN</v>
      </c>
    </row>
    <row r="38" spans="1:4">
      <c r="A38" s="31" t="s">
        <v>47</v>
      </c>
      <c r="B38" s="10">
        <f>IF(OR(B22=0, B22=""), "", IF(ABS(B37 + B22) &lt; 0.01, 0,B37 + B22))</f>
        <v>1.9805119999999987</v>
      </c>
      <c r="C38" s="34" t="s">
        <v>25</v>
      </c>
      <c r="D38" s="19" t="str">
        <f>IF(OR(B38=0, B38=""), "", ROUND(B37, B10) &amp; " kN + " &amp; ROUND(B22, B10) &amp; " kN = " &amp; ROUND(ROUND(B37, B10) + ROUND(B22, B10), B10) &amp; " kN")</f>
        <v>-2.069 kN + 4.049 kN = 1.98 kN</v>
      </c>
    </row>
    <row r="39" spans="1:4">
      <c r="A39" s="32" t="s">
        <v>48</v>
      </c>
      <c r="B39" s="10">
        <f>IF(OR(B38=0, B38=""), "", IF(ABS(B38 - $B$13 * $B$5) &lt; 0.01, 0,B38 - $B$13 * $B$5))</f>
        <v>-2.2154880000000019</v>
      </c>
      <c r="C39" s="34" t="s">
        <v>25</v>
      </c>
      <c r="D39" s="19" t="str">
        <f>IF(OR(B39=0, B39=""), "", ROUND(B38, B10) &amp; " kN - " &amp; ROUND($B$13, B10) &amp; " kN * " &amp; ROUND($B$5, B10) &amp; " = " &amp; ROUND(ROUND(B38, B10) - ROUND($B$13 * ROUND($B$5, B10), B10), B10) &amp; " kN")</f>
        <v>1.981 kN - 5.245 kN * 0.8 = -2.215 kN</v>
      </c>
    </row>
    <row r="40" spans="1:4">
      <c r="A40" s="32" t="s">
        <v>49</v>
      </c>
      <c r="B40" s="10">
        <f>IF(OR(B23=0, B23=""), "", IF(ABS(B39 + B23) &lt; 0.01, 0, B39 + B23))</f>
        <v>2.5427759999999986</v>
      </c>
      <c r="C40" s="34" t="s">
        <v>25</v>
      </c>
      <c r="D40" s="19" t="str">
        <f>IF(OR(B40=0, B40=""), "", ROUND(B39, B10) &amp; " kN + " &amp; ROUND(B23, B10) &amp; " kN = " &amp; ROUND(ROUND(B39, B10) + ROUND(B23, B10), B10) &amp; " kN")</f>
        <v>-2.215 kN + 4.758 kN = 2.543 kN</v>
      </c>
    </row>
    <row r="41" spans="1:4">
      <c r="A41" s="37" t="s">
        <v>50</v>
      </c>
      <c r="B41" s="10">
        <f>IF(OR(B40=0, B40=""), "", IF(ABS(B40 - $B$13 * $B$5) &lt; 0.01, 0, B40 - $B$13 * $B$5))</f>
        <v>-1.653224000000002</v>
      </c>
      <c r="C41" s="34" t="s">
        <v>25</v>
      </c>
      <c r="D41" s="19" t="str">
        <f>IF(OR(B41=0, B41=""), "", ROUND(B40, B10) &amp; " kN - " &amp; ROUND($B$13, B10) &amp; " kN * " &amp; ROUND($B$5, B10) &amp; " = " &amp; ROUND(ROUND(B40, B10) - ROUND($B$13 * ROUND($B$5, B10), B10), B10) &amp; " kN")</f>
        <v>2.543 kN - 5.245 kN * 0.8 = -1.653 kN</v>
      </c>
    </row>
    <row r="42" spans="1:4" ht="15.95" thickBot="1">
      <c r="A42" s="37" t="s">
        <v>50</v>
      </c>
      <c r="B42" s="10">
        <f>IF(OR(B24=0, B24=""), "", IF(ABS(B41 + B24) &lt; 0.01, 0, B41 + B24))</f>
        <v>0</v>
      </c>
      <c r="C42" s="38" t="s">
        <v>25</v>
      </c>
      <c r="D42" s="19" t="str">
        <f>IF(OR(B24=0, B24=""), "", ROUND(B41, B10) &amp; " kN + " &amp; ROUND(B24, B10) &amp; " kN = " &amp; IF(ABS(ROUND(B41 + B24, B10)) &lt; 0.01, 0, ROUND(B41 + B24, B10)) &amp; " kN")</f>
        <v>-1.653 kN + 1.653 kN = 0 kN</v>
      </c>
    </row>
    <row r="43" spans="1:4" ht="15.95" thickBot="1">
      <c r="A43" s="39" t="s">
        <v>51</v>
      </c>
      <c r="B43" s="69" cm="1">
        <f t="array" ref="B43">_xlfn.AGGREGATE(14,6,ABS(B28:B41),1)</f>
        <v>2.5427760000000004</v>
      </c>
      <c r="C43" s="40" t="s">
        <v>25</v>
      </c>
      <c r="D43" s="41"/>
    </row>
    <row r="44" spans="1:4">
      <c r="A44" s="42"/>
      <c r="B44" s="43"/>
      <c r="C44" s="44"/>
      <c r="D44" s="45"/>
    </row>
    <row r="45" spans="1:4">
      <c r="A45" s="46"/>
      <c r="B45" s="47"/>
      <c r="D45" s="36"/>
    </row>
    <row r="46" spans="1:4">
      <c r="A46" s="46"/>
      <c r="B46" s="47"/>
      <c r="D46" s="36"/>
    </row>
    <row r="47" spans="1:4">
      <c r="A47" s="46"/>
      <c r="B47" s="47"/>
      <c r="D47" s="36"/>
    </row>
    <row r="48" spans="1:4">
      <c r="A48" s="46"/>
      <c r="B48" s="47"/>
      <c r="D48" s="36"/>
    </row>
    <row r="49" spans="1:4">
      <c r="A49" s="46"/>
      <c r="B49" s="47"/>
      <c r="D49" s="36"/>
    </row>
    <row r="50" spans="1:4">
      <c r="A50" s="46"/>
      <c r="B50" s="47"/>
      <c r="D50" s="36"/>
    </row>
    <row r="51" spans="1:4">
      <c r="A51" s="46"/>
      <c r="B51" s="47"/>
      <c r="D51" s="36"/>
    </row>
    <row r="52" spans="1:4">
      <c r="A52" s="46"/>
      <c r="B52" s="47"/>
      <c r="D52" s="36"/>
    </row>
    <row r="53" spans="1:4">
      <c r="A53" s="46"/>
      <c r="B53" s="47"/>
      <c r="D53" s="36"/>
    </row>
    <row r="54" spans="1:4">
      <c r="A54" s="46"/>
      <c r="B54" s="47"/>
      <c r="D54" s="36"/>
    </row>
    <row r="55" spans="1:4">
      <c r="A55" s="46"/>
      <c r="B55" s="47"/>
      <c r="D55" s="36"/>
    </row>
    <row r="56" spans="1:4">
      <c r="A56" s="46"/>
      <c r="B56" s="47"/>
      <c r="D56" s="36"/>
    </row>
    <row r="57" spans="1:4">
      <c r="A57" s="46"/>
      <c r="B57" s="47"/>
      <c r="D57" s="36"/>
    </row>
    <row r="58" spans="1:4">
      <c r="A58" s="46"/>
      <c r="B58" s="47"/>
      <c r="D58" s="36"/>
    </row>
    <row r="59" spans="1:4">
      <c r="A59" s="46"/>
      <c r="B59" s="47"/>
      <c r="D59" s="36"/>
    </row>
    <row r="60" spans="1:4">
      <c r="A60" s="46"/>
      <c r="B60" s="47"/>
      <c r="D60" s="36"/>
    </row>
    <row r="61" spans="1:4" ht="15.95" thickBot="1">
      <c r="A61" s="48"/>
      <c r="B61" s="49"/>
      <c r="C61" s="50"/>
      <c r="D61" s="51"/>
    </row>
    <row r="62" spans="1:4" ht="15.95" thickBot="1"/>
    <row r="63" spans="1:4" ht="15.95" thickBot="1">
      <c r="A63" s="13" t="s">
        <v>52</v>
      </c>
      <c r="B63" s="14" t="s">
        <v>20</v>
      </c>
      <c r="C63" s="14" t="s">
        <v>4</v>
      </c>
      <c r="D63" s="15" t="s">
        <v>21</v>
      </c>
    </row>
    <row r="64" spans="1:4">
      <c r="A64" s="52" t="s">
        <v>53</v>
      </c>
      <c r="B64" s="53">
        <f>VLOOKUP(B4, 'Durchlaufende Träger'!$A$2:$X$7, 10, FALSE) * B13 * B5^2</f>
        <v>0.26115904000000001</v>
      </c>
      <c r="C64" t="s">
        <v>54</v>
      </c>
      <c r="D64" s="25" t="str">
        <f>IF(B64=0, "", VLOOKUP(B4, 'Durchlaufende Träger'!$A$2:$X$7, 10, FALSE) &amp; " * " &amp; ROUND(B13, B10) &amp; " kN * " &amp; ROUND(B5, B10) &amp; "² = " &amp; ROUND(VLOOKUP(B4, 'Durchlaufende Träger'!$A$2:$X$7, 10, FALSE) * ROUND(B13, B10) * ROUND(B5^2, B10), B10) &amp; " kN")</f>
        <v>0.0778 * 5.245 kN * 0.8² = 0.261 kN</v>
      </c>
    </row>
    <row r="65" spans="1:4">
      <c r="A65" s="54" t="s">
        <v>55</v>
      </c>
      <c r="B65" s="53">
        <f>VLOOKUP(B4, 'Durchlaufende Träger'!$A$2:$X$7, 11, FALSE) * B13 * B5^2</f>
        <v>0.11345984000000002</v>
      </c>
      <c r="C65" t="s">
        <v>54</v>
      </c>
      <c r="D65" s="19" t="str">
        <f>IF(B65=0, "", VLOOKUP(B4, 'Durchlaufende Träger'!$A$2:$X$7, 11, FALSE) &amp; " * " &amp; ROUND(B13, B10) &amp; " kN * " &amp; ROUND(B5, B10) &amp; "² = " &amp; ROUND(VLOOKUP(B4, 'Durchlaufende Träger'!$A$2:$X$7, 11, FALSE) * ROUND(B13, B10) * ROUND(B5^2, B10), B10) &amp; " kN")</f>
        <v>0.0338 * 5.245 kN * 0.8² = 0.113 kN</v>
      </c>
    </row>
    <row r="66" spans="1:4">
      <c r="A66" s="54" t="s">
        <v>56</v>
      </c>
      <c r="B66" s="53">
        <f>VLOOKUP(B4, 'Durchlaufende Träger'!$A$2:$X$7, 12, FALSE) * B13 * B5^2</f>
        <v>0.14769920000000003</v>
      </c>
      <c r="C66" t="s">
        <v>54</v>
      </c>
      <c r="D66" s="19" t="str">
        <f>IF(B66=0, "", VLOOKUP(B4, 'Durchlaufende Träger'!$A$2:$X$7, 12, FALSE) &amp; " * " &amp; ROUND(B13, B10) &amp; " kN * " &amp; ROUND(B5, B10) &amp; "² = " &amp; ROUND(VLOOKUP(B4, 'Durchlaufende Träger'!$A$2:$X$7, 12, FALSE) * ROUND(B13, B10) * ROUND(B5^2, B10), B10) &amp; " kN")</f>
        <v>0.044 * 5.245 kN * 0.8² = 0.148 kN</v>
      </c>
    </row>
    <row r="67" spans="1:4">
      <c r="A67" s="54" t="s">
        <v>57</v>
      </c>
      <c r="B67" s="53">
        <f>VLOOKUP(B4, 'Durchlaufende Träger'!$A$2:$X$7, 13, FALSE) * B13 * B5^2</f>
        <v>0.15105600000000002</v>
      </c>
      <c r="C67" t="s">
        <v>54</v>
      </c>
      <c r="D67" s="19" t="str">
        <f>IF(B67=0, "", VLOOKUP(B4, 'Durchlaufende Träger'!$A$2:$X$7, 13, FALSE) &amp; " * " &amp; ROUND(B13, B10) &amp; " kN * " &amp; ROUND(B5, B10) &amp; "² = " &amp; ROUND(VLOOKUP(B4, 'Durchlaufende Träger'!$A$2:$X$7, 13, FALSE) * ROUND(B13, B10) * ROUND(B5^2, B10), B10) &amp; " kN")</f>
        <v>0.045 * 5.245 kN * 0.8² = 0.151 kN</v>
      </c>
    </row>
    <row r="68" spans="1:4">
      <c r="A68" s="52" t="s">
        <v>58</v>
      </c>
      <c r="B68" s="53">
        <f>VLOOKUP($B$4, 'Durchlaufende Träger'!$A$2:$X$7, 14, FALSE) * $B$13 * $B$5^2</f>
        <v>-0.35447808000000008</v>
      </c>
      <c r="C68" t="s">
        <v>54</v>
      </c>
      <c r="D68" s="19" t="str">
        <f>IF(B68=0, "", VLOOKUP($B$4, 'Durchlaufende Träger'!$A$2:$X$7, 14, FALSE) &amp; " * " &amp; ROUND($B$13, B10) &amp; " kN * " &amp; ROUND($B$5, B10) &amp; "² = " &amp; ROUND(VLOOKUP($B$4, 'Durchlaufende Träger'!$A$2:$X$7, 14, FALSE) * ROUND($B$13, B10) * ROUND($B$5^2, B10), B10) &amp; " kN")</f>
        <v>-0.1056 * 5.245 kN * 0.8² = -0.354 kN</v>
      </c>
    </row>
    <row r="69" spans="1:4">
      <c r="A69" s="52" t="s">
        <v>59</v>
      </c>
      <c r="B69" s="53">
        <f>VLOOKUP($B$4, 'Durchlaufende Träger'!$A$2:$X$7, 15, FALSE) * $B$13 * $B$5^2</f>
        <v>-0.26015200000000005</v>
      </c>
      <c r="C69" t="s">
        <v>54</v>
      </c>
      <c r="D69" s="19" t="str">
        <f>IF(B69=0, "", VLOOKUP($B$4, 'Durchlaufende Träger'!$A$2:$X$7, 15, FALSE) &amp; " * " &amp; ROUND($B$13, B10) &amp; " kN * " &amp; ROUND($B$5, B10) &amp; "² = " &amp; ROUND(VLOOKUP($B$4, 'Durchlaufende Träger'!$A$2:$X$7, 15, FALSE) * ROUND($B$13, B10) * ROUND($B$5^2, B10), B10) &amp; " kN")</f>
        <v>-0.0775 * 5.245 kN * 0.8² = -0.26 kN</v>
      </c>
    </row>
    <row r="70" spans="1:4">
      <c r="A70" s="52" t="s">
        <v>60</v>
      </c>
      <c r="B70" s="53">
        <f>VLOOKUP($B$4, 'Durchlaufende Träger'!$A$2:$X$7, 16, FALSE) * $B$13 * $B$5^2</f>
        <v>-0.28364960000000011</v>
      </c>
      <c r="C70" t="s">
        <v>54</v>
      </c>
      <c r="D70" s="19" t="str">
        <f>IF(B70=0, "", VLOOKUP($B$4, 'Durchlaufende Träger'!$A$2:$X$7, 16, FALSE) &amp; " * " &amp; ROUND($B$13, B10) &amp; " kN * " &amp; ROUND($B$5, B10) &amp; "² = " &amp; ROUND(VLOOKUP($B$4, 'Durchlaufende Träger'!$A$2:$X$7, 16, FALSE) * ROUND($B$13, B10) * ROUND($B$5^2, B10), B10) &amp; " kN")</f>
        <v>-0.0845 * 5.245 kN * 0.8² = -0.284 kN</v>
      </c>
    </row>
    <row r="71" spans="1:4">
      <c r="A71" s="52" t="s">
        <v>61</v>
      </c>
      <c r="B71" s="53">
        <f>VLOOKUP($B$4, 'Durchlaufende Träger'!$A$2:$X$7, 17, FALSE) * $B$13 * $B$5^2</f>
        <v>-0.28364960000000011</v>
      </c>
      <c r="C71" t="s">
        <v>54</v>
      </c>
      <c r="D71" s="19" t="str">
        <f>IF(B71=0, "", VLOOKUP($B$4, 'Durchlaufende Träger'!$A$2:$X$7, 17, FALSE) &amp; " * " &amp; ROUND($B$13, B10) &amp; " kN * " &amp; ROUND($B$5, B10) &amp; "² = " &amp; ROUND(VLOOKUP($B$4, 'Durchlaufende Träger'!$A$2:$X$7, 17, FALSE) * ROUND($B$13, B10) * ROUND($B$5^2, B10), B10) &amp; " kN")</f>
        <v>-0.0845 * 5.245 kN * 0.8² = -0.284 kN</v>
      </c>
    </row>
    <row r="72" spans="1:4">
      <c r="A72" s="52" t="s">
        <v>62</v>
      </c>
      <c r="B72" s="53">
        <f>VLOOKUP($B$4, 'Durchlaufende Träger'!$A$2:$X$7, 18, FALSE) * $B$13 * $B$5^2</f>
        <v>-0.26015200000000005</v>
      </c>
      <c r="C72" t="s">
        <v>54</v>
      </c>
      <c r="D72" s="19" t="str">
        <f>IF(B72=0, "", VLOOKUP($B$4, 'Durchlaufende Träger'!$A$2:$X$7, 18, FALSE) &amp; " * " &amp; ROUND($B$13, B10) &amp; " kN * " &amp; ROUND($B$5, B10) &amp; "² = " &amp; ROUND(VLOOKUP($B$4, 'Durchlaufende Träger'!$A$2:$X$7, 18, FALSE) * ROUND($B$13, B10) * ROUND($B$5^2, B10), B10) &amp; " kN")</f>
        <v>-0.0775 * 5.245 kN * 0.8² = -0.26 kN</v>
      </c>
    </row>
    <row r="73" spans="1:4" ht="15.95" thickBot="1">
      <c r="A73" s="20" t="s">
        <v>63</v>
      </c>
      <c r="B73" s="55">
        <f>VLOOKUP($B$4, 'Durchlaufende Träger'!$A$2:$X$7, 19, FALSE) * $B$13 * $B$5^2</f>
        <v>-0.35447808000000008</v>
      </c>
      <c r="C73" s="50" t="s">
        <v>54</v>
      </c>
      <c r="D73" s="23" t="str">
        <f>IF(B73=0, "", VLOOKUP($B$4, 'Durchlaufende Träger'!$A$2:$X$7, 19, FALSE) &amp; " * " &amp; ROUND($B$13, B10) &amp; " kN * " &amp; ROUND($B$5, B10) &amp; "² = " &amp; ROUND(VLOOKUP($B$4, 'Durchlaufende Träger'!$A$2:$X$7, 19, FALSE) * ROUND($B$13, B10) * ROUND($B$5^2, B10), B10) &amp; " kN")</f>
        <v>-0.1056 * 5.245 kN * 0.8² = -0.354 kN</v>
      </c>
    </row>
    <row r="74" spans="1:4" ht="15.95" thickBot="1">
      <c r="A74" s="39" t="s">
        <v>64</v>
      </c>
      <c r="B74" s="70" cm="1">
        <f t="array" ref="B74">_xlfn.AGGREGATE(14, 6, ABS(ROUND(B64:B73, B10)), 1)</f>
        <v>0.35399999999999998</v>
      </c>
      <c r="C74" s="50" t="s">
        <v>54</v>
      </c>
      <c r="D74" s="41"/>
    </row>
    <row r="75" spans="1:4" ht="15.95" thickBot="1"/>
    <row r="76" spans="1:4" ht="15.95" thickBot="1">
      <c r="A76" s="13" t="s">
        <v>65</v>
      </c>
      <c r="B76" s="14" t="s">
        <v>20</v>
      </c>
      <c r="C76" s="14" t="s">
        <v>4</v>
      </c>
      <c r="D76" s="15" t="s">
        <v>21</v>
      </c>
    </row>
    <row r="77" spans="1:4">
      <c r="A77" s="52" t="s">
        <v>66</v>
      </c>
      <c r="B77" s="53">
        <f>(VLOOKUP(B4, 'Durchlaufende Träger'!$A$2:$T$7, 20, FALSE) * B13 * B5^4) / (B9) * 1000</f>
        <v>3.103175111111112E-2</v>
      </c>
      <c r="C77" t="s">
        <v>67</v>
      </c>
      <c r="D77" s="25" t="str">
        <f>IF(B77=0, "", " (" &amp; VLOOKUP(B4, 'Durchlaufende Träger'!$A$2:$T$7, 20, FALSE) &amp; " * " &amp; ROUND(B13, B10) &amp; " kN * " &amp; ROUND(B5, B10) &amp; "⁴) / " &amp; ROUND(B9, B10) &amp; " * 1000 = " &amp; ROUND((ROUND(VLOOKUP(B4, 'Durchlaufende Träger'!$A$2:$T$7, 20, FALSE), B10) * ROUND(B13, B10) * ROUND(B5^4, B10)) / ROUND(B9, B10) * 1000, B10) &amp; " mm")</f>
        <v xml:space="preserve"> (0.0065 * 5.245 kN * 0.8⁴) / 450 * 1000 = 0.033 mm</v>
      </c>
    </row>
    <row r="78" spans="1:4">
      <c r="A78" s="52" t="s">
        <v>68</v>
      </c>
      <c r="B78" s="53">
        <f>(VLOOKUP(B4, 'Durchlaufende Träger'!$A$2:$U$7, 21, FALSE) * B13 * B5^4) / (B9) * 1000</f>
        <v>7.6385848888888917E-3</v>
      </c>
      <c r="C78" t="s">
        <v>67</v>
      </c>
      <c r="D78" s="19" t="str">
        <f>IF(B78=0, "", " (" &amp; VLOOKUP(B4, 'Durchlaufende Träger'!$A$2:$U$7, 21, FALSE) &amp; " * " &amp; ROUND(B13, B10) &amp; " kN * " &amp; ROUND(B5, B10) &amp; "⁴) / " &amp; ROUND(B9, B10) &amp; " * 1000 = " &amp; ROUND((ROUND(VLOOKUP(B4, 'Durchlaufende Träger'!$A$2:$U$7, 21, FALSE), B10) * ROUND(B13, B10) * ROUND(B5^4, B10)) / ROUND(B9, B10) * 1000, B10) &amp; " mm")</f>
        <v xml:space="preserve"> (0.0016 * 5.245 kN * 0.8⁴) / 450 * 1000 = 0.01 mm</v>
      </c>
    </row>
    <row r="79" spans="1:4">
      <c r="A79" s="52" t="s">
        <v>69</v>
      </c>
      <c r="B79" s="53">
        <f>(VLOOKUP(B4, 'Durchlaufende Träger'!$A$2:$V$7, 22, FALSE) * B13 * B5^4) / (B9) * 1000</f>
        <v>1.3844935111111116E-2</v>
      </c>
      <c r="C79" t="s">
        <v>67</v>
      </c>
      <c r="D79" s="19" t="str">
        <f>IF(B79=0, "", " (" &amp; VLOOKUP(B4, 'Durchlaufende Träger'!$A$2:$V$7, 22, FALSE) &amp; " * " &amp; ROUND(B13, B10) &amp; " kN * " &amp; ROUND(B5, B10) &amp; "⁴) / " &amp; ROUND(B9, B10) &amp; " * 1000 = " &amp; ROUND((ROUND(VLOOKUP(B4, 'Durchlaufende Träger'!$A$2:$V$7, 22, FALSE), B10) * ROUND(B13, B10) * ROUND(B5^4, B10)) / ROUND(B9, B10) * 1000, B10) &amp; " mm")</f>
        <v xml:space="preserve"> (0.0029 * 5.245 kN * 0.8⁴) / 450 * 1000 = 0.014 mm</v>
      </c>
    </row>
    <row r="80" spans="1:4" ht="15.95" thickBot="1">
      <c r="A80" s="20" t="s">
        <v>70</v>
      </c>
      <c r="B80" s="55">
        <f>(VLOOKUP(B4, 'Durchlaufende Träger'!$A$2:$W$7, 23, FALSE) * B13 * B5^4) / (B9) * 1000</f>
        <v>1.1457877333333337E-2</v>
      </c>
      <c r="C80" s="50" t="s">
        <v>67</v>
      </c>
      <c r="D80" s="23" t="str">
        <f>IF(B80=0, "", " (" &amp; VLOOKUP(B4, 'Durchlaufende Träger'!$A$2:$W$7, 23, FALSE) &amp; " * " &amp; ROUND(B13, B10) &amp; " kN * " &amp; ROUND(B5, B10) &amp; "⁴) / " &amp; ROUND(B9, B10) &amp; " * 1000 = " &amp; ROUND((ROUND(VLOOKUP(B4, 'Durchlaufende Träger'!$A$2:$W$7, 23, FALSE), B10) * ROUND(B13, B10) * ROUND(B5^4, B10)) / ROUND(B9, B10) * 1000, B10) &amp; " mm")</f>
        <v xml:space="preserve"> (0.0024 * 5.245 kN * 0.8⁴) / 450 * 1000 = 0.01 mm</v>
      </c>
    </row>
    <row r="81" spans="1:4" ht="15.95" thickBot="1">
      <c r="A81" s="39" t="s">
        <v>71</v>
      </c>
      <c r="B81" s="70" cm="1">
        <f t="array" ref="B81">_xlfn.AGGREGATE(14,6,ABS(B77:B80),1)</f>
        <v>3.103175111111112E-2</v>
      </c>
      <c r="C81" s="50" t="s">
        <v>67</v>
      </c>
      <c r="D81" s="41"/>
    </row>
  </sheetData>
  <sheetProtection algorithmName="SHA-512" hashValue="3U4qFH8M14xnc+31B1XTIm8VQokndUUH+Ocy4bbMFuHjwuzS3SZLSN+X573OmAPwn9YfBHKXAZrQu+FNpp3aqQ==" saltValue="p/YJk1TLx9q7q+X7Lm1yfg==" spinCount="100000" sheet="1" objects="1" scenarios="1" selectLockedCells="1"/>
  <hyperlinks>
    <hyperlink ref="D1" r:id="rId1" xr:uid="{39B95420-22E2-43B5-A64A-93ACEB116B91}"/>
  </hyperlinks>
  <pageMargins left="0.7" right="0.7" top="0.75" bottom="0.75" header="0.3" footer="0.3"/>
  <pageSetup paperSize="9" orientation="portrait" r:id="rId2"/>
  <ignoredErrors>
    <ignoredError sqref="B32" formula="1"/>
  </ignoredErrors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683F30D-F65D-B349-B916-91BCFB80BF75}">
          <x14:formula1>
            <xm:f>'Durchlaufende Träger'!$A$2:$A$7</xm:f>
          </x14:formula1>
          <xm:sqref>B4</xm:sqref>
        </x14:dataValidation>
        <x14:dataValidation type="list" allowBlank="1" showInputMessage="1" showErrorMessage="1" xr:uid="{646A7771-39EB-4948-90A1-D47FA328FA37}">
          <x14:formula1>
            <xm:f>Doka20!$A$2:$A$16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5CAF-E263-1F45-A037-C8BCEEDA51AA}">
  <dimension ref="A1:C16"/>
  <sheetViews>
    <sheetView workbookViewId="0">
      <selection activeCell="B18" sqref="B18"/>
    </sheetView>
  </sheetViews>
  <sheetFormatPr defaultColWidth="11.42578125" defaultRowHeight="15"/>
  <sheetData>
    <row r="1" spans="1:3">
      <c r="A1" s="7">
        <v>1</v>
      </c>
      <c r="B1" s="12">
        <v>0</v>
      </c>
      <c r="C1" s="4">
        <v>1</v>
      </c>
    </row>
    <row r="2" spans="1:3">
      <c r="A2" s="8">
        <f>IF(ISNUMBER(B2), 1, #N/A)</f>
        <v>1</v>
      </c>
      <c r="B2" s="10">
        <f>IF(ISNUMBER(Berechnungen!B28), Berechnungen!B28, "")</f>
        <v>1.6532240000000002</v>
      </c>
      <c r="C2" s="5">
        <v>1</v>
      </c>
    </row>
    <row r="3" spans="1:3">
      <c r="A3" s="8">
        <f>IF(ISNUMBER(B3), 2, "")</f>
        <v>2</v>
      </c>
      <c r="B3" s="10">
        <f>IF(ISNUMBER(Berechnungen!B29), Berechnungen!B29, "")</f>
        <v>-2.5427760000000004</v>
      </c>
      <c r="C3" s="5">
        <v>2</v>
      </c>
    </row>
    <row r="4" spans="1:3">
      <c r="A4" s="8">
        <f>IF(ISNUMBER(B4), 2, "")</f>
        <v>2</v>
      </c>
      <c r="B4" s="10">
        <f>IF(ISNUMBER(Berechnungen!B30), Berechnungen!B30, "")</f>
        <v>2.2154880000000001</v>
      </c>
      <c r="C4" s="5">
        <v>2</v>
      </c>
    </row>
    <row r="5" spans="1:3">
      <c r="A5" s="8">
        <f>IF(ISNUMBER(B5), 3, "")</f>
        <v>3</v>
      </c>
      <c r="B5" s="10">
        <f>IF(ISNUMBER(Berechnungen!B31),Berechnungen!B31, "")</f>
        <v>-1.9805120000000005</v>
      </c>
      <c r="C5" s="5">
        <v>3</v>
      </c>
    </row>
    <row r="6" spans="1:3">
      <c r="A6" s="8">
        <f>IF(ISNUMBER(B6), 3, "")</f>
        <v>3</v>
      </c>
      <c r="B6" s="10">
        <f>IF(ISNUMBER(Berechnungen!B32), Berechnungen!B32, "")</f>
        <v>2.0686279999999999</v>
      </c>
      <c r="C6" s="5">
        <v>3</v>
      </c>
    </row>
    <row r="7" spans="1:3">
      <c r="A7" s="8">
        <f>IF(ISNUMBER(B7), 4, "")</f>
        <v>4</v>
      </c>
      <c r="B7" s="10">
        <f>IF(ISNUMBER(Berechnungen!B33), Berechnungen!B33, "")</f>
        <v>-2.1273720000000007</v>
      </c>
      <c r="C7" s="5">
        <v>4</v>
      </c>
    </row>
    <row r="8" spans="1:3">
      <c r="A8" s="8">
        <f>IF(ISNUMBER(B8), 4, "")</f>
        <v>4</v>
      </c>
      <c r="B8" s="10">
        <f>IF(ISNUMBER(Berechnungen!B34), Berechnungen!B34, "")</f>
        <v>2.0979999999999994</v>
      </c>
      <c r="C8" s="5">
        <v>4</v>
      </c>
    </row>
    <row r="9" spans="1:3">
      <c r="A9" s="8">
        <f>IF(ISNUMBER(B9),5, "")</f>
        <v>5</v>
      </c>
      <c r="B9" s="10">
        <f>IF(ISNUMBER(Berechnungen!B35), Berechnungen!B35, "")</f>
        <v>-2.0980000000000012</v>
      </c>
      <c r="C9" s="5">
        <v>5</v>
      </c>
    </row>
    <row r="10" spans="1:3">
      <c r="A10" s="8">
        <f>IF(ISNUMBER(B10), 5, "")</f>
        <v>5</v>
      </c>
      <c r="B10" s="10">
        <f>IF(ISNUMBER(Berechnungen!B36), Berechnungen!B36, "")</f>
        <v>2.1273719999999989</v>
      </c>
      <c r="C10" s="5">
        <v>5</v>
      </c>
    </row>
    <row r="11" spans="1:3">
      <c r="A11" s="8">
        <f>IF(ISNUMBER(B11), 6, "")</f>
        <v>6</v>
      </c>
      <c r="B11" s="10">
        <f>IF(ISNUMBER(Berechnungen!B37), Berechnungen!B37, "")</f>
        <v>-2.0686280000000017</v>
      </c>
      <c r="C11" s="5">
        <v>6</v>
      </c>
    </row>
    <row r="12" spans="1:3">
      <c r="A12" s="8">
        <f>IF(ISNUMBER(B12), 6, "")</f>
        <v>6</v>
      </c>
      <c r="B12" s="10">
        <f>IF(ISNUMBER(Berechnungen!B38), Berechnungen!B38, "")</f>
        <v>1.9805119999999987</v>
      </c>
      <c r="C12" s="5">
        <v>6</v>
      </c>
    </row>
    <row r="13" spans="1:3">
      <c r="A13" s="8">
        <f>IF(ISNUMBER(B13), 7, "")</f>
        <v>7</v>
      </c>
      <c r="B13" s="10">
        <f>IF(ISNUMBER(Berechnungen!B39), Berechnungen!B39, "")</f>
        <v>-2.2154880000000019</v>
      </c>
      <c r="C13" s="5">
        <v>7</v>
      </c>
    </row>
    <row r="14" spans="1:3">
      <c r="A14" s="8">
        <f>IF(ISNUMBER(B14), 7, "")</f>
        <v>7</v>
      </c>
      <c r="B14" s="10">
        <f>IF(ISNUMBER(Berechnungen!B40), Berechnungen!B40, "")</f>
        <v>2.5427759999999986</v>
      </c>
      <c r="C14" s="5">
        <v>7</v>
      </c>
    </row>
    <row r="15" spans="1:3">
      <c r="A15" s="8">
        <f>IF(ISNUMBER(B15), 8, "")</f>
        <v>8</v>
      </c>
      <c r="B15" s="10">
        <f>IF(ISNUMBER(Berechnungen!B41), Berechnungen!B41, "")</f>
        <v>-1.653224000000002</v>
      </c>
      <c r="C15" s="5">
        <v>8</v>
      </c>
    </row>
    <row r="16" spans="1:3" ht="15.95" thickBot="1">
      <c r="A16" s="9">
        <f>IF(ISNUMBER(B16), 8, "")</f>
        <v>8</v>
      </c>
      <c r="B16" s="11">
        <f>IF(ISNUMBER(Berechnungen!B42), Berechnungen!B42, "")</f>
        <v>0</v>
      </c>
      <c r="C16" s="6">
        <v>8</v>
      </c>
    </row>
  </sheetData>
  <sheetProtection algorithmName="SHA-512" hashValue="EYNr+kBEfDozF7h8GmAfBgA+d3hCtGJGfXYyVQ3PSYWaYd/oqXpTF6YxbUvJRm3T6q8VIkRbPusYxN8/+HpbAg==" saltValue="m8HMz8bJFU5yWgKrysgr5Q==" spinCount="100000" sheet="1" objects="1" scenarios="1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C767-76B7-9347-9895-D8212A51281A}">
  <dimension ref="A1:B16"/>
  <sheetViews>
    <sheetView workbookViewId="0">
      <selection activeCell="B37" sqref="B37"/>
    </sheetView>
  </sheetViews>
  <sheetFormatPr defaultColWidth="11.42578125" defaultRowHeight="15"/>
  <cols>
    <col min="1" max="1" width="18" customWidth="1"/>
    <col min="2" max="2" width="18.7109375" customWidth="1"/>
  </cols>
  <sheetData>
    <row r="1" spans="1:2">
      <c r="A1" s="2" t="s">
        <v>72</v>
      </c>
      <c r="B1" s="2" t="s">
        <v>73</v>
      </c>
    </row>
    <row r="2" spans="1:2">
      <c r="A2">
        <v>10</v>
      </c>
      <c r="B2">
        <v>4.25</v>
      </c>
    </row>
    <row r="3" spans="1:2">
      <c r="A3">
        <v>12</v>
      </c>
      <c r="B3">
        <v>4.74</v>
      </c>
    </row>
    <row r="4" spans="1:2">
      <c r="A4">
        <v>14</v>
      </c>
      <c r="B4">
        <v>5.23</v>
      </c>
    </row>
    <row r="5" spans="1:2">
      <c r="A5">
        <v>16</v>
      </c>
      <c r="B5">
        <v>5.72</v>
      </c>
    </row>
    <row r="6" spans="1:2">
      <c r="A6">
        <v>18</v>
      </c>
      <c r="B6">
        <v>6.21</v>
      </c>
    </row>
    <row r="7" spans="1:2">
      <c r="A7">
        <v>20</v>
      </c>
      <c r="B7">
        <v>6.71</v>
      </c>
    </row>
    <row r="8" spans="1:2">
      <c r="A8">
        <v>22</v>
      </c>
      <c r="B8">
        <v>7.2</v>
      </c>
    </row>
    <row r="9" spans="1:2">
      <c r="A9">
        <v>24</v>
      </c>
      <c r="B9">
        <v>7.69</v>
      </c>
    </row>
    <row r="10" spans="1:2">
      <c r="A10">
        <v>26</v>
      </c>
      <c r="B10">
        <v>8.18</v>
      </c>
    </row>
    <row r="11" spans="1:2">
      <c r="A11">
        <v>28</v>
      </c>
      <c r="B11">
        <v>8.67</v>
      </c>
    </row>
    <row r="12" spans="1:2">
      <c r="A12">
        <v>30</v>
      </c>
      <c r="B12">
        <v>9.16</v>
      </c>
    </row>
    <row r="13" spans="1:2">
      <c r="A13">
        <v>35</v>
      </c>
      <c r="B13">
        <v>10.49</v>
      </c>
    </row>
    <row r="14" spans="1:2">
      <c r="A14">
        <v>40</v>
      </c>
      <c r="B14">
        <v>11.84</v>
      </c>
    </row>
    <row r="15" spans="1:2">
      <c r="A15">
        <v>45</v>
      </c>
      <c r="B15">
        <v>13.19</v>
      </c>
    </row>
    <row r="16" spans="1:2">
      <c r="A16">
        <v>50</v>
      </c>
      <c r="B16">
        <v>14.54</v>
      </c>
    </row>
  </sheetData>
  <sheetProtection algorithmName="SHA-512" hashValue="S+I3uUn/uXwx9AB11xWShWvERtavsFouNftisc5JEFEiYXPj2WeIlL1NO6+HWHP1ToErRKN5q/g0N+J2v56trQ==" saltValue="d6F9/K5Why1RlC5wSFjG1A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D1C0F-7DD0-0246-A04C-2F5A6687DD5E}">
  <dimension ref="A1:W7"/>
  <sheetViews>
    <sheetView workbookViewId="0">
      <selection activeCell="F35" sqref="F35"/>
    </sheetView>
  </sheetViews>
  <sheetFormatPr defaultColWidth="11.42578125" defaultRowHeight="15"/>
  <cols>
    <col min="15" max="19" width="10.85546875" customWidth="1"/>
  </cols>
  <sheetData>
    <row r="1" spans="1:23">
      <c r="A1" s="1" t="s">
        <v>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53</v>
      </c>
      <c r="K1" s="1" t="s">
        <v>82</v>
      </c>
      <c r="L1" s="1" t="s">
        <v>56</v>
      </c>
      <c r="M1" s="1" t="s">
        <v>57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>
      <c r="A2" s="3" t="s">
        <v>93</v>
      </c>
      <c r="B2" s="3">
        <v>0.375</v>
      </c>
      <c r="C2" s="3">
        <v>1.25</v>
      </c>
      <c r="D2" s="3">
        <v>0.375</v>
      </c>
      <c r="E2" s="3"/>
      <c r="F2" s="3"/>
      <c r="G2" s="3"/>
      <c r="H2" s="3"/>
      <c r="I2" s="3"/>
      <c r="J2" s="3">
        <v>7.0300000000000001E-2</v>
      </c>
      <c r="K2" s="3"/>
      <c r="L2" s="3"/>
      <c r="M2" s="3"/>
      <c r="N2" s="3">
        <v>0.125</v>
      </c>
      <c r="O2" s="3"/>
      <c r="P2" s="3"/>
      <c r="Q2" s="3"/>
      <c r="R2" s="3"/>
      <c r="S2" s="3"/>
      <c r="T2" s="3">
        <v>5.4000000000000003E-3</v>
      </c>
      <c r="U2" s="3"/>
      <c r="V2" s="3"/>
      <c r="W2" s="3"/>
    </row>
    <row r="3" spans="1:23">
      <c r="A3" s="3" t="s">
        <v>94</v>
      </c>
      <c r="B3" s="3">
        <v>0.4</v>
      </c>
      <c r="C3" s="3">
        <v>1.1000000000000001</v>
      </c>
      <c r="D3" s="3">
        <v>1.1000000000000001</v>
      </c>
      <c r="E3" s="3">
        <v>0.4</v>
      </c>
      <c r="F3" s="3"/>
      <c r="G3" s="3"/>
      <c r="H3" s="3"/>
      <c r="I3" s="3"/>
      <c r="J3" s="3">
        <v>0.08</v>
      </c>
      <c r="K3" s="3">
        <v>2.5000000000000001E-2</v>
      </c>
      <c r="L3" s="3"/>
      <c r="M3" s="3"/>
      <c r="N3" s="3">
        <v>0.1</v>
      </c>
      <c r="O3" s="3">
        <v>0.1</v>
      </c>
      <c r="P3" s="3"/>
      <c r="Q3" s="3"/>
      <c r="R3" s="3"/>
      <c r="S3" s="3"/>
      <c r="T3" s="3">
        <v>6.7999999999999996E-3</v>
      </c>
      <c r="U3" s="3">
        <v>5.1999999999999995E-4</v>
      </c>
      <c r="V3" s="3"/>
      <c r="W3" s="3"/>
    </row>
    <row r="4" spans="1:23">
      <c r="A4" s="3" t="s">
        <v>95</v>
      </c>
      <c r="B4" s="3">
        <v>0.39300000000000002</v>
      </c>
      <c r="C4" s="3">
        <v>1.143</v>
      </c>
      <c r="D4" s="3">
        <v>0.92800000000000005</v>
      </c>
      <c r="E4" s="3">
        <v>1.143</v>
      </c>
      <c r="F4" s="3">
        <v>0.39300000000000002</v>
      </c>
      <c r="G4" s="3"/>
      <c r="H4" s="3"/>
      <c r="I4" s="3"/>
      <c r="J4" s="3">
        <v>7.7200000000000005E-2</v>
      </c>
      <c r="K4" s="3">
        <v>3.6400000000000002E-2</v>
      </c>
      <c r="L4" s="3"/>
      <c r="M4" s="3"/>
      <c r="N4" s="3">
        <v>-0.1071</v>
      </c>
      <c r="O4" s="3">
        <v>-7.1400000000000005E-2</v>
      </c>
      <c r="P4" s="3"/>
      <c r="Q4" s="3"/>
      <c r="R4" s="3"/>
      <c r="S4" s="3"/>
      <c r="T4" s="3">
        <v>6.4999999999999997E-3</v>
      </c>
      <c r="U4" s="3">
        <v>1.9E-3</v>
      </c>
      <c r="V4" s="3"/>
      <c r="W4" s="3"/>
    </row>
    <row r="5" spans="1:23">
      <c r="A5" s="3" t="s">
        <v>96</v>
      </c>
      <c r="B5" s="3">
        <v>0.39500000000000002</v>
      </c>
      <c r="C5" s="3">
        <v>1.1319999999999999</v>
      </c>
      <c r="D5" s="3">
        <v>0.97299999999999998</v>
      </c>
      <c r="E5" s="3">
        <v>0.97299999999999998</v>
      </c>
      <c r="F5" s="3">
        <v>1.1319999999999999</v>
      </c>
      <c r="G5" s="3">
        <v>0.39500000000000002</v>
      </c>
      <c r="H5" s="3"/>
      <c r="I5" s="3"/>
      <c r="J5" s="3">
        <v>7.7899999999999997E-2</v>
      </c>
      <c r="K5" s="3">
        <v>3.32E-2</v>
      </c>
      <c r="L5" s="3">
        <v>4.6100000000000002E-2</v>
      </c>
      <c r="M5" s="3"/>
      <c r="N5" s="3">
        <v>-0.1053</v>
      </c>
      <c r="O5" s="3">
        <v>-7.8899999999999998E-2</v>
      </c>
      <c r="P5" s="3">
        <v>-7.8899999999999998E-2</v>
      </c>
      <c r="Q5" s="3">
        <v>-0.1053</v>
      </c>
      <c r="R5" s="3"/>
      <c r="S5" s="3"/>
      <c r="T5" s="3">
        <v>6.4999999999999997E-3</v>
      </c>
      <c r="U5" s="3">
        <v>1.5E-3</v>
      </c>
      <c r="V5" s="3">
        <v>3.2000000000000002E-3</v>
      </c>
      <c r="W5" s="3"/>
    </row>
    <row r="6" spans="1:23">
      <c r="A6" s="3" t="s">
        <v>97</v>
      </c>
      <c r="B6" s="3">
        <v>0.39400000000000002</v>
      </c>
      <c r="C6" s="3">
        <v>1.135</v>
      </c>
      <c r="D6" s="3">
        <v>0.96199999999999997</v>
      </c>
      <c r="E6" s="3">
        <v>1.0189999999999999</v>
      </c>
      <c r="F6" s="3">
        <v>0.96199999999999997</v>
      </c>
      <c r="G6" s="3">
        <v>1.135</v>
      </c>
      <c r="H6" s="3">
        <v>0.39400000000000002</v>
      </c>
      <c r="I6" s="3"/>
      <c r="J6" s="3">
        <v>7.7700000000000005E-2</v>
      </c>
      <c r="K6" s="3">
        <v>3.4299999999999997E-2</v>
      </c>
      <c r="L6" s="3">
        <v>4.3299999999999998E-2</v>
      </c>
      <c r="M6" s="3"/>
      <c r="N6" s="3">
        <v>-0.10580000000000001</v>
      </c>
      <c r="O6" s="3">
        <v>-7.6899999999999996E-2</v>
      </c>
      <c r="P6" s="3">
        <v>-8.6499999999999994E-2</v>
      </c>
      <c r="Q6" s="3">
        <v>-7.6899999999999996E-2</v>
      </c>
      <c r="R6" s="3">
        <v>-0.10580000000000001</v>
      </c>
      <c r="S6" s="3"/>
      <c r="T6" s="3">
        <v>6.4000000000000003E-3</v>
      </c>
      <c r="U6" s="3">
        <v>1.6000000000000001E-3</v>
      </c>
      <c r="V6" s="3">
        <v>2.8E-3</v>
      </c>
      <c r="W6" s="3"/>
    </row>
    <row r="7" spans="1:23">
      <c r="A7" s="3" t="s">
        <v>6</v>
      </c>
      <c r="B7" s="3">
        <v>0.39400000000000002</v>
      </c>
      <c r="C7" s="3">
        <v>1.1339999999999999</v>
      </c>
      <c r="D7" s="3">
        <v>0.96499999999999997</v>
      </c>
      <c r="E7" s="3">
        <v>1.0069999999999999</v>
      </c>
      <c r="F7" s="3">
        <v>1.0069999999999999</v>
      </c>
      <c r="G7" s="3">
        <v>0.96499999999999997</v>
      </c>
      <c r="H7" s="3">
        <v>1.1339999999999999</v>
      </c>
      <c r="I7" s="3">
        <v>0.39400000000000002</v>
      </c>
      <c r="J7" s="3">
        <v>7.7799999999999994E-2</v>
      </c>
      <c r="K7" s="3">
        <v>3.3799999999999997E-2</v>
      </c>
      <c r="L7" s="3">
        <v>4.3999999999999997E-2</v>
      </c>
      <c r="M7" s="3">
        <v>4.4999999999999998E-2</v>
      </c>
      <c r="N7" s="3">
        <v>-0.1056</v>
      </c>
      <c r="O7" s="3">
        <v>-7.7499999999999999E-2</v>
      </c>
      <c r="P7" s="3">
        <v>-8.4500000000000006E-2</v>
      </c>
      <c r="Q7" s="3">
        <v>-8.4500000000000006E-2</v>
      </c>
      <c r="R7" s="3">
        <v>-7.7499999999999999E-2</v>
      </c>
      <c r="S7" s="3">
        <v>-0.1056</v>
      </c>
      <c r="T7" s="3">
        <v>6.4999999999999997E-3</v>
      </c>
      <c r="U7" s="3">
        <v>1.6000000000000001E-3</v>
      </c>
      <c r="V7" s="3">
        <v>2.8999999999999998E-3</v>
      </c>
      <c r="W7" s="3">
        <v>2.3999999999999998E-3</v>
      </c>
    </row>
  </sheetData>
  <sheetProtection algorithmName="SHA-512" hashValue="CX3kcSlj2IZKLYNJ418jjcfuz/WyeuJOniaGFCNOkuJegJ8/TK20IJyeMkCNwPb3QVMLG4R5BDyFuINLi5mJhw==" saltValue="t7YMkkec/Va22eiV3GWpTw==" spinCount="100000" sheet="1" objects="1" scenarios="1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9c719c-fe9d-4486-9255-d4120b592cf1" xsi:nil="true"/>
    <lcf76f155ced4ddcb4097134ff3c332f xmlns="c657e309-7319-46fb-bd9b-210f33c11e4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0EC7B54C7FCB42B4FA742D6C99FF2B" ma:contentTypeVersion="15" ma:contentTypeDescription="Create a new document." ma:contentTypeScope="" ma:versionID="df5fd87fc57062be50b5c7eb8b53150e">
  <xsd:schema xmlns:xsd="http://www.w3.org/2001/XMLSchema" xmlns:xs="http://www.w3.org/2001/XMLSchema" xmlns:p="http://schemas.microsoft.com/office/2006/metadata/properties" xmlns:ns2="c657e309-7319-46fb-bd9b-210f33c11e44" xmlns:ns3="ef9c719c-fe9d-4486-9255-d4120b592cf1" targetNamespace="http://schemas.microsoft.com/office/2006/metadata/properties" ma:root="true" ma:fieldsID="96b80e6e992d64648bcf6cf226fa00e4" ns2:_="" ns3:_="">
    <xsd:import namespace="c657e309-7319-46fb-bd9b-210f33c11e44"/>
    <xsd:import namespace="ef9c719c-fe9d-4486-9255-d4120b592c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7e309-7319-46fb-bd9b-210f33c11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f86abf9-728e-4f0e-b816-beb88bca6e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719c-fe9d-4486-9255-d4120b592cf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306ab55-2ec9-4914-9f13-2b50023ae7d0}" ma:internalName="TaxCatchAll" ma:showField="CatchAllData" ma:web="ef9c719c-fe9d-4486-9255-d4120b592c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25051C-4CE5-49DB-8300-60AFE31000DA}"/>
</file>

<file path=customXml/itemProps2.xml><?xml version="1.0" encoding="utf-8"?>
<ds:datastoreItem xmlns:ds="http://schemas.openxmlformats.org/officeDocument/2006/customXml" ds:itemID="{7C9D1BDF-618F-478F-98D4-53518F5260A3}"/>
</file>

<file path=customXml/itemProps3.xml><?xml version="1.0" encoding="utf-8"?>
<ds:datastoreItem xmlns:ds="http://schemas.openxmlformats.org/officeDocument/2006/customXml" ds:itemID="{171B26EC-3D87-4179-8644-199484A9D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Meile Jeremy</cp:lastModifiedBy>
  <cp:revision/>
  <dcterms:created xsi:type="dcterms:W3CDTF">2024-08-19T19:48:24Z</dcterms:created>
  <dcterms:modified xsi:type="dcterms:W3CDTF">2024-09-01T12:18:03Z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0x010100FB0EC7B54C7FCB42B4FA742D6C99FF2B</vt:lpwstr>
  </property>
  <property fmtid="{D5CDD505-2E9C-101B-9397-08002B2CF9AE}" pid="3" name="MediaServiceImageTags">
    <vt:lpwstr/>
  </property>
</Properties>
</file>